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 tabRatio="923" firstSheet="9" activeTab="9"/>
  </bookViews>
  <sheets>
    <sheet name="水利要素辅助表" sheetId="248" state="hidden" r:id="rId1"/>
    <sheet name="特性表" sheetId="251" state="hidden" r:id="rId2"/>
    <sheet name="特性表1" sheetId="278" state="hidden" r:id="rId3"/>
    <sheet name="工程概要表" sheetId="267" state="hidden" r:id="rId4"/>
    <sheet name="效益表" sheetId="265" state="hidden" r:id="rId5"/>
    <sheet name="111" sheetId="286" state="hidden" r:id="rId6"/>
    <sheet name="征地补偿" sheetId="281" state="hidden" r:id="rId7"/>
    <sheet name="环保" sheetId="282" state="hidden" r:id="rId8"/>
    <sheet name="水土保持" sheetId="283" state="hidden" r:id="rId9"/>
    <sheet name="总概算核" sheetId="223" r:id="rId10"/>
    <sheet name="高效节水汇总表" sheetId="276" state="hidden" r:id="rId11"/>
    <sheet name="灌溉排水工程核" sheetId="270" state="hidden" r:id="rId12"/>
    <sheet name="建筑工程" sheetId="280" r:id="rId13"/>
    <sheet name="机电设备安装核" sheetId="271" r:id="rId14"/>
    <sheet name="金属结构及安装核" sheetId="272" r:id="rId15"/>
    <sheet name="渠道概算核" sheetId="255" state="hidden" r:id="rId16"/>
    <sheet name="暗管排水" sheetId="269" state="hidden" r:id="rId17"/>
    <sheet name="林业预算" sheetId="258" state="hidden" r:id="rId18"/>
    <sheet name="临时工程费" sheetId="277" state="hidden" r:id="rId19"/>
    <sheet name="田间林网工程" sheetId="268" state="hidden" r:id="rId20"/>
    <sheet name="独立费用" sheetId="284" r:id="rId21"/>
    <sheet name="费用计算" sheetId="285" r:id="rId22"/>
    <sheet name="单价汇总" sheetId="72" r:id="rId23"/>
    <sheet name="材料预算价" sheetId="4" r:id="rId24"/>
    <sheet name="配合比" sheetId="1" r:id="rId25"/>
    <sheet name="05版台时汇总" sheetId="199" state="hidden" r:id="rId26"/>
    <sheet name="05版台时" sheetId="198" r:id="rId27"/>
    <sheet name="人工工资" sheetId="38" r:id="rId28"/>
    <sheet name="附录" sheetId="200" state="hidden" r:id="rId29"/>
    <sheet name="附录-混凝土配合比" sheetId="201" state="hidden" r:id="rId30"/>
    <sheet name="Sheet1" sheetId="261" state="hidden" r:id="rId31"/>
    <sheet name="管材价格" sheetId="274" state="hidden" r:id="rId32"/>
    <sheet name="工程量计算表" sheetId="275" state="hidden" r:id="rId33"/>
    <sheet name="钢管重量换算" sheetId="273" state="hidden" r:id="rId34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12" hidden="1">建筑工程!$H$1:$H$234</definedName>
    <definedName name="Database" hidden="1">#REF!</definedName>
    <definedName name="M10浆砌砖基础">[1]附表4直接工程费单价表!#REF!</definedName>
    <definedName name="_xlnm.Print_Area" localSheetId="25">'05版台时汇总'!$A$1:$E$391</definedName>
    <definedName name="_xlnm.Print_Area" localSheetId="23">材料预算价!$A$1:$N$22</definedName>
    <definedName name="_xlnm.Print_Area" localSheetId="22">单价汇总!$A$1:$D$398</definedName>
    <definedName name="_xlnm.Print_Area" localSheetId="10">高效节水汇总表!$A$1:$F$18</definedName>
    <definedName name="_xlnm.Print_Area" localSheetId="3">工程概要表!$A$1:$D$41</definedName>
    <definedName name="_xlnm.Print_Area" localSheetId="11">灌溉排水工程核!$A$1:$H$170</definedName>
    <definedName name="_xlnm.Print_Area" localSheetId="13">机电设备安装核!$A$1:$J$137</definedName>
    <definedName name="_xlnm.Print_Area" localSheetId="18">临时工程费!$A$1:$F$9</definedName>
    <definedName name="_xlnm.Print_Area" localSheetId="24">配合比!$A$1:$O$22</definedName>
    <definedName name="_xlnm.Print_Area" localSheetId="15">渠道概算核!$A$1:$F$43</definedName>
    <definedName name="_xlnm.Print_Area" localSheetId="27">人工工资!$A$1:$D$34</definedName>
    <definedName name="_xlnm.Print_Area" localSheetId="1">特性表!$A$1:$G$39</definedName>
    <definedName name="_xlnm.Print_Area" localSheetId="19">田间林网工程!$A$1:$G$13</definedName>
    <definedName name="_xlnm.Print_Area" localSheetId="4">效益表!$A$1:$D$41</definedName>
    <definedName name="_xlnm.Print_Area" localSheetId="9">总概算核!$A$1:$G$47</definedName>
    <definedName name="_xlnm.Print_Titles" localSheetId="25">'05版台时汇总'!$1:$2</definedName>
    <definedName name="_xlnm.Print_Titles" localSheetId="16">暗管排水!$1:$3</definedName>
    <definedName name="_xlnm.Print_Titles" localSheetId="23">材料预算价!$1:$3</definedName>
    <definedName name="_xlnm.Print_Titles" localSheetId="22">单价汇总!$A:$D,单价汇总!$1:$2</definedName>
    <definedName name="_xlnm.Print_Titles" localSheetId="11">灌溉排水工程核!$1:$3</definedName>
    <definedName name="_xlnm.Print_Titles" localSheetId="13">机电设备安装核!$1:$4</definedName>
    <definedName name="_xlnm.Print_Titles" localSheetId="14">金属结构及安装核!$1:$4</definedName>
    <definedName name="_xlnm.Print_Titles" localSheetId="15">渠道概算核!$A:$F,渠道概算核!$1:$3</definedName>
    <definedName name="_xlnm.Print_Titles" localSheetId="4">效益表!#REF!</definedName>
    <definedName name="UPVC管道Φ100">[1]附表2材料价格计算表!#REF!</definedName>
    <definedName name="UPVC管道Φ50">[1]附表2材料价格计算表!#REF!</definedName>
    <definedName name="UT型线夹NUT2">[1]附表2材料价格计算表!#REF!</definedName>
    <definedName name="安装单价">#REF!</definedName>
    <definedName name="安装工程机械系数">#REF!</definedName>
    <definedName name="安装工程量">#REF!</definedName>
    <definedName name="板枋材">#REF!</definedName>
    <definedName name="苯板">[1]附表2材料价格计算表!#REF!</definedName>
    <definedName name="变电构架安装__离心杆构架独">#REF!</definedName>
    <definedName name="变电构架安装离心杆构架">#REF!</definedName>
    <definedName name="变频振捣器4.5kw">#REF!</definedName>
    <definedName name="变压器油">[1]附表2材料价格计算表!#REF!</definedName>
    <definedName name="并沟线夹1635mm">[1]附表2材料价格计算表!#REF!</definedName>
    <definedName name="并沟线夹JB2">[1]附表2材料价格计算表!#REF!</definedName>
    <definedName name="不可预见费南">'[2]表6不可预见费南 '!$H$10</definedName>
    <definedName name="材100017">[1]附表4直接工程费单价表!#REF!</definedName>
    <definedName name="材100023">[1]附表4直接工程费单价表!#REF!</definedName>
    <definedName name="材100049">[1]附表4直接工程费单价表!#REF!</definedName>
    <definedName name="材30028">[1]附表4直接工程费单价表!#REF!</definedName>
    <definedName name="材30064">[1]附表4直接工程费单价表!#REF!</definedName>
    <definedName name="材30067">[1]附表4直接工程费单价表!#REF!</definedName>
    <definedName name="材40004">[1]附表4直接工程费单价表!#REF!</definedName>
    <definedName name="材40006">[3]直接工程费!$F$192</definedName>
    <definedName name="材40006b">[1]附表4直接工程费单价表!#REF!</definedName>
    <definedName name="材40006细石">[1]附表4直接工程费单价表!#REF!</definedName>
    <definedName name="材40030">[1]附表4直接工程费单价表!#REF!</definedName>
    <definedName name="材4003115">[1]附表4直接工程费单价表!#REF!</definedName>
    <definedName name="材40041b">[1]附表4直接工程费单价表!#REF!</definedName>
    <definedName name="材40056">[1]附表4直接工程费单价表!#REF!</definedName>
    <definedName name="材40063">[1]附表4直接工程费单价表!#REF!</definedName>
    <definedName name="材40064">[1]附表4直接工程费单价表!#REF!</definedName>
    <definedName name="材40073">[1]附表4直接工程费单价表!#REF!</definedName>
    <definedName name="材4007620">[1]附表4直接工程费单价表!#REF!</definedName>
    <definedName name="材40077">[1]附表4直接工程费单价表!#REF!</definedName>
    <definedName name="材40079">[1]附表4直接工程费单价表!#REF!</definedName>
    <definedName name="材40115">[1]附表4直接工程费单价表!#REF!</definedName>
    <definedName name="材40116">[1]附表4直接工程费单价表!#REF!</definedName>
    <definedName name="材40133">[1]附表4直接工程费单价表!#REF!</definedName>
    <definedName name="材40203">[1]附表4直接工程费单价表!#REF!</definedName>
    <definedName name="材40210">[1]附表4直接工程费单价表!#REF!</definedName>
    <definedName name="材40214苯">[1]附表4直接工程费单价表!#REF!</definedName>
    <definedName name="材50014">[4]附表4工程费单价表!#REF!</definedName>
    <definedName name="材50064">[1]附表4直接工程费单价表!#REF!</definedName>
    <definedName name="材50067">[1]附表4直接工程费单价表!#REF!</definedName>
    <definedName name="材50113">[4]附表4工程费单价表!#REF!</definedName>
    <definedName name="材70007">[1]附表4直接工程费单价表!#REF!</definedName>
    <definedName name="材70013">[1]附表4直接工程费单价表!#REF!</definedName>
    <definedName name="材70014">[1]附表4直接工程费单价表!#REF!</definedName>
    <definedName name="材70070">[1]附表4直接工程费单价表!#REF!</definedName>
    <definedName name="材70105">[1]附表4直接工程费单价表!#REF!</definedName>
    <definedName name="材70106">[1]附表4直接工程费单价表!#REF!</definedName>
    <definedName name="材70125">[1]附表4直接工程费单价表!#REF!</definedName>
    <definedName name="材80023加8002410">[1]附表4直接工程费单价表!#REF!</definedName>
    <definedName name="材80033">[1]附表4直接工程费单价表!#REF!</definedName>
    <definedName name="材80034">[1]附表4直接工程费单价表!#REF!</definedName>
    <definedName name="材90013">[1]附表4直接工程费单价表!#REF!</definedName>
    <definedName name="槽钢">[1]附表2材料价格计算表!#REF!</definedName>
    <definedName name="插入式振捣器2.2kw">#REF!</definedName>
    <definedName name="柴油">#REF!</definedName>
    <definedName name="瓷横担S210">[1]附表2材料价格计算表!#REF!</definedName>
    <definedName name="瓷横担S210Z">[1]附表2材料价格计算表!#REF!</definedName>
    <definedName name="瓷瓶">[1]附表2材料价格计算表!#REF!</definedName>
    <definedName name="单10245c">[4]附表4工程费单价表!#REF!</definedName>
    <definedName name="单斗挖掘机油动斗容0.5m3">[5]机械汇总!$K$6</definedName>
    <definedName name="导火线">#REF!</definedName>
    <definedName name="导线BLGJ">[1]附表2材料价格计算表!#REF!</definedName>
    <definedName name="导线BLX16">[1]附表2材料价格计算表!#REF!</definedName>
    <definedName name="电">#REF!</definedName>
    <definedName name="电焊条">#REF!</definedName>
    <definedName name="电焊条结32">[1]附表2材料价格计算表!#REF!</definedName>
    <definedName name="电气设备调差系数">#REF!</definedName>
    <definedName name="电石">#REF!</definedName>
    <definedName name="定额编号_1213">#REF!</definedName>
    <definedName name="定额编号_2154">#REF!</definedName>
    <definedName name="定额编号_3007">#REF!</definedName>
    <definedName name="定额编号_4067">#REF!</definedName>
    <definedName name="定额编号_4069">#REF!</definedName>
    <definedName name="定额编号_6091">#REF!</definedName>
    <definedName name="定额编号_6093">#REF!</definedName>
    <definedName name="定额编号_8020">#REF!</definedName>
    <definedName name="定额编号_8243">#REF!</definedName>
    <definedName name="镀锌扁钢">[1]附表2材料价格计算表!#REF!</definedName>
    <definedName name="镀锌钢管">#REF!</definedName>
    <definedName name="镀锌钢绞线GL35">[1]附表2材料价格计算表!#REF!</definedName>
    <definedName name="镀锌钢绞线GL50">[1]附表2材料价格计算表!#REF!</definedName>
    <definedName name="对焊机电弧150kvA">#REF!</definedName>
    <definedName name="风">#REF!</definedName>
    <definedName name="风砂水枪">#REF!</definedName>
    <definedName name="钢垫板">[1]附表2材料价格计算表!#REF!</definedName>
    <definedName name="钢筋">#REF!</definedName>
    <definedName name="钢筋1">#REF!</definedName>
    <definedName name="钢筋切断机10kw">#REF!</definedName>
    <definedName name="钢筋调直机14kw">#REF!</definedName>
    <definedName name="钢筋砼管C25Φ1000">[5]材价汇!$D$43</definedName>
    <definedName name="钢筋砼管C25Φ400">[5]材价汇!$D$40</definedName>
    <definedName name="钢筋砼管C25Φ500">[5]材价汇!$D$41</definedName>
    <definedName name="钢筋砼管C25Φ600">[1]附表2材料价格计算表!#REF!</definedName>
    <definedName name="钢筋砼管C25Φ800">[5]材价汇!$D$42</definedName>
    <definedName name="钢筋弯曲机40mm">#REF!</definedName>
    <definedName name="工10017">[1]附表4直接工程费单价表!#REF!</definedName>
    <definedName name="工10020">[1]附表4直接工程费单价表!$F$15</definedName>
    <definedName name="工10029">[1]附表4直接工程费单价表!$F$29</definedName>
    <definedName name="工10042">[1]附表4直接工程费单价表!#REF!</definedName>
    <definedName name="工10043">[1]附表4直接工程费单价表!#REF!</definedName>
    <definedName name="工10203">[1]附表4直接工程费单价表!$F$46</definedName>
    <definedName name="工10269">[1]附表4直接工程费单价表!#REF!</definedName>
    <definedName name="工10333">[1]附表4直接工程费单价表!#REF!</definedName>
    <definedName name="工10334">[1]附表4直接工程费单价表!$F$63</definedName>
    <definedName name="工10344">[1]附表4直接工程费单价表!#REF!</definedName>
    <definedName name="工10345">[1]附表4直接工程费单价表!$F$83</definedName>
    <definedName name="工30003">[1]附表4直接工程费单价表!$F$100</definedName>
    <definedName name="工30017">[1]附表4直接工程费单价表!$F$118</definedName>
    <definedName name="工30018">[1]附表4直接工程费单价表!$F$136</definedName>
    <definedName name="工30019">[1]附表4直接工程费单价表!$F$154</definedName>
    <definedName name="工30019b">[1]附表4直接工程费单价表!$F$172</definedName>
    <definedName name="工30020">[1]附表4直接工程费单价表!$F$190</definedName>
    <definedName name="工30021">[1]附表4直接工程费单价表!$F$208</definedName>
    <definedName name="工30021b">[1]附表4直接工程费单价表!$F$226</definedName>
    <definedName name="工30028">[1]附表4直接工程费单价表!#REF!</definedName>
    <definedName name="工30058">[1]附表4直接工程费单价表!$F$244</definedName>
    <definedName name="工30064">[1]附表4直接工程费单价表!#REF!</definedName>
    <definedName name="工30065">[1]附表4直接工程费单价表!$F$261</definedName>
    <definedName name="工30066">[1]附表4直接工程费单价表!$F$278</definedName>
    <definedName name="工40004">[1]附表4直接工程费单价表!#REF!</definedName>
    <definedName name="工40006">[1]附表4直接工程费单价表!$F$311</definedName>
    <definedName name="工40006b">[1]附表4直接工程费单价表!#REF!</definedName>
    <definedName name="工40006细石">[1]附表4直接工程费单价表!#REF!</definedName>
    <definedName name="工40030">[1]附表4直接工程费单价表!#REF!</definedName>
    <definedName name="工40031a">[1]附表4直接工程费单价表!#REF!</definedName>
    <definedName name="工40041a">[1]附表4直接工程费单价表!$F$408</definedName>
    <definedName name="工40041b">[1]附表4直接工程费单价表!#REF!</definedName>
    <definedName name="工40056">[1]附表4直接工程费单价表!#REF!</definedName>
    <definedName name="工40073">[1]附表4直接工程费单价表!#REF!</definedName>
    <definedName name="工40076">[1]附表4直接工程费单价表!#REF!</definedName>
    <definedName name="工40077">[1]附表4直接工程费单价表!#REF!</definedName>
    <definedName name="工40079">[1]附表4直接工程费单价表!$F$565</definedName>
    <definedName name="工40116">[1]附表4直接工程费单价表!$F$629</definedName>
    <definedName name="工40190">[1]附表4直接工程费单价表!$F$816</definedName>
    <definedName name="工40192">[1]附表4直接工程费单价表!#REF!</definedName>
    <definedName name="工40203">[1]附表4直接工程费单价表!#REF!</definedName>
    <definedName name="工40211">[1]附表4直接工程费单价表!$F$853</definedName>
    <definedName name="工40215">[1]附表4直接工程费单价表!$F$900</definedName>
    <definedName name="工50064">[1]附表4直接工程费单价表!#REF!</definedName>
    <definedName name="工50067">[1]附表4直接工程费单价表!#REF!</definedName>
    <definedName name="工50111">[1]附表4直接工程费单价表!$F$952</definedName>
    <definedName name="工70001">[1]附表4直接工程费单价表!$F$1031</definedName>
    <definedName name="工70007">[1]附表4直接工程费单价表!#REF!</definedName>
    <definedName name="工70014">[1]附表4直接工程费单价表!#REF!</definedName>
    <definedName name="工80015">[1]附表4直接工程费单价表!#REF!</definedName>
    <definedName name="工80015加80016">[1]附表4直接工程费单价表!#REF!</definedName>
    <definedName name="工80015加800166">[1]附表4直接工程费单价表!$F$1067</definedName>
    <definedName name="工80015减80016">[1]附表4直接工程费单价表!#REF!</definedName>
    <definedName name="工80023">[1]附表4直接工程费单价表!$F$1089</definedName>
    <definedName name="工90001">[1]附表4直接工程费单价表!$F$1107</definedName>
    <definedName name="工90001b">[1]附表4直接工程费单价表!$F$1125</definedName>
    <definedName name="工90001c">[1]附表4直接工程费单价表!#REF!</definedName>
    <definedName name="工90013">[1]附表4直接工程费单价表!#REF!</definedName>
    <definedName name="工9001c">[1]附表4直接工程费单价表!#REF!</definedName>
    <definedName name="工程监理费南">'[2]表5-2工程监理费南'!$E$10</definedName>
    <definedName name="工程量清单">#REF!</definedName>
    <definedName name="工程量调整系数">#REF!</definedName>
    <definedName name="工程施工费工">[5]表2预算汇总表!$H$338</definedName>
    <definedName name="工程施工费南">'[2]表3工程施工费南 '!$H$515</definedName>
    <definedName name="工土地平整">[1]表3工程施工费用!#REF!</definedName>
    <definedName name="沟槽石方开挖_______________工程">#REF!</definedName>
    <definedName name="关键">#REF!</definedName>
    <definedName name="管件">[1]附表2材料价格计算表!#REF!</definedName>
    <definedName name="国槐">[1]附表2材料价格计算表!#REF!</definedName>
    <definedName name="合金钻头">#REF!</definedName>
    <definedName name="合作杨">[5]材价汇!$D$48</definedName>
    <definedName name="黄油">[5]材价汇!$D$37</definedName>
    <definedName name="混凝土拌制">[1]附表4直接工程费单价表!#REF!</definedName>
    <definedName name="混凝土垂直运输">[6]单位估价!#REF!</definedName>
    <definedName name="混凝土底盘800800180">[1]附表2材料价格计算表!#REF!</definedName>
    <definedName name="混凝土拉盘LP6">[1]附表2材料价格计算表!#REF!</definedName>
    <definedName name="混凝土拉线盘LP8">[1]附表2材料价格计算表!#REF!</definedName>
    <definedName name="混凝土水平运输">[6]单位估价!#REF!</definedName>
    <definedName name="机100017">[1]附表4直接工程费单价表!#REF!</definedName>
    <definedName name="机100023">[1]附表4直接工程费单价表!#REF!</definedName>
    <definedName name="机100049">[1]附表4直接工程费单价表!#REF!</definedName>
    <definedName name="机10043">[1]附表4直接工程费单价表!#REF!</definedName>
    <definedName name="机10305">[4]附表4工程费单价表!#REF!</definedName>
    <definedName name="机10306">[1]附表4直接工程费单价表!#REF!</definedName>
    <definedName name="机10315">[4]附表4工程费单价表!#REF!</definedName>
    <definedName name="机10332">[1]附表4直接工程费单价表!#REF!</definedName>
    <definedName name="机10333">[1]附表4直接工程费单价表!#REF!</definedName>
    <definedName name="机10344">[1]附表4直接工程费单价表!#REF!</definedName>
    <definedName name="机10345">[1]附表4直接工程费单价表!#REF!</definedName>
    <definedName name="机40004">[1]附表4直接工程费单价表!#REF!</definedName>
    <definedName name="机40006">[3]直接工程费!$F$203</definedName>
    <definedName name="机40006b">[1]附表4直接工程费单价表!#REF!</definedName>
    <definedName name="机40006细石">[1]附表4直接工程费单价表!#REF!</definedName>
    <definedName name="机40030">[1]附表4直接工程费单价表!#REF!</definedName>
    <definedName name="机4003115">[1]附表4直接工程费单价表!#REF!</definedName>
    <definedName name="机40031C15">[1]附表4直接工程费单价表!#REF!</definedName>
    <definedName name="机40041b">[1]附表4直接工程费单价表!#REF!</definedName>
    <definedName name="机40056">[1]附表4直接工程费单价表!#REF!</definedName>
    <definedName name="机40063">[1]附表4直接工程费单价表!#REF!</definedName>
    <definedName name="机40064">[1]附表4直接工程费单价表!#REF!</definedName>
    <definedName name="机40073">[1]附表4直接工程费单价表!#REF!</definedName>
    <definedName name="机4007620">[1]附表4直接工程费单价表!#REF!</definedName>
    <definedName name="机40077">[1]附表4直接工程费单价表!#REF!</definedName>
    <definedName name="机40079">[1]附表4直接工程费单价表!#REF!</definedName>
    <definedName name="机40115">[1]附表4直接工程费单价表!#REF!</definedName>
    <definedName name="机40116">[1]附表4直接工程费单价表!#REF!</definedName>
    <definedName name="机40133">[1]附表4直接工程费单价表!#REF!</definedName>
    <definedName name="机40192">[1]附表4直接工程费单价表!#REF!</definedName>
    <definedName name="机40203">[1]附表4直接工程费单价表!#REF!</definedName>
    <definedName name="机40214苯">[1]附表4直接工程费单价表!#REF!</definedName>
    <definedName name="机50014">[4]附表4工程费单价表!#REF!</definedName>
    <definedName name="机50113">[4]附表4工程费单价表!#REF!</definedName>
    <definedName name="机70007">[1]附表4直接工程费单价表!#REF!</definedName>
    <definedName name="机70013">[1]附表4直接工程费单价表!#REF!</definedName>
    <definedName name="机70014">[1]附表4直接工程费单价表!#REF!</definedName>
    <definedName name="机70070">[1]附表4直接工程费单价表!#REF!</definedName>
    <definedName name="机70105">[1]附表4直接工程费单价表!#REF!</definedName>
    <definedName name="机70106">[1]附表4直接工程费单价表!#REF!</definedName>
    <definedName name="机70125">[1]附表4直接工程费单价表!#REF!</definedName>
    <definedName name="机80015">[1]附表4直接工程费单价表!#REF!</definedName>
    <definedName name="机80015加800162">[1]附表4直接工程费单价表!#REF!</definedName>
    <definedName name="机80015减80016">[1]附表4直接工程费单价表!#REF!</definedName>
    <definedName name="机80023加8002410">[1]附表4直接工程费单价表!#REF!</definedName>
    <definedName name="机80033">[1]附表4直接工程费单价表!#REF!</definedName>
    <definedName name="机80034">[1]附表4直接工程费单价表!#REF!</definedName>
    <definedName name="机械库">#REF!</definedName>
    <definedName name="机械库1">#REF!</definedName>
    <definedName name="机械调差系数">#REF!</definedName>
    <definedName name="机油">[1]附表2材料价格计算表!#REF!</definedName>
    <definedName name="基本电价">[1]附表2材料价格计算表!#REF!</definedName>
    <definedName name="交流电焊机30">#REF!</definedName>
    <definedName name="胶轮架子车">#REF!</definedName>
    <definedName name="焦油膏">[5]材价汇!$D$51</definedName>
    <definedName name="接头">[1]附表2材料价格计算表!#REF!</definedName>
    <definedName name="精制六角带帽螺栓M161460">[1]附表2材料价格计算表!#REF!</definedName>
    <definedName name="精致六角带帽螺栓M101470">[1]附表2材料价格计算表!#REF!</definedName>
    <definedName name="锯材">[5]材价汇!$D$20</definedName>
    <definedName name="聚氨酯">[1]附表2材料价格计算表!#REF!</definedName>
    <definedName name="聚乙烯胶泥">[1]附表2材料价格计算表!#REF!</definedName>
    <definedName name="卷板机">#REF!</definedName>
    <definedName name="卷扬机5t">#REF!</definedName>
    <definedName name="竣工验收费南">'[2]表5-3竣工验收费南 '!$E$9</definedName>
    <definedName name="卡扣">[5]材价汇!$D$30</definedName>
    <definedName name="卡扣件">#REF!</definedName>
    <definedName name="空心钢">#REF!</definedName>
    <definedName name="块石">#REF!</definedName>
    <definedName name="拉模">#REF!</definedName>
    <definedName name="雷管">#REF!</definedName>
    <definedName name="离心式水泵7kw">#REF!</definedName>
    <definedName name="离心水泵17kw">#REF!</definedName>
    <definedName name="离心水泵55kw">#REF!</definedName>
    <definedName name="立">#REF!</definedName>
    <definedName name="立支柱">#REF!</definedName>
    <definedName name="立支柱1">#REF!</definedName>
    <definedName name="沥青">[5]材价汇!$D$34</definedName>
    <definedName name="砾石">[1]附表2材料价格计算表!#REF!</definedName>
    <definedName name="林施工费">'[2]表3工程施工费南 '!$H$511</definedName>
    <definedName name="柳树">[1]附表2材料价格计算表!#REF!</definedName>
    <definedName name="龙门式起重机10">#REF!</definedName>
    <definedName name="路措施费南">#REF!</definedName>
    <definedName name="路间接费南">#REF!</definedName>
    <definedName name="路施工费">'[2]表3工程施工费南 '!$H$483</definedName>
    <definedName name="卵石">'[5]表3-1直接费预算表达式1'!$D$11</definedName>
    <definedName name="轮胎起重机16t">#REF!</definedName>
    <definedName name="履带起重机10t">#REF!</definedName>
    <definedName name="履带起重机油动15t">[5]机械汇总!$K$82</definedName>
    <definedName name="滤油纸">[1]附表2材料价格计算表!#REF!</definedName>
    <definedName name="麻刀">[1]附表2材料价格计算表!#REF!</definedName>
    <definedName name="煤沥青">[1]附表2材料价格计算表!#REF!</definedName>
    <definedName name="煤油">[1]附表2材料价格计算表!#REF!</definedName>
    <definedName name="门式起重机25">#REF!</definedName>
    <definedName name="门座式起重机高架">#REF!</definedName>
    <definedName name="木柴">[5]材价汇!$D$21</definedName>
    <definedName name="耐张线夹NLD2">[1]附表2材料价格计算表!#REF!</definedName>
    <definedName name="内燃压路机重量68t">[5]机械汇总!$K$24</definedName>
    <definedName name="平板挂车40t">#REF!</definedName>
    <definedName name="其他费用">#REF!</definedName>
    <definedName name="其他费用南">'[2]表5其他费用南 '!$C$9</definedName>
    <definedName name="起重设备调差系数">#REF!</definedName>
    <definedName name="汽车起重机5t">#REF!</definedName>
    <definedName name="汽车起重机5吨">[5]机械汇总!$K$84</definedName>
    <definedName name="汽车起重机8t">#REF!</definedName>
    <definedName name="汽车拖头40t">#REF!</definedName>
    <definedName name="汽油">#REF!</definedName>
    <definedName name="铅油">[1]附表2材料价格计算表!#REF!</definedName>
    <definedName name="前期工作费">#REF!</definedName>
    <definedName name="前期工作费南">'[2]表5-1前期工作费南'!$E$11</definedName>
    <definedName name="桥式起重机10t">#REF!</definedName>
    <definedName name="人100017">[1]附表4直接工程费单价表!#REF!</definedName>
    <definedName name="人100023">[1]附表4直接工程费单价表!#REF!</definedName>
    <definedName name="人100049">[1]附表4直接工程费单价表!#REF!</definedName>
    <definedName name="人10017">[1]附表4直接工程费单价表!#REF!</definedName>
    <definedName name="人10041">[1]附表4直接工程费单价表!#REF!</definedName>
    <definedName name="人10043">[1]附表4直接工程费单价表!#REF!</definedName>
    <definedName name="人10306">[1]附表4直接工程费单价表!#REF!</definedName>
    <definedName name="人10332">[1]附表4直接工程费单价表!#REF!</definedName>
    <definedName name="人10333">[1]附表4直接工程费单价表!#REF!</definedName>
    <definedName name="人10344">[1]附表4直接工程费单价表!#REF!</definedName>
    <definedName name="人10345">[1]附表4直接工程费单价表!#REF!</definedName>
    <definedName name="人30028">[1]附表4直接工程费单价表!#REF!</definedName>
    <definedName name="人30064">[1]附表4直接工程费单价表!#REF!</definedName>
    <definedName name="人30067">[1]附表4直接工程费单价表!#REF!</definedName>
    <definedName name="人40004">[1]附表4直接工程费单价表!#REF!</definedName>
    <definedName name="人40006">[3]直接工程费!$F$188</definedName>
    <definedName name="人40006b">[1]附表4直接工程费单价表!#REF!</definedName>
    <definedName name="人40006细石">[1]附表4直接工程费单价表!#REF!</definedName>
    <definedName name="人40030">[1]附表4直接工程费单价表!#REF!</definedName>
    <definedName name="人4003115">[1]附表4直接工程费单价表!#REF!</definedName>
    <definedName name="人40041b">[1]附表4直接工程费单价表!#REF!</definedName>
    <definedName name="人40056">[1]附表4直接工程费单价表!#REF!</definedName>
    <definedName name="人40063">[1]附表4直接工程费单价表!#REF!</definedName>
    <definedName name="人40064">[1]附表4直接工程费单价表!#REF!</definedName>
    <definedName name="人40073">[1]附表4直接工程费单价表!#REF!</definedName>
    <definedName name="人4007620">[1]附表4直接工程费单价表!#REF!</definedName>
    <definedName name="人40077">[1]附表4直接工程费单价表!#REF!</definedName>
    <definedName name="人40079">[1]附表4直接工程费单价表!#REF!</definedName>
    <definedName name="人40115">[1]附表4直接工程费单价表!#REF!</definedName>
    <definedName name="人40116">[1]附表4直接工程费单价表!#REF!</definedName>
    <definedName name="人40133">[1]附表4直接工程费单价表!#REF!</definedName>
    <definedName name="人40192">[1]附表4直接工程费单价表!#REF!</definedName>
    <definedName name="人40203">[1]附表4直接工程费单价表!#REF!</definedName>
    <definedName name="人40210">[1]附表4直接工程费单价表!#REF!</definedName>
    <definedName name="人40214苯">[1]附表4直接工程费单价表!#REF!</definedName>
    <definedName name="人50014">[4]附表4工程费单价表!#REF!</definedName>
    <definedName name="人50064">[1]附表4直接工程费单价表!#REF!</definedName>
    <definedName name="人50067">[1]附表4直接工程费单价表!#REF!</definedName>
    <definedName name="人50113">[4]附表4工程费单价表!#REF!</definedName>
    <definedName name="人70007">[1]附表4直接工程费单价表!#REF!</definedName>
    <definedName name="人70013">[1]附表4直接工程费单价表!#REF!</definedName>
    <definedName name="人70014">[1]附表4直接工程费单价表!#REF!</definedName>
    <definedName name="人70070">[1]附表4直接工程费单价表!#REF!</definedName>
    <definedName name="人70105">[1]附表4直接工程费单价表!#REF!</definedName>
    <definedName name="人70106">[1]附表4直接工程费单价表!#REF!</definedName>
    <definedName name="人70114">[1]附表4直接工程费单价表!#REF!</definedName>
    <definedName name="人70125">[1]附表4直接工程费单价表!#REF!</definedName>
    <definedName name="人80015">[1]附表4直接工程费单价表!#REF!</definedName>
    <definedName name="人80015加800162">[1]附表4直接工程费单价表!#REF!</definedName>
    <definedName name="人80015减80016">[1]附表4直接工程费单价表!#REF!</definedName>
    <definedName name="人80023加8002410">[1]附表4直接工程费单价表!#REF!</definedName>
    <definedName name="人80033">[1]附表4直接工程费单价表!#REF!</definedName>
    <definedName name="人80034">[1]附表4直接工程费单价表!#REF!</definedName>
    <definedName name="人90013">[1]附表4直接工程费单价表!#REF!</definedName>
    <definedName name="人工1">#REF!</definedName>
    <definedName name="人工费">[7]附表2人工预算单价!#REF!</definedName>
    <definedName name="人工挖土、手扶运300m__工程">#REF!</definedName>
    <definedName name="人甲">[5]汇总!$E$20</definedName>
    <definedName name="人乙">[5]汇总!$G$20</definedName>
    <definedName name="润滑油">[1]附表2材料价格计算表!#REF!</definedName>
    <definedName name="沙枣">[1]附表2材料价格计算表!#REF!</definedName>
    <definedName name="砂">[1]附表2材料价格计算表!#REF!</definedName>
    <definedName name="砂浆库">[8]砼、砂浆半成品预算表!$A$6:$K$36</definedName>
    <definedName name="砂砾石">[5]材价汇!$D$10</definedName>
    <definedName name="设备费南">'[2]表4设备费南 '!$N$37</definedName>
    <definedName name="设备购置费">[9]设备!#REF!</definedName>
    <definedName name="石灰">[1]附表2材料价格计算表!#REF!</definedName>
    <definedName name="石棉织布">[1]附表2材料价格计算表!#REF!</definedName>
    <definedName name="石屑">[1]附表2材料价格计算表!#REF!</definedName>
    <definedName name="手扶式拖拉机">[5]机械汇总!$K$20</definedName>
    <definedName name="双轮胶车">[5]机械汇总!$K$74</definedName>
    <definedName name="水">#REF!</definedName>
    <definedName name="水措施费南">#REF!</definedName>
    <definedName name="水价">[5]材价汇!$D$17</definedName>
    <definedName name="水间接费南">#REF!</definedName>
    <definedName name="水力机械调差系数">#REF!</definedName>
    <definedName name="水泥32.5">'[4]附表2 材料价格表'!#REF!</definedName>
    <definedName name="水泥325">[1]附表2材料价格计算表!#REF!</definedName>
    <definedName name="水泥425">'[5]表3-1直接费预算表达式1'!$D$5</definedName>
    <definedName name="水泥电杆79米">[1]附表2材料价格计算表!#REF!</definedName>
    <definedName name="水泥电杆911米">[1]附表2材料价格计算表!#REF!</definedName>
    <definedName name="水施工费">'[2]表3工程施工费南 '!$H$8</definedName>
    <definedName name="水直接工程费南">#REF!</definedName>
    <definedName name="塑料软管">[1]附表2材料价格计算表!#REF!</definedName>
    <definedName name="碎石">#REF!</definedName>
    <definedName name="碎石4">'[5]表3-1直接费预算表达式1'!$D$13</definedName>
    <definedName name="塔式起重机10t">#REF!</definedName>
    <definedName name="塔式起重机25t">#REF!</definedName>
    <definedName name="铁垫块">[5]材价汇!$D$22</definedName>
    <definedName name="铁钉">[5]材价汇!$D$23</definedName>
    <definedName name="铁横担L6361500">[1]附表2材料价格计算表!#REF!</definedName>
    <definedName name="铁横担L636800">[1]附表2材料价格计算表!#REF!</definedName>
    <definedName name="铁横担L8081700">[1]附表2材料价格计算表!#REF!</definedName>
    <definedName name="铁件">[5]材价汇!$D$24</definedName>
    <definedName name="铁丝">[5]材价汇!$D$25</definedName>
    <definedName name="砼C10M2">'[5]表3-8'!$N$7</definedName>
    <definedName name="砼C15">[6]单位估价!#REF!</definedName>
    <definedName name="砼C20M2">'[5]表3-8'!$N$13</definedName>
    <definedName name="砼C20碎2">'[5]表3-8'!$N$9</definedName>
    <definedName name="砼C25M2">'[5]表3-8'!$N$15</definedName>
    <definedName name="砼C30M2">'[5]表3-8'!$N$17</definedName>
    <definedName name="砼吊罐1">#REF!</definedName>
    <definedName name="砼管1000">'[4]附表2 材料价格表'!#REF!</definedName>
    <definedName name="砼管1500">'[4]附表2 材料价格表'!#REF!</definedName>
    <definedName name="砼搅拌机0.4">#REF!</definedName>
    <definedName name="土措施费南">#REF!</definedName>
    <definedName name="土间接费南">#REF!</definedName>
    <definedName name="土建单价">#REF!</definedName>
    <definedName name="土建费率">#REF!</definedName>
    <definedName name="土建工程量">#REF!</definedName>
    <definedName name="土施工费南">'[2]表3工程施工费南 '!$H$6</definedName>
    <definedName name="土直接工程费南">#REF!</definedName>
    <definedName name="推土机59kw">#REF!</definedName>
    <definedName name="推土机74kw">#REF!</definedName>
    <definedName name="拖拉机59KW">#REF!</definedName>
    <definedName name="拖拉机74kw">#REF!</definedName>
    <definedName name="拖拉机履带式功率59kw">[5]机械汇总!$K$16</definedName>
    <definedName name="拖拉机履带式功率74kw">[5]机械汇总!$K$18</definedName>
    <definedName name="挖掘机1.0油动">#REF!</definedName>
    <definedName name="蛙式打夯机2.8KW">#REF!</definedName>
    <definedName name="蛙式打夯机功率2.8kw">[5]机械汇总!$K$30</definedName>
    <definedName name="桅杆起重机10t">[5]机械汇总!$K$102</definedName>
    <definedName name="系数1">#REF!</definedName>
    <definedName name="系数3">#REF!</definedName>
    <definedName name="橡胶绝缘线">[1]附表2材料价格计算表!#REF!</definedName>
    <definedName name="橡胶止水带">[5]材价汇!$D$50</definedName>
    <definedName name="橡胶止水圈DN1000">[5]材价汇!$D$47</definedName>
    <definedName name="橡胶止水圈DN400">[5]材价汇!$D$44</definedName>
    <definedName name="橡胶止水圈DN500">[5]材价汇!$D$45</definedName>
    <definedName name="橡胶止水圈DN600">[1]附表2材料价格计算表!#REF!</definedName>
    <definedName name="橡胶止水圈DN800">[5]材价汇!$D$46</definedName>
    <definedName name="橡皮绝缘线">[1]附表2材料价格计算表!#REF!</definedName>
    <definedName name="楔型线夹NX2">[1]附表2材料价格计算表!#REF!</definedName>
    <definedName name="新疆杨">[1]附表2材料价格计算表!#REF!</definedName>
    <definedName name="型钢">[5]材价汇!$D$31</definedName>
    <definedName name="悬式绝缘子X4.5">[1]附表2材料价格计算表!#REF!</definedName>
    <definedName name="压力钢管">#REF!</definedName>
    <definedName name="压力钢管调差系数">#REF!</definedName>
    <definedName name="羊脚碾7T">#REF!</definedName>
    <definedName name="杨树">[5]材价汇!$D$49</definedName>
    <definedName name="氧气">[5]材价汇!$D$35</definedName>
    <definedName name="摇臂钻床规格φ20m35mm">[5]机械汇总!$K$136</definedName>
    <definedName name="业主管理费">#REF!</definedName>
    <definedName name="业主管理费南">'[2]表5-4业主管理费南 '!$I$9</definedName>
    <definedName name="一般石方开挖风钻Ⅶ_工程">#REF!</definedName>
    <definedName name="乙炔气">[5]材价汇!$D$36</definedName>
    <definedName name="溢流堰砼200__工程">#REF!</definedName>
    <definedName name="油浸石棉盘根250℃">[1]附表2材料价格计算表!#REF!</definedName>
    <definedName name="油漆">[5]材价汇!$D$38</definedName>
    <definedName name="油毡">[1]附表2材料价格计算表!#REF!</definedName>
    <definedName name="与之">[6]单位估价!#REF!</definedName>
    <definedName name="预埋铁件">[5]材价汇!$D$33</definedName>
    <definedName name="预制砼柱">[6]单位估价!#REF!</definedName>
    <definedName name="原木">#REF!</definedName>
    <definedName name="载重汽车10t">#REF!</definedName>
    <definedName name="载重汽车5t">#REF!</definedName>
    <definedName name="载重汽车5吨">[5]机械汇总!$K$60</definedName>
    <definedName name="闸门0.3">[9]设备!#REF!</definedName>
    <definedName name="闸门0.4">[9]设备!#REF!</definedName>
    <definedName name="闸门0.5">[9]设备!#REF!</definedName>
    <definedName name="闸门0.6">[9]设备!#REF!</definedName>
    <definedName name="炸药">#REF!</definedName>
    <definedName name="直流电焊机30">#REF!</definedName>
    <definedName name="直流电焊机30kVA">[5]机械汇总!$K$120</definedName>
    <definedName name="中粗砂">#REF!</definedName>
    <definedName name="专用模板">[5]材价汇!$D$28</definedName>
    <definedName name="自行式平地机118kw">[5]机械汇总!$K$22</definedName>
    <definedName name="自卸汽车5t">#REF!</definedName>
    <definedName name="总投资南">'[2]表2预算总表 南'!$C$9</definedName>
    <definedName name="组合钢模">#REF!</definedName>
    <definedName name="组合钢模板">[5]材价汇!$D$29</definedName>
    <definedName name="钻杆">[1]附表2材料价格计算表!#REF!</definedName>
    <definedName name="_xlnm.Print_Area" localSheetId="12">建筑工程!$A$1:$G$234</definedName>
    <definedName name="_xlnm.Print_Area" localSheetId="14">金属结构及安装核!$A$1:$J$87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26" authorId="0">
      <text>
        <r>
          <rPr>
            <b/>
            <sz val="14"/>
            <rFont val="Times New Roman"/>
            <charset val="134"/>
          </rPr>
          <t>手提式</t>
        </r>
      </text>
    </comment>
  </commentList>
</comments>
</file>

<file path=xl/sharedStrings.xml><?xml version="1.0" encoding="utf-8"?>
<sst xmlns="http://schemas.openxmlformats.org/spreadsheetml/2006/main" count="6726" uniqueCount="2821">
  <si>
    <t>U型板特性速查表</t>
  </si>
  <si>
    <t>比降对比表</t>
  </si>
  <si>
    <t>半径</t>
  </si>
  <si>
    <t>板型</t>
  </si>
  <si>
    <t>板高</t>
  </si>
  <si>
    <t>开口宽</t>
  </si>
  <si>
    <t>板厚</t>
  </si>
  <si>
    <t>超高</t>
  </si>
  <si>
    <t>堤宽</t>
  </si>
  <si>
    <t>外倾角</t>
  </si>
  <si>
    <t>1/200</t>
  </si>
  <si>
    <t>D20</t>
  </si>
  <si>
    <t>314</t>
  </si>
  <si>
    <t>50</t>
  </si>
  <si>
    <t>15</t>
  </si>
  <si>
    <t>1/250</t>
  </si>
  <si>
    <t>D30</t>
  </si>
  <si>
    <t>445</t>
  </si>
  <si>
    <t>1/300</t>
  </si>
  <si>
    <t>D40</t>
  </si>
  <si>
    <t>548</t>
  </si>
  <si>
    <t>1/400</t>
  </si>
  <si>
    <t>D50</t>
  </si>
  <si>
    <t>782</t>
  </si>
  <si>
    <t>22</t>
  </si>
  <si>
    <t>1/500</t>
  </si>
  <si>
    <t>D60</t>
  </si>
  <si>
    <t>930</t>
  </si>
  <si>
    <t>60</t>
  </si>
  <si>
    <t>1/600</t>
  </si>
  <si>
    <t>D80</t>
  </si>
  <si>
    <t>1146</t>
  </si>
  <si>
    <t>1/800</t>
  </si>
  <si>
    <t>D100</t>
  </si>
  <si>
    <t>1361</t>
  </si>
  <si>
    <t>1/1000</t>
  </si>
  <si>
    <t>D120</t>
  </si>
  <si>
    <t>1593</t>
  </si>
  <si>
    <t>70</t>
  </si>
  <si>
    <t>1/1200</t>
  </si>
  <si>
    <t>D140</t>
  </si>
  <si>
    <t>1793</t>
  </si>
  <si>
    <t>1/1500</t>
  </si>
  <si>
    <t>D160</t>
  </si>
  <si>
    <t>1992</t>
  </si>
  <si>
    <t>1/1800</t>
  </si>
  <si>
    <t>D180</t>
  </si>
  <si>
    <t>2184</t>
  </si>
  <si>
    <t>1/2000</t>
  </si>
  <si>
    <t>D200</t>
  </si>
  <si>
    <t>2412</t>
  </si>
  <si>
    <t>80</t>
  </si>
  <si>
    <t>30</t>
  </si>
  <si>
    <t>农垦集团2022年贺兰山农牧场高标准农田建设项目概算表技术经济指标表</t>
  </si>
  <si>
    <r>
      <rPr>
        <sz val="10"/>
        <rFont val="仿宋_GB2312"/>
        <charset val="134"/>
      </rPr>
      <t>项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目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名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称</t>
    </r>
  </si>
  <si>
    <t>单位</t>
  </si>
  <si>
    <t>指标</t>
  </si>
  <si>
    <r>
      <rPr>
        <sz val="10"/>
        <rFont val="仿宋_GB2312"/>
        <charset val="134"/>
      </rPr>
      <t>备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注</t>
    </r>
  </si>
  <si>
    <t>基本情况</t>
  </si>
  <si>
    <t>建设地点</t>
  </si>
  <si>
    <t>贺兰山农牧场农六队、农一队、机关农场</t>
  </si>
  <si>
    <t>项目区面积</t>
  </si>
  <si>
    <t>亩</t>
  </si>
  <si>
    <t>受益农户</t>
  </si>
  <si>
    <t>户</t>
  </si>
  <si>
    <r>
      <rPr>
        <sz val="10"/>
        <rFont val="Times New Roman"/>
        <charset val="134"/>
      </rPr>
      <t>4586</t>
    </r>
    <r>
      <rPr>
        <sz val="10"/>
        <rFont val="仿宋_GB2312"/>
        <charset val="134"/>
      </rPr>
      <t>人</t>
    </r>
  </si>
  <si>
    <t>设计参数</t>
  </si>
  <si>
    <t>现状年</t>
  </si>
  <si>
    <t>年</t>
  </si>
  <si>
    <t>灌溉设计保证率</t>
  </si>
  <si>
    <t>%</t>
  </si>
  <si>
    <r>
      <rPr>
        <sz val="10"/>
        <rFont val="仿宋_GB2312"/>
        <charset val="134"/>
      </rPr>
      <t>灌溉水利用系数</t>
    </r>
    <r>
      <rPr>
        <sz val="10"/>
        <rFont val="Times New Roman"/>
        <charset val="134"/>
      </rPr>
      <t>η</t>
    </r>
  </si>
  <si>
    <t>项目建设内容</t>
  </si>
  <si>
    <t>水利措施</t>
  </si>
  <si>
    <t>渠道部分</t>
  </si>
  <si>
    <t>砌护支、斗渠</t>
  </si>
  <si>
    <t>km</t>
  </si>
  <si>
    <t>砌护农渠</t>
  </si>
  <si>
    <r>
      <rPr>
        <sz val="10"/>
        <rFont val="Times New Roman"/>
        <charset val="134"/>
      </rPr>
      <t>141</t>
    </r>
    <r>
      <rPr>
        <sz val="10"/>
        <rFont val="仿宋_GB2312"/>
        <charset val="134"/>
      </rPr>
      <t>条</t>
    </r>
  </si>
  <si>
    <t>配套建筑物</t>
  </si>
  <si>
    <t>座</t>
  </si>
  <si>
    <r>
      <rPr>
        <sz val="10"/>
        <rFont val="Times New Roman"/>
        <charset val="134"/>
      </rPr>
      <t xml:space="preserve">       </t>
    </r>
    <r>
      <rPr>
        <sz val="10"/>
        <rFont val="仿宋_GB2312"/>
        <charset val="134"/>
      </rPr>
      <t>其中：农口涵</t>
    </r>
  </si>
  <si>
    <t>农口</t>
  </si>
  <si>
    <t>节制闸</t>
  </si>
  <si>
    <t>生产桥</t>
  </si>
  <si>
    <r>
      <rPr>
        <sz val="10"/>
        <rFont val="仿宋_GB2312"/>
        <charset val="134"/>
      </rPr>
      <t>渡槽</t>
    </r>
    <r>
      <rPr>
        <sz val="10"/>
        <rFont val="Times New Roman"/>
        <charset val="134"/>
      </rPr>
      <t xml:space="preserve"> </t>
    </r>
  </si>
  <si>
    <t>渡水管</t>
  </si>
  <si>
    <t>农桥</t>
  </si>
  <si>
    <t>畦田口</t>
  </si>
  <si>
    <t>沟道部分</t>
  </si>
  <si>
    <t>清淤支斗沟道</t>
  </si>
  <si>
    <t>清淤农沟</t>
  </si>
  <si>
    <r>
      <rPr>
        <sz val="10"/>
        <rFont val="Times New Roman"/>
        <charset val="134"/>
      </rPr>
      <t xml:space="preserve">        </t>
    </r>
    <r>
      <rPr>
        <sz val="10"/>
        <rFont val="仿宋_GB2312"/>
        <charset val="134"/>
      </rPr>
      <t>其中：拱桥</t>
    </r>
  </si>
  <si>
    <t>方涵</t>
  </si>
  <si>
    <t>尾水</t>
  </si>
  <si>
    <t>农业措施</t>
  </si>
  <si>
    <t>铺筑砂石道路</t>
  </si>
  <si>
    <t>砼硬化道路</t>
  </si>
  <si>
    <t>平田整地</t>
  </si>
  <si>
    <t>土壤改良</t>
  </si>
  <si>
    <t>科技推广措施</t>
  </si>
  <si>
    <t>水稻侧条施肥技术推广</t>
  </si>
  <si>
    <t>科技培训</t>
  </si>
  <si>
    <t>人次</t>
  </si>
  <si>
    <t>工程总投资与资金措施分配</t>
  </si>
  <si>
    <t>总投资</t>
  </si>
  <si>
    <t>万元</t>
  </si>
  <si>
    <t>土地平整工程</t>
  </si>
  <si>
    <t>土壤改良工程</t>
  </si>
  <si>
    <t>灌溉和排水工程</t>
  </si>
  <si>
    <t>田间道路工程</t>
  </si>
  <si>
    <t>农田防护与生态保护工程</t>
  </si>
  <si>
    <t>独立费用</t>
  </si>
  <si>
    <t>亩均投资</t>
  </si>
  <si>
    <t>元</t>
  </si>
  <si>
    <t>工程特性表</t>
  </si>
  <si>
    <t>类别</t>
  </si>
  <si>
    <t>项目名称</t>
  </si>
  <si>
    <r>
      <rPr>
        <sz val="10"/>
        <rFont val="宋体"/>
        <charset val="134"/>
      </rPr>
      <t>数量</t>
    </r>
  </si>
  <si>
    <t>备注</t>
  </si>
  <si>
    <t>县（区）</t>
  </si>
  <si>
    <t>宁夏农垦贺兰山农牧场农一队、机关农场</t>
  </si>
  <si>
    <t>总土地面积</t>
  </si>
  <si>
    <t xml:space="preserve">亩 </t>
  </si>
  <si>
    <t>建设规模</t>
  </si>
  <si>
    <t>工程等别</t>
  </si>
  <si>
    <r>
      <rPr>
        <sz val="10"/>
        <rFont val="宋体"/>
        <charset val="134"/>
      </rPr>
      <t>Ⅴ等</t>
    </r>
  </si>
  <si>
    <t>主要建筑物级别</t>
  </si>
  <si>
    <r>
      <rPr>
        <sz val="10"/>
        <rFont val="Times New Roman"/>
        <charset val="134"/>
      </rPr>
      <t>5</t>
    </r>
    <r>
      <rPr>
        <sz val="10"/>
        <rFont val="宋体"/>
        <charset val="134"/>
      </rPr>
      <t>级</t>
    </r>
  </si>
  <si>
    <t>规划水平年</t>
  </si>
  <si>
    <t>灌溉保证率</t>
  </si>
  <si>
    <t>渠道灌溉水利用系数</t>
  </si>
  <si>
    <t>工程建设</t>
  </si>
  <si>
    <t>水稻灭茬深翻</t>
  </si>
  <si>
    <t>水稻</t>
  </si>
  <si>
    <t>秸秆还田</t>
  </si>
  <si>
    <t>玉米</t>
  </si>
  <si>
    <t>土壤改良合计</t>
  </si>
  <si>
    <t>灌溉与排水工程</t>
  </si>
  <si>
    <t>渠道工程</t>
  </si>
  <si>
    <t>砌护支渠</t>
  </si>
  <si>
    <t>km/条</t>
  </si>
  <si>
    <t>砌护斗渠</t>
  </si>
  <si>
    <t>1条</t>
  </si>
  <si>
    <t>暗管排水工程</t>
  </si>
  <si>
    <t>吸水管</t>
  </si>
  <si>
    <t>m</t>
  </si>
  <si>
    <t>一级</t>
  </si>
  <si>
    <t>渠道配套建筑物</t>
  </si>
  <si>
    <t>农口（涵）</t>
  </si>
  <si>
    <t>维修农口</t>
  </si>
  <si>
    <t>渡槽</t>
  </si>
  <si>
    <t>节制闸/简易闸</t>
  </si>
  <si>
    <t>首部枢纽</t>
  </si>
  <si>
    <t>调蓄池</t>
  </si>
  <si>
    <t>4万方蓄水池</t>
  </si>
  <si>
    <t>加压泵站</t>
  </si>
  <si>
    <t>水泵</t>
  </si>
  <si>
    <t>台套</t>
  </si>
  <si>
    <t>卧式潜水泵</t>
  </si>
  <si>
    <t>过滤设备</t>
  </si>
  <si>
    <t>自动反冲洗砂石+叠片组合过滤器</t>
  </si>
  <si>
    <t>自动化控制</t>
  </si>
  <si>
    <t>项</t>
  </si>
  <si>
    <t>施肥系统</t>
  </si>
  <si>
    <t>田间管网及建筑物</t>
  </si>
  <si>
    <t>地埋管</t>
  </si>
  <si>
    <t>Φ90-315PVC-U管</t>
  </si>
  <si>
    <t>支管</t>
  </si>
  <si>
    <t>Φ75PE</t>
  </si>
  <si>
    <t>滴灌带</t>
  </si>
  <si>
    <t>Φ16内镶贴片式滴灌带</t>
  </si>
  <si>
    <t>阀门井</t>
  </si>
  <si>
    <t>钢筋混凝土预制方井，包含井盖</t>
  </si>
  <si>
    <t>检查排气井</t>
  </si>
  <si>
    <t>D=1.5m,H=1.5m,钢筋混凝土预制井，包含井盖</t>
  </si>
  <si>
    <t>排水井</t>
  </si>
  <si>
    <t>砂砾石道路</t>
  </si>
  <si>
    <t>土地平整</t>
  </si>
  <si>
    <t>平田整地工程</t>
  </si>
  <si>
    <t>农田防护与生态环境保护</t>
  </si>
  <si>
    <t>农田林网工程</t>
  </si>
  <si>
    <t>工程投资</t>
  </si>
  <si>
    <t>项目总投资</t>
  </si>
  <si>
    <t>建筑工程费</t>
  </si>
  <si>
    <t>机电设备及安装工程</t>
  </si>
  <si>
    <t>金属结构设备及安装工程</t>
  </si>
  <si>
    <t>临时工程费</t>
  </si>
  <si>
    <t>独立费</t>
  </si>
  <si>
    <t xml:space="preserve"> 表1                工程概要表（2019年度）</t>
  </si>
  <si>
    <r>
      <rPr>
        <sz val="10.5"/>
        <rFont val="宋体"/>
        <charset val="134"/>
      </rPr>
      <t>农垦集团</t>
    </r>
    <r>
      <rPr>
        <sz val="10.5"/>
        <rFont val="Times New Roman"/>
        <charset val="134"/>
      </rPr>
      <t>2022</t>
    </r>
    <r>
      <rPr>
        <sz val="10.5"/>
        <rFont val="宋体"/>
        <charset val="134"/>
      </rPr>
      <t>年贺兰山农牧场高标准农田建设项目</t>
    </r>
  </si>
  <si>
    <t>数量</t>
  </si>
  <si>
    <t>一、项目区概况</t>
  </si>
  <si>
    <r>
      <rPr>
        <sz val="10.5"/>
        <rFont val="Times New Roman"/>
        <charset val="134"/>
      </rPr>
      <t>1</t>
    </r>
    <r>
      <rPr>
        <sz val="10.5"/>
        <rFont val="宋体"/>
        <charset val="134"/>
      </rPr>
      <t>、项目区总面积</t>
    </r>
  </si>
  <si>
    <t>万亩</t>
  </si>
  <si>
    <r>
      <rPr>
        <sz val="10.5"/>
        <rFont val="Times New Roman"/>
        <charset val="134"/>
      </rPr>
      <t xml:space="preserve">          </t>
    </r>
    <r>
      <rPr>
        <sz val="10.5"/>
        <rFont val="宋体"/>
        <charset val="134"/>
      </rPr>
      <t>其中：治理面积</t>
    </r>
  </si>
  <si>
    <r>
      <rPr>
        <sz val="10.5"/>
        <rFont val="Times New Roman"/>
        <charset val="134"/>
      </rPr>
      <t xml:space="preserve">                </t>
    </r>
    <r>
      <rPr>
        <sz val="10.5"/>
        <rFont val="宋体"/>
        <charset val="134"/>
      </rPr>
      <t>灌溉面积</t>
    </r>
  </si>
  <si>
    <r>
      <rPr>
        <sz val="10.5"/>
        <rFont val="Times New Roman"/>
        <charset val="134"/>
      </rPr>
      <t>2</t>
    </r>
    <r>
      <rPr>
        <sz val="10.5"/>
        <rFont val="宋体"/>
        <charset val="134"/>
      </rPr>
      <t>、项目区总人口</t>
    </r>
  </si>
  <si>
    <t>人</t>
  </si>
  <si>
    <r>
      <rPr>
        <sz val="10"/>
        <rFont val="宋体"/>
        <charset val="134"/>
      </rPr>
      <t>共</t>
    </r>
    <r>
      <rPr>
        <sz val="10"/>
        <rFont val="Times New Roman"/>
        <charset val="134"/>
      </rPr>
      <t>1019</t>
    </r>
    <r>
      <rPr>
        <sz val="10"/>
        <rFont val="宋体"/>
        <charset val="134"/>
      </rPr>
      <t>户</t>
    </r>
  </si>
  <si>
    <r>
      <rPr>
        <sz val="10.5"/>
        <rFont val="Times New Roman"/>
        <charset val="134"/>
      </rPr>
      <t xml:space="preserve">          </t>
    </r>
    <r>
      <rPr>
        <sz val="10.5"/>
        <rFont val="宋体"/>
        <charset val="134"/>
      </rPr>
      <t>其中</t>
    </r>
    <r>
      <rPr>
        <sz val="10.5"/>
        <rFont val="Times New Roman"/>
        <charset val="134"/>
      </rPr>
      <t>: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）农业人口</t>
    </r>
  </si>
  <si>
    <r>
      <rPr>
        <sz val="10.5"/>
        <rFont val="Times New Roman"/>
        <charset val="134"/>
      </rPr>
      <t xml:space="preserve">        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）劳动力</t>
    </r>
  </si>
  <si>
    <t>二、项目区主要建设内容</t>
  </si>
  <si>
    <r>
      <rPr>
        <sz val="10.5"/>
        <rFont val="Times New Roman"/>
        <charset val="134"/>
      </rPr>
      <t>1</t>
    </r>
    <r>
      <rPr>
        <sz val="10.5"/>
        <rFont val="宋体"/>
        <charset val="134"/>
      </rPr>
      <t>、水利措施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</si>
  <si>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）开挖疏浚斗农渠</t>
    </r>
  </si>
  <si>
    <r>
      <rPr>
        <sz val="10"/>
        <rFont val="宋体"/>
        <charset val="134"/>
      </rPr>
      <t>其中：砌护农渠61.80</t>
    </r>
    <r>
      <rPr>
        <sz val="10"/>
        <rFont val="Times New Roman"/>
        <charset val="134"/>
      </rPr>
      <t>km</t>
    </r>
    <r>
      <rPr>
        <sz val="10"/>
        <rFont val="宋体"/>
        <charset val="134"/>
      </rPr>
      <t>。</t>
    </r>
  </si>
  <si>
    <r>
      <rPr>
        <sz val="10.5"/>
        <rFont val="Times New Roman"/>
        <charset val="134"/>
      </rPr>
      <t xml:space="preserve">           </t>
    </r>
    <r>
      <rPr>
        <sz val="10.5"/>
        <rFont val="宋体"/>
        <charset val="134"/>
      </rPr>
      <t>其中</t>
    </r>
    <r>
      <rPr>
        <sz val="10.5"/>
        <rFont val="Times New Roman"/>
        <charset val="134"/>
      </rPr>
      <t>:</t>
    </r>
    <r>
      <rPr>
        <sz val="10.5"/>
        <rFont val="宋体"/>
        <charset val="134"/>
      </rPr>
      <t>采用砼</t>
    </r>
    <r>
      <rPr>
        <sz val="10.5"/>
        <rFont val="Times New Roman"/>
        <charset val="134"/>
      </rPr>
      <t>U</t>
    </r>
    <r>
      <rPr>
        <sz val="10.5"/>
        <rFont val="宋体"/>
        <charset val="134"/>
      </rPr>
      <t>形板砌护</t>
    </r>
  </si>
  <si>
    <r>
      <rPr>
        <sz val="10.5"/>
        <rFont val="Times New Roman"/>
        <charset val="134"/>
      </rPr>
      <t xml:space="preserve">                </t>
    </r>
    <r>
      <rPr>
        <sz val="10.5"/>
        <rFont val="宋体"/>
        <charset val="134"/>
      </rPr>
      <t>新建渠系配套建筑物</t>
    </r>
  </si>
  <si>
    <t>其中：畦田口6181座。</t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</si>
  <si>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）用机械清淤、扩整支斗沟</t>
    </r>
  </si>
  <si>
    <r>
      <rPr>
        <sz val="10.5"/>
        <rFont val="Times New Roman"/>
        <charset val="134"/>
      </rPr>
      <t xml:space="preserve">          </t>
    </r>
    <r>
      <rPr>
        <sz val="10.5"/>
        <rFont val="宋体"/>
        <charset val="134"/>
      </rPr>
      <t>其中：沟道治理</t>
    </r>
  </si>
  <si>
    <r>
      <rPr>
        <sz val="10.5"/>
        <rFont val="Times New Roman"/>
        <charset val="134"/>
      </rPr>
      <t xml:space="preserve">                </t>
    </r>
    <r>
      <rPr>
        <sz val="10.5"/>
        <rFont val="宋体"/>
        <charset val="134"/>
      </rPr>
      <t>新建沟系配套建筑物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</si>
  <si>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3</t>
    </r>
    <r>
      <rPr>
        <sz val="10.5"/>
        <rFont val="宋体"/>
        <charset val="134"/>
      </rPr>
      <t>）清淤农沟</t>
    </r>
  </si>
  <si>
    <r>
      <rPr>
        <sz val="10.5"/>
        <rFont val="Times New Roman"/>
        <charset val="134"/>
      </rPr>
      <t xml:space="preserve">                </t>
    </r>
    <r>
      <rPr>
        <sz val="10.5"/>
        <rFont val="宋体"/>
        <charset val="134"/>
      </rPr>
      <t>清淤农沟</t>
    </r>
  </si>
  <si>
    <r>
      <rPr>
        <sz val="10.5"/>
        <rFont val="Times New Roman"/>
        <charset val="134"/>
      </rPr>
      <t>2</t>
    </r>
    <r>
      <rPr>
        <sz val="10.5"/>
        <rFont val="宋体"/>
        <charset val="134"/>
      </rPr>
      <t>、农业措施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</si>
  <si>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）整修道路</t>
    </r>
  </si>
  <si>
    <r>
      <rPr>
        <sz val="10.5"/>
        <rFont val="Times New Roman"/>
        <charset val="134"/>
      </rPr>
      <t xml:space="preserve">         </t>
    </r>
    <r>
      <rPr>
        <sz val="10.5"/>
        <rFont val="宋体"/>
        <charset val="134"/>
      </rPr>
      <t>其中：砂石路面</t>
    </r>
  </si>
  <si>
    <r>
      <rPr>
        <sz val="10.5"/>
        <rFont val="Times New Roman"/>
        <charset val="134"/>
      </rPr>
      <t xml:space="preserve">              </t>
    </r>
    <r>
      <rPr>
        <sz val="10.5"/>
        <rFont val="宋体"/>
        <charset val="134"/>
      </rPr>
      <t>混凝土硬化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</si>
  <si>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）良种繁育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</si>
  <si>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3</t>
    </r>
    <r>
      <rPr>
        <sz val="10.5"/>
        <rFont val="宋体"/>
        <charset val="134"/>
      </rPr>
      <t>）改良土壤</t>
    </r>
  </si>
  <si>
    <t>秸秆还田4000亩，机深翻4000亩</t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</si>
  <si>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4</t>
    </r>
    <r>
      <rPr>
        <sz val="10.5"/>
        <rFont val="宋体"/>
        <charset val="134"/>
      </rPr>
      <t>）平田整地</t>
    </r>
  </si>
  <si>
    <t>激光平地</t>
  </si>
  <si>
    <r>
      <rPr>
        <sz val="10.5"/>
        <rFont val="Times New Roman"/>
        <charset val="134"/>
      </rPr>
      <t>3</t>
    </r>
    <r>
      <rPr>
        <sz val="10.5"/>
        <rFont val="宋体"/>
        <charset val="134"/>
      </rPr>
      <t>、林业措施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</si>
  <si>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）农田防护林</t>
    </r>
  </si>
  <si>
    <r>
      <rPr>
        <sz val="10.5"/>
        <rFont val="Times New Roman"/>
        <charset val="134"/>
      </rPr>
      <t xml:space="preserve">            </t>
    </r>
    <r>
      <rPr>
        <sz val="10.5"/>
        <rFont val="宋体"/>
        <charset val="134"/>
      </rPr>
      <t>其中：林带补植</t>
    </r>
  </si>
  <si>
    <t>株</t>
  </si>
  <si>
    <r>
      <rPr>
        <sz val="10.5"/>
        <rFont val="Times New Roman"/>
        <charset val="134"/>
      </rPr>
      <t xml:space="preserve">                  </t>
    </r>
    <r>
      <rPr>
        <sz val="10.5"/>
        <rFont val="宋体"/>
        <charset val="134"/>
      </rPr>
      <t>新建林带宽幅林带</t>
    </r>
  </si>
  <si>
    <r>
      <rPr>
        <sz val="10.5"/>
        <rFont val="宋体"/>
        <charset val="134"/>
      </rPr>
      <t>亩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条</t>
    </r>
  </si>
  <si>
    <r>
      <rPr>
        <sz val="10.5"/>
        <rFont val="Times New Roman"/>
        <charset val="134"/>
      </rPr>
      <t>4</t>
    </r>
    <r>
      <rPr>
        <sz val="10.5"/>
        <rFont val="宋体"/>
        <charset val="134"/>
      </rPr>
      <t>、科技推广措施</t>
    </r>
  </si>
  <si>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）技术培训</t>
    </r>
  </si>
  <si>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）示范推广</t>
    </r>
  </si>
  <si>
    <t>三、工程投资概算</t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</si>
  <si>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申请：中央财政投资</t>
    </r>
  </si>
  <si>
    <r>
      <rPr>
        <sz val="10.5"/>
        <rFont val="Times New Roman"/>
        <charset val="134"/>
      </rPr>
      <t xml:space="preserve">             </t>
    </r>
    <r>
      <rPr>
        <sz val="10.5"/>
        <rFont val="宋体"/>
        <charset val="134"/>
      </rPr>
      <t>自治区财政投资</t>
    </r>
  </si>
  <si>
    <r>
      <rPr>
        <sz val="10.5"/>
        <rFont val="Times New Roman"/>
        <charset val="134"/>
      </rPr>
      <t xml:space="preserve">             </t>
    </r>
    <r>
      <rPr>
        <sz val="10.5"/>
        <rFont val="宋体"/>
        <charset val="134"/>
      </rPr>
      <t>市配套资金</t>
    </r>
  </si>
  <si>
    <r>
      <rPr>
        <sz val="10.5"/>
        <rFont val="Times New Roman"/>
        <charset val="134"/>
      </rPr>
      <t xml:space="preserve">            </t>
    </r>
    <r>
      <rPr>
        <sz val="10.5"/>
        <rFont val="宋体"/>
        <charset val="134"/>
      </rPr>
      <t>农民自筹及投劳折资</t>
    </r>
  </si>
  <si>
    <t>四、经济效益</t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</si>
  <si>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）新增种植业总产值</t>
    </r>
  </si>
  <si>
    <r>
      <rPr>
        <sz val="10.5"/>
        <rFont val="Times New Roman"/>
        <charset val="134"/>
      </rPr>
      <t xml:space="preserve">       </t>
    </r>
    <r>
      <rPr>
        <sz val="10.5"/>
        <rFont val="宋体"/>
        <charset val="134"/>
      </rPr>
      <t>（</t>
    </r>
    <r>
      <rPr>
        <sz val="10.5"/>
        <rFont val="Times New Roman"/>
        <charset val="134"/>
      </rPr>
      <t>2</t>
    </r>
    <r>
      <rPr>
        <sz val="10.5"/>
        <rFont val="宋体"/>
        <charset val="134"/>
      </rPr>
      <t>）农民人均纯收入增加</t>
    </r>
  </si>
  <si>
    <t>附2</t>
  </si>
  <si>
    <t>高标准农田建设项目预期效益表</t>
  </si>
  <si>
    <t>农垦集团2022年贺兰山农牧场高标准农田建设项目</t>
  </si>
  <si>
    <t>行次</t>
  </si>
  <si>
    <t>数值</t>
  </si>
  <si>
    <t>（一）农业生产条件及生态环境改善</t>
  </si>
  <si>
    <t>-</t>
  </si>
  <si>
    <t xml:space="preserve">    新增耕地面积</t>
  </si>
  <si>
    <t xml:space="preserve">        其中，新增水田面积</t>
  </si>
  <si>
    <t xml:space="preserve">        新增耕地平均增加等级</t>
  </si>
  <si>
    <t>级</t>
  </si>
  <si>
    <t xml:space="preserve">    新增和改善灌溉达标面积</t>
  </si>
  <si>
    <t xml:space="preserve">    新增和改善排水达标面积</t>
  </si>
  <si>
    <t xml:space="preserve">    新增节水灌溉面积</t>
  </si>
  <si>
    <t xml:space="preserve">        其中：高效节水灌溉面积</t>
  </si>
  <si>
    <t xml:space="preserve">    年节约水量</t>
  </si>
  <si>
    <t>万立方米</t>
  </si>
  <si>
    <t xml:space="preserve">    灌溉水利用率提高</t>
  </si>
  <si>
    <t>百分比</t>
  </si>
  <si>
    <t xml:space="preserve">    增加农田林网防护面积</t>
  </si>
  <si>
    <t xml:space="preserve">    增加机耕面积</t>
  </si>
  <si>
    <t xml:space="preserve">    农业综合机械化提高值</t>
  </si>
  <si>
    <t xml:space="preserve">    道路通达率</t>
  </si>
  <si>
    <t xml:space="preserve">    蓄水池容量</t>
  </si>
  <si>
    <t>（二）年新增主要农产品生产能力</t>
  </si>
  <si>
    <t xml:space="preserve">    粮食</t>
  </si>
  <si>
    <t>万公斤</t>
  </si>
  <si>
    <t xml:space="preserve">    棉花</t>
  </si>
  <si>
    <t xml:space="preserve">    油料</t>
  </si>
  <si>
    <t xml:space="preserve">    糖料</t>
  </si>
  <si>
    <t xml:space="preserve">    其他农产品</t>
  </si>
  <si>
    <t>（三）项目区经济效益和社会效益</t>
  </si>
  <si>
    <t xml:space="preserve">    项目区年直接受益农户数量</t>
  </si>
  <si>
    <t xml:space="preserve">    项目区直接受益农业人口数</t>
  </si>
  <si>
    <t xml:space="preserve">    项目区直接受益农民年纯收入增加总额</t>
  </si>
  <si>
    <t xml:space="preserve">    项目区公众满意度</t>
  </si>
  <si>
    <t>（四）其他效益</t>
  </si>
  <si>
    <t xml:space="preserve">    扩大良种种植面积</t>
  </si>
  <si>
    <t xml:space="preserve">    治理盐碱化土地面积</t>
  </si>
  <si>
    <t xml:space="preserve">    治理酸化土地面积</t>
  </si>
  <si>
    <t xml:space="preserve">    治理沙化土地面积</t>
  </si>
  <si>
    <t xml:space="preserve">    控制水土流失面积</t>
  </si>
  <si>
    <t xml:space="preserve">    项目区土地流转面积</t>
  </si>
  <si>
    <t xml:space="preserve">    项目区引进新型农业经营主体个数</t>
  </si>
  <si>
    <t>个</t>
  </si>
  <si>
    <t xml:space="preserve">    农业龙头企业个数</t>
  </si>
  <si>
    <t xml:space="preserve">    农民合作组织个数</t>
  </si>
  <si>
    <t xml:space="preserve">    家庭农场个数</t>
  </si>
  <si>
    <t xml:space="preserve">    种粮大户个数</t>
  </si>
  <si>
    <r>
      <rPr>
        <b/>
        <sz val="12"/>
        <rFont val="宋体"/>
        <charset val="134"/>
      </rPr>
      <t>工程特性表</t>
    </r>
  </si>
  <si>
    <r>
      <rPr>
        <sz val="10.5"/>
        <rFont val="宋体"/>
        <charset val="134"/>
      </rPr>
      <t>表</t>
    </r>
    <r>
      <rPr>
        <sz val="10.5"/>
        <rFont val="Times New Roman"/>
        <charset val="134"/>
      </rPr>
      <t>1.17-1</t>
    </r>
  </si>
  <si>
    <t>序号</t>
  </si>
  <si>
    <t>名称</t>
  </si>
  <si>
    <t>㈠</t>
  </si>
  <si>
    <t>项目区概况</t>
  </si>
  <si>
    <t>隶属区域</t>
  </si>
  <si>
    <t>平罗县</t>
  </si>
  <si>
    <t>冻土深度</t>
  </si>
  <si>
    <t>㈡</t>
  </si>
  <si>
    <t>工程等级</t>
  </si>
  <si>
    <t>工程类型</t>
  </si>
  <si>
    <r>
      <rPr>
        <sz val="10"/>
        <rFont val="宋体"/>
        <charset val="134"/>
      </rPr>
      <t>Ⅴ等小（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）型</t>
    </r>
  </si>
  <si>
    <t>地震设防烈度</t>
  </si>
  <si>
    <t>8º</t>
  </si>
  <si>
    <t>水池合理使用年限</t>
  </si>
  <si>
    <t>㈢</t>
  </si>
  <si>
    <t>水源</t>
  </si>
  <si>
    <t>第二农场渠</t>
  </si>
  <si>
    <t>流  量</t>
  </si>
  <si>
    <r>
      <rPr>
        <sz val="10"/>
        <rFont val="Times New Roman"/>
        <charset val="134"/>
      </rPr>
      <t>m³</t>
    </r>
    <r>
      <rPr>
        <sz val="10"/>
        <rFont val="宋体"/>
        <charset val="134"/>
      </rPr>
      <t>/s</t>
    </r>
  </si>
  <si>
    <t>可供水量</t>
  </si>
  <si>
    <r>
      <rPr>
        <sz val="10"/>
        <rFont val="宋体"/>
        <charset val="134"/>
      </rPr>
      <t>万</t>
    </r>
    <r>
      <rPr>
        <sz val="10"/>
        <rFont val="Times New Roman"/>
        <charset val="134"/>
      </rPr>
      <t>m³</t>
    </r>
  </si>
  <si>
    <t>㈣</t>
  </si>
  <si>
    <t>工程规模</t>
  </si>
  <si>
    <t>供水范围</t>
  </si>
  <si>
    <t>生态廊道、水源涵养林</t>
  </si>
  <si>
    <t>灌溉面积</t>
  </si>
  <si>
    <t>亩　</t>
  </si>
  <si>
    <t>泵站规模</t>
  </si>
  <si>
    <t>总流量</t>
  </si>
  <si>
    <t>总装机功率</t>
  </si>
  <si>
    <t>KW</t>
  </si>
  <si>
    <t>蓄水池规模</t>
  </si>
  <si>
    <t>㈤</t>
  </si>
  <si>
    <t>主要建筑物</t>
  </si>
  <si>
    <t>一级扬水泵站</t>
  </si>
  <si>
    <t>建筑面积</t>
  </si>
  <si>
    <t>m ²</t>
  </si>
  <si>
    <t>水泵机组</t>
  </si>
  <si>
    <t>台</t>
  </si>
  <si>
    <t>流量</t>
  </si>
  <si>
    <r>
      <rPr>
        <sz val="10"/>
        <rFont val="Times New Roman"/>
        <charset val="134"/>
      </rPr>
      <t>m³</t>
    </r>
    <r>
      <rPr>
        <sz val="10"/>
        <rFont val="宋体"/>
        <charset val="134"/>
      </rPr>
      <t>/h</t>
    </r>
  </si>
  <si>
    <t>扬程</t>
  </si>
  <si>
    <t xml:space="preserve">m </t>
  </si>
  <si>
    <t>装机功率</t>
  </si>
  <si>
    <t>二级扬水泵站</t>
  </si>
  <si>
    <t>扬水</t>
  </si>
  <si>
    <t>灌溉</t>
  </si>
  <si>
    <t>蓄水池</t>
  </si>
  <si>
    <t>万m³/座</t>
  </si>
  <si>
    <t>15.5/2</t>
  </si>
  <si>
    <t>扬水管道</t>
  </si>
  <si>
    <t>一级扬水管道</t>
  </si>
  <si>
    <r>
      <rPr>
        <sz val="10"/>
        <rFont val="Times New Roman"/>
        <charset val="134"/>
      </rPr>
      <t>PE</t>
    </r>
    <r>
      <rPr>
        <sz val="10"/>
        <rFont val="宋体"/>
        <charset val="134"/>
      </rPr>
      <t>管</t>
    </r>
  </si>
  <si>
    <t>二级扬水管道</t>
  </si>
  <si>
    <t>闸阀井</t>
  </si>
  <si>
    <t>管道标示桩</t>
  </si>
  <si>
    <t>其他管路建筑物</t>
  </si>
  <si>
    <t>㈥</t>
  </si>
  <si>
    <t>施工</t>
  </si>
  <si>
    <t>总工期</t>
  </si>
  <si>
    <t>月</t>
  </si>
  <si>
    <r>
      <rPr>
        <sz val="10.5"/>
        <rFont val="宋体"/>
        <charset val="134"/>
      </rPr>
      <t>㈧</t>
    </r>
  </si>
  <si>
    <t>㈦</t>
  </si>
  <si>
    <t>主要投资指标</t>
  </si>
  <si>
    <t>工程总投资</t>
  </si>
  <si>
    <r>
      <rPr>
        <sz val="10"/>
        <rFont val="仿宋_GB2312"/>
        <charset val="134"/>
      </rPr>
      <t>表</t>
    </r>
    <r>
      <rPr>
        <sz val="10"/>
        <rFont val="Times New Roman"/>
        <charset val="134"/>
      </rPr>
      <t>8.</t>
    </r>
    <r>
      <rPr>
        <sz val="10"/>
        <rFont val="Times New Roman"/>
        <charset val="134"/>
      </rPr>
      <t>3</t>
    </r>
    <r>
      <rPr>
        <sz val="10"/>
        <rFont val="Times New Roman"/>
        <charset val="134"/>
      </rPr>
      <t>-</t>
    </r>
    <r>
      <rPr>
        <sz val="10"/>
        <rFont val="Times New Roman"/>
        <charset val="134"/>
      </rPr>
      <t>6</t>
    </r>
    <r>
      <rPr>
        <sz val="10"/>
        <rFont val="Times New Roman"/>
        <charset val="134"/>
      </rPr>
      <t xml:space="preserve">              </t>
    </r>
    <r>
      <rPr>
        <sz val="10"/>
        <rFont val="仿宋_GB2312"/>
        <charset val="134"/>
      </rPr>
      <t>工程建设征地补偿</t>
    </r>
    <r>
      <rPr>
        <sz val="10"/>
        <rFont val="仿宋_GB2312"/>
        <charset val="134"/>
      </rPr>
      <t>估</t>
    </r>
    <r>
      <rPr>
        <sz val="10"/>
        <rFont val="仿宋_GB2312"/>
        <charset val="134"/>
      </rPr>
      <t>算表</t>
    </r>
  </si>
  <si>
    <r>
      <rPr>
        <sz val="10"/>
        <rFont val="仿宋_GB2312"/>
        <charset val="134"/>
      </rPr>
      <t>序号</t>
    </r>
  </si>
  <si>
    <r>
      <rPr>
        <sz val="10"/>
        <rFont val="仿宋_GB2312"/>
        <charset val="134"/>
      </rPr>
      <t>项目</t>
    </r>
  </si>
  <si>
    <r>
      <rPr>
        <sz val="10"/>
        <rFont val="仿宋_GB2312"/>
        <charset val="134"/>
      </rPr>
      <t>单位</t>
    </r>
  </si>
  <si>
    <r>
      <rPr>
        <sz val="10"/>
        <rFont val="仿宋_GB2312"/>
        <charset val="134"/>
      </rPr>
      <t>单价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元</t>
    </r>
    <r>
      <rPr>
        <sz val="10"/>
        <rFont val="Times New Roman"/>
        <charset val="134"/>
      </rPr>
      <t>)</t>
    </r>
  </si>
  <si>
    <r>
      <rPr>
        <sz val="10"/>
        <rFont val="仿宋_GB2312"/>
        <charset val="134"/>
      </rPr>
      <t>数量</t>
    </r>
  </si>
  <si>
    <r>
      <rPr>
        <sz val="10"/>
        <rFont val="仿宋_GB2312"/>
        <charset val="134"/>
      </rPr>
      <t>合价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万元</t>
    </r>
    <r>
      <rPr>
        <sz val="10"/>
        <rFont val="Times New Roman"/>
        <charset val="134"/>
      </rPr>
      <t>)</t>
    </r>
  </si>
  <si>
    <r>
      <rPr>
        <sz val="10"/>
        <rFont val="仿宋_GB2312"/>
        <charset val="134"/>
      </rPr>
      <t>一</t>
    </r>
  </si>
  <si>
    <r>
      <rPr>
        <sz val="10"/>
        <rFont val="仿宋_GB2312"/>
        <charset val="134"/>
      </rPr>
      <t>农村部分</t>
    </r>
  </si>
  <si>
    <r>
      <rPr>
        <sz val="10"/>
        <rFont val="仿宋_GB2312"/>
        <charset val="134"/>
      </rPr>
      <t>土地补偿补助费</t>
    </r>
  </si>
  <si>
    <r>
      <rPr>
        <sz val="10"/>
        <rFont val="仿宋_GB2312"/>
        <charset val="134"/>
      </rPr>
      <t>征收土地补偿和安置补助费</t>
    </r>
  </si>
  <si>
    <r>
      <rPr>
        <sz val="10"/>
        <rFont val="Times New Roman"/>
        <charset val="134"/>
      </rPr>
      <t>a</t>
    </r>
  </si>
  <si>
    <r>
      <rPr>
        <sz val="10"/>
        <rFont val="仿宋_GB2312"/>
        <charset val="134"/>
      </rPr>
      <t>集体土地</t>
    </r>
  </si>
  <si>
    <r>
      <rPr>
        <sz val="10"/>
        <rFont val="仿宋_GB2312"/>
        <charset val="134"/>
      </rPr>
      <t>乔木林地</t>
    </r>
  </si>
  <si>
    <r>
      <rPr>
        <sz val="10"/>
        <rFont val="仿宋_GB2312"/>
        <charset val="134"/>
      </rPr>
      <t>亩</t>
    </r>
  </si>
  <si>
    <t>工业用地</t>
  </si>
  <si>
    <r>
      <rPr>
        <sz val="10"/>
        <rFont val="仿宋_GB2312"/>
        <charset val="134"/>
      </rPr>
      <t>未利用地</t>
    </r>
  </si>
  <si>
    <r>
      <rPr>
        <sz val="10"/>
        <rFont val="Times New Roman"/>
        <charset val="134"/>
      </rPr>
      <t>b</t>
    </r>
  </si>
  <si>
    <r>
      <rPr>
        <sz val="10"/>
        <rFont val="仿宋_GB2312"/>
        <charset val="134"/>
      </rPr>
      <t>国有土地</t>
    </r>
  </si>
  <si>
    <r>
      <rPr>
        <sz val="10"/>
        <rFont val="仿宋_GB2312"/>
        <charset val="134"/>
      </rPr>
      <t>建设用地</t>
    </r>
  </si>
  <si>
    <r>
      <rPr>
        <sz val="10"/>
        <rFont val="仿宋_GB2312"/>
        <charset val="134"/>
      </rPr>
      <t>临时用地补偿费</t>
    </r>
  </si>
  <si>
    <r>
      <rPr>
        <sz val="10"/>
        <rFont val="仿宋_GB2312"/>
        <charset val="134"/>
      </rPr>
      <t>二</t>
    </r>
  </si>
  <si>
    <r>
      <rPr>
        <sz val="10"/>
        <rFont val="仿宋_GB2312"/>
        <charset val="134"/>
      </rPr>
      <t>专业项目恢复改建补偿</t>
    </r>
  </si>
  <si>
    <r>
      <rPr>
        <sz val="10"/>
        <rFont val="仿宋_GB2312"/>
        <charset val="134"/>
      </rPr>
      <t>三</t>
    </r>
  </si>
  <si>
    <r>
      <rPr>
        <sz val="10"/>
        <rFont val="仿宋_GB2312"/>
        <charset val="134"/>
      </rPr>
      <t>第三部分 其他费用</t>
    </r>
  </si>
  <si>
    <r>
      <rPr>
        <sz val="10"/>
        <rFont val="仿宋_GB2312"/>
        <charset val="134"/>
      </rPr>
      <t>前期工作费</t>
    </r>
  </si>
  <si>
    <r>
      <rPr>
        <sz val="10"/>
        <rFont val="仿宋_GB2312"/>
        <charset val="134"/>
      </rPr>
      <t>万元</t>
    </r>
  </si>
  <si>
    <r>
      <rPr>
        <sz val="10"/>
        <rFont val="仿宋_GB2312"/>
        <charset val="134"/>
      </rPr>
      <t>勘测设计科研费</t>
    </r>
  </si>
  <si>
    <r>
      <rPr>
        <sz val="10"/>
        <rFont val="Times New Roman"/>
        <charset val="134"/>
      </rPr>
      <t>3%</t>
    </r>
    <r>
      <rPr>
        <sz val="10"/>
        <rFont val="仿宋_GB2312"/>
        <charset val="134"/>
      </rPr>
      <t>，</t>
    </r>
    <r>
      <rPr>
        <sz val="10"/>
        <rFont val="Times New Roman"/>
        <charset val="134"/>
      </rPr>
      <t>1%</t>
    </r>
  </si>
  <si>
    <r>
      <rPr>
        <sz val="10"/>
        <rFont val="仿宋_GB2312"/>
        <charset val="134"/>
      </rPr>
      <t>实施管理费</t>
    </r>
  </si>
  <si>
    <r>
      <rPr>
        <sz val="10"/>
        <rFont val="Times New Roman"/>
        <charset val="134"/>
      </rPr>
      <t>4%</t>
    </r>
    <r>
      <rPr>
        <sz val="10"/>
        <rFont val="仿宋_GB2312"/>
        <charset val="134"/>
      </rPr>
      <t>，</t>
    </r>
    <r>
      <rPr>
        <sz val="10"/>
        <rFont val="Times New Roman"/>
        <charset val="134"/>
      </rPr>
      <t>2%</t>
    </r>
    <r>
      <rPr>
        <sz val="10"/>
        <rFont val="仿宋_GB2312"/>
        <charset val="134"/>
      </rPr>
      <t>，</t>
    </r>
    <r>
      <rPr>
        <sz val="10"/>
        <rFont val="Times New Roman"/>
        <charset val="134"/>
      </rPr>
      <t>0.6%</t>
    </r>
  </si>
  <si>
    <r>
      <rPr>
        <sz val="10"/>
        <rFont val="仿宋_GB2312"/>
        <charset val="134"/>
      </rPr>
      <t>技术培训费</t>
    </r>
  </si>
  <si>
    <r>
      <rPr>
        <sz val="10"/>
        <rFont val="仿宋_GB2312"/>
        <charset val="134"/>
      </rPr>
      <t>监督评估费</t>
    </r>
  </si>
  <si>
    <r>
      <rPr>
        <sz val="10"/>
        <rFont val="Times New Roman"/>
        <charset val="134"/>
      </rPr>
      <t>1.0%</t>
    </r>
    <r>
      <rPr>
        <sz val="10"/>
        <rFont val="仿宋_GB2312"/>
        <charset val="134"/>
      </rPr>
      <t>，</t>
    </r>
    <r>
      <rPr>
        <sz val="10"/>
        <rFont val="Times New Roman"/>
        <charset val="134"/>
      </rPr>
      <t>0.5%</t>
    </r>
  </si>
  <si>
    <r>
      <rPr>
        <sz val="10"/>
        <rFont val="仿宋_GB2312"/>
        <charset val="134"/>
      </rPr>
      <t>四</t>
    </r>
  </si>
  <si>
    <r>
      <rPr>
        <sz val="10"/>
        <rFont val="仿宋_GB2312"/>
        <charset val="134"/>
      </rPr>
      <t xml:space="preserve">第四部分 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预备费</t>
    </r>
  </si>
  <si>
    <r>
      <rPr>
        <sz val="10"/>
        <rFont val="仿宋_GB2312"/>
        <charset val="134"/>
      </rPr>
      <t>基本预备费</t>
    </r>
  </si>
  <si>
    <r>
      <rPr>
        <sz val="10"/>
        <rFont val="Times New Roman"/>
        <charset val="134"/>
      </rPr>
      <t>16%</t>
    </r>
    <r>
      <rPr>
        <sz val="10"/>
        <rFont val="仿宋_GB2312"/>
        <charset val="134"/>
      </rPr>
      <t>，</t>
    </r>
    <r>
      <rPr>
        <sz val="10"/>
        <rFont val="Times New Roman"/>
        <charset val="134"/>
      </rPr>
      <t>8%</t>
    </r>
  </si>
  <si>
    <t>五</t>
  </si>
  <si>
    <r>
      <rPr>
        <sz val="10"/>
        <rFont val="仿宋_GB2312"/>
        <charset val="134"/>
      </rPr>
      <t>总投资</t>
    </r>
  </si>
  <si>
    <r>
      <rPr>
        <sz val="10"/>
        <rFont val="仿宋_GB2312"/>
        <charset val="134"/>
      </rPr>
      <t>工程或费用名称</t>
    </r>
  </si>
  <si>
    <r>
      <rPr>
        <sz val="10"/>
        <rFont val="仿宋_GB2312"/>
        <charset val="134"/>
      </rPr>
      <t>单价</t>
    </r>
  </si>
  <si>
    <r>
      <rPr>
        <sz val="10"/>
        <rFont val="仿宋_GB2312"/>
        <charset val="134"/>
      </rPr>
      <t>合价</t>
    </r>
  </si>
  <si>
    <r>
      <rPr>
        <sz val="10"/>
        <rFont val="仿宋_GB2312"/>
        <charset val="134"/>
      </rPr>
      <t>（元）</t>
    </r>
  </si>
  <si>
    <r>
      <rPr>
        <sz val="10"/>
        <rFont val="仿宋_GB2312"/>
        <charset val="134"/>
      </rPr>
      <t>（万元）</t>
    </r>
  </si>
  <si>
    <r>
      <rPr>
        <sz val="10"/>
        <rFont val="仿宋_GB2312"/>
        <charset val="134"/>
      </rPr>
      <t>环境保护措施</t>
    </r>
  </si>
  <si>
    <r>
      <rPr>
        <sz val="10"/>
        <rFont val="仿宋_GB2312"/>
        <charset val="134"/>
      </rPr>
      <t>环境监测费</t>
    </r>
  </si>
  <si>
    <r>
      <rPr>
        <sz val="10"/>
        <rFont val="仿宋_GB2312"/>
        <charset val="134"/>
      </rPr>
      <t>声环境监测</t>
    </r>
  </si>
  <si>
    <r>
      <rPr>
        <sz val="10"/>
        <rFont val="仿宋_GB2312"/>
        <charset val="134"/>
      </rPr>
      <t>点</t>
    </r>
    <r>
      <rPr>
        <sz val="10"/>
        <rFont val="Times New Roman"/>
        <charset val="134"/>
      </rPr>
      <t>·</t>
    </r>
    <r>
      <rPr>
        <sz val="10"/>
        <rFont val="仿宋_GB2312"/>
        <charset val="134"/>
      </rPr>
      <t>次</t>
    </r>
  </si>
  <si>
    <r>
      <rPr>
        <sz val="10"/>
        <rFont val="仿宋_GB2312"/>
        <charset val="134"/>
      </rPr>
      <t>环境保护临时措施</t>
    </r>
  </si>
  <si>
    <r>
      <rPr>
        <sz val="10"/>
        <rFont val="仿宋_GB2312"/>
        <charset val="134"/>
      </rPr>
      <t>环保厕所</t>
    </r>
    <r>
      <rPr>
        <sz val="10"/>
        <rFont val="Times New Roman"/>
        <charset val="134"/>
      </rPr>
      <t>+PE</t>
    </r>
    <r>
      <rPr>
        <sz val="10"/>
        <rFont val="仿宋_GB2312"/>
        <charset val="134"/>
      </rPr>
      <t>成品化粪池（</t>
    </r>
    <r>
      <rPr>
        <sz val="10"/>
        <rFont val="Times New Roman"/>
        <charset val="134"/>
      </rPr>
      <t>5m3</t>
    </r>
    <r>
      <rPr>
        <sz val="10"/>
        <rFont val="仿宋_GB2312"/>
        <charset val="134"/>
      </rPr>
      <t>）</t>
    </r>
  </si>
  <si>
    <r>
      <rPr>
        <sz val="10"/>
        <rFont val="仿宋_GB2312"/>
        <charset val="134"/>
      </rPr>
      <t>工区</t>
    </r>
  </si>
  <si>
    <r>
      <rPr>
        <sz val="10"/>
        <rFont val="仿宋_GB2312"/>
        <charset val="134"/>
      </rPr>
      <t>污水清运</t>
    </r>
  </si>
  <si>
    <r>
      <rPr>
        <sz val="10"/>
        <rFont val="仿宋_GB2312"/>
        <charset val="134"/>
      </rPr>
      <t>垃圾清运</t>
    </r>
  </si>
  <si>
    <r>
      <rPr>
        <sz val="10"/>
        <rFont val="仿宋_GB2312"/>
        <charset val="134"/>
      </rPr>
      <t>施工人员进场体检</t>
    </r>
  </si>
  <si>
    <r>
      <rPr>
        <sz val="10"/>
        <rFont val="仿宋_GB2312"/>
        <charset val="134"/>
      </rPr>
      <t>人</t>
    </r>
  </si>
  <si>
    <r>
      <rPr>
        <sz val="10"/>
        <rFont val="仿宋_GB2312"/>
        <charset val="134"/>
      </rPr>
      <t>施工区安全及卫生防疫教育</t>
    </r>
  </si>
  <si>
    <r>
      <rPr>
        <sz val="10"/>
        <rFont val="仿宋_GB2312"/>
        <charset val="134"/>
      </rPr>
      <t>警示牌</t>
    </r>
  </si>
  <si>
    <r>
      <rPr>
        <sz val="10"/>
        <rFont val="仿宋_GB2312"/>
        <charset val="134"/>
      </rPr>
      <t>个</t>
    </r>
  </si>
  <si>
    <r>
      <rPr>
        <sz val="10"/>
        <rFont val="仿宋_GB2312"/>
        <charset val="134"/>
      </rPr>
      <t>第一部分至第三部分合计</t>
    </r>
  </si>
  <si>
    <r>
      <rPr>
        <sz val="10"/>
        <rFont val="仿宋_GB2312"/>
        <charset val="134"/>
      </rPr>
      <t>独立费用</t>
    </r>
  </si>
  <si>
    <r>
      <rPr>
        <sz val="10"/>
        <rFont val="仿宋_GB2312"/>
        <charset val="134"/>
      </rPr>
      <t>建设管理费</t>
    </r>
  </si>
  <si>
    <r>
      <rPr>
        <sz val="10"/>
        <rFont val="仿宋_GB2312"/>
        <charset val="134"/>
      </rPr>
      <t>管理人员经常费</t>
    </r>
  </si>
  <si>
    <r>
      <rPr>
        <sz val="10"/>
        <rFont val="仿宋_GB2312"/>
        <charset val="134"/>
      </rPr>
      <t>环境保护设施竣工验收费</t>
    </r>
  </si>
  <si>
    <r>
      <rPr>
        <sz val="10"/>
        <rFont val="仿宋_GB2312"/>
        <charset val="134"/>
      </rPr>
      <t>宣传教育费及技术培训费</t>
    </r>
  </si>
  <si>
    <r>
      <rPr>
        <sz val="10"/>
        <rFont val="仿宋_GB2312"/>
        <charset val="134"/>
      </rPr>
      <t>环境监理费</t>
    </r>
  </si>
  <si>
    <r>
      <rPr>
        <sz val="10"/>
        <rFont val="仿宋_GB2312"/>
        <charset val="134"/>
      </rPr>
      <t>科研勘测设计咨询费</t>
    </r>
  </si>
  <si>
    <r>
      <rPr>
        <sz val="10"/>
        <rFont val="仿宋_GB2312"/>
        <charset val="134"/>
      </rPr>
      <t>环境影响评价费</t>
    </r>
  </si>
  <si>
    <r>
      <rPr>
        <sz val="10"/>
        <rFont val="仿宋_GB2312"/>
        <charset val="134"/>
      </rPr>
      <t>市场价</t>
    </r>
  </si>
  <si>
    <r>
      <rPr>
        <sz val="10"/>
        <rFont val="仿宋_GB2312"/>
        <charset val="134"/>
      </rPr>
      <t>环境保护勘测设计费</t>
    </r>
  </si>
  <si>
    <r>
      <rPr>
        <sz val="10"/>
        <rFont val="仿宋_GB2312"/>
        <charset val="134"/>
      </rPr>
      <t>工程质量监督费</t>
    </r>
  </si>
  <si>
    <r>
      <rPr>
        <sz val="10"/>
        <rFont val="仿宋_GB2312"/>
        <charset val="134"/>
      </rPr>
      <t>第一部分至第四部分合计</t>
    </r>
  </si>
  <si>
    <r>
      <rPr>
        <sz val="10"/>
        <rFont val="仿宋_GB2312"/>
        <charset val="134"/>
      </rPr>
      <t>五</t>
    </r>
  </si>
  <si>
    <r>
      <rPr>
        <sz val="10"/>
        <rFont val="仿宋_GB2312"/>
        <charset val="134"/>
      </rPr>
      <t>环境保护专项投资费用</t>
    </r>
  </si>
  <si>
    <r>
      <rPr>
        <sz val="10"/>
        <rFont val="仿宋_GB2312"/>
        <charset val="134"/>
      </rPr>
      <t>编号</t>
    </r>
  </si>
  <si>
    <r>
      <rPr>
        <sz val="10"/>
        <rFont val="仿宋_GB2312"/>
        <charset val="134"/>
      </rPr>
      <t>建</t>
    </r>
    <r>
      <rPr>
        <sz val="10"/>
        <rFont val="Times New Roman"/>
        <charset val="134"/>
      </rPr>
      <t xml:space="preserve"> </t>
    </r>
    <r>
      <rPr>
        <sz val="10"/>
        <rFont val="Times New Roman"/>
        <charset val="134"/>
      </rPr>
      <t xml:space="preserve">  </t>
    </r>
    <r>
      <rPr>
        <sz val="10"/>
        <rFont val="仿宋_GB2312"/>
        <charset val="134"/>
      </rPr>
      <t>安</t>
    </r>
    <r>
      <rPr>
        <sz val="10"/>
        <rFont val="Times New Roman"/>
        <charset val="134"/>
      </rPr>
      <t xml:space="preserve"> </t>
    </r>
    <r>
      <rPr>
        <sz val="10"/>
        <rFont val="Times New Roman"/>
        <charset val="134"/>
      </rPr>
      <t xml:space="preserve">          </t>
    </r>
    <r>
      <rPr>
        <sz val="10"/>
        <rFont val="仿宋_GB2312"/>
        <charset val="134"/>
      </rPr>
      <t>工程费</t>
    </r>
  </si>
  <si>
    <r>
      <rPr>
        <sz val="10"/>
        <rFont val="仿宋_GB2312"/>
        <charset val="134"/>
      </rPr>
      <t>植物措施费</t>
    </r>
  </si>
  <si>
    <r>
      <rPr>
        <sz val="10"/>
        <rFont val="仿宋_GB2312"/>
        <charset val="134"/>
      </rPr>
      <t>合计</t>
    </r>
  </si>
  <si>
    <r>
      <rPr>
        <sz val="10"/>
        <rFont val="仿宋_GB2312"/>
        <charset val="134"/>
      </rPr>
      <t>载植（种）费</t>
    </r>
  </si>
  <si>
    <r>
      <rPr>
        <sz val="10"/>
        <rFont val="仿宋_GB2312"/>
        <charset val="134"/>
      </rPr>
      <t>苗木、草、种子费</t>
    </r>
  </si>
  <si>
    <r>
      <rPr>
        <sz val="10"/>
        <rFont val="仿宋_GB2312"/>
        <charset val="134"/>
      </rPr>
      <t>第一部分　工程措施</t>
    </r>
  </si>
  <si>
    <t>泵站蓄水池工程区</t>
  </si>
  <si>
    <t>管道工程及临时施工道路</t>
  </si>
  <si>
    <t>弃土场区</t>
  </si>
  <si>
    <t>施工生产生活区</t>
  </si>
  <si>
    <r>
      <rPr>
        <sz val="10"/>
        <rFont val="仿宋_GB2312"/>
        <charset val="134"/>
      </rPr>
      <t>供电工程</t>
    </r>
  </si>
  <si>
    <r>
      <rPr>
        <sz val="10"/>
        <rFont val="仿宋_GB2312"/>
        <charset val="134"/>
      </rPr>
      <t>第二部分　植物措施</t>
    </r>
  </si>
  <si>
    <r>
      <rPr>
        <sz val="10"/>
        <rFont val="仿宋_GB2312"/>
        <charset val="134"/>
      </rPr>
      <t>第三部分　施工临时工程</t>
    </r>
  </si>
  <si>
    <r>
      <rPr>
        <sz val="10"/>
        <rFont val="仿宋_GB2312"/>
        <charset val="134"/>
      </rPr>
      <t>临时防护工程</t>
    </r>
  </si>
  <si>
    <r>
      <rPr>
        <sz val="10"/>
        <rFont val="仿宋_GB2312"/>
        <charset val="134"/>
      </rPr>
      <t>其他临时工程</t>
    </r>
  </si>
  <si>
    <r>
      <rPr>
        <sz val="10"/>
        <rFont val="仿宋_GB2312"/>
        <charset val="134"/>
      </rPr>
      <t>第一至三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部分合计</t>
    </r>
  </si>
  <si>
    <r>
      <rPr>
        <sz val="10"/>
        <rFont val="仿宋_GB2312"/>
        <charset val="134"/>
      </rPr>
      <t>第四部分　独立费用</t>
    </r>
  </si>
  <si>
    <r>
      <rPr>
        <sz val="10"/>
        <rFont val="仿宋_GB2312"/>
        <charset val="134"/>
      </rPr>
      <t>建设管理费</t>
    </r>
    <r>
      <rPr>
        <sz val="10"/>
        <rFont val="Times New Roman"/>
        <charset val="134"/>
      </rPr>
      <t xml:space="preserve"> 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</si>
  <si>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水土保持监理费</t>
    </r>
  </si>
  <si>
    <r>
      <rPr>
        <sz val="10"/>
        <rFont val="仿宋_GB2312"/>
        <charset val="134"/>
      </rPr>
      <t>科研勘测设计费</t>
    </r>
  </si>
  <si>
    <r>
      <rPr>
        <sz val="10"/>
        <rFont val="仿宋_GB2312"/>
        <charset val="134"/>
      </rPr>
      <t>水土保持监测费</t>
    </r>
    <r>
      <rPr>
        <sz val="10"/>
        <rFont val="Times New Roman"/>
        <charset val="134"/>
      </rPr>
      <t xml:space="preserve"> </t>
    </r>
    <r>
      <rPr>
        <sz val="10"/>
        <rFont val="Times New Roman"/>
        <charset val="134"/>
      </rPr>
      <t xml:space="preserve"> </t>
    </r>
  </si>
  <si>
    <r>
      <rPr>
        <sz val="10"/>
        <rFont val="仿宋_GB2312"/>
        <charset val="134"/>
      </rPr>
      <t>水土保持竣工验收费</t>
    </r>
  </si>
  <si>
    <r>
      <rPr>
        <sz val="10"/>
        <rFont val="仿宋_GB2312"/>
        <charset val="134"/>
      </rPr>
      <t>第一至四部分合价</t>
    </r>
  </si>
  <si>
    <r>
      <rPr>
        <sz val="10"/>
        <rFont val="仿宋_GB2312"/>
        <charset val="134"/>
      </rPr>
      <t>静态总投资</t>
    </r>
  </si>
  <si>
    <r>
      <rPr>
        <sz val="10"/>
        <rFont val="仿宋_GB2312"/>
        <charset val="134"/>
      </rPr>
      <t>水土保持补偿费</t>
    </r>
  </si>
  <si>
    <t>工程概算总表</t>
  </si>
  <si>
    <t>项目名称：贺兰山东麓大水沟生态修复项目供水工程                                      单位：万元</t>
  </si>
  <si>
    <t>编号</t>
  </si>
  <si>
    <t>工程费用名称</t>
  </si>
  <si>
    <t>建  安        工程费</t>
  </si>
  <si>
    <t>设  备       购置费</t>
  </si>
  <si>
    <t>独 立      费 用</t>
  </si>
  <si>
    <t>合计</t>
  </si>
  <si>
    <t>各项费用占总费用比例（%）</t>
  </si>
  <si>
    <t>第一部分  建筑安装工程</t>
  </si>
  <si>
    <t>第二部分 机电设备及安装工程</t>
  </si>
  <si>
    <t>第三部分  金属结构设备及安装工程</t>
  </si>
  <si>
    <t>一至三部分投资合计</t>
  </si>
  <si>
    <t>第四部分   临时工程</t>
  </si>
  <si>
    <t>一至四部分投资合计</t>
  </si>
  <si>
    <t>第五部分  独立费用</t>
  </si>
  <si>
    <t>一</t>
  </si>
  <si>
    <t>建设管理费</t>
  </si>
  <si>
    <t>二</t>
  </si>
  <si>
    <t>工程建设监理费</t>
  </si>
  <si>
    <t>三</t>
  </si>
  <si>
    <t>可研勘测设计费</t>
  </si>
  <si>
    <t>项目测量费</t>
  </si>
  <si>
    <t>项目可行性研究费</t>
  </si>
  <si>
    <t>设计费</t>
  </si>
  <si>
    <t>四</t>
  </si>
  <si>
    <t>地质勘察费</t>
  </si>
  <si>
    <t>项目招标代理费</t>
  </si>
  <si>
    <t>六</t>
  </si>
  <si>
    <t>招标清单及控制价编制费</t>
  </si>
  <si>
    <t>七</t>
  </si>
  <si>
    <t>控制价审核费</t>
  </si>
  <si>
    <t>八</t>
  </si>
  <si>
    <t>工程结算审核费</t>
  </si>
  <si>
    <t>九</t>
  </si>
  <si>
    <t>财务竣工决算费</t>
  </si>
  <si>
    <t>十</t>
  </si>
  <si>
    <t>工程全程跟踪审计费</t>
  </si>
  <si>
    <t>十一</t>
  </si>
  <si>
    <t>竣工财务决算审计费</t>
  </si>
  <si>
    <t>十二</t>
  </si>
  <si>
    <t>竣工验收费</t>
  </si>
  <si>
    <t>十三</t>
  </si>
  <si>
    <t>其他</t>
  </si>
  <si>
    <t>安全生产措施费</t>
  </si>
  <si>
    <t>质量检测费</t>
  </si>
  <si>
    <t>一至五部分合计</t>
  </si>
  <si>
    <t>Ⅰ</t>
  </si>
  <si>
    <t>工程部分投资</t>
  </si>
  <si>
    <t>Ⅱ</t>
  </si>
  <si>
    <t>其他费用</t>
  </si>
  <si>
    <t>建设征地与移民安置工程</t>
  </si>
  <si>
    <t>水土保持工程</t>
  </si>
  <si>
    <t>环境保护工程</t>
  </si>
  <si>
    <t xml:space="preserve">  </t>
  </si>
  <si>
    <t>概算表（高效节水）</t>
  </si>
  <si>
    <t xml:space="preserve">项目名称：宁夏农垦2022年贺兰山农牧场高标准农田建设项目       </t>
  </si>
  <si>
    <r>
      <rPr>
        <sz val="10"/>
        <rFont val="宋体"/>
        <charset val="134"/>
      </rPr>
      <t>单位：万元</t>
    </r>
    <r>
      <rPr>
        <sz val="10"/>
        <rFont val="Times New Roman"/>
        <charset val="134"/>
      </rPr>
      <t xml:space="preserve">   </t>
    </r>
  </si>
  <si>
    <r>
      <rPr>
        <b/>
        <sz val="10"/>
        <rFont val="宋体"/>
        <charset val="134"/>
      </rPr>
      <t>序号</t>
    </r>
  </si>
  <si>
    <r>
      <rPr>
        <b/>
        <sz val="10"/>
        <rFont val="宋体"/>
        <charset val="134"/>
      </rPr>
      <t>建安工程费</t>
    </r>
  </si>
  <si>
    <r>
      <rPr>
        <b/>
        <sz val="10"/>
        <rFont val="宋体"/>
        <charset val="134"/>
      </rPr>
      <t>设备购置费</t>
    </r>
  </si>
  <si>
    <r>
      <rPr>
        <b/>
        <sz val="10"/>
        <rFont val="宋体"/>
        <charset val="134"/>
      </rPr>
      <t>独立费用</t>
    </r>
  </si>
  <si>
    <r>
      <rPr>
        <b/>
        <sz val="10"/>
        <rFont val="宋体"/>
        <charset val="134"/>
      </rPr>
      <t>合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计</t>
    </r>
  </si>
  <si>
    <r>
      <rPr>
        <b/>
        <sz val="10"/>
        <rFont val="宋体"/>
        <charset val="134"/>
      </rPr>
      <t>第一部分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建筑安装工程</t>
    </r>
  </si>
  <si>
    <r>
      <rPr>
        <b/>
        <sz val="10"/>
        <rFont val="宋体"/>
        <charset val="134"/>
      </rPr>
      <t>一</t>
    </r>
  </si>
  <si>
    <r>
      <rPr>
        <b/>
        <sz val="10"/>
        <rFont val="宋体"/>
        <charset val="134"/>
      </rPr>
      <t>水源工程</t>
    </r>
  </si>
  <si>
    <r>
      <rPr>
        <sz val="10"/>
        <rFont val="Times New Roman"/>
        <charset val="134"/>
      </rPr>
      <t>4</t>
    </r>
    <r>
      <rPr>
        <sz val="10"/>
        <rFont val="宋体"/>
        <charset val="134"/>
      </rPr>
      <t>万方蓄水池及加压泵站</t>
    </r>
  </si>
  <si>
    <r>
      <rPr>
        <b/>
        <sz val="10"/>
        <rFont val="宋体"/>
        <charset val="134"/>
      </rPr>
      <t>二</t>
    </r>
  </si>
  <si>
    <r>
      <rPr>
        <b/>
        <sz val="10"/>
        <rFont val="宋体"/>
        <charset val="134"/>
      </rPr>
      <t>田间管网工程</t>
    </r>
  </si>
  <si>
    <r>
      <rPr>
        <sz val="10"/>
        <rFont val="宋体"/>
        <charset val="134"/>
      </rPr>
      <t>机关农场区（</t>
    </r>
    <r>
      <rPr>
        <sz val="10"/>
        <rFont val="Times New Roman"/>
        <charset val="134"/>
      </rPr>
      <t>2472</t>
    </r>
    <r>
      <rPr>
        <sz val="10"/>
        <rFont val="宋体"/>
        <charset val="134"/>
      </rPr>
      <t>亩）</t>
    </r>
  </si>
  <si>
    <r>
      <rPr>
        <b/>
        <sz val="10"/>
        <rFont val="宋体"/>
        <charset val="134"/>
      </rPr>
      <t>第二部分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机电设备安装工程</t>
    </r>
  </si>
  <si>
    <r>
      <rPr>
        <b/>
        <sz val="10"/>
        <rFont val="宋体"/>
        <charset val="134"/>
      </rPr>
      <t>第三部分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金属结构及安装工程</t>
    </r>
  </si>
  <si>
    <r>
      <rPr>
        <b/>
        <sz val="10"/>
        <rFont val="宋体"/>
        <charset val="134"/>
      </rPr>
      <t>一至三部分合计</t>
    </r>
  </si>
  <si>
    <t>工程概算表</t>
  </si>
  <si>
    <t>项目名称：宁夏农垦2022年贺兰山农牧场高标准农田建设项目                                        单位：元</t>
  </si>
  <si>
    <t>工程名称</t>
  </si>
  <si>
    <t>规格</t>
  </si>
  <si>
    <r>
      <rPr>
        <b/>
        <sz val="10"/>
        <rFont val="宋体"/>
        <charset val="134"/>
      </rPr>
      <t>数量</t>
    </r>
  </si>
  <si>
    <r>
      <rPr>
        <b/>
        <sz val="10"/>
        <rFont val="宋体"/>
        <charset val="134"/>
      </rPr>
      <t>单价（元）</t>
    </r>
  </si>
  <si>
    <r>
      <rPr>
        <b/>
        <sz val="10"/>
        <rFont val="宋体"/>
        <charset val="134"/>
      </rPr>
      <t>合价（元）</t>
    </r>
  </si>
  <si>
    <t>机关农场高效节水工程</t>
  </si>
  <si>
    <r>
      <rPr>
        <b/>
        <sz val="10"/>
        <rFont val="宋体"/>
        <charset val="134"/>
      </rPr>
      <t>（一）</t>
    </r>
  </si>
  <si>
    <t>水源工程</t>
  </si>
  <si>
    <t>引水工程</t>
  </si>
  <si>
    <t>节制闸（B=100cm）</t>
  </si>
  <si>
    <t>土方开挖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</si>
  <si>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3</t>
    </r>
  </si>
  <si>
    <t>人工+机械</t>
  </si>
  <si>
    <t>土方回填</t>
  </si>
  <si>
    <t>M7.5浆砌石</t>
  </si>
  <si>
    <t>m3</t>
  </si>
  <si>
    <t>C15砼台帽</t>
  </si>
  <si>
    <t>C20砼现浇</t>
  </si>
  <si>
    <t>钢筋制作安装</t>
  </si>
  <si>
    <t>kg</t>
  </si>
  <si>
    <t>1.0m平面铸铁闸门带启闭机（含购置、运输、安装）</t>
  </si>
  <si>
    <t>套</t>
  </si>
  <si>
    <t>进水口</t>
  </si>
  <si>
    <r>
      <rPr>
        <sz val="10"/>
        <color theme="1" tint="0.0499893185216834"/>
        <rFont val="宋体"/>
        <charset val="134"/>
        <scheme val="minor"/>
      </rPr>
      <t>m</t>
    </r>
    <r>
      <rPr>
        <vertAlign val="superscript"/>
        <sz val="10"/>
        <color indexed="8"/>
        <rFont val="宋体"/>
        <charset val="134"/>
        <scheme val="minor"/>
      </rPr>
      <t>3</t>
    </r>
  </si>
  <si>
    <t>浆砌石砌护</t>
  </si>
  <si>
    <t>C20桥板预制及安装</t>
  </si>
  <si>
    <t>钢筋制安</t>
  </si>
  <si>
    <t>T</t>
  </si>
  <si>
    <t>调蓄水池工程</t>
  </si>
  <si>
    <t>土方工程</t>
  </si>
  <si>
    <t>土方开挖外运（运距1km）</t>
  </si>
  <si>
    <t>运距1km</t>
  </si>
  <si>
    <t>机械土方开挖</t>
  </si>
  <si>
    <t>机械</t>
  </si>
  <si>
    <t>填方</t>
  </si>
  <si>
    <t>拜填筑及压实（压实系数不小于0.96）</t>
  </si>
  <si>
    <t>挖方</t>
  </si>
  <si>
    <t>清淤道</t>
  </si>
  <si>
    <t>30mm砂浆垫层（边坡）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</si>
  <si>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2</t>
    </r>
  </si>
  <si>
    <t>砂砾石垫层</t>
  </si>
  <si>
    <t>300mm厚</t>
  </si>
  <si>
    <t>土工膜铺设（两布一膜）</t>
  </si>
  <si>
    <t>200g/0.5/200g</t>
  </si>
  <si>
    <t>浆砌石砌护（边坡）</t>
  </si>
  <si>
    <t>蓄水池进水口</t>
  </si>
  <si>
    <t>C20砼桥板预制安装</t>
  </si>
  <si>
    <t>浆砌石（基础）</t>
  </si>
  <si>
    <t>C15砼现浇（台帽）</t>
  </si>
  <si>
    <t>t</t>
  </si>
  <si>
    <t>铺筑散抛石(粒径20-30cm)</t>
  </si>
  <si>
    <t>踏步</t>
  </si>
  <si>
    <t>砂浆垫层（3cm厚）</t>
  </si>
  <si>
    <t>蓄水池池底</t>
  </si>
  <si>
    <t>土方开挖及回填压实</t>
  </si>
  <si>
    <t>蓄水池池壁</t>
  </si>
  <si>
    <t>修整边坡（挖方ⅠⅡ类土）</t>
  </si>
  <si>
    <t>C20砼格条</t>
  </si>
  <si>
    <r>
      <rPr>
        <sz val="10"/>
        <rFont val="宋体"/>
        <charset val="134"/>
        <scheme val="minor"/>
      </rPr>
      <t>苯板伸缩缝（18kg/m</t>
    </r>
    <r>
      <rPr>
        <vertAlign val="superscript"/>
        <sz val="10"/>
        <rFont val="宋体"/>
        <charset val="134"/>
        <scheme val="minor"/>
      </rPr>
      <t>3</t>
    </r>
    <r>
      <rPr>
        <sz val="10"/>
        <rFont val="宋体"/>
        <charset val="134"/>
        <scheme val="minor"/>
      </rPr>
      <t>）</t>
    </r>
  </si>
  <si>
    <t>铺筑300mm卵石(粒径50-150mm)</t>
  </si>
  <si>
    <r>
      <rPr>
        <sz val="10"/>
        <rFont val="宋体"/>
        <charset val="134"/>
        <scheme val="minor"/>
      </rPr>
      <t>土工膜（200g/m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+200g/m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，PE膜厚度0.5mm；两布一膜）</t>
    </r>
  </si>
  <si>
    <t>池顶路面</t>
  </si>
  <si>
    <t>100mm砂砾石道路</t>
  </si>
  <si>
    <t>护栏工程</t>
  </si>
  <si>
    <t>栏网购置及运输安装（含8块禁止游泳警示牌）</t>
  </si>
  <si>
    <t>蓄水池围网技术参数：1、浸塑后丝径5.5mm；四周双边丝2、网孔60mm*120mm；3、网片尺寸：1800mm*3000mm；4、立柱：48mm*2mm钢管浸塑处理；5、边框钢管尺寸：20*30*1.5mm；6、附件：防雨帽、连接卡、防盗螺栓；7、连接方式：卡接</t>
  </si>
  <si>
    <t>延米</t>
  </si>
  <si>
    <t>C20现浇砼基础(35*35*35cm)</t>
  </si>
  <si>
    <t>警示牌</t>
  </si>
  <si>
    <t>人工</t>
  </si>
  <si>
    <t>池底及边坡暗管排水</t>
  </si>
  <si>
    <r>
      <rPr>
        <sz val="10"/>
        <color theme="1" tint="0.0499893185216834"/>
        <rFont val="宋体"/>
        <charset val="134"/>
        <scheme val="minor"/>
      </rPr>
      <t>φ75</t>
    </r>
    <r>
      <rPr>
        <sz val="10"/>
        <color indexed="8"/>
        <rFont val="宋体"/>
        <charset val="134"/>
        <scheme val="minor"/>
      </rPr>
      <t>波纹管购置安装</t>
    </r>
  </si>
  <si>
    <r>
      <rPr>
        <sz val="10"/>
        <color theme="1" tint="0.0499893185216834"/>
        <rFont val="宋体"/>
        <charset val="134"/>
        <scheme val="minor"/>
      </rPr>
      <t>φ75PVC</t>
    </r>
    <r>
      <rPr>
        <sz val="10"/>
        <color indexed="8"/>
        <rFont val="宋体"/>
        <charset val="134"/>
        <scheme val="minor"/>
      </rPr>
      <t>管</t>
    </r>
  </si>
  <si>
    <r>
      <rPr>
        <sz val="10"/>
        <color theme="1" tint="0.0499893185216834"/>
        <rFont val="宋体"/>
        <charset val="134"/>
        <scheme val="minor"/>
      </rPr>
      <t>φ75UPVC</t>
    </r>
    <r>
      <rPr>
        <sz val="10"/>
        <color indexed="8"/>
        <rFont val="宋体"/>
        <charset val="134"/>
        <scheme val="minor"/>
      </rPr>
      <t>直角弯头</t>
    </r>
  </si>
  <si>
    <r>
      <rPr>
        <sz val="10"/>
        <color theme="1" tint="0.0499893185216834"/>
        <rFont val="宋体"/>
        <charset val="134"/>
        <scheme val="minor"/>
      </rPr>
      <t>φ75</t>
    </r>
    <r>
      <rPr>
        <sz val="10"/>
        <color indexed="8"/>
        <rFont val="宋体"/>
        <charset val="134"/>
        <scheme val="minor"/>
      </rPr>
      <t>单向止回阀</t>
    </r>
  </si>
  <si>
    <t>泵池</t>
  </si>
  <si>
    <t>边坡及池底开挖（卵石及砂砾石）</t>
  </si>
  <si>
    <t>池底及边坡卵石回填</t>
  </si>
  <si>
    <t>土工膜铺设</t>
  </si>
  <si>
    <r>
      <rPr>
        <sz val="10"/>
        <color theme="1" tint="0.0499893185216834"/>
        <rFont val="宋体"/>
        <charset val="134"/>
        <scheme val="minor"/>
      </rPr>
      <t>m</t>
    </r>
    <r>
      <rPr>
        <vertAlign val="superscript"/>
        <sz val="10"/>
        <color indexed="8"/>
        <rFont val="宋体"/>
        <charset val="134"/>
        <scheme val="minor"/>
      </rPr>
      <t>2</t>
    </r>
  </si>
  <si>
    <r>
      <rPr>
        <sz val="10"/>
        <color theme="1" tint="0.0499893185216834"/>
        <rFont val="宋体"/>
        <charset val="134"/>
        <scheme val="minor"/>
      </rPr>
      <t>C25</t>
    </r>
    <r>
      <rPr>
        <sz val="10.5"/>
        <color indexed="8"/>
        <rFont val="宋体"/>
        <charset val="134"/>
        <scheme val="minor"/>
      </rPr>
      <t>砼现浇水池（抗冻F150，抗渗w6）</t>
    </r>
  </si>
  <si>
    <r>
      <rPr>
        <sz val="10"/>
        <color theme="1" tint="0.0499893185216834"/>
        <rFont val="宋体"/>
        <charset val="134"/>
        <scheme val="minor"/>
      </rPr>
      <t>C25</t>
    </r>
    <r>
      <rPr>
        <sz val="10.5"/>
        <color indexed="8"/>
        <rFont val="宋体"/>
        <charset val="134"/>
        <scheme val="minor"/>
      </rPr>
      <t>砼现浇坡面（抗冻F150，抗渗w6）</t>
    </r>
  </si>
  <si>
    <r>
      <rPr>
        <sz val="10"/>
        <color theme="1" tint="0.0499893185216834"/>
        <rFont val="宋体"/>
        <charset val="134"/>
        <scheme val="minor"/>
      </rPr>
      <t>M7.5</t>
    </r>
    <r>
      <rPr>
        <sz val="10.5"/>
        <color indexed="8"/>
        <rFont val="宋体"/>
        <charset val="134"/>
        <scheme val="minor"/>
      </rPr>
      <t>浆砌石基础</t>
    </r>
  </si>
  <si>
    <t>级配砂滤料</t>
  </si>
  <si>
    <t>泵车制作安装（角钢焊制）</t>
  </si>
  <si>
    <r>
      <rPr>
        <sz val="10"/>
        <color theme="1" tint="0.0499893185216834"/>
        <rFont val="宋体"/>
        <charset val="134"/>
        <scheme val="minor"/>
      </rPr>
      <t>C20</t>
    </r>
    <r>
      <rPr>
        <sz val="10.5"/>
        <color indexed="8"/>
        <rFont val="宋体"/>
        <charset val="134"/>
        <scheme val="minor"/>
      </rPr>
      <t>混凝土现浇(镇墩)</t>
    </r>
  </si>
  <si>
    <r>
      <rPr>
        <sz val="10"/>
        <color theme="1" tint="0.0499893185216834"/>
        <rFont val="宋体"/>
        <charset val="134"/>
        <scheme val="minor"/>
      </rPr>
      <t>C15</t>
    </r>
    <r>
      <rPr>
        <sz val="10.5"/>
        <color indexed="8"/>
        <rFont val="宋体"/>
        <charset val="134"/>
        <scheme val="minor"/>
      </rPr>
      <t>混凝土(镇墩)垫层</t>
    </r>
  </si>
  <si>
    <t>加压泵站工程</t>
  </si>
  <si>
    <t>过滤器房</t>
  </si>
  <si>
    <r>
      <rPr>
        <b/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2</t>
    </r>
  </si>
  <si>
    <t>砖混结构，型钢屋架，复合彩钢屋顶</t>
  </si>
  <si>
    <t>电器副厂房</t>
  </si>
  <si>
    <t>砖混结构，现浇屋顶</t>
  </si>
  <si>
    <t>施肥池</t>
  </si>
  <si>
    <t>C20钢筋混凝土</t>
  </si>
  <si>
    <t>C15砼垫层</t>
  </si>
  <si>
    <r>
      <rPr>
        <b/>
        <sz val="10"/>
        <rFont val="宋体"/>
        <charset val="134"/>
      </rPr>
      <t>（二）</t>
    </r>
  </si>
  <si>
    <t>田间工程</t>
  </si>
  <si>
    <t>田间建筑物工程</t>
  </si>
  <si>
    <t>现浇C20砼镇墩</t>
  </si>
  <si>
    <t>现浇C20砼支墩</t>
  </si>
  <si>
    <t>m³</t>
  </si>
  <si>
    <t>砼预制方井，详见设计图</t>
  </si>
  <si>
    <t>D=1.5m,H=1.8m,钢筋混凝土预制井，包含井盖,含安装辅材</t>
  </si>
  <si>
    <t>过沟防护</t>
  </si>
  <si>
    <t>处</t>
  </si>
  <si>
    <t>de250/PE给水管/1.0</t>
  </si>
  <si>
    <t>1.0MPa</t>
  </si>
  <si>
    <t>拉管施工</t>
  </si>
  <si>
    <t>1.7.1</t>
  </si>
  <si>
    <t>拉管施工(de280)</t>
  </si>
  <si>
    <t>拉进工作坑土方开挖</t>
  </si>
  <si>
    <t>上口3.0m*3.0m，下口2.0m*2.0m，深2.5m</t>
  </si>
  <si>
    <t>拉进工作坑土方回填</t>
  </si>
  <si>
    <t>接收工作坑土方开挖</t>
  </si>
  <si>
    <t>接收工作坑土方回填</t>
  </si>
  <si>
    <t>PE100级管购置</t>
  </si>
  <si>
    <t xml:space="preserve"> φ280，承压1.0Mpa</t>
  </si>
  <si>
    <t>拉管机施工</t>
  </si>
  <si>
    <t>包括法兰接头等其他连接管件</t>
  </si>
  <si>
    <t>管道工程</t>
  </si>
  <si>
    <t>管道土方</t>
  </si>
  <si>
    <t>管材购置</t>
  </si>
  <si>
    <t>de315/UPVC管/0.63Mpa</t>
  </si>
  <si>
    <t>管材长度指除过R口连接段安装有效长度，含胶圈</t>
  </si>
  <si>
    <t>de280/UPVC管/0.63Mpa</t>
  </si>
  <si>
    <t>de160/UPVC管/0.63Mpa</t>
  </si>
  <si>
    <t>de125/UPVC管/0.63Mpa</t>
  </si>
  <si>
    <t>de110/UPVC管/0.63Mpa</t>
  </si>
  <si>
    <t>竖管de90/UPVC管/0.63Mpa</t>
  </si>
  <si>
    <t>玉米de75/PE 管 / 0.25Mpa</t>
  </si>
  <si>
    <t>壁厚1.2mm</t>
  </si>
  <si>
    <t>玉米φ16滴灌带</t>
  </si>
  <si>
    <t>内镶贴片非压力补偿式滴头，间距0.3m，流量1.38L/h、壁厚0.18mm</t>
  </si>
  <si>
    <t>管道安装</t>
  </si>
  <si>
    <t>阀件、管件购置及安装（包括涡轮法兰蝶阀、法兰、自动进排气阀、伸缩节和其他管件）</t>
  </si>
  <si>
    <t>管件承压为1.0MPa</t>
  </si>
  <si>
    <t>按管材的10%计</t>
  </si>
  <si>
    <r>
      <rPr>
        <b/>
        <sz val="10"/>
        <rFont val="宋体"/>
        <charset val="134"/>
      </rPr>
      <t>二</t>
    </r>
    <r>
      <rPr>
        <b/>
        <sz val="10"/>
        <rFont val="Times New Roman"/>
        <charset val="134"/>
      </rPr>
      <t xml:space="preserve"> </t>
    </r>
  </si>
  <si>
    <t xml:space="preserve"> 机关农场暗管排水工程</t>
  </si>
  <si>
    <r>
      <rPr>
        <sz val="10"/>
        <rFont val="宋体"/>
        <charset val="134"/>
        <scheme val="minor"/>
      </rPr>
      <t>吸水管外包料（无纺土工布68g/m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）</t>
    </r>
  </si>
  <si>
    <t>机械铺设吸水管(φ75波纹管)（含回填）</t>
  </si>
  <si>
    <r>
      <rPr>
        <b/>
        <sz val="10"/>
        <rFont val="宋体"/>
        <charset val="134"/>
      </rPr>
      <t>三</t>
    </r>
  </si>
  <si>
    <t>农一队渠道砌护工程</t>
  </si>
  <si>
    <t>牧一支渠七斗渠渠道砌护工程</t>
  </si>
  <si>
    <t xml:space="preserve"> </t>
  </si>
  <si>
    <t>牧一支渠七斗渠上段砌护工程（D=1.2m）（缝板比0.19）</t>
  </si>
  <si>
    <r>
      <rPr>
        <sz val="10"/>
        <rFont val="宋体"/>
        <charset val="134"/>
        <scheme val="minor"/>
      </rPr>
      <t>C</t>
    </r>
    <r>
      <rPr>
        <vertAlign val="subscript"/>
        <sz val="10"/>
        <rFont val="宋体"/>
        <charset val="134"/>
        <scheme val="minor"/>
      </rPr>
      <t>20</t>
    </r>
    <r>
      <rPr>
        <sz val="10"/>
        <rFont val="宋体"/>
        <charset val="134"/>
        <scheme val="minor"/>
      </rPr>
      <t>混凝土板预制7cm、运输、安装（含勾缝）</t>
    </r>
  </si>
  <si>
    <t>聚乙烯油膏伸缩缝</t>
  </si>
  <si>
    <t>备料土方（运距5km）</t>
  </si>
  <si>
    <t>砼板拆除及外运15km</t>
  </si>
  <si>
    <t>人工整修边坡</t>
  </si>
  <si>
    <t>牧一支七斗渠下段渠道砌护工程（D=0.8m）（缝板比0.17）</t>
  </si>
  <si>
    <r>
      <rPr>
        <sz val="10"/>
        <rFont val="宋体"/>
        <charset val="134"/>
        <scheme val="minor"/>
      </rPr>
      <t>C</t>
    </r>
    <r>
      <rPr>
        <vertAlign val="subscript"/>
        <sz val="10"/>
        <rFont val="宋体"/>
        <charset val="134"/>
        <scheme val="minor"/>
      </rPr>
      <t>20</t>
    </r>
    <r>
      <rPr>
        <sz val="10"/>
        <rFont val="宋体"/>
        <charset val="134"/>
        <scheme val="minor"/>
      </rPr>
      <t>混凝土板预制6cm、运输、安装（含勾缝）</t>
    </r>
  </si>
  <si>
    <t>建筑物工程</t>
  </si>
  <si>
    <t>浆砌石农口（φ0.4×2米）</t>
  </si>
  <si>
    <t>浆砌石农口（φ0.8×2米）</t>
  </si>
  <si>
    <t>节制闸（B=120）</t>
  </si>
  <si>
    <t>节制闸（B=100）</t>
  </si>
  <si>
    <t>简易闸</t>
  </si>
  <si>
    <t>D=0.8×10m装配式渡槽</t>
  </si>
  <si>
    <t>生产桥（1.5×8米）</t>
  </si>
  <si>
    <t>生产桥（1.5×6米）</t>
  </si>
  <si>
    <t>建筑工程概算表</t>
  </si>
  <si>
    <t xml:space="preserve">项目名称：贺兰山东麓大水沟生态修复项目供水工程
</t>
  </si>
  <si>
    <t>工程或费用名称</t>
  </si>
  <si>
    <t>单价（元）</t>
  </si>
  <si>
    <t>合计（元）</t>
  </si>
  <si>
    <t>第一部分   建筑工程费</t>
  </si>
  <si>
    <t>泵站工程</t>
  </si>
  <si>
    <t>（一）</t>
  </si>
  <si>
    <t>取水建筑</t>
  </si>
  <si>
    <t>土方开挖（Ⅲ类）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</si>
  <si>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3</t>
    </r>
  </si>
  <si>
    <t>浆砌石拆除</t>
  </si>
  <si>
    <t>混凝土路面拆除</t>
  </si>
  <si>
    <t>聚乙烯油膏填缝</t>
  </si>
  <si>
    <t>C25砼现浇</t>
  </si>
  <si>
    <t>C15砼现浇</t>
  </si>
  <si>
    <t>钢筋混凝土排水管（Ⅲ级），规格：1000×100mm</t>
  </si>
  <si>
    <t>前池</t>
  </si>
  <si>
    <t>C25钢筋砼现浇</t>
  </si>
  <si>
    <t>C15台帽</t>
  </si>
  <si>
    <t>进水池栏网购置安装（不锈钢管）</t>
  </si>
  <si>
    <t>C20现浇护栏基础</t>
  </si>
  <si>
    <t>封闭圈</t>
  </si>
  <si>
    <t>泵房工程及室外整治</t>
  </si>
  <si>
    <t>外运土方（4km以内）</t>
  </si>
  <si>
    <t>泵房建筑面积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</si>
  <si>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2</t>
    </r>
  </si>
  <si>
    <t>含水暖电</t>
  </si>
  <si>
    <t>低压配电室及控制室房面积</t>
  </si>
  <si>
    <t>铁艺护栏</t>
  </si>
  <si>
    <t>铁艺大门</t>
  </si>
  <si>
    <t>室外硬化（铺砖）</t>
  </si>
  <si>
    <t>㎡</t>
  </si>
  <si>
    <t>场地平整</t>
  </si>
  <si>
    <t>混凝土路面（20cm）</t>
  </si>
  <si>
    <t>20cm厚砂砾石垫层</t>
  </si>
  <si>
    <t>（二）</t>
  </si>
  <si>
    <t>土方开挖拉运（4km以内）</t>
  </si>
  <si>
    <t>C20钢筋砼现浇铺装护面</t>
  </si>
  <si>
    <t>C20砼现浇镇、支墩</t>
  </si>
  <si>
    <t>灰土截墙</t>
  </si>
  <si>
    <t>土方开挖外运（4km以内）</t>
  </si>
  <si>
    <t>过滤器室房面积</t>
  </si>
  <si>
    <t>20cm厚C20混凝土路面</t>
  </si>
  <si>
    <t>20cm厚砂砾石</t>
  </si>
  <si>
    <t>扬水压力管道</t>
  </si>
  <si>
    <t>压力管道</t>
  </si>
  <si>
    <t>压实度0.92</t>
  </si>
  <si>
    <t>细砂土垫层</t>
  </si>
  <si>
    <r>
      <rPr>
        <sz val="10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3</t>
    </r>
  </si>
  <si>
    <t>细砂土回填</t>
  </si>
  <si>
    <t>原土筛分</t>
  </si>
  <si>
    <t>φ630(1.6MPa)PE管</t>
  </si>
  <si>
    <t>φ500(1.0MPa)PE管</t>
  </si>
  <si>
    <t>φ500(1.6MPa)PE管</t>
  </si>
  <si>
    <t>φ500(2.0MPa)PE管</t>
  </si>
  <si>
    <t>φ630PE管安装</t>
  </si>
  <si>
    <t>φ500PE管安装</t>
  </si>
  <si>
    <t>C20砼镇墩、支墩</t>
  </si>
  <si>
    <t>管件及安装</t>
  </si>
  <si>
    <r>
      <rPr>
        <sz val="10"/>
        <rFont val="宋体"/>
        <charset val="134"/>
      </rPr>
      <t>取管材价格的</t>
    </r>
    <r>
      <rPr>
        <sz val="10"/>
        <rFont val="Times New Roman"/>
        <charset val="134"/>
      </rPr>
      <t>10%</t>
    </r>
  </si>
  <si>
    <t>各类阀井（C25钢筋砼现浇阀井）</t>
  </si>
  <si>
    <t>管道建筑物</t>
  </si>
  <si>
    <t>管道过小水沟建筑物</t>
  </si>
  <si>
    <t>1处</t>
  </si>
  <si>
    <t>浆砌石</t>
  </si>
  <si>
    <t>C25钢筋砼预制安装</t>
  </si>
  <si>
    <t>管道过排水沟建筑物</t>
  </si>
  <si>
    <t>3处</t>
  </si>
  <si>
    <t>套管（钢筋砼管DN800 Ⅱ级预制钢筋砼排水管）</t>
  </si>
  <si>
    <t>管道穿路建筑物（套管）</t>
  </si>
  <si>
    <t>7处</t>
  </si>
  <si>
    <t>钢筋砼管DN800 Ⅱ级预制钢筋砼排水管</t>
  </si>
  <si>
    <t>钢筋砼管DN600 Ⅱ级预制钢筋砼排水管</t>
  </si>
  <si>
    <t>恢复路面</t>
  </si>
  <si>
    <t>m²</t>
  </si>
  <si>
    <t>管道穿路建筑物（顶管）</t>
  </si>
  <si>
    <t>DN720钢管（壁厚10mm）</t>
  </si>
  <si>
    <t>顶管施工</t>
  </si>
  <si>
    <t>管道标示</t>
  </si>
  <si>
    <t>C15砼标志桩</t>
  </si>
  <si>
    <t>蓄水工程</t>
  </si>
  <si>
    <t>新建6万方蓄水池</t>
  </si>
  <si>
    <t>拆除清理</t>
  </si>
  <si>
    <t>砌体拆除外运 5km</t>
  </si>
  <si>
    <t>混凝土拆除外运 5km</t>
  </si>
  <si>
    <t>表层垃圾清理外运 5km</t>
  </si>
  <si>
    <t>清基土方（ⅠⅡ类）</t>
  </si>
  <si>
    <t>池拜土方压实(拉运、筑堤)</t>
  </si>
  <si>
    <t>土场买土</t>
  </si>
  <si>
    <t>20cmC25砼现浇路面</t>
  </si>
  <si>
    <t>砂砾石基层（路面底层）</t>
  </si>
  <si>
    <t>150mm黏土保护层（路面底层）</t>
  </si>
  <si>
    <t>土工膜（250g/㎡+250g/㎡，PE膜厚度0.5mm；两布一膜）</t>
  </si>
  <si>
    <t>粗砂垫层</t>
  </si>
  <si>
    <t xml:space="preserve">DN600钢管制作安装（壁厚10mm厚）
</t>
  </si>
  <si>
    <t>C20砼镇墩</t>
  </si>
  <si>
    <t>30cm厚卵石海漫</t>
  </si>
  <si>
    <t>池底</t>
  </si>
  <si>
    <t>C25砼现浇底圈梁</t>
  </si>
  <si>
    <t>原土开挖备料、回填</t>
  </si>
  <si>
    <t>原土回填</t>
  </si>
  <si>
    <t>池壁</t>
  </si>
  <si>
    <t>原土夯实</t>
  </si>
  <si>
    <t>修整边坡</t>
  </si>
  <si>
    <t>卵石边坡</t>
  </si>
  <si>
    <t>C25砼预制格栅及安装</t>
  </si>
  <si>
    <t>8cm厚M7.5砂浆保护层</t>
  </si>
  <si>
    <t>土工膜下粗砂垫层100mm</t>
  </si>
  <si>
    <t>120mm厚碎石路面</t>
  </si>
  <si>
    <t>C20道牙预制安装</t>
  </si>
  <si>
    <t>浸塑围栏购置及运输安装</t>
  </si>
  <si>
    <t>C25现浇砼基础</t>
  </si>
  <si>
    <t>外坡防护</t>
  </si>
  <si>
    <t>坡面整修</t>
  </si>
  <si>
    <t>播撒草籽</t>
  </si>
  <si>
    <t>20万方蓄水池维修改造</t>
  </si>
  <si>
    <t>坡面清除外运1.5km</t>
  </si>
  <si>
    <t>池底清理外运1.5km</t>
  </si>
  <si>
    <t>粗砂垫层（筛分备料土）</t>
  </si>
  <si>
    <t xml:space="preserve">DN500钢管制作安装（壁厚10mm厚）
</t>
  </si>
  <si>
    <t>客土(25km)</t>
  </si>
  <si>
    <t>土方开挖（2.1m深）,筛分</t>
  </si>
  <si>
    <t>土方外运（1km）</t>
  </si>
  <si>
    <t>土方回填（筛分备料土）</t>
  </si>
  <si>
    <t>土工膜（300g/㎡+300g/㎡，PE膜厚度0.6mm；两布一膜）</t>
  </si>
  <si>
    <r>
      <rPr>
        <sz val="10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2</t>
    </r>
  </si>
  <si>
    <t>土方掺和回填压实1.0m厚</t>
  </si>
  <si>
    <t>50cm厚黏土垫层</t>
  </si>
  <si>
    <t>C25砼现浇（F150）</t>
  </si>
  <si>
    <t>2:8水泥土垫层</t>
  </si>
  <si>
    <t>土方开挖回填（池顶1.5m厚原土回填）</t>
  </si>
  <si>
    <t>土方开挖筛分</t>
  </si>
  <si>
    <t>土工膜上M7.5砂浆保护层（10cm厚）</t>
  </si>
  <si>
    <t>土工膜上100mm粗砂保护层</t>
  </si>
  <si>
    <t>土方掺和回填压实1.0m</t>
  </si>
  <si>
    <t>30cm厚黏土垫层</t>
  </si>
  <si>
    <t>机电设备安装工程概算表</t>
  </si>
  <si>
    <t>项目名称：贺兰山东麓大水沟生态修复项目供水工程</t>
  </si>
  <si>
    <t>规格及型号</t>
  </si>
  <si>
    <t>单价</t>
  </si>
  <si>
    <t>设备费</t>
  </si>
  <si>
    <r>
      <rPr>
        <b/>
        <sz val="10"/>
        <rFont val="宋体"/>
        <charset val="134"/>
      </rPr>
      <t>安装费</t>
    </r>
    <r>
      <rPr>
        <b/>
        <sz val="10"/>
        <rFont val="Times New Roman"/>
        <charset val="134"/>
      </rPr>
      <t>15%</t>
    </r>
  </si>
  <si>
    <t>机电设备</t>
  </si>
  <si>
    <t>水泵及电机</t>
  </si>
  <si>
    <r>
      <rPr>
        <sz val="10"/>
        <rFont val="宋体"/>
        <charset val="134"/>
      </rPr>
      <t>离心泵350S26（流量1269m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/h,扬程22m，电机功率132kw)</t>
    </r>
  </si>
  <si>
    <t>真空泵</t>
  </si>
  <si>
    <t>SZ-1型，电机配置JS116-10型</t>
  </si>
  <si>
    <t>排污泵</t>
  </si>
  <si>
    <t>50QW20-10-1.5</t>
  </si>
  <si>
    <t>供电设备</t>
  </si>
  <si>
    <t>高压线路</t>
  </si>
  <si>
    <t>200kVA双杆变台</t>
  </si>
  <si>
    <t>S13-M-200/10/0.4KV变压器，含双杆变台及变台金具</t>
  </si>
  <si>
    <t>计量箱</t>
  </si>
  <si>
    <t>不锈钢箱体，含计量器、无功补偿器等</t>
  </si>
  <si>
    <t>智能集成电力电容器</t>
  </si>
  <si>
    <t>(30+30)kvar</t>
  </si>
  <si>
    <t>低压变频柜AN1~2</t>
  </si>
  <si>
    <t>GGD2型柜体,变频器GD200A-160kW-4，其他详见电气设计图</t>
  </si>
  <si>
    <t>照明配电箱AL</t>
  </si>
  <si>
    <t>PZ30(改)具体配置详见图</t>
  </si>
  <si>
    <t>面</t>
  </si>
  <si>
    <t>配电箱ZAP</t>
  </si>
  <si>
    <t>XL-21(改）,具体配置详见图</t>
  </si>
  <si>
    <t>插座箱</t>
  </si>
  <si>
    <t>具体详见配电图</t>
  </si>
  <si>
    <t>双联开关</t>
  </si>
  <si>
    <t>220V/10A</t>
  </si>
  <si>
    <t>双联二三极暗装插座</t>
  </si>
  <si>
    <t>220V,16A</t>
  </si>
  <si>
    <t>电缆桥架</t>
  </si>
  <si>
    <t>200x150</t>
  </si>
  <si>
    <t>母线桥始端箱</t>
  </si>
  <si>
    <t>1600A/4P</t>
  </si>
  <si>
    <t>LED工场灯</t>
  </si>
  <si>
    <t>50W</t>
  </si>
  <si>
    <t>盏</t>
  </si>
  <si>
    <t>双管LED灯</t>
  </si>
  <si>
    <t>2x18W</t>
  </si>
  <si>
    <t>塑料绝缘导线（照明线路）</t>
  </si>
  <si>
    <t>BV-2.5</t>
  </si>
  <si>
    <t>塑料绝缘导线（动力线路）</t>
  </si>
  <si>
    <t>BV-4</t>
  </si>
  <si>
    <t>电力电缆</t>
  </si>
  <si>
    <t>YJV22-0.6/1kV-3×95+1x50</t>
  </si>
  <si>
    <t>YJV-0.6/1kV-3×70+1x35</t>
  </si>
  <si>
    <t>YJV-0.6/1kV-5x16</t>
  </si>
  <si>
    <t>YJV-0.6/1kV-5x6</t>
  </si>
  <si>
    <t>YJV-0.6/1kV-4x2.5</t>
  </si>
  <si>
    <t>JHS-0.5kV-4x2.5</t>
  </si>
  <si>
    <t>YJV-0.6/1kV-4x4</t>
  </si>
  <si>
    <t>电缆保护管</t>
  </si>
  <si>
    <t>SC80</t>
  </si>
  <si>
    <t>SC65</t>
  </si>
  <si>
    <t>SC50</t>
  </si>
  <si>
    <t>SC32</t>
  </si>
  <si>
    <t>SC25</t>
  </si>
  <si>
    <t>MEB端子箱</t>
  </si>
  <si>
    <t>按MEB箱系统图制作，底边距地+0.3m暗装</t>
  </si>
  <si>
    <t>垂直接地极</t>
  </si>
  <si>
    <t>∅50，L=2500mm镀锌钢管</t>
  </si>
  <si>
    <t>根</t>
  </si>
  <si>
    <t>水平接地线</t>
  </si>
  <si>
    <t>-40X4镀锌扁钢</t>
  </si>
  <si>
    <t>-25X4镀锌扁钢</t>
  </si>
  <si>
    <t>BV-25</t>
  </si>
  <si>
    <t>避雷带</t>
  </si>
  <si>
    <t>φ10镀锌圆钢</t>
  </si>
  <si>
    <t>绝缘胶垫</t>
  </si>
  <si>
    <t>10mm</t>
  </si>
  <si>
    <t>m2</t>
  </si>
  <si>
    <t>手提式灭火器</t>
  </si>
  <si>
    <t>MF/ABC8/4</t>
  </si>
  <si>
    <r>
      <rPr>
        <sz val="10"/>
        <rFont val="宋体"/>
        <charset val="134"/>
      </rPr>
      <t>离心泵D360-40×4（额定流量440-300m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/h,额定扬程142-168m，电机功率250kw)</t>
    </r>
  </si>
  <si>
    <t>离心泵150S78（额定流量160m3/h,额定扬程78m，电机功率55kw)</t>
  </si>
  <si>
    <t>砂石介质自动反冲洗过滤器</t>
  </si>
  <si>
    <t>最小过流能力200m³/h，反冲洗系统及控制阀进口，含安装辅材</t>
  </si>
  <si>
    <t>自动反冲叠片过滤器（进口）</t>
  </si>
  <si>
    <t>最小过流能力200m³/h，含安装辅材</t>
  </si>
  <si>
    <t>泵站电气设备</t>
  </si>
  <si>
    <t>箱式变电站</t>
  </si>
  <si>
    <t>ZBW-1000kVA/10（户外预装式,详见二级扬水泵站箱变系统图）</t>
  </si>
  <si>
    <t>户外预装式箱变</t>
  </si>
  <si>
    <t>50kVA冬季双杆变台</t>
  </si>
  <si>
    <r>
      <rPr>
        <sz val="10"/>
        <rFont val="Times New Roman"/>
        <charset val="134"/>
      </rPr>
      <t>S13-M-50/10/0.4</t>
    </r>
    <r>
      <rPr>
        <sz val="10"/>
        <rFont val="宋体"/>
        <charset val="134"/>
      </rPr>
      <t>，含变台配电箱</t>
    </r>
  </si>
  <si>
    <t>10KV电缆分支箱-&lt;空&gt;</t>
  </si>
  <si>
    <t>T接点电杆至箱变</t>
  </si>
  <si>
    <t>变频启动柜</t>
  </si>
  <si>
    <t>GGD2-(变频器GD200A-315kW-4)</t>
  </si>
  <si>
    <t>详见设计图</t>
  </si>
  <si>
    <t>GGD2-(变频器GD200A-75kW-4)</t>
  </si>
  <si>
    <t>配电箱AX</t>
  </si>
  <si>
    <t>LED工矿灯</t>
  </si>
  <si>
    <t>YJV22-8.7/10-3x50</t>
  </si>
  <si>
    <t>YJV22-0.6/1kV-4×35+1x16</t>
  </si>
  <si>
    <t>YJV22-0.6/1kV-3×150+2x70</t>
  </si>
  <si>
    <t>YJV22-0.6/1kV-3×50+2x25</t>
  </si>
  <si>
    <t>YJV-0.6/1kV-3×150+1x70</t>
  </si>
  <si>
    <t>YJV-0.6/1kV-3×50+1x25</t>
  </si>
  <si>
    <t>YJV22-0.6/1kV-5x6</t>
  </si>
  <si>
    <t>S25</t>
  </si>
  <si>
    <t>BV-150</t>
  </si>
  <si>
    <t>自动化系统工程</t>
  </si>
  <si>
    <t>[一]</t>
  </si>
  <si>
    <t>蓄水池液位计及监控系统</t>
  </si>
  <si>
    <t>室外4G网络球形摄</t>
  </si>
  <si>
    <t>400万像素6寸红外网络高清智能球；传感器类型:1/2.8＂progressivescanCMOS；彩色：0. 05Lux@(F1.6，AGCON),黑白：0.01Lux@(F1.6，AGCON),0LuxwithIR；焦距:4.8-110mm，23倍光学；红外照射距离:100m；带支架供电方式：由雷达水位计供电电源点接入</t>
  </si>
  <si>
    <t>太阳能供电</t>
  </si>
  <si>
    <t>1、安装位置：雷达水位计+视频监控、高位蓄水池出口阀井；2、1套采用270W太阳能板100AH容量电池（阀门井安装），1套采用270W太阳能板800AH容量电池（视频立杆上安装）</t>
  </si>
  <si>
    <t>4G通讯网卡</t>
  </si>
  <si>
    <t>4G卡，20G/月，包含3年费用</t>
  </si>
  <si>
    <t>张</t>
  </si>
  <si>
    <t>摄像机安装立杆及基础</t>
  </si>
  <si>
    <t>89*6米金属杆，基础0.8*0.8*0.9m</t>
  </si>
  <si>
    <t>[二]</t>
  </si>
  <si>
    <t>二级扬水泵站自动化控制系统及监控系统1</t>
  </si>
  <si>
    <t>自动化系统工作站</t>
  </si>
  <si>
    <t>知名品牌，CPUI7，内存≥8G，硬盘：1T，独立显卡，24”液晶显示器,含操作系统软件等。</t>
  </si>
  <si>
    <t>A3黑白激光打印机</t>
  </si>
  <si>
    <t>激光，A3，以太网接口</t>
  </si>
  <si>
    <t>UPS</t>
  </si>
  <si>
    <t>3KVA，2小时</t>
  </si>
  <si>
    <t>控制台</t>
  </si>
  <si>
    <t>3工位，含座椅</t>
  </si>
  <si>
    <t>以太网交换机</t>
  </si>
  <si>
    <t>工业以太网环网交换机；2光口24 电口。</t>
  </si>
  <si>
    <t>专线带宽</t>
  </si>
  <si>
    <t>专线100M，包含3年费用和路由器（路由器包含4G收发功能）</t>
  </si>
  <si>
    <t>网络硬盘录像机</t>
  </si>
  <si>
    <t>支持1个HDMI和1个VGA同时输出， 支持4K高清分辨率输出，不少于4 个硬盘槽位，单个槽位支持6TB/4TB/2TB等多种规格硬盘，内置8个IPC直连POE网络接口，支持IPC即插即用功能，支持8路高清网络摄像机信号接入，自带2TB硬盘；</t>
  </si>
  <si>
    <t>柜体</t>
  </si>
  <si>
    <t>标准柜体2260mmx800mmx800mm。</t>
  </si>
  <si>
    <t>大屏</t>
  </si>
  <si>
    <t>100英寸大屏，包含电源系统及数据线</t>
  </si>
  <si>
    <t>工业防火墙</t>
  </si>
  <si>
    <t>设备类型：企业级防火墙；网络端口：5个GE口；控制端口：1个配置口（CON），1个MIM插槽，可通过该插槽扩展网络接口；VPN支持：L2TPVPN、GREVPN、IPSec/IKE、SSLVPN；入侵检测：支持对黑客攻击、蠕虫/病毒、木马、恶意代码、间谍软件/广告软件、DoS/DDoS常等攻击的防御、支持缓冲区溢出、SQL注入、IDS/IPS逃逸等攻击的防御、支持对BT等P2P/IM识别和控制、支持攻击特征库的分类（根据攻击类型、目标机系统进行分类）、分级（分高、中、低、提示四级）；管理：命令行接口、支持标准网管SNMPv3，并且兼容SNMPv2c、SNMPv1、支持NTP时间同步、支持Web方式进行远程配置管理、支持SNMP、TR069网管协议</t>
  </si>
  <si>
    <t>室外网络球形摄像机</t>
  </si>
  <si>
    <t>400万像素6寸红外网络高清智能球；传感器类型:1/2.8＂progressivescanCMOS；彩色：0. 05Lux@(F1.6，AGCON),黑白：0.01Lux@(F1.6，AGCON),0LuxwithIR；焦距:4.8-110mm，23倍光学；红外照射距离:100m；带支架供电方式：由雷达水位计供电电源点接入),黑白：0.01Lux@(F1.6，AGCON),0LuxwithIR；焦距:4.8-110mm，23倍光学；红外照射距离:100m；带支架</t>
  </si>
  <si>
    <t>室内网络摄像机</t>
  </si>
  <si>
    <t>400万像素4寸红外网络高清智能球；传感器类型:1/2.8＂progressivescanCMOS；彩色：0. 05Lux@(F1.6，AGCON),黑白：0.01Lux@(F1.6，AGCON),0LuxwithIR；焦距:4.8-110mm，23倍光学；红外照射距离:50m；带支架</t>
  </si>
  <si>
    <t>空调</t>
  </si>
  <si>
    <t>商品匹数：2匹，空调类别：壁挂式空调</t>
  </si>
  <si>
    <t>无线网桥</t>
  </si>
  <si>
    <t>3KM</t>
  </si>
  <si>
    <t>付</t>
  </si>
  <si>
    <t>PLC控制柜</t>
  </si>
  <si>
    <t>CPU；I/O：≥24DI、≥12DO、≥1AI、≥1AO；通讯：向下通信≥5 个RS485，2个以太网口；电源：230VAC/DC,24VDC,8A；包含5米立杆及避雷针、空开、三合一防雷及防静电装置、端子排、设备箱、土建基础，根据控制要求编制梯形图程序；PLC带触发采集、上传功能，支持4G传输</t>
  </si>
  <si>
    <t>超声波水位计</t>
  </si>
  <si>
    <t>测量范围：0~20m，带就地显示； 工作环境温度：-40℃~70℃；频率范围：26GHZ；输出信号：4~20mA；分辨力：±2mm；水位变率：能适应的水位变率一般情况下不低于40cm/min；供电方式： 太阳能供电+蓄电池、DC24V直流</t>
  </si>
  <si>
    <t>压力传感器</t>
  </si>
  <si>
    <t>测量范围：0~1.0mpa，带就地显示； 工作环境温度：-40℃~70℃；频率范围：26GHZ；输出信号：4~20mA；分辨力：±2mm；水位变率：能适应的水位变率一般情况下不低于40cm/min；供电方式： 太阳能供电+蓄电池、DC24V直流</t>
  </si>
  <si>
    <t>室外网络球形摄</t>
  </si>
  <si>
    <t>水位计安装立杆及基础</t>
  </si>
  <si>
    <t>6米金属杆，带6米横臂。安装基础0.8*0.8*0.*m</t>
  </si>
  <si>
    <t>6米金属杆，带6米 横臂安装基础0.8*0.8*0.*m</t>
  </si>
  <si>
    <t>综合布线</t>
  </si>
  <si>
    <t>含电缆、网线等</t>
  </si>
  <si>
    <t>辅材</t>
  </si>
  <si>
    <t>包含穿线管、线槽、五金件等</t>
  </si>
  <si>
    <t>批</t>
  </si>
  <si>
    <t>[三]</t>
  </si>
  <si>
    <t>一级扬水泵站自动化控制系统及监控系统1</t>
  </si>
  <si>
    <t>6米金属杆，</t>
  </si>
  <si>
    <t>[四]</t>
  </si>
  <si>
    <t>控制系统组态软件</t>
  </si>
  <si>
    <t>金属结构及安装工程概算表</t>
  </si>
  <si>
    <t xml:space="preserve">项目名称：贺兰山东麓大水沟生态修复项目供水工程                       </t>
  </si>
  <si>
    <t>合价（元）</t>
  </si>
  <si>
    <t>安装费</t>
  </si>
  <si>
    <t>钢管购置安装</t>
  </si>
  <si>
    <t>含制作，厚度8mm</t>
  </si>
  <si>
    <r>
      <rPr>
        <sz val="10"/>
        <rFont val="宋体"/>
        <charset val="134"/>
      </rPr>
      <t>电动蝶阀</t>
    </r>
    <r>
      <rPr>
        <sz val="10"/>
        <rFont val="Times New Roman"/>
        <charset val="134"/>
      </rPr>
      <t>DN600</t>
    </r>
  </si>
  <si>
    <t>D942X-10Q</t>
  </si>
  <si>
    <r>
      <rPr>
        <sz val="10"/>
        <rFont val="宋体"/>
        <charset val="134"/>
      </rPr>
      <t>电动蝶阀</t>
    </r>
    <r>
      <rPr>
        <sz val="10"/>
        <rFont val="Times New Roman"/>
        <charset val="134"/>
      </rPr>
      <t>DN500</t>
    </r>
  </si>
  <si>
    <t>压力表</t>
  </si>
  <si>
    <t>Y100</t>
  </si>
  <si>
    <r>
      <rPr>
        <sz val="10"/>
        <rFont val="宋体"/>
        <charset val="134"/>
      </rPr>
      <t>伸缩节</t>
    </r>
    <r>
      <rPr>
        <sz val="10"/>
        <rFont val="Times New Roman"/>
        <charset val="134"/>
      </rPr>
      <t>DN600</t>
    </r>
  </si>
  <si>
    <t>CC2F-10</t>
  </si>
  <si>
    <r>
      <rPr>
        <sz val="10"/>
        <rFont val="宋体"/>
        <charset val="134"/>
      </rPr>
      <t>伸缩节</t>
    </r>
    <r>
      <rPr>
        <sz val="10"/>
        <rFont val="Times New Roman"/>
        <charset val="134"/>
      </rPr>
      <t>DN500</t>
    </r>
  </si>
  <si>
    <t>多功能水泵控制阀DN500</t>
  </si>
  <si>
    <t>JD745X-10Q</t>
  </si>
  <si>
    <r>
      <rPr>
        <sz val="10"/>
        <rFont val="宋体"/>
        <charset val="134"/>
      </rPr>
      <t>法兰</t>
    </r>
    <r>
      <rPr>
        <sz val="10"/>
        <rFont val="Times New Roman"/>
        <charset val="134"/>
      </rPr>
      <t>Φ</t>
    </r>
    <r>
      <rPr>
        <sz val="10"/>
        <rFont val="宋体"/>
        <charset val="134"/>
      </rPr>
      <t>6</t>
    </r>
    <r>
      <rPr>
        <sz val="10"/>
        <rFont val="Times New Roman"/>
        <charset val="134"/>
      </rPr>
      <t>00</t>
    </r>
  </si>
  <si>
    <t>含螺栓及胶圈</t>
  </si>
  <si>
    <r>
      <rPr>
        <sz val="10"/>
        <rFont val="宋体"/>
        <charset val="134"/>
      </rPr>
      <t>法兰</t>
    </r>
    <r>
      <rPr>
        <sz val="10"/>
        <rFont val="Times New Roman"/>
        <charset val="134"/>
      </rPr>
      <t>Φ500</t>
    </r>
  </si>
  <si>
    <r>
      <rPr>
        <sz val="10"/>
        <rFont val="宋体"/>
        <charset val="134"/>
      </rPr>
      <t>喇叭口</t>
    </r>
    <r>
      <rPr>
        <sz val="10"/>
        <rFont val="Times New Roman"/>
        <charset val="134"/>
      </rPr>
      <t>DN600</t>
    </r>
  </si>
  <si>
    <t>90°弯管DN600</t>
  </si>
  <si>
    <t>135°弯管DN500</t>
  </si>
  <si>
    <t>偏心渐变管(DN600*DN400)</t>
  </si>
  <si>
    <t>同心渐变管(DN400*DN500)</t>
  </si>
  <si>
    <t>防水套管DN700</t>
  </si>
  <si>
    <t>防水钢套管DN600</t>
  </si>
  <si>
    <t>固定钢板</t>
  </si>
  <si>
    <t>I22工字钢</t>
  </si>
  <si>
    <t>LX-5吊车（电动单梁悬挂式）</t>
  </si>
  <si>
    <t>钢丝绳直径1cm</t>
  </si>
  <si>
    <r>
      <rPr>
        <sz val="10"/>
        <rFont val="宋体"/>
        <charset val="134"/>
      </rPr>
      <t>钢管</t>
    </r>
    <r>
      <rPr>
        <sz val="10"/>
        <rFont val="Times New Roman"/>
        <charset val="134"/>
      </rPr>
      <t>DN32</t>
    </r>
  </si>
  <si>
    <r>
      <rPr>
        <sz val="10"/>
        <rFont val="宋体"/>
        <charset val="134"/>
      </rPr>
      <t>钢管</t>
    </r>
    <r>
      <rPr>
        <sz val="10"/>
        <rFont val="Times New Roman"/>
        <charset val="134"/>
      </rPr>
      <t>DN50</t>
    </r>
    <r>
      <rPr>
        <sz val="10"/>
        <rFont val="宋体"/>
        <charset val="134"/>
      </rPr>
      <t>排水管</t>
    </r>
  </si>
  <si>
    <t>橡胶软管</t>
  </si>
  <si>
    <t>电动蝶阀DN200</t>
  </si>
  <si>
    <t>公称压力2.0MPa</t>
  </si>
  <si>
    <t>电动蝶阀DN250</t>
  </si>
  <si>
    <r>
      <rPr>
        <sz val="10"/>
        <rFont val="宋体"/>
        <charset val="134"/>
      </rPr>
      <t>电动蝶阀</t>
    </r>
    <r>
      <rPr>
        <sz val="10"/>
        <rFont val="Times New Roman"/>
        <charset val="134"/>
      </rPr>
      <t>DN300</t>
    </r>
  </si>
  <si>
    <r>
      <rPr>
        <sz val="10"/>
        <rFont val="宋体"/>
        <charset val="134"/>
      </rPr>
      <t>电动蝶阀</t>
    </r>
    <r>
      <rPr>
        <sz val="10"/>
        <rFont val="Times New Roman"/>
        <charset val="134"/>
      </rPr>
      <t>DN350</t>
    </r>
  </si>
  <si>
    <t>多功能水泵控制阀DN200</t>
  </si>
  <si>
    <t>多功能水泵控制阀DN300</t>
  </si>
  <si>
    <t>喇叭口</t>
  </si>
  <si>
    <t>DN350-500</t>
  </si>
  <si>
    <t>DN250-350</t>
  </si>
  <si>
    <t>偏心渐缩接头</t>
  </si>
  <si>
    <t>（DN200*350)</t>
  </si>
  <si>
    <t>（DN150*250)</t>
  </si>
  <si>
    <t>同心异径管</t>
  </si>
  <si>
    <t>（DN200*300)</t>
  </si>
  <si>
    <t>（DN100*200)</t>
  </si>
  <si>
    <t>DN350伸缩节</t>
  </si>
  <si>
    <t>(DN350，PN=2.0)</t>
  </si>
  <si>
    <t>DN300伸缩节</t>
  </si>
  <si>
    <t>(DN300，PN=2.0)</t>
  </si>
  <si>
    <t>DN250伸缩节</t>
  </si>
  <si>
    <t>(DN250，PN=2.0)</t>
  </si>
  <si>
    <t>DN200伸缩节</t>
  </si>
  <si>
    <t xml:space="preserve">压力表 </t>
  </si>
  <si>
    <t>（0-1.5MPa）</t>
  </si>
  <si>
    <t>远传压力表</t>
  </si>
  <si>
    <t>压力变送器</t>
  </si>
  <si>
    <t>电磁流量计</t>
  </si>
  <si>
    <t>(DN300)</t>
  </si>
  <si>
    <t>(DN200)</t>
  </si>
  <si>
    <t>吊车梁及配件</t>
  </si>
  <si>
    <t>工22</t>
  </si>
  <si>
    <t>带翼环止水套管</t>
  </si>
  <si>
    <t>(DN450，L=0.3m)</t>
  </si>
  <si>
    <t>(DN400，L=0.3m)</t>
  </si>
  <si>
    <t>(DN350，L=0.3m)</t>
  </si>
  <si>
    <t>(DN300，L=0.3m)</t>
  </si>
  <si>
    <t>DN150钢管排污管</t>
  </si>
  <si>
    <t>接反冲洗排污管,包含防腐防锈处理及安装，厚度8mm</t>
  </si>
  <si>
    <t>钢爬梯制作安装(含封闭圈楼梯、跨钢管平台及人行爬梯)</t>
  </si>
  <si>
    <t>护栏制作安装（见图集02(03)J402,型号 LG3-12，不锈钢材质）</t>
  </si>
  <si>
    <r>
      <rPr>
        <sz val="10"/>
        <rFont val="宋体"/>
        <charset val="134"/>
      </rPr>
      <t>钢管</t>
    </r>
    <r>
      <rPr>
        <sz val="10"/>
        <rFont val="Times New Roman"/>
        <charset val="134"/>
      </rPr>
      <t>DN25</t>
    </r>
  </si>
  <si>
    <t>伸缩节DN500</t>
  </si>
  <si>
    <t>DN200钢管购置安装</t>
  </si>
  <si>
    <t>DN200排水管购置安装</t>
  </si>
  <si>
    <t>厚度6mm，接泵房排水槽和院落排水</t>
  </si>
  <si>
    <t>DN150反冲洗排水钢管</t>
  </si>
  <si>
    <t>含制作，厚度6mm</t>
  </si>
  <si>
    <t>D160UPVC反冲洗管</t>
  </si>
  <si>
    <t>接反冲洗排水管</t>
  </si>
  <si>
    <t>扬水管线阀门</t>
  </si>
  <si>
    <t>排气井</t>
  </si>
  <si>
    <t>DN100组合排气补气阀</t>
  </si>
  <si>
    <t>闸阀 缓冲阀 排气阀</t>
  </si>
  <si>
    <t>DN600检修闸阀</t>
  </si>
  <si>
    <t>Z45X-10Q</t>
  </si>
  <si>
    <t>DN500检修闸阀</t>
  </si>
  <si>
    <t>Z45X-11Q</t>
  </si>
  <si>
    <t>电磁流量井</t>
  </si>
  <si>
    <t>DN600伸缩节</t>
  </si>
  <si>
    <t>DN500伸缩节</t>
  </si>
  <si>
    <t>DN600电磁流量计</t>
  </si>
  <si>
    <t>品牌百特</t>
  </si>
  <si>
    <t>DN500电磁流量计</t>
  </si>
  <si>
    <t>放空检修井</t>
  </si>
  <si>
    <r>
      <rPr>
        <sz val="10"/>
        <rFont val="宋体"/>
        <charset val="134"/>
      </rPr>
      <t>蝶阀</t>
    </r>
    <r>
      <rPr>
        <sz val="10"/>
        <rFont val="Times New Roman"/>
        <charset val="134"/>
      </rPr>
      <t>DN600</t>
    </r>
  </si>
  <si>
    <t>D342X-10Q</t>
  </si>
  <si>
    <r>
      <rPr>
        <sz val="10"/>
        <rFont val="宋体"/>
        <charset val="134"/>
      </rPr>
      <t>蝶阀</t>
    </r>
    <r>
      <rPr>
        <sz val="10"/>
        <rFont val="Times New Roman"/>
        <charset val="134"/>
      </rPr>
      <t>DN500</t>
    </r>
  </si>
  <si>
    <t>D342X-11Q</t>
  </si>
  <si>
    <t>DN200（手动球阀）放空阀PN=1.6Mpa</t>
  </si>
  <si>
    <t>偏心半球阀</t>
  </si>
  <si>
    <t xml:space="preserve"> 水利工程概算表</t>
  </si>
  <si>
    <r>
      <rPr>
        <sz val="10"/>
        <rFont val="宋体"/>
        <charset val="134"/>
      </rPr>
      <t>项目名称：宁夏农垦</t>
    </r>
    <r>
      <rPr>
        <sz val="10"/>
        <rFont val="Times New Roman"/>
        <charset val="134"/>
      </rPr>
      <t>2022</t>
    </r>
    <r>
      <rPr>
        <sz val="10"/>
        <rFont val="宋体"/>
        <charset val="134"/>
      </rPr>
      <t>年贺兰山农牧场高标准农田建设项目</t>
    </r>
    <r>
      <rPr>
        <sz val="10"/>
        <rFont val="Times New Roman"/>
        <charset val="134"/>
      </rPr>
      <t xml:space="preserve"> —</t>
    </r>
    <r>
      <rPr>
        <sz val="10"/>
        <rFont val="宋体"/>
        <charset val="134"/>
      </rPr>
      <t>渠道部分</t>
    </r>
    <r>
      <rPr>
        <sz val="10"/>
        <rFont val="Times New Roman"/>
        <charset val="134"/>
      </rPr>
      <t xml:space="preserve">                                         </t>
    </r>
    <r>
      <rPr>
        <sz val="10"/>
        <rFont val="宋体"/>
        <charset val="134"/>
      </rPr>
      <t>单位：元</t>
    </r>
  </si>
  <si>
    <t>工程项目</t>
  </si>
  <si>
    <r>
      <rPr>
        <b/>
        <sz val="10"/>
        <rFont val="宋体"/>
        <charset val="134"/>
      </rPr>
      <t>合计（元）</t>
    </r>
  </si>
  <si>
    <t>单个工程量</t>
  </si>
  <si>
    <t>支渠砌护</t>
  </si>
  <si>
    <t>分斗渠砌护</t>
  </si>
  <si>
    <r>
      <rPr>
        <sz val="10"/>
        <rFont val="Times New Roman"/>
        <charset val="134"/>
      </rPr>
      <t>C</t>
    </r>
    <r>
      <rPr>
        <vertAlign val="subscript"/>
        <sz val="10"/>
        <rFont val="Times New Roman"/>
        <charset val="134"/>
      </rPr>
      <t>20</t>
    </r>
    <r>
      <rPr>
        <sz val="10"/>
        <rFont val="宋体"/>
        <charset val="134"/>
      </rPr>
      <t>混凝土板预制</t>
    </r>
    <r>
      <rPr>
        <sz val="10"/>
        <rFont val="Times New Roman"/>
        <charset val="134"/>
      </rPr>
      <t>7cm</t>
    </r>
    <r>
      <rPr>
        <sz val="10"/>
        <rFont val="宋体"/>
        <charset val="134"/>
      </rPr>
      <t>、运输、安装（含勾缝）</t>
    </r>
  </si>
  <si>
    <r>
      <rPr>
        <sz val="10"/>
        <rFont val="宋体"/>
        <charset val="134"/>
      </rPr>
      <t>备料土方（运距</t>
    </r>
    <r>
      <rPr>
        <sz val="10"/>
        <rFont val="Times New Roman"/>
        <charset val="134"/>
      </rPr>
      <t>5km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</si>
  <si>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砼板拆除及外运</t>
    </r>
    <r>
      <rPr>
        <sz val="10"/>
        <rFont val="Times New Roman"/>
        <charset val="134"/>
      </rPr>
      <t>15km</t>
    </r>
  </si>
  <si>
    <r>
      <rPr>
        <b/>
        <sz val="10"/>
        <rFont val="宋体"/>
        <charset val="134"/>
      </rPr>
      <t>牧一支七斗渠下段渠道砌护工程（</t>
    </r>
    <r>
      <rPr>
        <b/>
        <sz val="10"/>
        <rFont val="Times New Roman"/>
        <charset val="134"/>
      </rPr>
      <t>D=0.8m</t>
    </r>
    <r>
      <rPr>
        <b/>
        <sz val="10"/>
        <rFont val="宋体"/>
        <charset val="134"/>
      </rPr>
      <t>）（缝板比</t>
    </r>
    <r>
      <rPr>
        <b/>
        <sz val="10"/>
        <rFont val="Times New Roman"/>
        <charset val="134"/>
      </rPr>
      <t>0.17</t>
    </r>
    <r>
      <rPr>
        <b/>
        <sz val="10"/>
        <rFont val="宋体"/>
        <charset val="134"/>
      </rPr>
      <t>）</t>
    </r>
  </si>
  <si>
    <r>
      <rPr>
        <sz val="10"/>
        <rFont val="Times New Roman"/>
        <charset val="134"/>
      </rPr>
      <t>C</t>
    </r>
    <r>
      <rPr>
        <vertAlign val="subscript"/>
        <sz val="10"/>
        <rFont val="Times New Roman"/>
        <charset val="134"/>
      </rPr>
      <t>20</t>
    </r>
    <r>
      <rPr>
        <sz val="10"/>
        <rFont val="宋体"/>
        <charset val="134"/>
      </rPr>
      <t>混凝土板预制</t>
    </r>
    <r>
      <rPr>
        <sz val="10"/>
        <rFont val="Times New Roman"/>
        <charset val="134"/>
      </rPr>
      <t>6cm</t>
    </r>
    <r>
      <rPr>
        <sz val="10"/>
        <rFont val="宋体"/>
        <charset val="134"/>
      </rPr>
      <t>、运输、安装（含勾缝）</t>
    </r>
  </si>
  <si>
    <r>
      <rPr>
        <b/>
        <sz val="10"/>
        <rFont val="宋体"/>
        <charset val="134"/>
      </rPr>
      <t>座</t>
    </r>
  </si>
  <si>
    <r>
      <rPr>
        <sz val="10"/>
        <rFont val="宋体"/>
        <charset val="134"/>
      </rPr>
      <t>座</t>
    </r>
  </si>
  <si>
    <r>
      <rPr>
        <sz val="10"/>
        <rFont val="宋体"/>
        <charset val="134"/>
      </rPr>
      <t>浆砌石农口（</t>
    </r>
    <r>
      <rPr>
        <sz val="10"/>
        <rFont val="Times New Roman"/>
        <charset val="134"/>
      </rPr>
      <t>φ0.4×2</t>
    </r>
    <r>
      <rPr>
        <sz val="10"/>
        <rFont val="宋体"/>
        <charset val="134"/>
      </rPr>
      <t>米）</t>
    </r>
  </si>
  <si>
    <t>浆砌石农口（φ0.6×2米）</t>
  </si>
  <si>
    <t>节制闸（B=60）</t>
  </si>
  <si>
    <r>
      <rPr>
        <sz val="10"/>
        <rFont val="Times New Roman"/>
        <charset val="134"/>
      </rPr>
      <t>D=0.8×10m</t>
    </r>
    <r>
      <rPr>
        <sz val="10"/>
        <rFont val="宋体"/>
        <charset val="134"/>
      </rPr>
      <t>渡槽</t>
    </r>
  </si>
  <si>
    <t>标识碑</t>
  </si>
  <si>
    <r>
      <rPr>
        <b/>
        <sz val="10"/>
        <rFont val="Times New Roman"/>
        <charset val="134"/>
      </rPr>
      <t>4m</t>
    </r>
    <r>
      <rPr>
        <b/>
        <sz val="10"/>
        <rFont val="宋体"/>
        <charset val="134"/>
      </rPr>
      <t>宽混凝土道路（</t>
    </r>
    <r>
      <rPr>
        <b/>
        <sz val="10"/>
        <rFont val="Times New Roman"/>
        <charset val="134"/>
      </rPr>
      <t>15cmc20</t>
    </r>
    <r>
      <rPr>
        <b/>
        <sz val="10"/>
        <rFont val="宋体"/>
        <charset val="134"/>
      </rPr>
      <t>砼）</t>
    </r>
  </si>
  <si>
    <t>路基平整</t>
  </si>
  <si>
    <t>机械土方压实</t>
  </si>
  <si>
    <t>砂砾石垫层(厚15cm)</t>
  </si>
  <si>
    <r>
      <rPr>
        <sz val="10"/>
        <rFont val="宋体"/>
        <charset val="134"/>
      </rPr>
      <t>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15cm</t>
    </r>
    <r>
      <rPr>
        <sz val="10"/>
        <rFont val="宋体"/>
        <charset val="134"/>
      </rPr>
      <t>厚</t>
    </r>
  </si>
  <si>
    <r>
      <rPr>
        <b/>
        <sz val="10"/>
        <rFont val="Times New Roman"/>
        <charset val="134"/>
      </rPr>
      <t>4m</t>
    </r>
    <r>
      <rPr>
        <b/>
        <sz val="10"/>
        <rFont val="宋体"/>
        <charset val="134"/>
      </rPr>
      <t>宽混凝土道路（</t>
    </r>
    <r>
      <rPr>
        <b/>
        <sz val="10"/>
        <rFont val="Times New Roman"/>
        <charset val="134"/>
      </rPr>
      <t>18cmc20</t>
    </r>
    <r>
      <rPr>
        <b/>
        <sz val="10"/>
        <rFont val="宋体"/>
        <charset val="134"/>
      </rPr>
      <t>砼）</t>
    </r>
  </si>
  <si>
    <r>
      <rPr>
        <sz val="10"/>
        <rFont val="宋体"/>
        <charset val="134"/>
      </rPr>
      <t>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18cm</t>
    </r>
    <r>
      <rPr>
        <sz val="10"/>
        <rFont val="宋体"/>
        <charset val="134"/>
      </rPr>
      <t>厚</t>
    </r>
  </si>
  <si>
    <r>
      <rPr>
        <b/>
        <sz val="10"/>
        <rFont val="Times New Roman"/>
        <charset val="134"/>
      </rPr>
      <t>4m</t>
    </r>
    <r>
      <rPr>
        <b/>
        <sz val="10"/>
        <rFont val="宋体"/>
        <charset val="134"/>
      </rPr>
      <t>宽混凝土道路（</t>
    </r>
    <r>
      <rPr>
        <b/>
        <sz val="10"/>
        <rFont val="Times New Roman"/>
        <charset val="134"/>
      </rPr>
      <t>20cmc20</t>
    </r>
    <r>
      <rPr>
        <b/>
        <sz val="10"/>
        <rFont val="宋体"/>
        <charset val="134"/>
      </rPr>
      <t>砼）</t>
    </r>
  </si>
  <si>
    <r>
      <rPr>
        <sz val="10"/>
        <rFont val="宋体"/>
        <charset val="134"/>
      </rPr>
      <t>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20cm</t>
    </r>
    <r>
      <rPr>
        <sz val="10"/>
        <rFont val="宋体"/>
        <charset val="134"/>
      </rPr>
      <t>厚</t>
    </r>
  </si>
  <si>
    <t>暗管排水工程概算表</t>
  </si>
  <si>
    <r>
      <rPr>
        <sz val="9"/>
        <rFont val="宋体"/>
        <charset val="134"/>
      </rPr>
      <t xml:space="preserve">项目名称：宁夏农垦2022年贺兰山农牧场高标准农田建设项目———暗管排水   </t>
    </r>
    <r>
      <rPr>
        <sz val="9"/>
        <rFont val="Times New Roman"/>
        <charset val="134"/>
      </rPr>
      <t xml:space="preserve">                  </t>
    </r>
    <r>
      <rPr>
        <sz val="9"/>
        <rFont val="宋体"/>
        <charset val="134"/>
      </rPr>
      <t>单位：元</t>
    </r>
  </si>
  <si>
    <r>
      <rPr>
        <b/>
        <sz val="10"/>
        <rFont val="宋体"/>
        <charset val="134"/>
      </rPr>
      <t>工程项目</t>
    </r>
  </si>
  <si>
    <r>
      <rPr>
        <b/>
        <sz val="10"/>
        <rFont val="宋体"/>
        <charset val="134"/>
      </rPr>
      <t>单位</t>
    </r>
  </si>
  <si>
    <r>
      <rPr>
        <b/>
        <sz val="10"/>
        <rFont val="宋体"/>
        <charset val="134"/>
      </rPr>
      <t>合计（元</t>
    </r>
    <r>
      <rPr>
        <b/>
        <sz val="10"/>
        <rFont val="Times New Roman"/>
        <charset val="134"/>
      </rPr>
      <t>)</t>
    </r>
  </si>
  <si>
    <r>
      <rPr>
        <b/>
        <sz val="10"/>
        <rFont val="宋体"/>
        <charset val="134"/>
      </rPr>
      <t>合计</t>
    </r>
  </si>
  <si>
    <r>
      <rPr>
        <b/>
        <sz val="10"/>
        <rFont val="宋体"/>
        <charset val="134"/>
      </rPr>
      <t>亩</t>
    </r>
  </si>
  <si>
    <r>
      <rPr>
        <b/>
        <sz val="10"/>
        <rFont val="Times New Roman"/>
        <charset val="134"/>
      </rPr>
      <t>1#</t>
    </r>
    <r>
      <rPr>
        <b/>
        <sz val="10"/>
        <rFont val="宋体"/>
        <charset val="134"/>
      </rPr>
      <t>系统</t>
    </r>
  </si>
  <si>
    <r>
      <rPr>
        <b/>
        <sz val="10"/>
        <rFont val="宋体"/>
        <charset val="134"/>
      </rPr>
      <t>管道工程</t>
    </r>
  </si>
  <si>
    <r>
      <rPr>
        <b/>
        <sz val="10"/>
        <rFont val="宋体"/>
        <charset val="134"/>
      </rPr>
      <t>吸水管铺设</t>
    </r>
  </si>
  <si>
    <r>
      <rPr>
        <sz val="10"/>
        <rFont val="宋体"/>
        <charset val="134"/>
      </rPr>
      <t>吸水管外包料（无纺土工布</t>
    </r>
    <r>
      <rPr>
        <sz val="10"/>
        <rFont val="Times New Roman"/>
        <charset val="134"/>
      </rPr>
      <t>68g/m</t>
    </r>
    <r>
      <rPr>
        <vertAlign val="superscript"/>
        <sz val="10"/>
        <rFont val="Times New Roman"/>
        <charset val="134"/>
      </rPr>
      <t>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</si>
  <si>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机械铺设吸水管</t>
    </r>
    <r>
      <rPr>
        <sz val="10"/>
        <rFont val="Times New Roman"/>
        <charset val="134"/>
      </rPr>
      <t>(φ75</t>
    </r>
    <r>
      <rPr>
        <sz val="10"/>
        <rFont val="宋体"/>
        <charset val="134"/>
      </rPr>
      <t>波纹管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（含回填）</t>
    </r>
  </si>
  <si>
    <r>
      <rPr>
        <b/>
        <sz val="10"/>
        <rFont val="宋体"/>
        <charset val="134"/>
      </rPr>
      <t>集水管铺设</t>
    </r>
  </si>
  <si>
    <r>
      <rPr>
        <sz val="10"/>
        <rFont val="宋体"/>
        <charset val="134"/>
      </rPr>
      <t>挖掘机挖沟槽土方</t>
    </r>
  </si>
  <si>
    <r>
      <rPr>
        <sz val="10"/>
        <rFont val="宋体"/>
        <charset val="134"/>
      </rPr>
      <t>沟槽土方回填</t>
    </r>
  </si>
  <si>
    <r>
      <rPr>
        <sz val="10"/>
        <rFont val="宋体"/>
        <charset val="134"/>
      </rPr>
      <t>铺设集水管</t>
    </r>
    <r>
      <rPr>
        <sz val="10"/>
        <rFont val="Times New Roman"/>
        <charset val="134"/>
      </rPr>
      <t>(φ250/0.63UPVC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</si>
  <si>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铺设集水管</t>
    </r>
    <r>
      <rPr>
        <sz val="10"/>
        <rFont val="Times New Roman"/>
        <charset val="134"/>
      </rPr>
      <t>(φ280/0.63UPVC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)</t>
    </r>
  </si>
  <si>
    <r>
      <rPr>
        <sz val="10"/>
        <rFont val="Times New Roman"/>
        <charset val="134"/>
      </rPr>
      <t>φ90/0.63UPVC</t>
    </r>
    <r>
      <rPr>
        <sz val="10"/>
        <rFont val="宋体"/>
        <charset val="134"/>
      </rPr>
      <t>管购置安装</t>
    </r>
  </si>
  <si>
    <r>
      <rPr>
        <b/>
        <sz val="10"/>
        <rFont val="宋体"/>
        <charset val="134"/>
      </rPr>
      <t>附属设施</t>
    </r>
  </si>
  <si>
    <t>.</t>
  </si>
  <si>
    <r>
      <rPr>
        <sz val="10"/>
        <rFont val="宋体"/>
        <charset val="134"/>
      </rPr>
      <t>降水井（井深</t>
    </r>
    <r>
      <rPr>
        <sz val="10"/>
        <rFont val="Times New Roman"/>
        <charset val="134"/>
      </rPr>
      <t>20m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</si>
  <si>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抽水台班</t>
    </r>
  </si>
  <si>
    <r>
      <rPr>
        <sz val="10"/>
        <rFont val="宋体"/>
        <charset val="134"/>
      </rPr>
      <t>台时</t>
    </r>
  </si>
  <si>
    <r>
      <rPr>
        <b/>
        <sz val="10"/>
        <rFont val="宋体"/>
        <charset val="134"/>
      </rPr>
      <t>附属建筑物工程</t>
    </r>
  </si>
  <si>
    <r>
      <rPr>
        <b/>
        <sz val="10"/>
        <rFont val="宋体"/>
        <charset val="134"/>
      </rPr>
      <t>检查井（</t>
    </r>
    <r>
      <rPr>
        <b/>
        <sz val="10"/>
        <rFont val="Times New Roman"/>
        <charset val="134"/>
      </rPr>
      <t>φ1000mm</t>
    </r>
    <r>
      <rPr>
        <b/>
        <sz val="10"/>
        <rFont val="宋体"/>
        <charset val="134"/>
      </rPr>
      <t>，井深</t>
    </r>
    <r>
      <rPr>
        <b/>
        <sz val="10"/>
        <rFont val="Times New Roman"/>
        <charset val="134"/>
      </rPr>
      <t>3m</t>
    </r>
    <r>
      <rPr>
        <b/>
        <sz val="10"/>
        <rFont val="宋体"/>
        <charset val="134"/>
      </rPr>
      <t>）</t>
    </r>
  </si>
  <si>
    <r>
      <rPr>
        <sz val="10"/>
        <rFont val="Times New Roman"/>
        <charset val="134"/>
      </rPr>
      <t>C20</t>
    </r>
    <r>
      <rPr>
        <sz val="10"/>
        <rFont val="宋体"/>
        <charset val="134"/>
      </rPr>
      <t>砼井座预制</t>
    </r>
  </si>
  <si>
    <r>
      <rPr>
        <sz val="10"/>
        <rFont val="Times New Roman"/>
        <charset val="134"/>
      </rPr>
      <t>C20</t>
    </r>
    <r>
      <rPr>
        <sz val="10"/>
        <rFont val="宋体"/>
        <charset val="134"/>
      </rPr>
      <t>砼井壁预制</t>
    </r>
  </si>
  <si>
    <r>
      <rPr>
        <sz val="10"/>
        <rFont val="Times New Roman"/>
        <charset val="134"/>
      </rPr>
      <t>C20</t>
    </r>
    <r>
      <rPr>
        <sz val="10"/>
        <rFont val="宋体"/>
        <charset val="134"/>
      </rPr>
      <t>砼井盖预制</t>
    </r>
  </si>
  <si>
    <r>
      <rPr>
        <sz val="10"/>
        <rFont val="宋体"/>
        <charset val="134"/>
      </rPr>
      <t>钢筋制作安装</t>
    </r>
  </si>
  <si>
    <r>
      <rPr>
        <sz val="10"/>
        <rFont val="宋体"/>
        <charset val="134"/>
      </rPr>
      <t>砼构件运输</t>
    </r>
  </si>
  <si>
    <r>
      <rPr>
        <sz val="10"/>
        <rFont val="宋体"/>
        <charset val="134"/>
      </rPr>
      <t>预制检查井砼构件安装</t>
    </r>
  </si>
  <si>
    <r>
      <rPr>
        <sz val="10"/>
        <rFont val="宋体"/>
        <charset val="134"/>
      </rPr>
      <t>沥青油膏封管</t>
    </r>
  </si>
  <si>
    <r>
      <rPr>
        <sz val="10"/>
        <rFont val="宋体"/>
        <charset val="134"/>
      </rPr>
      <t>砂滤料封管</t>
    </r>
  </si>
  <si>
    <r>
      <rPr>
        <sz val="10"/>
        <rFont val="宋体"/>
        <charset val="134"/>
      </rPr>
      <t>砂砾垫层</t>
    </r>
  </si>
  <si>
    <r>
      <rPr>
        <sz val="10"/>
        <rFont val="宋体"/>
        <charset val="134"/>
      </rPr>
      <t>土方开挖（机械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人工）</t>
    </r>
  </si>
  <si>
    <r>
      <rPr>
        <sz val="10"/>
        <rFont val="宋体"/>
        <charset val="134"/>
      </rPr>
      <t>土方回填</t>
    </r>
  </si>
  <si>
    <t>闸阀管件</t>
  </si>
  <si>
    <r>
      <rPr>
        <b/>
        <sz val="10"/>
        <rFont val="宋体"/>
        <charset val="134"/>
      </rPr>
      <t>集水管穿农渠工程</t>
    </r>
  </si>
  <si>
    <r>
      <rPr>
        <sz val="10"/>
        <rFont val="宋体"/>
        <charset val="134"/>
      </rPr>
      <t>土方开挖</t>
    </r>
  </si>
  <si>
    <r>
      <rPr>
        <sz val="10"/>
        <rFont val="宋体"/>
        <charset val="134"/>
      </rPr>
      <t>埋设钢管</t>
    </r>
    <r>
      <rPr>
        <sz val="10"/>
        <rFont val="Times New Roman"/>
        <charset val="134"/>
      </rPr>
      <t>(DN250/3.0Mpa)</t>
    </r>
  </si>
  <si>
    <r>
      <rPr>
        <sz val="10"/>
        <rFont val="宋体"/>
        <charset val="134"/>
      </rPr>
      <t>钢管防腐保温</t>
    </r>
  </si>
  <si>
    <r>
      <rPr>
        <b/>
        <sz val="10"/>
        <rFont val="宋体"/>
        <charset val="134"/>
      </rPr>
      <t>强排泵站工程</t>
    </r>
  </si>
  <si>
    <r>
      <rPr>
        <b/>
        <sz val="10"/>
        <rFont val="宋体"/>
        <charset val="134"/>
      </rPr>
      <t>集水井工程</t>
    </r>
  </si>
  <si>
    <r>
      <rPr>
        <sz val="10"/>
        <rFont val="宋体"/>
        <charset val="134"/>
      </rPr>
      <t>土方开挖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人工</t>
    </r>
    <r>
      <rPr>
        <sz val="10"/>
        <rFont val="Times New Roman"/>
        <charset val="134"/>
      </rPr>
      <t>0.3+</t>
    </r>
    <r>
      <rPr>
        <sz val="10"/>
        <rFont val="宋体"/>
        <charset val="134"/>
      </rPr>
      <t>机械</t>
    </r>
    <r>
      <rPr>
        <sz val="10"/>
        <rFont val="Times New Roman"/>
        <charset val="134"/>
      </rPr>
      <t>0.7)</t>
    </r>
  </si>
  <si>
    <r>
      <rPr>
        <sz val="10"/>
        <rFont val="宋体"/>
        <charset val="134"/>
      </rPr>
      <t>钢筋混凝土排水管购置运输安装（Ⅰ级</t>
    </r>
    <r>
      <rPr>
        <sz val="10"/>
        <rFont val="Times New Roman"/>
        <charset val="134"/>
      </rPr>
      <t>DN2200</t>
    </r>
    <r>
      <rPr>
        <sz val="10"/>
        <rFont val="宋体"/>
        <charset val="134"/>
      </rPr>
      <t>，壁厚</t>
    </r>
    <r>
      <rPr>
        <sz val="10"/>
        <rFont val="Times New Roman"/>
        <charset val="134"/>
      </rPr>
      <t>185mm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</si>
  <si>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砼底板、盖板预制</t>
    </r>
  </si>
  <si>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砼底板、盖板运输</t>
    </r>
  </si>
  <si>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砼底板、盖板安装</t>
    </r>
  </si>
  <si>
    <r>
      <rPr>
        <sz val="10"/>
        <rFont val="宋体"/>
        <charset val="134"/>
      </rPr>
      <t>出水口</t>
    </r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</t>
    </r>
  </si>
  <si>
    <r>
      <rPr>
        <sz val="10"/>
        <rFont val="宋体"/>
        <charset val="134"/>
      </rPr>
      <t>砂砾石垫层</t>
    </r>
  </si>
  <si>
    <r>
      <rPr>
        <sz val="10"/>
        <rFont val="Times New Roman"/>
        <charset val="134"/>
      </rPr>
      <t>400</t>
    </r>
    <r>
      <rPr>
        <sz val="10"/>
        <rFont val="宋体"/>
        <charset val="134"/>
      </rPr>
      <t>钢管井</t>
    </r>
  </si>
  <si>
    <r>
      <rPr>
        <sz val="10"/>
        <rFont val="Times New Roman"/>
        <charset val="134"/>
      </rPr>
      <t>C15</t>
    </r>
    <r>
      <rPr>
        <sz val="10"/>
        <rFont val="宋体"/>
        <charset val="134"/>
      </rPr>
      <t>现浇砼垫层</t>
    </r>
  </si>
  <si>
    <r>
      <rPr>
        <sz val="10"/>
        <rFont val="宋体"/>
        <charset val="134"/>
      </rPr>
      <t>降水台班</t>
    </r>
  </si>
  <si>
    <r>
      <rPr>
        <b/>
        <sz val="10"/>
        <rFont val="宋体"/>
        <charset val="134"/>
      </rPr>
      <t>金属结构设备及安装工程</t>
    </r>
  </si>
  <si>
    <r>
      <rPr>
        <sz val="10"/>
        <rFont val="宋体"/>
        <charset val="134"/>
      </rPr>
      <t>进出水钢管</t>
    </r>
    <r>
      <rPr>
        <sz val="10"/>
        <rFont val="Times New Roman"/>
        <charset val="134"/>
      </rPr>
      <t xml:space="preserve"> DN100</t>
    </r>
  </si>
  <si>
    <r>
      <rPr>
        <sz val="10"/>
        <rFont val="宋体"/>
        <charset val="134"/>
      </rPr>
      <t>闸阀</t>
    </r>
    <r>
      <rPr>
        <sz val="10"/>
        <rFont val="Times New Roman"/>
        <charset val="134"/>
      </rPr>
      <t xml:space="preserve"> DN100</t>
    </r>
  </si>
  <si>
    <r>
      <rPr>
        <sz val="10"/>
        <rFont val="Times New Roman"/>
        <charset val="134"/>
      </rPr>
      <t xml:space="preserve">90° </t>
    </r>
    <r>
      <rPr>
        <sz val="10"/>
        <rFont val="宋体"/>
        <charset val="134"/>
      </rPr>
      <t>铸铁弯头</t>
    </r>
    <r>
      <rPr>
        <sz val="10"/>
        <rFont val="Times New Roman"/>
        <charset val="134"/>
      </rPr>
      <t xml:space="preserve">  DN100</t>
    </r>
  </si>
  <si>
    <r>
      <rPr>
        <sz val="10"/>
        <rFont val="Times New Roman"/>
        <charset val="134"/>
      </rPr>
      <t>135°</t>
    </r>
    <r>
      <rPr>
        <sz val="10"/>
        <rFont val="宋体"/>
        <charset val="134"/>
      </rPr>
      <t>铸铁弯头</t>
    </r>
    <r>
      <rPr>
        <sz val="10"/>
        <rFont val="Times New Roman"/>
        <charset val="134"/>
      </rPr>
      <t xml:space="preserve">  DN100</t>
    </r>
  </si>
  <si>
    <r>
      <rPr>
        <sz val="10"/>
        <rFont val="宋体"/>
        <charset val="134"/>
      </rPr>
      <t>法兰</t>
    </r>
    <r>
      <rPr>
        <sz val="10"/>
        <rFont val="Times New Roman"/>
        <charset val="134"/>
      </rPr>
      <t xml:space="preserve"> DN100</t>
    </r>
  </si>
  <si>
    <t>钢套管</t>
  </si>
  <si>
    <r>
      <rPr>
        <b/>
        <sz val="11"/>
        <rFont val="宋体"/>
        <charset val="134"/>
      </rPr>
      <t>机电设备及安装工程</t>
    </r>
  </si>
  <si>
    <r>
      <rPr>
        <sz val="10"/>
        <rFont val="宋体"/>
        <charset val="134"/>
      </rPr>
      <t>电池板联接电缆</t>
    </r>
  </si>
  <si>
    <r>
      <rPr>
        <sz val="10"/>
        <rFont val="Times New Roman"/>
        <charset val="134"/>
      </rPr>
      <t>270W</t>
    </r>
    <r>
      <rPr>
        <sz val="10"/>
        <rFont val="宋体"/>
        <charset val="134"/>
      </rPr>
      <t>太阳能光伏板（</t>
    </r>
    <r>
      <rPr>
        <sz val="10"/>
        <rFont val="Times New Roman"/>
        <charset val="134"/>
      </rPr>
      <t>1956×991mm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>18</t>
    </r>
    <r>
      <rPr>
        <sz val="10"/>
        <rFont val="宋体"/>
        <charset val="134"/>
      </rPr>
      <t>块</t>
    </r>
  </si>
  <si>
    <r>
      <rPr>
        <sz val="10"/>
        <rFont val="宋体"/>
        <charset val="134"/>
      </rPr>
      <t>套</t>
    </r>
  </si>
  <si>
    <r>
      <rPr>
        <sz val="10"/>
        <rFont val="宋体"/>
        <charset val="134"/>
      </rPr>
      <t>光伏板支架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含预埋件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</si>
  <si>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液位控制器</t>
    </r>
  </si>
  <si>
    <r>
      <rPr>
        <sz val="11"/>
        <rFont val="宋体"/>
        <charset val="134"/>
      </rPr>
      <t>套</t>
    </r>
  </si>
  <si>
    <r>
      <rPr>
        <sz val="10"/>
        <rFont val="宋体"/>
        <charset val="134"/>
      </rPr>
      <t>光伏扬水逆变器（变频）</t>
    </r>
    <r>
      <rPr>
        <sz val="10"/>
        <rFont val="Times New Roman"/>
        <charset val="134"/>
      </rPr>
      <t>(4kw)</t>
    </r>
  </si>
  <si>
    <r>
      <rPr>
        <sz val="11"/>
        <rFont val="宋体"/>
        <charset val="134"/>
      </rPr>
      <t>台</t>
    </r>
  </si>
  <si>
    <r>
      <rPr>
        <sz val="10"/>
        <rFont val="宋体"/>
        <charset val="134"/>
      </rPr>
      <t>太阳能变频水泵</t>
    </r>
    <r>
      <rPr>
        <sz val="10"/>
        <rFont val="Times New Roman"/>
        <charset val="134"/>
      </rPr>
      <t>(70m</t>
    </r>
    <r>
      <rPr>
        <vertAlign val="superscript"/>
        <sz val="10"/>
        <rFont val="Times New Roman"/>
        <charset val="134"/>
      </rPr>
      <t>3</t>
    </r>
    <r>
      <rPr>
        <sz val="10"/>
        <rFont val="Times New Roman"/>
        <charset val="134"/>
      </rPr>
      <t>/h,12m)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4kw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</si>
  <si>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电力电缆</t>
    </r>
    <r>
      <rPr>
        <sz val="10"/>
        <rFont val="Times New Roman"/>
        <charset val="134"/>
      </rPr>
      <t xml:space="preserve"> YJV-0.6/1KV-3*4+1*2.5</t>
    </r>
  </si>
  <si>
    <r>
      <rPr>
        <sz val="10"/>
        <rFont val="Times New Roman"/>
        <charset val="134"/>
      </rPr>
      <t>“</t>
    </r>
    <r>
      <rPr>
        <sz val="10"/>
        <rFont val="宋体"/>
        <charset val="134"/>
      </rPr>
      <t>高压危险、小心触电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标志牌</t>
    </r>
  </si>
  <si>
    <t>玻璃钢井房</t>
  </si>
  <si>
    <r>
      <rPr>
        <sz val="10"/>
        <rFont val="宋体"/>
        <charset val="134"/>
      </rPr>
      <t>运杂费（</t>
    </r>
    <r>
      <rPr>
        <sz val="10"/>
        <rFont val="Times New Roman"/>
        <charset val="134"/>
      </rPr>
      <t>6.5%</t>
    </r>
    <r>
      <rPr>
        <sz val="10"/>
        <rFont val="宋体"/>
        <charset val="134"/>
      </rPr>
      <t>）</t>
    </r>
  </si>
  <si>
    <r>
      <rPr>
        <b/>
        <sz val="11"/>
        <rFont val="宋体"/>
        <charset val="134"/>
      </rPr>
      <t>附属工程</t>
    </r>
  </si>
  <si>
    <r>
      <rPr>
        <sz val="10"/>
        <rFont val="Times New Roman"/>
        <charset val="134"/>
      </rPr>
      <t>1.8m</t>
    </r>
    <r>
      <rPr>
        <sz val="10"/>
        <rFont val="宋体"/>
        <charset val="134"/>
      </rPr>
      <t>高金属围栏</t>
    </r>
  </si>
  <si>
    <r>
      <rPr>
        <sz val="10"/>
        <rFont val="Times New Roman"/>
        <charset val="134"/>
      </rPr>
      <t>10cm</t>
    </r>
    <r>
      <rPr>
        <sz val="10"/>
        <rFont val="宋体"/>
        <charset val="134"/>
      </rPr>
      <t>厚碎石地坪</t>
    </r>
  </si>
  <si>
    <r>
      <rPr>
        <sz val="11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2</t>
    </r>
  </si>
  <si>
    <r>
      <rPr>
        <sz val="10"/>
        <rFont val="Times New Roman"/>
        <charset val="134"/>
      </rPr>
      <t>C20</t>
    </r>
    <r>
      <rPr>
        <sz val="10"/>
        <rFont val="宋体"/>
        <charset val="134"/>
      </rPr>
      <t>太阳板混凝土支墩</t>
    </r>
  </si>
  <si>
    <r>
      <rPr>
        <sz val="11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3</t>
    </r>
  </si>
  <si>
    <r>
      <rPr>
        <b/>
        <sz val="10"/>
        <rFont val="仿宋_GB2312"/>
        <charset val="134"/>
      </rPr>
      <t>大型机械搬迁费</t>
    </r>
  </si>
  <si>
    <r>
      <rPr>
        <b/>
        <sz val="10"/>
        <rFont val="仿宋_GB2312"/>
        <charset val="134"/>
      </rPr>
      <t>台次</t>
    </r>
  </si>
  <si>
    <t>灵武市梧郝家桥镇沈家湖村、上滩村项目区林业小班设计表</t>
  </si>
  <si>
    <t>小班号</t>
  </si>
  <si>
    <t>地点</t>
  </si>
  <si>
    <r>
      <rPr>
        <sz val="12"/>
        <rFont val="仿宋_GB2312"/>
        <charset val="134"/>
      </rPr>
      <t>林带长度（</t>
    </r>
    <r>
      <rPr>
        <sz val="9"/>
        <rFont val="仿宋_GB2312"/>
        <charset val="134"/>
      </rPr>
      <t>m</t>
    </r>
    <r>
      <rPr>
        <sz val="12"/>
        <rFont val="仿宋_GB2312"/>
        <charset val="134"/>
      </rPr>
      <t>）</t>
    </r>
  </si>
  <si>
    <t>株行距</t>
  </si>
  <si>
    <t>行数</t>
  </si>
  <si>
    <r>
      <rPr>
        <sz val="12"/>
        <rFont val="仿宋_GB2312"/>
        <charset val="134"/>
      </rPr>
      <t>林带宽（</t>
    </r>
    <r>
      <rPr>
        <sz val="9"/>
        <rFont val="仿宋_GB2312"/>
        <charset val="134"/>
      </rPr>
      <t>m</t>
    </r>
    <r>
      <rPr>
        <sz val="12"/>
        <rFont val="仿宋_GB2312"/>
        <charset val="134"/>
      </rPr>
      <t>）</t>
    </r>
  </si>
  <si>
    <t>面积（亩）</t>
  </si>
  <si>
    <t>典型设计号</t>
  </si>
  <si>
    <t>苗木规格</t>
  </si>
  <si>
    <t>合计（株）</t>
  </si>
  <si>
    <t>金叶榆（株）</t>
  </si>
  <si>
    <t>侧柏（株）</t>
  </si>
  <si>
    <t>河北杨（株）</t>
  </si>
  <si>
    <t>紫穗槐（墩）</t>
  </si>
  <si>
    <t>1号</t>
  </si>
  <si>
    <t>梧桐中路边沟</t>
  </si>
  <si>
    <t>2×3</t>
  </si>
  <si>
    <r>
      <rPr>
        <sz val="9"/>
        <rFont val="仿宋_GB2312"/>
        <charset val="134"/>
      </rPr>
      <t>D</t>
    </r>
    <r>
      <rPr>
        <sz val="12"/>
        <rFont val="仿宋_GB2312"/>
        <charset val="134"/>
      </rPr>
      <t>≥</t>
    </r>
    <r>
      <rPr>
        <sz val="9"/>
        <rFont val="仿宋_GB2312"/>
        <charset val="134"/>
      </rPr>
      <t>3cm</t>
    </r>
  </si>
  <si>
    <t>2号</t>
  </si>
  <si>
    <t>梧干渠边沟</t>
  </si>
  <si>
    <r>
      <rPr>
        <sz val="9"/>
        <rFont val="仿宋_GB2312"/>
        <charset val="134"/>
      </rPr>
      <t>H</t>
    </r>
    <r>
      <rPr>
        <sz val="12"/>
        <rFont val="仿宋_GB2312"/>
        <charset val="134"/>
      </rPr>
      <t>≥</t>
    </r>
    <r>
      <rPr>
        <sz val="9"/>
        <rFont val="仿宋_GB2312"/>
        <charset val="134"/>
      </rPr>
      <t>120cm</t>
    </r>
  </si>
  <si>
    <t>3号</t>
  </si>
  <si>
    <t>西大沟</t>
  </si>
  <si>
    <t>D=3.1-4cm</t>
  </si>
  <si>
    <t>4号</t>
  </si>
  <si>
    <t>Ⅲ</t>
  </si>
  <si>
    <r>
      <rPr>
        <b/>
        <sz val="16"/>
        <rFont val="仿宋_GB2312"/>
        <charset val="134"/>
      </rPr>
      <t>表</t>
    </r>
    <r>
      <rPr>
        <sz val="12"/>
        <rFont val="Times New Roman"/>
        <charset val="134"/>
      </rPr>
      <t xml:space="preserve">6-14     </t>
    </r>
    <r>
      <rPr>
        <b/>
        <sz val="16"/>
        <rFont val="仿宋_GB2312"/>
        <charset val="134"/>
      </rPr>
      <t>灵武市郝家桥镇沈家湖村、上滩村林业苗木投资估算表</t>
    </r>
    <r>
      <rPr>
        <sz val="12"/>
        <rFont val="Times New Roman"/>
        <charset val="134"/>
      </rPr>
      <t xml:space="preserve">      </t>
    </r>
    <r>
      <rPr>
        <b/>
        <sz val="16"/>
        <rFont val="仿宋_GB2312"/>
        <charset val="134"/>
      </rPr>
      <t>单位：万元</t>
    </r>
  </si>
  <si>
    <t>数量（株）</t>
  </si>
  <si>
    <t>树种</t>
  </si>
  <si>
    <t>苗岭</t>
  </si>
  <si>
    <r>
      <rPr>
        <b/>
        <sz val="16"/>
        <rFont val="仿宋_GB2312"/>
        <charset val="134"/>
      </rPr>
      <t>规格（</t>
    </r>
    <r>
      <rPr>
        <sz val="12"/>
        <rFont val="Times New Roman"/>
        <charset val="134"/>
      </rPr>
      <t>cm</t>
    </r>
    <r>
      <rPr>
        <b/>
        <sz val="16"/>
        <rFont val="仿宋_GB2312"/>
        <charset val="134"/>
      </rPr>
      <t>）</t>
    </r>
  </si>
  <si>
    <t>旱柳</t>
  </si>
  <si>
    <t>D:4.1-5cm</t>
  </si>
  <si>
    <t>新疆杨</t>
  </si>
  <si>
    <t>D:3.1-4cm</t>
  </si>
  <si>
    <r>
      <rPr>
        <b/>
        <sz val="16"/>
        <rFont val="仿宋_GB2312"/>
        <charset val="134"/>
      </rPr>
      <t>表</t>
    </r>
    <r>
      <rPr>
        <sz val="12"/>
        <rFont val="Times New Roman"/>
        <charset val="134"/>
      </rPr>
      <t xml:space="preserve">6-15   </t>
    </r>
    <r>
      <rPr>
        <sz val="12"/>
        <color indexed="10"/>
        <rFont val="Times New Roman"/>
        <charset val="134"/>
      </rPr>
      <t xml:space="preserve"> </t>
    </r>
    <r>
      <rPr>
        <sz val="12"/>
        <rFont val="Times New Roman"/>
        <charset val="134"/>
      </rPr>
      <t xml:space="preserve">    </t>
    </r>
    <r>
      <rPr>
        <b/>
        <sz val="16"/>
        <rFont val="仿宋_GB2312"/>
        <charset val="134"/>
      </rPr>
      <t>灵武市郝家桥镇沈家湖村、上滩村项目区造林成本估算表</t>
    </r>
    <r>
      <rPr>
        <b/>
        <sz val="10"/>
        <rFont val="仿宋_GB2312"/>
        <charset val="134"/>
      </rPr>
      <t xml:space="preserve"> </t>
    </r>
    <r>
      <rPr>
        <sz val="12"/>
        <color indexed="10"/>
        <rFont val="Times New Roman"/>
        <charset val="134"/>
      </rPr>
      <t xml:space="preserve">      </t>
    </r>
    <r>
      <rPr>
        <b/>
        <sz val="16"/>
        <rFont val="仿宋_GB2312"/>
        <charset val="134"/>
      </rPr>
      <t>单位：万元</t>
    </r>
  </si>
  <si>
    <t>造林面积（亩）</t>
  </si>
  <si>
    <t>投资</t>
  </si>
  <si>
    <t>苗木</t>
  </si>
  <si>
    <t>劳务</t>
  </si>
  <si>
    <t>农机使用费</t>
  </si>
  <si>
    <t>化肥农药</t>
  </si>
  <si>
    <t>水电费</t>
  </si>
  <si>
    <t>管护费</t>
  </si>
  <si>
    <t>用工量 （工日/亩）</t>
  </si>
  <si>
    <t>工日单价（元）</t>
  </si>
  <si>
    <t>劳务费（万元）</t>
  </si>
  <si>
    <t>乔木</t>
  </si>
  <si>
    <t>林业措施估算表</t>
  </si>
  <si>
    <t>合计（万元）</t>
  </si>
  <si>
    <t>田间林网绿化</t>
  </si>
  <si>
    <t>苗木费</t>
  </si>
  <si>
    <r>
      <rPr>
        <b/>
        <sz val="16"/>
        <rFont val="仿宋_GB2312"/>
        <charset val="134"/>
      </rPr>
      <t>河北杨（</t>
    </r>
    <r>
      <rPr>
        <sz val="12"/>
        <rFont val="Times New Roman"/>
        <charset val="134"/>
      </rPr>
      <t>D</t>
    </r>
    <r>
      <rPr>
        <b/>
        <sz val="16"/>
        <rFont val="仿宋_GB2312"/>
        <charset val="134"/>
      </rPr>
      <t>≥</t>
    </r>
    <r>
      <rPr>
        <sz val="12"/>
        <rFont val="Times New Roman"/>
        <charset val="134"/>
      </rPr>
      <t>3cm</t>
    </r>
    <r>
      <rPr>
        <b/>
        <sz val="16"/>
        <rFont val="仿宋_GB2312"/>
        <charset val="134"/>
      </rPr>
      <t>）</t>
    </r>
  </si>
  <si>
    <r>
      <rPr>
        <b/>
        <sz val="16"/>
        <rFont val="仿宋_GB2312"/>
        <charset val="134"/>
      </rPr>
      <t>侧柏（</t>
    </r>
    <r>
      <rPr>
        <sz val="12"/>
        <rFont val="Times New Roman"/>
        <charset val="134"/>
      </rPr>
      <t>H</t>
    </r>
    <r>
      <rPr>
        <b/>
        <sz val="16"/>
        <rFont val="仿宋_GB2312"/>
        <charset val="134"/>
      </rPr>
      <t>≥</t>
    </r>
    <r>
      <rPr>
        <sz val="12"/>
        <rFont val="Times New Roman"/>
        <charset val="134"/>
      </rPr>
      <t>120cm</t>
    </r>
    <r>
      <rPr>
        <b/>
        <sz val="16"/>
        <rFont val="仿宋_GB2312"/>
        <charset val="134"/>
      </rPr>
      <t>）</t>
    </r>
  </si>
  <si>
    <r>
      <rPr>
        <b/>
        <sz val="16"/>
        <rFont val="仿宋_GB2312"/>
        <charset val="134"/>
      </rPr>
      <t>金叶榆（</t>
    </r>
    <r>
      <rPr>
        <sz val="12"/>
        <rFont val="Times New Roman"/>
        <charset val="134"/>
      </rPr>
      <t>D=3.1-4cm</t>
    </r>
    <r>
      <rPr>
        <b/>
        <sz val="16"/>
        <rFont val="仿宋_GB2312"/>
        <charset val="134"/>
      </rPr>
      <t>）</t>
    </r>
  </si>
  <si>
    <t>树苗栽植</t>
  </si>
  <si>
    <t>整地费</t>
  </si>
  <si>
    <t>2.1.1</t>
  </si>
  <si>
    <t>挖树坑费</t>
  </si>
  <si>
    <t>2.1.2</t>
  </si>
  <si>
    <t>栽植费</t>
  </si>
  <si>
    <t>抚育管护</t>
  </si>
  <si>
    <t>浇水费</t>
  </si>
  <si>
    <t>涂红刷白</t>
  </si>
  <si>
    <t>病虫害防治</t>
  </si>
  <si>
    <t>修剪除草</t>
  </si>
  <si>
    <t>林木管护费</t>
  </si>
  <si>
    <t>其他费</t>
  </si>
  <si>
    <t>临时工程概算表</t>
  </si>
  <si>
    <t xml:space="preserve">项目名称：贺兰山东麓片区土地整理和乡村生态修复项目供水工程                               </t>
  </si>
  <si>
    <t>施工降水费</t>
  </si>
  <si>
    <t>1#蓄水池</t>
  </si>
  <si>
    <t>降水井</t>
  </si>
  <si>
    <t>眼</t>
  </si>
  <si>
    <t>降水台班</t>
  </si>
  <si>
    <t>台时</t>
  </si>
  <si>
    <t>其他施工临时工程</t>
  </si>
  <si>
    <t xml:space="preserve">  农田林网工程概算表</t>
  </si>
  <si>
    <t>农垦集团2022年贺兰山农牧场高标准农田建设项目林业小班设计表</t>
  </si>
  <si>
    <r>
      <rPr>
        <sz val="9"/>
        <rFont val="仿宋_GB2312"/>
        <charset val="134"/>
      </rPr>
      <t>林带长度（</t>
    </r>
    <r>
      <rPr>
        <sz val="9"/>
        <rFont val="Times New Roman"/>
        <charset val="134"/>
      </rPr>
      <t>m</t>
    </r>
    <r>
      <rPr>
        <sz val="9"/>
        <rFont val="仿宋_GB2312"/>
        <charset val="134"/>
      </rPr>
      <t>）</t>
    </r>
  </si>
  <si>
    <r>
      <rPr>
        <sz val="9"/>
        <rFont val="仿宋_GB2312"/>
        <charset val="134"/>
      </rPr>
      <t>林带宽（</t>
    </r>
    <r>
      <rPr>
        <sz val="9"/>
        <rFont val="Times New Roman"/>
        <charset val="134"/>
      </rPr>
      <t>m</t>
    </r>
    <r>
      <rPr>
        <sz val="9"/>
        <rFont val="仿宋_GB2312"/>
        <charset val="134"/>
      </rPr>
      <t>）</t>
    </r>
  </si>
  <si>
    <t>新疆杨（株）</t>
  </si>
  <si>
    <t>国槐（株）</t>
  </si>
  <si>
    <t>苗木采购费</t>
  </si>
  <si>
    <t>新一号渠</t>
  </si>
  <si>
    <t>D=4.1-5cm</t>
  </si>
  <si>
    <r>
      <rPr>
        <sz val="10"/>
        <rFont val="宋体"/>
        <charset val="134"/>
      </rPr>
      <t>新疆杨（</t>
    </r>
    <r>
      <rPr>
        <sz val="10"/>
        <rFont val="Times New Roman"/>
        <charset val="134"/>
      </rPr>
      <t>D=4.1~5cm</t>
    </r>
    <r>
      <rPr>
        <sz val="10"/>
        <rFont val="宋体"/>
        <charset val="134"/>
      </rPr>
      <t>）</t>
    </r>
  </si>
  <si>
    <t>东二号渠边沟</t>
  </si>
  <si>
    <r>
      <rPr>
        <sz val="10"/>
        <rFont val="宋体"/>
        <charset val="134"/>
      </rPr>
      <t>国槐（</t>
    </r>
    <r>
      <rPr>
        <sz val="10"/>
        <rFont val="Times New Roman"/>
        <charset val="134"/>
      </rPr>
      <t>D=4.1~5cm</t>
    </r>
    <r>
      <rPr>
        <sz val="10"/>
        <rFont val="宋体"/>
        <charset val="134"/>
      </rPr>
      <t>）</t>
    </r>
  </si>
  <si>
    <t>园林工程</t>
  </si>
  <si>
    <r>
      <rPr>
        <sz val="9"/>
        <rFont val="仿宋_GB2312"/>
        <charset val="134"/>
      </rPr>
      <t>新</t>
    </r>
    <r>
      <rPr>
        <sz val="9"/>
        <rFont val="Times New Roman"/>
        <charset val="134"/>
      </rPr>
      <t>17</t>
    </r>
    <r>
      <rPr>
        <sz val="9"/>
        <rFont val="仿宋_GB2312"/>
        <charset val="134"/>
      </rPr>
      <t>号斗渠</t>
    </r>
  </si>
  <si>
    <t>种植费</t>
  </si>
  <si>
    <t>林业总费用</t>
  </si>
  <si>
    <t>独 立 费 用 估 算 表</t>
  </si>
  <si>
    <t xml:space="preserve">  表14-8</t>
  </si>
  <si>
    <t>单价（万元）</t>
  </si>
  <si>
    <t xml:space="preserve">  第五部分   独立费用</t>
  </si>
  <si>
    <t>科研勘测设计费</t>
  </si>
  <si>
    <t>项目勘测费</t>
  </si>
  <si>
    <t>初步设计费</t>
  </si>
  <si>
    <t>招标业务费</t>
  </si>
  <si>
    <t>工程保险费</t>
  </si>
  <si>
    <t>建设管理费计算表</t>
  </si>
  <si>
    <t>设计费收费标准</t>
  </si>
  <si>
    <t>计费额</t>
  </si>
  <si>
    <t>收费基价</t>
  </si>
  <si>
    <t>小计</t>
  </si>
  <si>
    <t>工程招标代理费计算表</t>
  </si>
  <si>
    <t>服务招标代理费计算表</t>
  </si>
  <si>
    <t>设计</t>
  </si>
  <si>
    <t>勘察费收费标准</t>
  </si>
  <si>
    <t>投资估算值</t>
  </si>
  <si>
    <t>(计费额)</t>
  </si>
  <si>
    <t>l</t>
  </si>
  <si>
    <t>l2．O</t>
  </si>
  <si>
    <t>1O</t>
  </si>
  <si>
    <t>8O,000</t>
  </si>
  <si>
    <t>监理</t>
  </si>
  <si>
    <t>139.1O</t>
  </si>
  <si>
    <t>56O.8O</t>
  </si>
  <si>
    <t>l5,506.20</t>
  </si>
  <si>
    <t>勘察收费计算表</t>
  </si>
  <si>
    <t>名  称</t>
  </si>
  <si>
    <t>调整系数/基价</t>
  </si>
  <si>
    <t>调整系数/基价（建筑物）</t>
  </si>
  <si>
    <t>可研</t>
  </si>
  <si>
    <t>初设</t>
  </si>
  <si>
    <t>工程勘察费</t>
  </si>
  <si>
    <t>间接费</t>
  </si>
  <si>
    <t>工程勘察收费基准价</t>
  </si>
  <si>
    <t>利润</t>
  </si>
  <si>
    <t>工程勘察收费基价(内插法)</t>
  </si>
  <si>
    <t>税金</t>
  </si>
  <si>
    <t>计费额(万元)</t>
  </si>
  <si>
    <t>扩大费</t>
  </si>
  <si>
    <t>％</t>
  </si>
  <si>
    <t>计费额标准(万元)</t>
  </si>
  <si>
    <t>收费基价标准(万元)</t>
  </si>
  <si>
    <t>专业调整系数</t>
  </si>
  <si>
    <t>工程复杂程度调整系数</t>
  </si>
  <si>
    <t>附加调整系数</t>
  </si>
  <si>
    <t>浮动幅度值(±20%)</t>
  </si>
  <si>
    <t>工程勘察前期费</t>
  </si>
  <si>
    <t>浮动幅度值</t>
  </si>
  <si>
    <t>工程勘察收费</t>
  </si>
  <si>
    <t>项目建议书阶段</t>
  </si>
  <si>
    <t>可研阶段</t>
  </si>
  <si>
    <t>工程勘察收费合计</t>
  </si>
  <si>
    <r>
      <rPr>
        <sz val="10"/>
        <color indexed="8"/>
        <rFont val="宋体"/>
        <charset val="134"/>
      </rPr>
      <t>工程勘察收费=工程勘察收费基准价×（1±浮动幅度值）
工程勘察收费基准价=基本勘察收费+其他勘察收费
基本勘察收费=工程勘察</t>
    </r>
    <r>
      <rPr>
        <sz val="10"/>
        <rFont val="宋体"/>
        <charset val="134"/>
      </rPr>
      <t>收费基价</t>
    </r>
    <r>
      <rPr>
        <sz val="10"/>
        <color indexed="8"/>
        <rFont val="宋体"/>
        <charset val="134"/>
      </rPr>
      <t>×专业调整系数×工程复杂程度调整系数×附加调整系数</t>
    </r>
  </si>
  <si>
    <t>工程设计与概算编制收费计算表</t>
  </si>
  <si>
    <t>工程设计费</t>
  </si>
  <si>
    <t>工程设计收费基准价</t>
  </si>
  <si>
    <t>工程设计收费基价</t>
  </si>
  <si>
    <t>工程设计前期费</t>
  </si>
  <si>
    <t>工程设计收费</t>
  </si>
  <si>
    <t>工程设计收费合计</t>
  </si>
  <si>
    <t>工程设计收费=工程设计收费基准价×（1±浮动幅度值）
工程设计收费基准价=基本设计收费+其他设计收费
基本设计收费=工程设计收费基价×专业调整系数×工程复杂程度调整系数×附加调整系数</t>
  </si>
  <si>
    <t>勘察设计费</t>
  </si>
  <si>
    <t>前期收费基数</t>
  </si>
  <si>
    <t>可行性研究编制收费计算表</t>
  </si>
  <si>
    <t>施工监理服务收费计算表</t>
  </si>
  <si>
    <t>单价分析汇总表</t>
  </si>
  <si>
    <t>定额编号</t>
  </si>
  <si>
    <t>名     称</t>
  </si>
  <si>
    <t>人工一般土方开挖（ⅠⅡ类）</t>
  </si>
  <si>
    <t>100m³</t>
  </si>
  <si>
    <t>人工一般土方开挖（Ⅲ类）</t>
  </si>
  <si>
    <t>人工一般土方开挖（Ⅳ类）</t>
  </si>
  <si>
    <r>
      <rPr>
        <sz val="10"/>
        <rFont val="宋体"/>
        <charset val="134"/>
      </rPr>
      <t>人工挖冻土胶轮车运输（冻土厚</t>
    </r>
    <r>
      <rPr>
        <sz val="10"/>
        <rFont val="Times New Roman"/>
        <charset val="134"/>
      </rPr>
      <t>20cm</t>
    </r>
    <r>
      <rPr>
        <sz val="10"/>
        <rFont val="宋体"/>
        <charset val="134"/>
      </rPr>
      <t>、运距</t>
    </r>
    <r>
      <rPr>
        <sz val="10"/>
        <rFont val="Times New Roman"/>
        <charset val="134"/>
      </rPr>
      <t>50m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</si>
  <si>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人工挖冻土胶轮车运输（冻土厚</t>
    </r>
    <r>
      <rPr>
        <sz val="10"/>
        <rFont val="Times New Roman"/>
        <charset val="134"/>
      </rPr>
      <t>50cm</t>
    </r>
    <r>
      <rPr>
        <sz val="10"/>
        <rFont val="宋体"/>
        <charset val="134"/>
      </rPr>
      <t>、运距</t>
    </r>
    <r>
      <rPr>
        <sz val="10"/>
        <rFont val="Times New Roman"/>
        <charset val="134"/>
      </rPr>
      <t>50m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</si>
  <si>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人工挖冻土胶轮车运输（冻土厚</t>
    </r>
    <r>
      <rPr>
        <sz val="10"/>
        <rFont val="Times New Roman"/>
        <charset val="134"/>
      </rPr>
      <t>80cm</t>
    </r>
    <r>
      <rPr>
        <sz val="10"/>
        <rFont val="宋体"/>
        <charset val="134"/>
      </rPr>
      <t>、运距</t>
    </r>
    <r>
      <rPr>
        <sz val="10"/>
        <rFont val="Times New Roman"/>
        <charset val="134"/>
      </rPr>
      <t>50m</t>
    </r>
    <r>
      <rPr>
        <sz val="10"/>
        <rFont val="宋体"/>
        <charset val="134"/>
      </rPr>
      <t>）</t>
    </r>
  </si>
  <si>
    <t>C20</t>
  </si>
  <si>
    <r>
      <rPr>
        <sz val="10"/>
        <rFont val="宋体"/>
        <charset val="134"/>
      </rPr>
      <t>人工挖装抬土（ⅠⅡ类，运距</t>
    </r>
    <r>
      <rPr>
        <sz val="10"/>
        <rFont val="Times New Roman"/>
        <charset val="134"/>
      </rPr>
      <t>20m</t>
    </r>
    <r>
      <rPr>
        <sz val="10"/>
        <rFont val="宋体"/>
        <charset val="134"/>
      </rPr>
      <t>）</t>
    </r>
  </si>
  <si>
    <t>C15</t>
  </si>
  <si>
    <r>
      <rPr>
        <sz val="10"/>
        <rFont val="宋体"/>
        <charset val="134"/>
      </rPr>
      <t>人工挖装抬土（ⅠⅡ类，运距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）</t>
    </r>
  </si>
  <si>
    <t>钢筋</t>
  </si>
  <si>
    <r>
      <rPr>
        <sz val="10"/>
        <rFont val="宋体"/>
        <charset val="134"/>
      </rPr>
      <t>人工挖装抬土（ⅠⅡ类，运距</t>
    </r>
    <r>
      <rPr>
        <sz val="10"/>
        <rFont val="Times New Roman"/>
        <charset val="134"/>
      </rPr>
      <t>60m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</si>
  <si>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人工挖装抬土（ⅠⅡ类，运距</t>
    </r>
    <r>
      <rPr>
        <sz val="10"/>
        <rFont val="Times New Roman"/>
        <charset val="134"/>
      </rPr>
      <t>80m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</si>
  <si>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人工挖装抬土（ⅠⅡ类，运距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</si>
  <si>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1m²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</si>
  <si>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1~2.5m²</t>
    </r>
    <r>
      <rPr>
        <sz val="10"/>
        <rFont val="宋体"/>
        <charset val="134"/>
      </rPr>
      <t>以内，坑深</t>
    </r>
    <r>
      <rPr>
        <sz val="10"/>
        <rFont val="Times New Roman"/>
        <charset val="134"/>
      </rPr>
      <t>1.5m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</si>
  <si>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1~2.5m²</t>
    </r>
    <r>
      <rPr>
        <sz val="10"/>
        <rFont val="宋体"/>
        <charset val="134"/>
      </rPr>
      <t>以内，坑深</t>
    </r>
    <r>
      <rPr>
        <sz val="10"/>
        <rFont val="Times New Roman"/>
        <charset val="134"/>
      </rPr>
      <t>1.5~2.5m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</si>
  <si>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2.5~6.5m²</t>
    </r>
    <r>
      <rPr>
        <sz val="10"/>
        <rFont val="宋体"/>
        <charset val="134"/>
      </rPr>
      <t>以内，坑深</t>
    </r>
    <r>
      <rPr>
        <sz val="10"/>
        <rFont val="Times New Roman"/>
        <charset val="134"/>
      </rPr>
      <t>2.0m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</si>
  <si>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2.5~6.5m²</t>
    </r>
    <r>
      <rPr>
        <sz val="10"/>
        <rFont val="宋体"/>
        <charset val="134"/>
      </rPr>
      <t>以内，坑深</t>
    </r>
    <r>
      <rPr>
        <sz val="10"/>
        <rFont val="Times New Roman"/>
        <charset val="134"/>
      </rPr>
      <t>2.0~3.0m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</si>
  <si>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人工挖倒桩柱（ⅠⅡ类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上口面积</t>
    </r>
    <r>
      <rPr>
        <sz val="10"/>
        <rFont val="Times New Roman"/>
        <charset val="134"/>
      </rPr>
      <t>2.5~6.5m²</t>
    </r>
    <r>
      <rPr>
        <sz val="10"/>
        <rFont val="宋体"/>
        <charset val="134"/>
      </rPr>
      <t>以内，坑深</t>
    </r>
    <r>
      <rPr>
        <sz val="10"/>
        <rFont val="Times New Roman"/>
        <charset val="134"/>
      </rPr>
      <t>3.0~4.0m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</si>
  <si>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</si>
  <si>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1.5m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1.0m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</si>
  <si>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1.5m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1.5m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</si>
  <si>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3.0m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1.5m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</si>
  <si>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3.0m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2.0m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</si>
  <si>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3.0m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2.5m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</si>
  <si>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人工挖倒沟槽（ⅠⅡ类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上口宽度</t>
    </r>
    <r>
      <rPr>
        <sz val="10"/>
        <rFont val="Times New Roman"/>
        <charset val="134"/>
      </rPr>
      <t>3.0m</t>
    </r>
    <r>
      <rPr>
        <sz val="10"/>
        <rFont val="宋体"/>
        <charset val="134"/>
      </rPr>
      <t>以内、深度</t>
    </r>
    <r>
      <rPr>
        <sz val="10"/>
        <rFont val="Times New Roman"/>
        <charset val="134"/>
      </rPr>
      <t>3.0m</t>
    </r>
    <r>
      <rPr>
        <sz val="10"/>
        <rFont val="宋体"/>
        <charset val="134"/>
      </rPr>
      <t>以内）</t>
    </r>
  </si>
  <si>
    <r>
      <rPr>
        <sz val="10"/>
        <rFont val="宋体"/>
        <charset val="134"/>
      </rPr>
      <t>人工挖桩孔土方（人工吊运、孔深</t>
    </r>
    <r>
      <rPr>
        <sz val="10"/>
        <rFont val="Times New Roman"/>
        <charset val="134"/>
      </rPr>
      <t>6m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</si>
  <si>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人工挖桩孔土方（人工吊运、孔深</t>
    </r>
    <r>
      <rPr>
        <sz val="10"/>
        <rFont val="Times New Roman"/>
        <charset val="134"/>
      </rPr>
      <t>9m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</si>
  <si>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人工挖竖井土方（人工吊运、孔深</t>
    </r>
    <r>
      <rPr>
        <sz val="10"/>
        <rFont val="Times New Roman"/>
        <charset val="134"/>
      </rPr>
      <t>5m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</si>
  <si>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人工挖竖井土方（卷扬机吊运、孔深</t>
    </r>
    <r>
      <rPr>
        <sz val="10"/>
        <rFont val="Times New Roman"/>
        <charset val="134"/>
      </rPr>
      <t>5m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</si>
  <si>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人工挖竖井土方（人工吊运、孔深</t>
    </r>
    <r>
      <rPr>
        <sz val="10"/>
        <rFont val="Times New Roman"/>
        <charset val="134"/>
      </rPr>
      <t>10m</t>
    </r>
    <r>
      <rPr>
        <sz val="10"/>
        <rFont val="宋体"/>
        <charset val="134"/>
      </rPr>
      <t>）</t>
    </r>
  </si>
  <si>
    <t>人工水下挖土</t>
  </si>
  <si>
    <t>人工挖运砂礓土</t>
  </si>
  <si>
    <t>水力开挖土方（冲自然土）</t>
  </si>
  <si>
    <t>水力开挖土方（爆破后冲土）</t>
  </si>
  <si>
    <t>水力开挖土方（机械开挖后冲土）</t>
  </si>
  <si>
    <r>
      <rPr>
        <sz val="10"/>
        <rFont val="宋体"/>
        <charset val="134"/>
      </rPr>
      <t>人工挖淤泥流砂（运距</t>
    </r>
    <r>
      <rPr>
        <sz val="10"/>
        <rFont val="Times New Roman"/>
        <charset val="134"/>
      </rPr>
      <t>10m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</si>
  <si>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人工挖装卸土胶轮车运输（ⅠⅡ类土，运距</t>
    </r>
    <r>
      <rPr>
        <sz val="10"/>
        <rFont val="Times New Roman"/>
        <charset val="134"/>
      </rPr>
      <t>20m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</si>
  <si>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推土机推土（</t>
    </r>
    <r>
      <rPr>
        <sz val="10"/>
        <rFont val="Times New Roman"/>
        <charset val="134"/>
      </rPr>
      <t>74kw</t>
    </r>
    <r>
      <rPr>
        <sz val="10"/>
        <rFont val="宋体"/>
        <charset val="134"/>
      </rPr>
      <t>、推距</t>
    </r>
    <r>
      <rPr>
        <sz val="10"/>
        <rFont val="Times New Roman"/>
        <charset val="134"/>
      </rPr>
      <t>20m</t>
    </r>
    <r>
      <rPr>
        <sz val="10"/>
        <rFont val="宋体"/>
        <charset val="134"/>
      </rPr>
      <t>，ⅠⅡ类土）</t>
    </r>
  </si>
  <si>
    <r>
      <rPr>
        <sz val="10"/>
        <rFont val="宋体"/>
        <charset val="134"/>
      </rPr>
      <t>推土机推土（</t>
    </r>
    <r>
      <rPr>
        <sz val="10"/>
        <rFont val="Times New Roman"/>
        <charset val="134"/>
      </rPr>
      <t>74kw</t>
    </r>
    <r>
      <rPr>
        <sz val="10"/>
        <rFont val="宋体"/>
        <charset val="134"/>
      </rPr>
      <t>、推距</t>
    </r>
    <r>
      <rPr>
        <sz val="10"/>
        <rFont val="Times New Roman"/>
        <charset val="134"/>
      </rPr>
      <t>30m</t>
    </r>
    <r>
      <rPr>
        <sz val="10"/>
        <rFont val="宋体"/>
        <charset val="134"/>
      </rPr>
      <t>，ⅠⅡ类土）</t>
    </r>
  </si>
  <si>
    <r>
      <rPr>
        <sz val="10"/>
        <rFont val="宋体"/>
        <charset val="134"/>
      </rPr>
      <t>推土机推土（</t>
    </r>
    <r>
      <rPr>
        <sz val="10"/>
        <rFont val="Times New Roman"/>
        <charset val="134"/>
      </rPr>
      <t>74kw</t>
    </r>
    <r>
      <rPr>
        <sz val="10"/>
        <rFont val="宋体"/>
        <charset val="134"/>
      </rPr>
      <t>、推距</t>
    </r>
    <r>
      <rPr>
        <sz val="10"/>
        <rFont val="Times New Roman"/>
        <charset val="134"/>
      </rPr>
      <t>30m</t>
    </r>
    <r>
      <rPr>
        <sz val="10"/>
        <rFont val="宋体"/>
        <charset val="134"/>
      </rPr>
      <t>，Ⅳ类土）</t>
    </r>
  </si>
  <si>
    <t>挖掘机挖土方（ⅠⅡ类）</t>
  </si>
  <si>
    <t>挖掘机挖土方（Ⅲ类）</t>
  </si>
  <si>
    <r>
      <rPr>
        <sz val="10"/>
        <rFont val="Times New Roman"/>
        <charset val="134"/>
      </rPr>
      <t>0.5m³</t>
    </r>
    <r>
      <rPr>
        <sz val="10"/>
        <rFont val="宋体"/>
        <charset val="134"/>
      </rPr>
      <t>挖掘机挖土自卸汽车运输（运距</t>
    </r>
    <r>
      <rPr>
        <sz val="10"/>
        <rFont val="Times New Roman"/>
        <charset val="134"/>
      </rPr>
      <t>1.5-2km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</si>
  <si>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0.5m³挖掘机挖土，自卸汽车运输（运距</t>
    </r>
    <r>
      <rPr>
        <sz val="10"/>
        <rFont val="Times New Roman"/>
        <charset val="134"/>
      </rPr>
      <t>2-3km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</si>
  <si>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0.5m³</t>
    </r>
    <r>
      <rPr>
        <sz val="10"/>
        <rFont val="宋体"/>
        <charset val="134"/>
      </rPr>
      <t>挖掘机挖土自卸汽车运输（装运，运距</t>
    </r>
    <r>
      <rPr>
        <sz val="10"/>
        <rFont val="Times New Roman"/>
        <charset val="134"/>
      </rPr>
      <t>0.25km</t>
    </r>
    <r>
      <rPr>
        <sz val="10"/>
        <rFont val="宋体"/>
        <charset val="134"/>
      </rPr>
      <t>内）</t>
    </r>
  </si>
  <si>
    <r>
      <rPr>
        <sz val="10"/>
        <rFont val="Times New Roman"/>
        <charset val="134"/>
      </rPr>
      <t>1m³</t>
    </r>
    <r>
      <rPr>
        <sz val="10"/>
        <rFont val="宋体"/>
        <charset val="134"/>
      </rPr>
      <t>挖掘机挖土自卸汽车运输（装运，运距</t>
    </r>
    <r>
      <rPr>
        <sz val="10"/>
        <rFont val="Times New Roman"/>
        <charset val="134"/>
      </rPr>
      <t>0.5-1km</t>
    </r>
    <r>
      <rPr>
        <sz val="10"/>
        <rFont val="宋体"/>
        <charset val="134"/>
      </rPr>
      <t>内）</t>
    </r>
  </si>
  <si>
    <r>
      <rPr>
        <sz val="10"/>
        <rFont val="宋体"/>
        <charset val="134"/>
      </rPr>
      <t>自卸汽车运输（运距</t>
    </r>
    <r>
      <rPr>
        <sz val="10"/>
        <rFont val="Times New Roman"/>
        <charset val="134"/>
      </rPr>
      <t>0.5-1km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</si>
  <si>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1m³</t>
    </r>
    <r>
      <rPr>
        <sz val="10"/>
        <rFont val="宋体"/>
        <charset val="134"/>
      </rPr>
      <t>挖掘机挖土自卸汽车运输（运距</t>
    </r>
    <r>
      <rPr>
        <sz val="10"/>
        <rFont val="Times New Roman"/>
        <charset val="134"/>
      </rPr>
      <t>4-6km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</si>
  <si>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2m³</t>
    </r>
    <r>
      <rPr>
        <sz val="10"/>
        <rFont val="宋体"/>
        <charset val="134"/>
      </rPr>
      <t>挖掘机挖土自卸汽车运输（运距</t>
    </r>
    <r>
      <rPr>
        <sz val="10"/>
        <rFont val="Times New Roman"/>
        <charset val="134"/>
      </rPr>
      <t>3-4km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</si>
  <si>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2m³</t>
    </r>
    <r>
      <rPr>
        <sz val="10"/>
        <rFont val="宋体"/>
        <charset val="134"/>
      </rPr>
      <t>装载机装土自卸汽车运输（运距</t>
    </r>
    <r>
      <rPr>
        <sz val="10"/>
        <rFont val="Times New Roman"/>
        <charset val="134"/>
      </rPr>
      <t>1-2km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</si>
  <si>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2m³</t>
    </r>
    <r>
      <rPr>
        <sz val="10"/>
        <rFont val="宋体"/>
        <charset val="134"/>
      </rPr>
      <t>装载机装土自卸汽车运输（运距</t>
    </r>
    <r>
      <rPr>
        <sz val="10"/>
        <rFont val="Times New Roman"/>
        <charset val="134"/>
      </rPr>
      <t>10km</t>
    </r>
    <r>
      <rPr>
        <sz val="10"/>
        <rFont val="宋体"/>
        <charset val="134"/>
      </rPr>
      <t>）</t>
    </r>
  </si>
  <si>
    <t>人工夯填土坝</t>
  </si>
  <si>
    <t>拖拉机压实（坝体土料）</t>
  </si>
  <si>
    <t>拖拉机压实（砂石料）</t>
  </si>
  <si>
    <t>拖拉机压实（反滤料）</t>
  </si>
  <si>
    <t>建筑物回填土方（松填）</t>
  </si>
  <si>
    <t>建筑物回填土方（夯填）</t>
  </si>
  <si>
    <t>基础机械强夯（夯击一遍）</t>
  </si>
  <si>
    <t>100m²</t>
  </si>
  <si>
    <t>基础机械强夯（夯击二遍）</t>
  </si>
  <si>
    <t>基础机械强夯（夯击三遍）</t>
  </si>
  <si>
    <t>基础机械强夯（夯击四遍）</t>
  </si>
  <si>
    <t>原土夯实（原土打夯）</t>
  </si>
  <si>
    <t>原土夯实（原土碾压）</t>
  </si>
  <si>
    <t>人工修整边坡（挖方边坡）</t>
  </si>
  <si>
    <t>人工修整边坡（填方边坡）</t>
  </si>
  <si>
    <t>平整场地（人工平整）</t>
  </si>
  <si>
    <t>平整场地（机械平整）</t>
  </si>
  <si>
    <r>
      <rPr>
        <sz val="10"/>
        <rFont val="宋体"/>
        <charset val="134"/>
      </rPr>
      <t>人工挖树、伐树根（伐树，树身直径</t>
    </r>
    <r>
      <rPr>
        <sz val="10"/>
        <rFont val="Times New Roman"/>
        <charset val="134"/>
      </rPr>
      <t>40~60cm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</si>
  <si>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100</t>
    </r>
    <r>
      <rPr>
        <sz val="10"/>
        <rFont val="宋体"/>
        <charset val="134"/>
      </rPr>
      <t>棵</t>
    </r>
  </si>
  <si>
    <r>
      <rPr>
        <sz val="10"/>
        <rFont val="宋体"/>
        <charset val="134"/>
      </rPr>
      <t>人工挖树、伐树根（挖树根，树身直径</t>
    </r>
    <r>
      <rPr>
        <sz val="10"/>
        <rFont val="Times New Roman"/>
        <charset val="134"/>
      </rPr>
      <t>40~60cm</t>
    </r>
    <r>
      <rPr>
        <sz val="10"/>
        <rFont val="宋体"/>
        <charset val="134"/>
      </rPr>
      <t>）</t>
    </r>
  </si>
  <si>
    <t>石方工程</t>
  </si>
  <si>
    <r>
      <rPr>
        <sz val="10"/>
        <rFont val="宋体"/>
        <charset val="134"/>
      </rPr>
      <t>人工装运石碴手扶拖拉机运输（运距</t>
    </r>
    <r>
      <rPr>
        <sz val="10"/>
        <rFont val="Times New Roman"/>
        <charset val="134"/>
      </rPr>
      <t>1000m)</t>
    </r>
  </si>
  <si>
    <r>
      <rPr>
        <sz val="10"/>
        <rFont val="宋体"/>
        <charset val="134"/>
      </rPr>
      <t>人工装运石碴自卸汽车运输（运距</t>
    </r>
    <r>
      <rPr>
        <sz val="10"/>
        <rFont val="Times New Roman"/>
        <charset val="134"/>
      </rPr>
      <t>1000m)</t>
    </r>
  </si>
  <si>
    <r>
      <rPr>
        <sz val="10"/>
        <rFont val="Times New Roman"/>
        <charset val="134"/>
      </rPr>
      <t>1m³</t>
    </r>
    <r>
      <rPr>
        <sz val="10"/>
        <rFont val="宋体"/>
        <charset val="134"/>
      </rPr>
      <t>装载机装运石碴自卸汽车运输（运距</t>
    </r>
    <r>
      <rPr>
        <sz val="10"/>
        <rFont val="Times New Roman"/>
        <charset val="134"/>
      </rPr>
      <t>0.5-1.1km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</si>
  <si>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>1m³</t>
    </r>
    <r>
      <rPr>
        <sz val="10"/>
        <rFont val="宋体"/>
        <charset val="134"/>
      </rPr>
      <t>装载机装运石碴自卸汽车运输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工程（</t>
    </r>
    <r>
      <rPr>
        <sz val="10"/>
        <rFont val="Times New Roman"/>
        <charset val="134"/>
      </rPr>
      <t>5km</t>
    </r>
    <r>
      <rPr>
        <sz val="10"/>
        <rFont val="宋体"/>
        <charset val="134"/>
      </rPr>
      <t>）</t>
    </r>
  </si>
  <si>
    <t>堆砌石工程</t>
  </si>
  <si>
    <t>人工铺筑反滤料垫层</t>
  </si>
  <si>
    <t>人工铺筑砂砾石垫层</t>
  </si>
  <si>
    <t>混合料换填</t>
  </si>
  <si>
    <t>干砌块石（护坡）</t>
  </si>
  <si>
    <t>干砌块石（护底）</t>
  </si>
  <si>
    <t>干砌块石（基础）</t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</si>
  <si>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浆砌石（护坡平面）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</si>
  <si>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浆砌石（护坡平面）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</si>
  <si>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浆砌石（护坡曲面）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</si>
  <si>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浆砌石（护坡曲面）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</si>
  <si>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浆砌石（护底）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</si>
  <si>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浆砌石（护底）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</si>
  <si>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浆砌石（基础）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</si>
  <si>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浆砌石（基础）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</si>
  <si>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浆砌石（挡土墙及翼墙）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</si>
  <si>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浆砌石（挡土墙及翼墙）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</si>
  <si>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浆砌石（防浪墙）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</si>
  <si>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浆砌石（防浪墙）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</si>
  <si>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浆砌石（桥闸墩）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</si>
  <si>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浆砌石（桥闸墩）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</si>
  <si>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型渠道）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</si>
  <si>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型渠道）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</si>
  <si>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浆砌石（填腹）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</si>
  <si>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浆砌石（填腹）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</si>
  <si>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浆砌石砌混凝土预制块（挡土墙）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</si>
  <si>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浆砌石砌混凝土预制块（栏杆）</t>
    </r>
    <r>
      <rPr>
        <sz val="10"/>
        <rFont val="Times New Roman"/>
        <charset val="134"/>
      </rPr>
      <t xml:space="preserve"> </t>
    </r>
  </si>
  <si>
    <r>
      <rPr>
        <sz val="10"/>
        <rFont val="Times New Roman"/>
        <charset val="134"/>
      </rPr>
      <t>M10</t>
    </r>
    <r>
      <rPr>
        <sz val="10"/>
        <rFont val="宋体"/>
        <charset val="134"/>
      </rPr>
      <t>浆砌石砌混凝土预制块（护坡护底）</t>
    </r>
    <r>
      <rPr>
        <sz val="10"/>
        <rFont val="Times New Roman"/>
        <charset val="134"/>
      </rPr>
      <t xml:space="preserve"> 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</si>
  <si>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0.1</t>
    </r>
    <r>
      <rPr>
        <sz val="10"/>
        <rFont val="宋体"/>
        <charset val="134"/>
      </rPr>
      <t>（砌筑）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</si>
  <si>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0.1</t>
    </r>
    <r>
      <rPr>
        <sz val="10"/>
        <rFont val="宋体"/>
        <charset val="134"/>
      </rPr>
      <t>（砌筑、勾缝）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</si>
  <si>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0.14</t>
    </r>
    <r>
      <rPr>
        <sz val="10"/>
        <rFont val="宋体"/>
        <charset val="134"/>
      </rPr>
      <t>（砌筑）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</si>
  <si>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0.14</t>
    </r>
    <r>
      <rPr>
        <sz val="10"/>
        <rFont val="宋体"/>
        <charset val="134"/>
      </rPr>
      <t>（砌筑、勾缝）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</si>
  <si>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0.21</t>
    </r>
    <r>
      <rPr>
        <sz val="10"/>
        <rFont val="宋体"/>
        <charset val="134"/>
      </rPr>
      <t>（砌筑）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</si>
  <si>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0.21</t>
    </r>
    <r>
      <rPr>
        <sz val="10"/>
        <rFont val="宋体"/>
        <charset val="134"/>
      </rPr>
      <t>（砌筑、勾缝）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</si>
  <si>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0.28</t>
    </r>
    <r>
      <rPr>
        <sz val="10"/>
        <rFont val="宋体"/>
        <charset val="134"/>
      </rPr>
      <t>（砌筑）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</si>
  <si>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0.28</t>
    </r>
    <r>
      <rPr>
        <sz val="10"/>
        <rFont val="宋体"/>
        <charset val="134"/>
      </rPr>
      <t>（砌筑、勾缝）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</si>
  <si>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0.36</t>
    </r>
    <r>
      <rPr>
        <sz val="10"/>
        <rFont val="宋体"/>
        <charset val="134"/>
      </rPr>
      <t>（砌筑）</t>
    </r>
  </si>
  <si>
    <r>
      <rPr>
        <sz val="10"/>
        <rFont val="宋体"/>
        <charset val="134"/>
      </rPr>
      <t>渠道混凝土板砌筑板缝比</t>
    </r>
    <r>
      <rPr>
        <sz val="10"/>
        <rFont val="Times New Roman"/>
        <charset val="134"/>
      </rPr>
      <t>0.36</t>
    </r>
    <r>
      <rPr>
        <sz val="10"/>
        <rFont val="宋体"/>
        <charset val="134"/>
      </rPr>
      <t>（砌筑、勾缝）</t>
    </r>
  </si>
  <si>
    <r>
      <rPr>
        <sz val="10"/>
        <rFont val="Times New Roman"/>
        <charset val="134"/>
      </rPr>
      <t>M5</t>
    </r>
    <r>
      <rPr>
        <sz val="10"/>
        <rFont val="宋体"/>
        <charset val="134"/>
      </rPr>
      <t>砌体砂浆抹面（平均厚度</t>
    </r>
    <r>
      <rPr>
        <sz val="10"/>
        <rFont val="Times New Roman"/>
        <charset val="134"/>
      </rPr>
      <t>2cm</t>
    </r>
    <r>
      <rPr>
        <sz val="10"/>
        <rFont val="宋体"/>
        <charset val="134"/>
      </rPr>
      <t>、平面）</t>
    </r>
  </si>
  <si>
    <r>
      <rPr>
        <sz val="10"/>
        <rFont val="Times New Roman"/>
        <charset val="134"/>
      </rPr>
      <t>M5</t>
    </r>
    <r>
      <rPr>
        <sz val="10"/>
        <rFont val="宋体"/>
        <charset val="134"/>
      </rPr>
      <t>砌体砂浆抹面（平均厚度</t>
    </r>
    <r>
      <rPr>
        <sz val="10"/>
        <rFont val="Times New Roman"/>
        <charset val="134"/>
      </rPr>
      <t>2cm</t>
    </r>
    <r>
      <rPr>
        <sz val="10"/>
        <rFont val="宋体"/>
        <charset val="134"/>
      </rPr>
      <t>、立面）</t>
    </r>
  </si>
  <si>
    <r>
      <rPr>
        <sz val="10"/>
        <rFont val="Times New Roman"/>
        <charset val="134"/>
      </rPr>
      <t>M5</t>
    </r>
    <r>
      <rPr>
        <sz val="10"/>
        <rFont val="宋体"/>
        <charset val="134"/>
      </rPr>
      <t>砌体砂浆抹面（平均厚度</t>
    </r>
    <r>
      <rPr>
        <sz val="10"/>
        <rFont val="Times New Roman"/>
        <charset val="134"/>
      </rPr>
      <t>2cm</t>
    </r>
    <r>
      <rPr>
        <sz val="10"/>
        <rFont val="宋体"/>
        <charset val="134"/>
      </rPr>
      <t>、拱面）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</si>
  <si>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砂浆砌砖（墩墙）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</si>
  <si>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砂浆砌砖（基础）</t>
    </r>
  </si>
  <si>
    <r>
      <rPr>
        <sz val="10"/>
        <rFont val="Times New Roman"/>
        <charset val="134"/>
      </rPr>
      <t>M7.5</t>
    </r>
    <r>
      <rPr>
        <sz val="10"/>
        <rFont val="宋体"/>
        <charset val="134"/>
      </rPr>
      <t>砂浆砌砖（阀井）</t>
    </r>
  </si>
  <si>
    <t>拖拉机压实（砂砾料）</t>
  </si>
  <si>
    <t>混凝土工程</t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</si>
  <si>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砼泵站下部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</si>
  <si>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砼泵站中部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</si>
  <si>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砼闸墩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</si>
  <si>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砼桥墩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</si>
  <si>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砼桥墩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</si>
  <si>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砼渡槽墩（重力墩）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</si>
  <si>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砼镇墩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</si>
  <si>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砼支墩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</si>
  <si>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砼截水墙、齿墙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</si>
  <si>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砼直墙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</si>
  <si>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砼水闸胸墙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</si>
  <si>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砼防浪墙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</si>
  <si>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C15</t>
    </r>
    <r>
      <rPr>
        <sz val="10"/>
        <rFont val="宋体"/>
        <charset val="134"/>
      </rPr>
      <t>砼垫层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</si>
  <si>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砼铺盖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</si>
  <si>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砼水闸底板</t>
    </r>
  </si>
  <si>
    <r>
      <rPr>
        <sz val="10"/>
        <rFont val="宋体"/>
        <charset val="134"/>
      </rPr>
      <t>填腹混凝土（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细石砼）</t>
    </r>
  </si>
  <si>
    <r>
      <rPr>
        <sz val="10"/>
        <rFont val="宋体"/>
        <charset val="134"/>
      </rPr>
      <t>填腹混凝土（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</si>
  <si>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二期砼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</si>
  <si>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C20U</t>
    </r>
    <r>
      <rPr>
        <sz val="10"/>
        <rFont val="宋体"/>
        <charset val="134"/>
      </rPr>
      <t>形砼渠槽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</si>
  <si>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砼箱式涵洞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</si>
  <si>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砼拱涵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</si>
  <si>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砼公路桥板及工作台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</si>
  <si>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砼拱板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</si>
  <si>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砼梁（矩形梁）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</si>
  <si>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砼梁（横系梁）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</si>
  <si>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砼柱（矩形柱）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</si>
  <si>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C15</t>
    </r>
    <r>
      <rPr>
        <sz val="10"/>
        <rFont val="宋体"/>
        <charset val="134"/>
      </rPr>
      <t>砼圬工台帽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</si>
  <si>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砼圬工台帽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</si>
  <si>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砼进出水池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</si>
  <si>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砼盖板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</si>
  <si>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砼小型构筑物（斗农口、量水堰）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</si>
  <si>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砼小型构筑物（栏柱杆）</t>
    </r>
  </si>
  <si>
    <r>
      <rPr>
        <sz val="10"/>
        <rFont val="宋体"/>
        <charset val="134"/>
      </rPr>
      <t>现浇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砼小型构筑物（护坡框格）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</si>
  <si>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砼衬砌板（方板、六角板、板厚</t>
    </r>
    <r>
      <rPr>
        <sz val="10"/>
        <rFont val="Times New Roman"/>
        <charset val="134"/>
      </rPr>
      <t>4`8cm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</si>
  <si>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砼衬砌板（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</si>
  <si>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砼工作桥梁、厂房大梁（矩形梁）</t>
    </r>
  </si>
  <si>
    <r>
      <rPr>
        <sz val="10"/>
        <rFont val="宋体"/>
        <charset val="134"/>
      </rPr>
      <t>预制混凝土衬砌板（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型板）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</si>
  <si>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砼工作桥梁、厂房大梁（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形梁）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</si>
  <si>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砼工作桥梁、厂房大梁（吊车梁）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</si>
  <si>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砼工作桥梁、厂房大梁（过梁）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</si>
  <si>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砼工作桥梁、厂房大梁（Ⅰ形梁）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</si>
  <si>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砼工作桥梁、厂房大梁（Ⅱ形梁）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</si>
  <si>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砼排架（单排架）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</si>
  <si>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砼排架（</t>
    </r>
    <r>
      <rPr>
        <sz val="10"/>
        <rFont val="Times New Roman"/>
        <charset val="134"/>
      </rPr>
      <t>A</t>
    </r>
    <r>
      <rPr>
        <sz val="10"/>
        <rFont val="宋体"/>
        <charset val="134"/>
      </rPr>
      <t>型排架）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</si>
  <si>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混凝土桥板</t>
    </r>
  </si>
  <si>
    <r>
      <rPr>
        <sz val="10"/>
        <rFont val="宋体"/>
        <charset val="134"/>
      </rPr>
      <t>预制C25砼拱片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</si>
  <si>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型渡槽槽身（壁厚</t>
    </r>
    <r>
      <rPr>
        <sz val="10"/>
        <rFont val="Times New Roman"/>
        <charset val="134"/>
      </rPr>
      <t>≤10cm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</si>
  <si>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型渡槽槽身（壁厚</t>
    </r>
    <r>
      <rPr>
        <sz val="10"/>
        <rFont val="Times New Roman"/>
        <charset val="134"/>
      </rPr>
      <t>10~15cm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</si>
  <si>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砼小型构件</t>
    </r>
  </si>
  <si>
    <r>
      <rPr>
        <sz val="10"/>
        <rFont val="宋体"/>
        <charset val="134"/>
      </rPr>
      <t>预制板安装（单个构件＜</t>
    </r>
    <r>
      <rPr>
        <sz val="10"/>
        <rFont val="Times New Roman"/>
        <charset val="134"/>
      </rPr>
      <t>0.2m³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</si>
  <si>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预制板安装（单个构件</t>
    </r>
    <r>
      <rPr>
        <sz val="10"/>
        <rFont val="Times New Roman"/>
        <charset val="134"/>
      </rPr>
      <t>0.2~0.4m³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</si>
  <si>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预制板安装（单个构件</t>
    </r>
    <r>
      <rPr>
        <sz val="10"/>
        <rFont val="Times New Roman"/>
        <charset val="134"/>
      </rPr>
      <t>0.4~0.6m³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</si>
  <si>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预制板安装（单个构件</t>
    </r>
    <r>
      <rPr>
        <sz val="10"/>
        <rFont val="Times New Roman"/>
        <charset val="134"/>
      </rPr>
      <t>0.6~2m³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</si>
  <si>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渡槽槽身安装（</t>
    </r>
    <r>
      <rPr>
        <sz val="10"/>
        <rFont val="Times New Roman"/>
        <charset val="134"/>
      </rPr>
      <t>40t</t>
    </r>
    <r>
      <rPr>
        <sz val="10"/>
        <rFont val="宋体"/>
        <charset val="134"/>
      </rPr>
      <t>以内、整块吊）</t>
    </r>
  </si>
  <si>
    <r>
      <rPr>
        <sz val="10"/>
        <rFont val="宋体"/>
        <charset val="134"/>
      </rPr>
      <t>渡槽槽身安装（</t>
    </r>
    <r>
      <rPr>
        <sz val="10"/>
        <rFont val="Times New Roman"/>
        <charset val="134"/>
      </rPr>
      <t>40t</t>
    </r>
    <r>
      <rPr>
        <sz val="10"/>
        <rFont val="宋体"/>
        <charset val="134"/>
      </rPr>
      <t>以内、三块吊）</t>
    </r>
  </si>
  <si>
    <r>
      <rPr>
        <sz val="10"/>
        <rFont val="宋体"/>
        <charset val="134"/>
      </rPr>
      <t>汽车起重机吊装预制件槽身（单件重</t>
    </r>
    <r>
      <rPr>
        <sz val="10"/>
        <rFont val="Times New Roman"/>
        <charset val="134"/>
      </rPr>
      <t>15~20t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</si>
  <si>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汽车起重机吊装预制件槽身（单件重</t>
    </r>
    <r>
      <rPr>
        <sz val="10"/>
        <rFont val="Times New Roman"/>
        <charset val="134"/>
      </rPr>
      <t>20~25t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</si>
  <si>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汽车起重机吊装预制件槽身（单件重</t>
    </r>
    <r>
      <rPr>
        <sz val="10"/>
        <rFont val="Times New Roman"/>
        <charset val="134"/>
      </rPr>
      <t>25~30t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</si>
  <si>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汽车起重机吊装预制件槽身（</t>
    </r>
    <r>
      <rPr>
        <sz val="10"/>
        <rFont val="Times New Roman"/>
        <charset val="134"/>
      </rPr>
      <t>5~10t</t>
    </r>
    <r>
      <rPr>
        <sz val="10"/>
        <rFont val="宋体"/>
        <charset val="134"/>
      </rPr>
      <t>，吊高</t>
    </r>
    <r>
      <rPr>
        <sz val="10"/>
        <rFont val="Times New Roman"/>
        <charset val="134"/>
      </rPr>
      <t>18m</t>
    </r>
    <r>
      <rPr>
        <sz val="10"/>
        <rFont val="宋体"/>
        <charset val="134"/>
      </rPr>
      <t>下）</t>
    </r>
  </si>
  <si>
    <r>
      <rPr>
        <sz val="10"/>
        <rFont val="宋体"/>
        <charset val="134"/>
      </rPr>
      <t>汽车起重机吊装预制件槽身（</t>
    </r>
    <r>
      <rPr>
        <sz val="10"/>
        <rFont val="Times New Roman"/>
        <charset val="134"/>
      </rPr>
      <t>10~15t</t>
    </r>
    <r>
      <rPr>
        <sz val="10"/>
        <rFont val="宋体"/>
        <charset val="134"/>
      </rPr>
      <t>，吊高</t>
    </r>
    <r>
      <rPr>
        <sz val="10"/>
        <rFont val="Times New Roman"/>
        <charset val="134"/>
      </rPr>
      <t>18m</t>
    </r>
    <r>
      <rPr>
        <sz val="10"/>
        <rFont val="宋体"/>
        <charset val="134"/>
      </rPr>
      <t>下）</t>
    </r>
  </si>
  <si>
    <r>
      <rPr>
        <sz val="10"/>
        <rFont val="宋体"/>
        <charset val="134"/>
      </rPr>
      <t>汽车起重机吊装预制件槽身（</t>
    </r>
    <r>
      <rPr>
        <sz val="10"/>
        <rFont val="Times New Roman"/>
        <charset val="134"/>
      </rPr>
      <t>15~20t</t>
    </r>
    <r>
      <rPr>
        <sz val="10"/>
        <rFont val="宋体"/>
        <charset val="134"/>
      </rPr>
      <t>，吊高</t>
    </r>
    <r>
      <rPr>
        <sz val="10"/>
        <rFont val="Times New Roman"/>
        <charset val="134"/>
      </rPr>
      <t>18m</t>
    </r>
    <r>
      <rPr>
        <sz val="10"/>
        <rFont val="宋体"/>
        <charset val="134"/>
      </rPr>
      <t>下）</t>
    </r>
  </si>
  <si>
    <r>
      <rPr>
        <sz val="10"/>
        <rFont val="宋体"/>
        <charset val="134"/>
      </rPr>
      <t>汽车起重机吊装预制件槽身（</t>
    </r>
    <r>
      <rPr>
        <sz val="10"/>
        <rFont val="Times New Roman"/>
        <charset val="134"/>
      </rPr>
      <t>20~25t</t>
    </r>
    <r>
      <rPr>
        <sz val="10"/>
        <rFont val="宋体"/>
        <charset val="134"/>
      </rPr>
      <t>，吊高</t>
    </r>
    <r>
      <rPr>
        <sz val="10"/>
        <rFont val="Times New Roman"/>
        <charset val="134"/>
      </rPr>
      <t>18m</t>
    </r>
    <r>
      <rPr>
        <sz val="10"/>
        <rFont val="宋体"/>
        <charset val="134"/>
      </rPr>
      <t>下）</t>
    </r>
  </si>
  <si>
    <t>小型预制砼构件安装</t>
  </si>
  <si>
    <r>
      <rPr>
        <sz val="10"/>
        <rFont val="宋体"/>
        <charset val="134"/>
      </rPr>
      <t>人工装、卸手扶拖拉机运输混凝土构件（运距</t>
    </r>
    <r>
      <rPr>
        <sz val="10"/>
        <rFont val="Times New Roman"/>
        <charset val="134"/>
      </rPr>
      <t>18km)</t>
    </r>
  </si>
  <si>
    <r>
      <rPr>
        <sz val="10"/>
        <rFont val="宋体"/>
        <charset val="134"/>
      </rPr>
      <t>机械装车、汽车运输混凝土构件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运距</t>
    </r>
    <r>
      <rPr>
        <sz val="10"/>
        <rFont val="Times New Roman"/>
        <charset val="134"/>
      </rPr>
      <t>15km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</si>
  <si>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机械装车、汽车运输混凝土构件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运距</t>
    </r>
    <r>
      <rPr>
        <sz val="10"/>
        <rFont val="Times New Roman"/>
        <charset val="134"/>
      </rPr>
      <t>20km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</si>
  <si>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机械装车、汽车运输混凝土构件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运输</t>
    </r>
    <r>
      <rPr>
        <sz val="10"/>
        <rFont val="Times New Roman"/>
        <charset val="134"/>
      </rPr>
      <t>20t-25t</t>
    </r>
    <r>
      <rPr>
        <sz val="10"/>
        <rFont val="宋体"/>
        <charset val="134"/>
      </rPr>
      <t>、运距</t>
    </r>
    <r>
      <rPr>
        <sz val="10"/>
        <rFont val="Times New Roman"/>
        <charset val="134"/>
      </rPr>
      <t>20km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</si>
  <si>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机动翻斗车运砼（砼水平运输、运距</t>
    </r>
    <r>
      <rPr>
        <sz val="10"/>
        <rFont val="Times New Roman"/>
        <charset val="134"/>
      </rPr>
      <t>500m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</si>
  <si>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机动翻斗车运砼（砼水平运输、运距</t>
    </r>
    <r>
      <rPr>
        <sz val="10"/>
        <rFont val="Times New Roman"/>
        <charset val="134"/>
      </rPr>
      <t>2000m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</si>
  <si>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泄槽运送砼（砼垂直运输，斜长</t>
    </r>
    <r>
      <rPr>
        <sz val="10"/>
        <rFont val="Times New Roman"/>
        <charset val="134"/>
      </rPr>
      <t>9m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</si>
  <si>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塔式起重机吊运砼（砼垂直运输，</t>
    </r>
    <r>
      <rPr>
        <sz val="10"/>
        <rFont val="Times New Roman"/>
        <charset val="134"/>
      </rPr>
      <t>≤10m</t>
    </r>
    <r>
      <rPr>
        <sz val="10"/>
        <rFont val="宋体"/>
        <charset val="134"/>
      </rPr>
      <t>）</t>
    </r>
  </si>
  <si>
    <t>1t</t>
  </si>
  <si>
    <t>渡槽止水（环氧贴橡皮）</t>
  </si>
  <si>
    <t>100m</t>
  </si>
  <si>
    <t>渡槽止水（木屑水泥）</t>
  </si>
  <si>
    <t>渡槽止水（胶泥填缝）</t>
  </si>
  <si>
    <t>止水带止水（塑料带）</t>
  </si>
  <si>
    <t>止水带止水（橡胶带）</t>
  </si>
  <si>
    <t>环氧树脂砂浆抹面（混凝土表面处置）</t>
  </si>
  <si>
    <t>沥青玻璃丝布防水层（一布二油）</t>
  </si>
  <si>
    <t>沥青玻璃丝布防水层（二布三油）</t>
  </si>
  <si>
    <r>
      <rPr>
        <sz val="10"/>
        <rFont val="宋体"/>
        <charset val="134"/>
      </rPr>
      <t>沥青砂浆伸缩缝（</t>
    </r>
    <r>
      <rPr>
        <sz val="10"/>
        <rFont val="Times New Roman"/>
        <charset val="134"/>
      </rPr>
      <t>1:1:4</t>
    </r>
    <r>
      <rPr>
        <sz val="10"/>
        <rFont val="宋体"/>
        <charset val="134"/>
      </rPr>
      <t>沥青水泥砂浆，缝宽</t>
    </r>
    <r>
      <rPr>
        <sz val="10"/>
        <rFont val="Times New Roman"/>
        <charset val="134"/>
      </rPr>
      <t>3cm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</si>
  <si>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聚乙烯胶泥伸缩缝（聚乙烯胶泥，缝宽</t>
    </r>
    <r>
      <rPr>
        <sz val="10"/>
        <rFont val="Times New Roman"/>
        <charset val="134"/>
      </rPr>
      <t>3cm</t>
    </r>
    <r>
      <rPr>
        <sz val="10"/>
        <rFont val="宋体"/>
        <charset val="134"/>
      </rPr>
      <t>）</t>
    </r>
  </si>
  <si>
    <t>1m³</t>
  </si>
  <si>
    <t>砂石备料工程</t>
  </si>
  <si>
    <r>
      <rPr>
        <sz val="10"/>
        <rFont val="宋体"/>
        <charset val="134"/>
      </rPr>
      <t>胶轮车运砂子（运距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</si>
  <si>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胶轮车运砂子（运距</t>
    </r>
    <r>
      <rPr>
        <sz val="10"/>
        <rFont val="Times New Roman"/>
        <charset val="134"/>
      </rPr>
      <t>500m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</si>
  <si>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胶轮车运石子（运距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</si>
  <si>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胶轮车运石子（运距</t>
    </r>
    <r>
      <rPr>
        <sz val="10"/>
        <rFont val="Times New Roman"/>
        <charset val="134"/>
      </rPr>
      <t>500m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</si>
  <si>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胶轮车运块石（运距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</si>
  <si>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胶轮车运块石（运距</t>
    </r>
    <r>
      <rPr>
        <sz val="10"/>
        <rFont val="Times New Roman"/>
        <charset val="134"/>
      </rPr>
      <t>500m</t>
    </r>
    <r>
      <rPr>
        <sz val="10"/>
        <rFont val="宋体"/>
        <charset val="134"/>
      </rPr>
      <t>）</t>
    </r>
  </si>
  <si>
    <t>钻孔灌浆及锚固工程</t>
  </si>
  <si>
    <r>
      <rPr>
        <sz val="10"/>
        <rFont val="宋体"/>
        <charset val="134"/>
      </rPr>
      <t>振冲碎石桩（孔深</t>
    </r>
    <r>
      <rPr>
        <sz val="10"/>
        <rFont val="Times New Roman"/>
        <charset val="134"/>
      </rPr>
      <t>8m</t>
    </r>
    <r>
      <rPr>
        <sz val="10"/>
        <rFont val="宋体"/>
        <charset val="134"/>
      </rPr>
      <t>以内，粉细砂地层）</t>
    </r>
  </si>
  <si>
    <r>
      <rPr>
        <sz val="10"/>
        <rFont val="宋体"/>
        <charset val="134"/>
      </rPr>
      <t>振冲碎石桩（孔深</t>
    </r>
    <r>
      <rPr>
        <sz val="10"/>
        <rFont val="Times New Roman"/>
        <charset val="134"/>
      </rPr>
      <t>8m</t>
    </r>
    <r>
      <rPr>
        <sz val="10"/>
        <rFont val="宋体"/>
        <charset val="134"/>
      </rPr>
      <t>以内，中粗砂地层）</t>
    </r>
  </si>
  <si>
    <r>
      <rPr>
        <sz val="10"/>
        <rFont val="宋体"/>
        <charset val="134"/>
      </rPr>
      <t>振冲碎石桩（孔深</t>
    </r>
    <r>
      <rPr>
        <sz val="10"/>
        <rFont val="Times New Roman"/>
        <charset val="134"/>
      </rPr>
      <t>8m</t>
    </r>
    <r>
      <rPr>
        <sz val="10"/>
        <rFont val="宋体"/>
        <charset val="134"/>
      </rPr>
      <t>以内，砂壤土地层）</t>
    </r>
  </si>
  <si>
    <r>
      <rPr>
        <sz val="10"/>
        <rFont val="宋体"/>
        <charset val="134"/>
      </rPr>
      <t>振冲碎石桩（孔深</t>
    </r>
    <r>
      <rPr>
        <sz val="10"/>
        <rFont val="Times New Roman"/>
        <charset val="134"/>
      </rPr>
      <t>8m</t>
    </r>
    <r>
      <rPr>
        <sz val="10"/>
        <rFont val="宋体"/>
        <charset val="134"/>
      </rPr>
      <t>以内，淤泥地层）</t>
    </r>
  </si>
  <si>
    <r>
      <rPr>
        <sz val="10"/>
        <rFont val="宋体"/>
        <charset val="134"/>
      </rPr>
      <t>振冲碎石桩（孔深</t>
    </r>
    <r>
      <rPr>
        <sz val="10"/>
        <rFont val="Times New Roman"/>
        <charset val="134"/>
      </rPr>
      <t>8m</t>
    </r>
    <r>
      <rPr>
        <sz val="10"/>
        <rFont val="宋体"/>
        <charset val="134"/>
      </rPr>
      <t>以内，粘土地层）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</si>
  <si>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、粘土）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</si>
  <si>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、砂壤土）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</si>
  <si>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、粉丝砂）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</si>
  <si>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、砾石）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</si>
  <si>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、卵石）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</si>
  <si>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、漂石）</t>
    </r>
  </si>
  <si>
    <r>
      <rPr>
        <sz val="10"/>
        <rFont val="宋体"/>
        <charset val="134"/>
      </rPr>
      <t>冲击钻造灌注桩孔（桩深</t>
    </r>
    <r>
      <rPr>
        <sz val="10"/>
        <rFont val="Times New Roman"/>
        <charset val="134"/>
      </rPr>
      <t>40m</t>
    </r>
    <r>
      <rPr>
        <sz val="10"/>
        <rFont val="宋体"/>
        <charset val="134"/>
      </rPr>
      <t>以内，桩径</t>
    </r>
    <r>
      <rPr>
        <sz val="10"/>
        <rFont val="Times New Roman"/>
        <charset val="134"/>
      </rPr>
      <t>0.8m</t>
    </r>
    <r>
      <rPr>
        <sz val="10"/>
        <rFont val="宋体"/>
        <charset val="134"/>
      </rPr>
      <t>、岩石）</t>
    </r>
  </si>
  <si>
    <r>
      <rPr>
        <sz val="10"/>
        <rFont val="宋体"/>
        <charset val="134"/>
      </rPr>
      <t>灌注</t>
    </r>
    <r>
      <rPr>
        <sz val="10"/>
        <rFont val="Times New Roman"/>
        <charset val="134"/>
      </rPr>
      <t>C30</t>
    </r>
    <r>
      <rPr>
        <sz val="10"/>
        <rFont val="宋体"/>
        <charset val="134"/>
      </rPr>
      <t>混凝土桩（泥浆固壁、机械造孔灌注桩）</t>
    </r>
  </si>
  <si>
    <t>灌注混凝土桩钢筋制作（泥浆固壁、机械造孔灌注桩）</t>
  </si>
  <si>
    <t>减压井（粘土层）</t>
  </si>
  <si>
    <t>减压井（砂壤土层）</t>
  </si>
  <si>
    <t>减压井（中粗砂层）</t>
  </si>
  <si>
    <t>减压井（粉细砂层）</t>
  </si>
  <si>
    <t>减压井（砾石层）</t>
  </si>
  <si>
    <t>减压井（卵石层）</t>
  </si>
  <si>
    <r>
      <rPr>
        <sz val="10"/>
        <rFont val="宋体"/>
        <charset val="134"/>
      </rPr>
      <t>水位观测孔（孔深</t>
    </r>
    <r>
      <rPr>
        <sz val="10"/>
        <rFont val="Times New Roman"/>
        <charset val="134"/>
      </rPr>
      <t>50m</t>
    </r>
    <r>
      <rPr>
        <sz val="10"/>
        <rFont val="宋体"/>
        <charset val="134"/>
      </rPr>
      <t>）</t>
    </r>
  </si>
  <si>
    <t>孔</t>
  </si>
  <si>
    <r>
      <rPr>
        <sz val="10"/>
        <rFont val="宋体"/>
        <charset val="134"/>
      </rPr>
      <t>水位观测孔（孔深</t>
    </r>
    <r>
      <rPr>
        <sz val="10"/>
        <rFont val="Times New Roman"/>
        <charset val="134"/>
      </rPr>
      <t>75m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</si>
  <si>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水位观测孔（孔深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</si>
  <si>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水位观测孔（孔深</t>
    </r>
    <r>
      <rPr>
        <sz val="10"/>
        <rFont val="Times New Roman"/>
        <charset val="134"/>
      </rPr>
      <t>150m</t>
    </r>
    <r>
      <rPr>
        <sz val="10"/>
        <rFont val="宋体"/>
        <charset val="134"/>
      </rPr>
      <t>）</t>
    </r>
  </si>
  <si>
    <t>石灰砂桩</t>
  </si>
  <si>
    <t>石灰挤密桩</t>
  </si>
  <si>
    <r>
      <rPr>
        <sz val="10"/>
        <rFont val="宋体"/>
        <charset val="134"/>
      </rPr>
      <t>混凝土面喷浆（无钢筋、</t>
    </r>
    <r>
      <rPr>
        <sz val="10"/>
        <rFont val="Times New Roman"/>
        <charset val="134"/>
      </rPr>
      <t>0~1cm</t>
    </r>
    <r>
      <rPr>
        <sz val="10"/>
        <rFont val="宋体"/>
        <charset val="134"/>
      </rPr>
      <t>厚）</t>
    </r>
  </si>
  <si>
    <r>
      <rPr>
        <sz val="10"/>
        <rFont val="宋体"/>
        <charset val="134"/>
      </rPr>
      <t>混凝土面喷浆（无钢筋、</t>
    </r>
    <r>
      <rPr>
        <sz val="10"/>
        <rFont val="Times New Roman"/>
        <charset val="134"/>
      </rPr>
      <t>1~2cm</t>
    </r>
    <r>
      <rPr>
        <sz val="10"/>
        <rFont val="宋体"/>
        <charset val="134"/>
      </rPr>
      <t>厚）</t>
    </r>
  </si>
  <si>
    <r>
      <rPr>
        <sz val="10"/>
        <rFont val="宋体"/>
        <charset val="134"/>
      </rPr>
      <t>混凝土面喷浆（无钢筋、</t>
    </r>
    <r>
      <rPr>
        <sz val="10"/>
        <rFont val="Times New Roman"/>
        <charset val="134"/>
      </rPr>
      <t>2~3cm</t>
    </r>
    <r>
      <rPr>
        <sz val="10"/>
        <rFont val="宋体"/>
        <charset val="134"/>
      </rPr>
      <t>厚）</t>
    </r>
  </si>
  <si>
    <r>
      <rPr>
        <sz val="10"/>
        <rFont val="宋体"/>
        <charset val="134"/>
      </rPr>
      <t>混凝土面喷浆（无钢筋、</t>
    </r>
    <r>
      <rPr>
        <sz val="10"/>
        <rFont val="Times New Roman"/>
        <charset val="134"/>
      </rPr>
      <t>3~4cm</t>
    </r>
    <r>
      <rPr>
        <sz val="10"/>
        <rFont val="宋体"/>
        <charset val="134"/>
      </rPr>
      <t>厚）</t>
    </r>
  </si>
  <si>
    <r>
      <rPr>
        <sz val="10"/>
        <rFont val="宋体"/>
        <charset val="134"/>
      </rPr>
      <t>混凝土面喷浆（无钢筋、</t>
    </r>
    <r>
      <rPr>
        <sz val="10"/>
        <rFont val="Times New Roman"/>
        <charset val="134"/>
      </rPr>
      <t>4~5cm</t>
    </r>
    <r>
      <rPr>
        <sz val="10"/>
        <rFont val="宋体"/>
        <charset val="134"/>
      </rPr>
      <t>厚）</t>
    </r>
  </si>
  <si>
    <t>输水管道与小型金属结构安装</t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</si>
  <si>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钢管安装（法兰连接、悬空安装、含管材）</t>
    </r>
  </si>
  <si>
    <t>10m</t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</si>
  <si>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钢管安装（法兰连接、悬空安装、含管材）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</si>
  <si>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钢管安装（法兰连接、悬空安装、含管材）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</si>
  <si>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钢管安装（法兰连接、悬空安装、含管材）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</si>
  <si>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钢管安装（法兰连接、悬空安装）</t>
    </r>
  </si>
  <si>
    <r>
      <rPr>
        <sz val="10"/>
        <rFont val="Times New Roman"/>
        <charset val="134"/>
      </rPr>
      <t>DN300mm</t>
    </r>
    <r>
      <rPr>
        <sz val="10"/>
        <rFont val="宋体"/>
        <charset val="134"/>
      </rPr>
      <t>钢管安装（焊接连接、悬空安装）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</si>
  <si>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钢管安装（焊接连接、悬空安装）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</si>
  <si>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钢管安装（焊接连接、悬空安装）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</si>
  <si>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钢管安装（焊接连接、悬空安装）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</si>
  <si>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钢管安装（焊接连接、悬空安装）</t>
    </r>
  </si>
  <si>
    <r>
      <rPr>
        <sz val="10"/>
        <rFont val="Times New Roman"/>
        <charset val="134"/>
      </rPr>
      <t>Φ100mm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</si>
  <si>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Φ200mm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</si>
  <si>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Φ300mm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</si>
  <si>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</si>
  <si>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Φ500mm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</si>
  <si>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承插铸铁管安装（石棉水泥接口）</t>
    </r>
  </si>
  <si>
    <r>
      <rPr>
        <sz val="10"/>
        <rFont val="Times New Roman"/>
        <charset val="134"/>
      </rPr>
      <t>Φ100mm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</si>
  <si>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Φ200mm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</si>
  <si>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Φ300mm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</si>
  <si>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</si>
  <si>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Φ500mm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</si>
  <si>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承插铸铁管安装（青铅接口）</t>
    </r>
  </si>
  <si>
    <r>
      <rPr>
        <sz val="10"/>
        <rFont val="Times New Roman"/>
        <charset val="134"/>
      </rPr>
      <t>Φ25mm</t>
    </r>
    <r>
      <rPr>
        <sz val="10"/>
        <rFont val="宋体"/>
        <charset val="134"/>
      </rPr>
      <t>塑料管粘接安装（</t>
    </r>
    <r>
      <rPr>
        <sz val="10"/>
        <rFont val="Times New Roman"/>
        <charset val="134"/>
      </rPr>
      <t>PP-R</t>
    </r>
    <r>
      <rPr>
        <sz val="10"/>
        <rFont val="宋体"/>
        <charset val="134"/>
      </rPr>
      <t>冷水管</t>
    </r>
    <r>
      <rPr>
        <sz val="10"/>
        <rFont val="Times New Roman"/>
        <charset val="134"/>
      </rPr>
      <t>1.25Mpa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</si>
  <si>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Φ32mm</t>
    </r>
    <r>
      <rPr>
        <sz val="10"/>
        <rFont val="宋体"/>
        <charset val="134"/>
      </rPr>
      <t>塑料管粘接安装（</t>
    </r>
    <r>
      <rPr>
        <sz val="10"/>
        <rFont val="Times New Roman"/>
        <charset val="134"/>
      </rPr>
      <t>PP-R</t>
    </r>
    <r>
      <rPr>
        <sz val="10"/>
        <rFont val="宋体"/>
        <charset val="134"/>
      </rPr>
      <t>冷水管</t>
    </r>
    <r>
      <rPr>
        <sz val="10"/>
        <rFont val="Times New Roman"/>
        <charset val="134"/>
      </rPr>
      <t>1.25Mpa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</si>
  <si>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Φ50mm</t>
    </r>
    <r>
      <rPr>
        <sz val="10"/>
        <rFont val="宋体"/>
        <charset val="134"/>
      </rPr>
      <t>塑料管粘接安装（</t>
    </r>
    <r>
      <rPr>
        <sz val="10"/>
        <rFont val="Times New Roman"/>
        <charset val="134"/>
      </rPr>
      <t>PP-R</t>
    </r>
    <r>
      <rPr>
        <sz val="10"/>
        <rFont val="宋体"/>
        <charset val="134"/>
      </rPr>
      <t>冷水管</t>
    </r>
    <r>
      <rPr>
        <sz val="10"/>
        <rFont val="Times New Roman"/>
        <charset val="134"/>
      </rPr>
      <t>1.25Mpa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</si>
  <si>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Φ75mm</t>
    </r>
    <r>
      <rPr>
        <sz val="10"/>
        <rFont val="宋体"/>
        <charset val="134"/>
      </rPr>
      <t>波纹管安装（含管材）</t>
    </r>
  </si>
  <si>
    <r>
      <rPr>
        <sz val="10"/>
        <rFont val="Times New Roman"/>
        <charset val="134"/>
      </rPr>
      <t>Φ50mm</t>
    </r>
    <r>
      <rPr>
        <sz val="10"/>
        <rFont val="宋体"/>
        <charset val="134"/>
      </rPr>
      <t>塑料管胶圈胶圈安装（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</si>
  <si>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Φ75mm</t>
    </r>
    <r>
      <rPr>
        <sz val="10"/>
        <rFont val="宋体"/>
        <charset val="134"/>
      </rPr>
      <t>塑料管胶圈胶圈安装（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</si>
  <si>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Φ90mm</t>
    </r>
    <r>
      <rPr>
        <sz val="10"/>
        <rFont val="宋体"/>
        <charset val="134"/>
      </rPr>
      <t>塑料管胶圈胶圈安装（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</si>
  <si>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Φ110mm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</si>
  <si>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Φ125mm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</si>
  <si>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Φ90mm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</si>
  <si>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Φ160mm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</si>
  <si>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Φ200mm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</si>
  <si>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Φ225mm</t>
    </r>
    <r>
      <rPr>
        <sz val="10"/>
        <rFont val="宋体"/>
        <charset val="134"/>
      </rPr>
      <t>内塑料管胶圈安装（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0.63Mpa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</si>
  <si>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Φ315mm</t>
    </r>
    <r>
      <rPr>
        <sz val="10"/>
        <rFont val="宋体"/>
        <charset val="134"/>
      </rPr>
      <t>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</si>
  <si>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</si>
  <si>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Φ500mm</t>
    </r>
    <r>
      <rPr>
        <sz val="10"/>
        <rFont val="宋体"/>
        <charset val="134"/>
      </rPr>
      <t>塑料管胶圈安装（</t>
    </r>
    <r>
      <rPr>
        <sz val="10"/>
        <rFont val="Times New Roman"/>
        <charset val="134"/>
      </rPr>
      <t>UPVC</t>
    </r>
    <r>
      <rPr>
        <sz val="10"/>
        <rFont val="宋体"/>
        <charset val="134"/>
      </rPr>
      <t>管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</si>
  <si>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Φ500mm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</si>
  <si>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</si>
  <si>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Φ700mm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</si>
  <si>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</si>
  <si>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Φ900mm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</si>
  <si>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</si>
  <si>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玻璃钢管安装（</t>
    </r>
    <r>
      <rPr>
        <sz val="10"/>
        <rFont val="Times New Roman"/>
        <charset val="134"/>
      </rPr>
      <t>5000N/m²</t>
    </r>
    <r>
      <rPr>
        <sz val="10"/>
        <rFont val="宋体"/>
        <charset val="134"/>
      </rPr>
      <t>刚度、</t>
    </r>
    <r>
      <rPr>
        <sz val="10"/>
        <rFont val="Times New Roman"/>
        <charset val="134"/>
      </rPr>
      <t>1.0Mpa</t>
    </r>
    <r>
      <rPr>
        <sz val="10"/>
        <rFont val="宋体"/>
        <charset val="134"/>
      </rPr>
      <t>、含管材）</t>
    </r>
  </si>
  <si>
    <r>
      <rPr>
        <sz val="10"/>
        <rFont val="Times New Roman"/>
        <charset val="134"/>
      </rPr>
      <t>DN400mm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</si>
  <si>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</si>
  <si>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</si>
  <si>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</si>
  <si>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</si>
  <si>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Φ1400mm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</si>
  <si>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Φ1600mm</t>
    </r>
    <r>
      <rPr>
        <sz val="10"/>
        <rFont val="宋体"/>
        <charset val="134"/>
      </rPr>
      <t>钢筋砼管安装（Ⅱ级、承插式、水泥砂浆接口、含管材）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</si>
  <si>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</si>
  <si>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DN600mm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</si>
  <si>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DN800mm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</si>
  <si>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</si>
  <si>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</si>
  <si>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Φ1400mm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</si>
  <si>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Φ1600mm</t>
    </r>
    <r>
      <rPr>
        <sz val="10"/>
        <rFont val="宋体"/>
        <charset val="134"/>
      </rPr>
      <t>钢筋砼管安装（Ⅱ级、平接式、水泥砂浆石棉水泥接口、含管材）</t>
    </r>
  </si>
  <si>
    <r>
      <rPr>
        <sz val="10"/>
        <rFont val="Times New Roman"/>
        <charset val="134"/>
      </rPr>
      <t>Φ300mm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</si>
  <si>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</si>
  <si>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</si>
  <si>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</si>
  <si>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</si>
  <si>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</si>
  <si>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Φ1400mm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</si>
  <si>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Φ1600mm</t>
    </r>
    <r>
      <rPr>
        <sz val="10"/>
        <rFont val="宋体"/>
        <charset val="134"/>
      </rPr>
      <t>预应力钢筋砼管安装（Ⅱ级、平段、胶圈接口、含管材）</t>
    </r>
  </si>
  <si>
    <r>
      <rPr>
        <sz val="10"/>
        <rFont val="Times New Roman"/>
        <charset val="134"/>
      </rPr>
      <t>Φ300mm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</si>
  <si>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Φ400mm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</si>
  <si>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Φ600mm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</si>
  <si>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Φ800mm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</si>
  <si>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Φ1000mm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</si>
  <si>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Φ1200mm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</si>
  <si>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Φ1400mm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</si>
  <si>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Times New Roman"/>
        <charset val="134"/>
      </rPr>
      <t>Φ1600mm</t>
    </r>
    <r>
      <rPr>
        <sz val="10"/>
        <rFont val="宋体"/>
        <charset val="134"/>
      </rPr>
      <t>预应力钢筋砼管安装（Ⅱ级、斜段、胶圈接口、含管材）</t>
    </r>
  </si>
  <si>
    <r>
      <rPr>
        <sz val="10"/>
        <rFont val="宋体"/>
        <charset val="134"/>
      </rPr>
      <t>小型钢闸门安装（</t>
    </r>
    <r>
      <rPr>
        <sz val="10"/>
        <rFont val="Times New Roman"/>
        <charset val="134"/>
      </rPr>
      <t>5t</t>
    </r>
    <r>
      <rPr>
        <sz val="10"/>
        <rFont val="宋体"/>
        <charset val="134"/>
      </rPr>
      <t>以内，不含闸门）</t>
    </r>
  </si>
  <si>
    <r>
      <rPr>
        <sz val="10"/>
        <rFont val="宋体"/>
        <charset val="134"/>
      </rPr>
      <t>小型钢闸门埋件安装（</t>
    </r>
    <r>
      <rPr>
        <sz val="10"/>
        <rFont val="Times New Roman"/>
        <charset val="134"/>
      </rPr>
      <t>5t</t>
    </r>
    <r>
      <rPr>
        <sz val="10"/>
        <rFont val="宋体"/>
        <charset val="134"/>
      </rPr>
      <t>以内，不含埋件）</t>
    </r>
  </si>
  <si>
    <r>
      <rPr>
        <sz val="10"/>
        <rFont val="Times New Roman"/>
        <charset val="134"/>
      </rPr>
      <t>400×400mm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</si>
  <si>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Times New Roman"/>
        <charset val="134"/>
      </rPr>
      <t>500×500mm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</si>
  <si>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Times New Roman"/>
        <charset val="134"/>
      </rPr>
      <t>600×600mm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</si>
  <si>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Times New Roman"/>
        <charset val="134"/>
      </rPr>
      <t>800×800mm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</si>
  <si>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Times New Roman"/>
        <charset val="134"/>
      </rPr>
      <t>1000×1000mm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</si>
  <si>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Times New Roman"/>
        <charset val="134"/>
      </rPr>
      <t>1200×1200mm</t>
    </r>
    <r>
      <rPr>
        <sz val="10"/>
        <rFont val="宋体"/>
        <charset val="134"/>
      </rPr>
      <t>铸铁斗门安装（不含斗门、启闭机）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</si>
  <si>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0.1t</t>
    </r>
    <r>
      <rPr>
        <sz val="10"/>
        <rFont val="宋体"/>
        <charset val="134"/>
      </rPr>
      <t>螺杆式启闭机安装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</si>
  <si>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0.25t</t>
    </r>
    <r>
      <rPr>
        <sz val="10"/>
        <rFont val="宋体"/>
        <charset val="134"/>
      </rPr>
      <t>螺杆式启闭机安装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</si>
  <si>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0.5t</t>
    </r>
    <r>
      <rPr>
        <sz val="10"/>
        <rFont val="宋体"/>
        <charset val="134"/>
      </rPr>
      <t>螺杆式启闭机安装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</si>
  <si>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1t</t>
    </r>
    <r>
      <rPr>
        <sz val="10"/>
        <rFont val="宋体"/>
        <charset val="134"/>
      </rPr>
      <t>螺杆式启闭机安装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</si>
  <si>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2t</t>
    </r>
    <r>
      <rPr>
        <sz val="10"/>
        <rFont val="宋体"/>
        <charset val="134"/>
      </rPr>
      <t>螺杆式启闭机安装</t>
    </r>
  </si>
  <si>
    <r>
      <rPr>
        <sz val="10"/>
        <rFont val="宋体"/>
        <charset val="134"/>
      </rPr>
      <t>自重</t>
    </r>
    <r>
      <rPr>
        <sz val="10"/>
        <rFont val="Times New Roman"/>
        <charset val="134"/>
      </rPr>
      <t>3t</t>
    </r>
    <r>
      <rPr>
        <sz val="10"/>
        <rFont val="宋体"/>
        <charset val="134"/>
      </rPr>
      <t>螺杆式启闭机安装</t>
    </r>
  </si>
  <si>
    <t>拦污栅制作安装（栅体）</t>
  </si>
  <si>
    <t>拦污栅制作安装（栅槽）</t>
  </si>
  <si>
    <t>扶梯制作安装（踏步式）</t>
  </si>
  <si>
    <t>扶梯制作安装（直爬式）</t>
  </si>
  <si>
    <t>操作台制作安装</t>
  </si>
  <si>
    <t>栏杆制作安装（型钢为主）</t>
  </si>
  <si>
    <t>栏杆制作安装（圆钢为主）</t>
  </si>
  <si>
    <t>栏杆制作安装（钢管为主）</t>
  </si>
  <si>
    <t>橡胶支座安装</t>
  </si>
  <si>
    <t>1000cm³</t>
  </si>
  <si>
    <t>机械铺管（管径400mm以内，含管材）</t>
  </si>
  <si>
    <t>管道包裹(含包裹料）</t>
  </si>
  <si>
    <t>河道治理工程</t>
  </si>
  <si>
    <r>
      <rPr>
        <sz val="10"/>
        <rFont val="宋体"/>
        <charset val="134"/>
      </rPr>
      <t>预制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砼四脚体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</si>
  <si>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50m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</si>
  <si>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100m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</si>
  <si>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200m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</si>
  <si>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300m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</si>
  <si>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400m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</si>
  <si>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砼四脚体运输（运距</t>
    </r>
    <r>
      <rPr>
        <sz val="10"/>
        <rFont val="Times New Roman"/>
        <charset val="134"/>
      </rPr>
      <t>500m</t>
    </r>
    <r>
      <rPr>
        <sz val="10"/>
        <rFont val="宋体"/>
        <charset val="134"/>
      </rPr>
      <t>）</t>
    </r>
  </si>
  <si>
    <t>砼四脚体吊移抛投</t>
  </si>
  <si>
    <r>
      <rPr>
        <sz val="10"/>
        <rFont val="宋体"/>
        <charset val="134"/>
      </rPr>
      <t>格宾护垫块石护坡</t>
    </r>
    <r>
      <rPr>
        <sz val="10"/>
        <rFont val="Times New Roman"/>
        <charset val="134"/>
      </rPr>
      <t>(2×1×0.3m</t>
    </r>
    <r>
      <rPr>
        <sz val="10"/>
        <rFont val="宋体"/>
        <charset val="134"/>
      </rPr>
      <t>单元）</t>
    </r>
  </si>
  <si>
    <r>
      <rPr>
        <sz val="10"/>
        <rFont val="宋体"/>
        <charset val="134"/>
      </rPr>
      <t>格宾护垫卵石护底（</t>
    </r>
    <r>
      <rPr>
        <sz val="10"/>
        <rFont val="Times New Roman"/>
        <charset val="134"/>
      </rPr>
      <t>2×1×0.5m</t>
    </r>
    <r>
      <rPr>
        <sz val="10"/>
        <rFont val="宋体"/>
        <charset val="134"/>
      </rPr>
      <t>单元）</t>
    </r>
  </si>
  <si>
    <r>
      <rPr>
        <sz val="10"/>
        <rFont val="宋体"/>
        <charset val="134"/>
      </rPr>
      <t>格宾笼护脚（</t>
    </r>
    <r>
      <rPr>
        <sz val="10"/>
        <rFont val="Times New Roman"/>
        <charset val="134"/>
      </rPr>
      <t>0.8×1.0×4m</t>
    </r>
    <r>
      <rPr>
        <sz val="10"/>
        <rFont val="宋体"/>
        <charset val="134"/>
      </rPr>
      <t>单元）</t>
    </r>
  </si>
  <si>
    <r>
      <rPr>
        <sz val="10"/>
        <rFont val="宋体"/>
        <charset val="134"/>
      </rPr>
      <t>格栅块石护脚</t>
    </r>
    <r>
      <rPr>
        <sz val="10"/>
        <rFont val="Times New Roman"/>
        <charset val="134"/>
      </rPr>
      <t>(1×1×4m</t>
    </r>
    <r>
      <rPr>
        <sz val="10"/>
        <rFont val="宋体"/>
        <charset val="134"/>
      </rPr>
      <t>单元、中间两隔片）</t>
    </r>
  </si>
  <si>
    <r>
      <rPr>
        <sz val="10"/>
        <rFont val="宋体"/>
        <charset val="134"/>
      </rPr>
      <t>格栅卵石护脚</t>
    </r>
    <r>
      <rPr>
        <sz val="10"/>
        <rFont val="Times New Roman"/>
        <charset val="134"/>
      </rPr>
      <t>(1.2×1×4m</t>
    </r>
    <r>
      <rPr>
        <sz val="10"/>
        <rFont val="宋体"/>
        <charset val="134"/>
      </rPr>
      <t>单元、中间两隔片）</t>
    </r>
  </si>
  <si>
    <t>干砌块石护坡</t>
  </si>
  <si>
    <t>散抛石护脚</t>
  </si>
  <si>
    <t>草土埽体</t>
  </si>
  <si>
    <t>草土体</t>
  </si>
  <si>
    <t>挖掘机挖沟道淤泥</t>
  </si>
  <si>
    <r>
      <rPr>
        <sz val="10"/>
        <rFont val="宋体"/>
        <charset val="134"/>
      </rPr>
      <t>人工回填草土（沟道护坡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</si>
  <si>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土袋桩堆置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沟道护脚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</si>
  <si>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机械铺管（管径</t>
    </r>
    <r>
      <rPr>
        <sz val="10"/>
        <rFont val="Times New Roman"/>
        <charset val="134"/>
      </rPr>
      <t>400mm</t>
    </r>
    <r>
      <rPr>
        <sz val="10"/>
        <rFont val="宋体"/>
        <charset val="134"/>
      </rPr>
      <t>以内，不含管材）</t>
    </r>
  </si>
  <si>
    <r>
      <rPr>
        <sz val="10"/>
        <rFont val="宋体"/>
        <charset val="134"/>
      </rPr>
      <t>管道包裹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含包裹料）</t>
    </r>
  </si>
  <si>
    <t>其他工程</t>
  </si>
  <si>
    <t>土围堰工程</t>
  </si>
  <si>
    <t>草土围堰</t>
  </si>
  <si>
    <t>编织袋围堰</t>
  </si>
  <si>
    <t>草袋围堰</t>
  </si>
  <si>
    <r>
      <rPr>
        <sz val="10"/>
        <rFont val="宋体"/>
        <charset val="134"/>
      </rPr>
      <t>公路基础砂砾石</t>
    </r>
    <r>
      <rPr>
        <sz val="10"/>
        <rFont val="Times New Roman"/>
        <charset val="134"/>
      </rPr>
      <t>10cm</t>
    </r>
    <r>
      <rPr>
        <sz val="10"/>
        <rFont val="宋体"/>
        <charset val="134"/>
      </rPr>
      <t>厚</t>
    </r>
  </si>
  <si>
    <t>1000m²</t>
  </si>
  <si>
    <r>
      <rPr>
        <sz val="10"/>
        <rFont val="宋体"/>
        <charset val="134"/>
      </rPr>
      <t>公路基础砂砾石</t>
    </r>
    <r>
      <rPr>
        <sz val="10"/>
        <rFont val="Times New Roman"/>
        <charset val="134"/>
      </rPr>
      <t>15cm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</si>
  <si>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公路基础混合料</t>
    </r>
    <r>
      <rPr>
        <sz val="10"/>
        <rFont val="Times New Roman"/>
        <charset val="134"/>
      </rPr>
      <t>20cm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</si>
  <si>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公路基础碎（卵）石</t>
    </r>
    <r>
      <rPr>
        <sz val="10"/>
        <rFont val="Times New Roman"/>
        <charset val="134"/>
      </rPr>
      <t>14cm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</si>
  <si>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公路基础碎（卵）石</t>
    </r>
    <r>
      <rPr>
        <sz val="10"/>
        <rFont val="Times New Roman"/>
        <charset val="134"/>
      </rPr>
      <t>20cm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</si>
  <si>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公路面层碎石</t>
    </r>
    <r>
      <rPr>
        <sz val="10"/>
        <rFont val="Times New Roman"/>
        <charset val="134"/>
      </rPr>
      <t>10cm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</si>
  <si>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公路面层碎石</t>
    </r>
    <r>
      <rPr>
        <sz val="10"/>
        <rFont val="Times New Roman"/>
        <charset val="134"/>
      </rPr>
      <t>3cm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</si>
  <si>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15cm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</si>
  <si>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18cm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</si>
  <si>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</t>
    </r>
    <r>
      <rPr>
        <sz val="10"/>
        <rFont val="Times New Roman"/>
        <charset val="134"/>
      </rPr>
      <t>C20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20cm</t>
    </r>
    <r>
      <rPr>
        <sz val="10"/>
        <rFont val="宋体"/>
        <charset val="134"/>
      </rPr>
      <t>厚</t>
    </r>
  </si>
  <si>
    <r>
      <rPr>
        <sz val="10"/>
        <rFont val="宋体"/>
        <charset val="134"/>
      </rPr>
      <t>公路面层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砼</t>
    </r>
    <r>
      <rPr>
        <sz val="10"/>
        <rFont val="Times New Roman"/>
        <charset val="134"/>
      </rPr>
      <t>8cm</t>
    </r>
    <r>
      <rPr>
        <sz val="10"/>
        <rFont val="宋体"/>
        <charset val="134"/>
      </rPr>
      <t>厚</t>
    </r>
  </si>
  <si>
    <t>房屋拆除</t>
  </si>
  <si>
    <t>10m²</t>
  </si>
  <si>
    <t>挖掘机拆除浆砌石</t>
  </si>
  <si>
    <t>渠道衬砌旧混凝土板拆除</t>
  </si>
  <si>
    <r>
      <rPr>
        <sz val="10"/>
        <rFont val="宋体"/>
        <charset val="134"/>
      </rPr>
      <t>复合土工膜平铺（25</t>
    </r>
    <r>
      <rPr>
        <sz val="10"/>
        <rFont val="Times New Roman"/>
        <charset val="134"/>
      </rPr>
      <t>0g+5mm+250g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</si>
  <si>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复合土工膜斜铺（25</t>
    </r>
    <r>
      <rPr>
        <sz val="10"/>
        <rFont val="Times New Roman"/>
        <charset val="134"/>
      </rPr>
      <t>0g+5mm+250g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</si>
  <si>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复合土工膜平铺（30</t>
    </r>
    <r>
      <rPr>
        <sz val="10"/>
        <rFont val="Times New Roman"/>
        <charset val="134"/>
      </rPr>
      <t>0g+6mm+300g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</si>
  <si>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复合土工膜斜铺（30</t>
    </r>
    <r>
      <rPr>
        <sz val="10"/>
        <rFont val="Times New Roman"/>
        <charset val="134"/>
      </rPr>
      <t>0g+5mm+300g</t>
    </r>
    <r>
      <rPr>
        <sz val="10"/>
        <rFont val="宋体"/>
        <charset val="134"/>
      </rPr>
      <t>）</t>
    </r>
  </si>
  <si>
    <r>
      <rPr>
        <sz val="10"/>
        <rFont val="Times New Roman"/>
        <charset val="134"/>
      </rPr>
      <t xml:space="preserve">M5 </t>
    </r>
    <r>
      <rPr>
        <sz val="10"/>
        <rFont val="宋体"/>
        <charset val="134"/>
      </rPr>
      <t>砂浆垫层</t>
    </r>
    <r>
      <rPr>
        <sz val="10"/>
        <rFont val="Times New Roman"/>
        <charset val="134"/>
      </rPr>
      <t>3cm</t>
    </r>
    <r>
      <rPr>
        <sz val="10"/>
        <rFont val="宋体"/>
        <charset val="134"/>
      </rPr>
      <t>厚</t>
    </r>
  </si>
  <si>
    <r>
      <rPr>
        <sz val="10"/>
        <rFont val="Times New Roman"/>
        <charset val="134"/>
      </rPr>
      <t xml:space="preserve">M7.5 </t>
    </r>
    <r>
      <rPr>
        <sz val="10"/>
        <rFont val="宋体"/>
        <charset val="134"/>
      </rPr>
      <t>砂浆垫层</t>
    </r>
    <r>
      <rPr>
        <sz val="10"/>
        <rFont val="Times New Roman"/>
        <charset val="134"/>
      </rPr>
      <t>3cm</t>
    </r>
    <r>
      <rPr>
        <sz val="10"/>
        <rFont val="宋体"/>
        <charset val="134"/>
      </rPr>
      <t>厚</t>
    </r>
  </si>
  <si>
    <r>
      <rPr>
        <sz val="10"/>
        <rFont val="Times New Roman"/>
        <charset val="134"/>
      </rPr>
      <t xml:space="preserve">M7.5 </t>
    </r>
    <r>
      <rPr>
        <sz val="10"/>
        <rFont val="宋体"/>
        <charset val="134"/>
      </rPr>
      <t>砂浆垫层</t>
    </r>
    <r>
      <rPr>
        <sz val="10"/>
        <rFont val="Times New Roman"/>
        <charset val="134"/>
      </rPr>
      <t>10cm</t>
    </r>
    <r>
      <rPr>
        <sz val="10"/>
        <rFont val="宋体"/>
        <charset val="134"/>
      </rPr>
      <t>厚</t>
    </r>
  </si>
  <si>
    <r>
      <rPr>
        <sz val="10"/>
        <rFont val="Times New Roman"/>
        <charset val="134"/>
      </rPr>
      <t>3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>7</t>
    </r>
    <r>
      <rPr>
        <sz val="10"/>
        <rFont val="宋体"/>
        <charset val="134"/>
      </rPr>
      <t>灰土垫层</t>
    </r>
  </si>
  <si>
    <t>黏土拉运(运距120km)</t>
  </si>
  <si>
    <t>材料预算价格计算表</t>
  </si>
  <si>
    <t>汽车运输价格</t>
  </si>
  <si>
    <t>依据：《宁夏水利工程造价信息》2023年第2期、宁夏工程造价2023年第3期</t>
  </si>
  <si>
    <t>施工地点：平罗县</t>
  </si>
  <si>
    <t>单位：元</t>
  </si>
  <si>
    <t>货种</t>
  </si>
  <si>
    <t>整车（元/吨公里）</t>
  </si>
  <si>
    <t>产地</t>
  </si>
  <si>
    <t>不含税价</t>
  </si>
  <si>
    <t>运输工具</t>
  </si>
  <si>
    <t>运距</t>
  </si>
  <si>
    <t>运输单价</t>
  </si>
  <si>
    <t>运费</t>
  </si>
  <si>
    <t>装卸费</t>
  </si>
  <si>
    <t>采管费</t>
  </si>
  <si>
    <t>过路费</t>
  </si>
  <si>
    <t>预算价格</t>
  </si>
  <si>
    <t>定额限价</t>
  </si>
  <si>
    <t>材料差</t>
  </si>
  <si>
    <t>运距（公里）</t>
  </si>
  <si>
    <t>一等</t>
  </si>
  <si>
    <t>二等</t>
  </si>
  <si>
    <t>材料名称</t>
  </si>
  <si>
    <t>比重系数</t>
  </si>
  <si>
    <t>主要材料</t>
  </si>
  <si>
    <t>水泥</t>
  </si>
  <si>
    <t>赛马牌水泥PO42.5R(袋）</t>
  </si>
  <si>
    <t>大武口工业园</t>
  </si>
  <si>
    <r>
      <rPr>
        <sz val="10"/>
        <rFont val="宋体"/>
        <charset val="134"/>
      </rPr>
      <t>汽车</t>
    </r>
  </si>
  <si>
    <t>砂子</t>
  </si>
  <si>
    <t>赛马高抗硫水泥P.HSR42.5</t>
  </si>
  <si>
    <t>新市区</t>
  </si>
  <si>
    <t>石子</t>
  </si>
  <si>
    <t>中砂（水洗砂）</t>
  </si>
  <si>
    <t>惠农区小干沟</t>
  </si>
  <si>
    <t>块石</t>
  </si>
  <si>
    <t>1-2cm碎石</t>
  </si>
  <si>
    <t>西夏区套门沟</t>
  </si>
  <si>
    <t>柴油</t>
  </si>
  <si>
    <t>卵石</t>
  </si>
  <si>
    <t>镇北堡</t>
  </si>
  <si>
    <t>汽油</t>
  </si>
  <si>
    <t>黏土</t>
  </si>
  <si>
    <t>青铜峡</t>
  </si>
  <si>
    <t>银川市西夏区</t>
  </si>
  <si>
    <t>预制板</t>
  </si>
  <si>
    <t>当地</t>
  </si>
  <si>
    <t>/</t>
  </si>
  <si>
    <t xml:space="preserve">施工用水  </t>
  </si>
  <si>
    <t>施工用电</t>
  </si>
  <si>
    <t>kw·h</t>
  </si>
  <si>
    <t>焊接钢管</t>
  </si>
  <si>
    <t>镀锌钢管</t>
  </si>
  <si>
    <t>无缝钢管</t>
  </si>
  <si>
    <t>螺旋钢管</t>
  </si>
  <si>
    <t>粗砂砾石</t>
  </si>
  <si>
    <t>建筑垃圾</t>
  </si>
  <si>
    <t>闸门</t>
  </si>
  <si>
    <t>STZ400×400手提式平面铸铁</t>
  </si>
  <si>
    <t>银川</t>
  </si>
  <si>
    <t>汽车</t>
  </si>
  <si>
    <t>PZ500×500分体式平面铸铁</t>
  </si>
  <si>
    <t>PZ600×600分体式平面铸铁</t>
  </si>
  <si>
    <t>PZ700×700分体式平面铸铁</t>
  </si>
  <si>
    <t>26及以上</t>
  </si>
  <si>
    <t>PZ800×800分体式平面铸铁</t>
  </si>
  <si>
    <t>PZ900×900分体式平面铸铁</t>
  </si>
  <si>
    <t>宁夏回族自治区汽车运输货物装卸费用</t>
  </si>
  <si>
    <t>PZ1000×1000分体式平面铸铁</t>
  </si>
  <si>
    <t>单位：元/吨</t>
  </si>
  <si>
    <t>PZ1200×1200分体式平面铸铁</t>
  </si>
  <si>
    <t>一等货物</t>
  </si>
  <si>
    <t>二等货物</t>
  </si>
  <si>
    <t>GZ1200×1200mm拱面铸铁</t>
  </si>
  <si>
    <t>装</t>
  </si>
  <si>
    <t>卸</t>
  </si>
  <si>
    <t>GZ1500×1500mm拱面铸铁</t>
  </si>
  <si>
    <t>GZ2000×2000mm拱面铸铁</t>
  </si>
  <si>
    <t>砂子、片石、碎（砾）石、卵石、各种土、水</t>
  </si>
  <si>
    <t>袋装水泥、水泥制品、预制水泥构件、钢材、砖瓦、块石、圆木、板材</t>
  </si>
  <si>
    <t>GZ2500×2500mm拱面铸铁</t>
  </si>
  <si>
    <t>GZ300×300mm整体式铸铁</t>
  </si>
  <si>
    <t>GZ400×400mm整体式铸铁</t>
  </si>
  <si>
    <t>GZ500×500mm整体式铸铁</t>
  </si>
  <si>
    <t>无缝钢管价格计算表GB/T 17395-2008</t>
  </si>
  <si>
    <t>GZ600×600mm整体式铸铁</t>
  </si>
  <si>
    <t>壁厚（mm）</t>
  </si>
  <si>
    <t>外径（mm）</t>
  </si>
  <si>
    <t>内径（mm）</t>
  </si>
  <si>
    <t>质量（kg/m）</t>
  </si>
  <si>
    <t>价格（元/m）</t>
  </si>
  <si>
    <t>扩大10%</t>
  </si>
  <si>
    <t>GZ800×800mm整体式铸铁</t>
  </si>
  <si>
    <t>GZ1000×1000mm整体式铸铁</t>
  </si>
  <si>
    <t>GZ1200×1200mm整体式铸铁</t>
  </si>
  <si>
    <t>启闭机</t>
  </si>
  <si>
    <t>LQL-1.0T平推螺杆式</t>
  </si>
  <si>
    <t>LQL-1.5T平推螺杆式</t>
  </si>
  <si>
    <t>LQL-2.0T平推螺杆式</t>
  </si>
  <si>
    <t>LQL-3.0T平推螺杆式</t>
  </si>
  <si>
    <t>LQPC-1.5T侧摇式手动</t>
  </si>
  <si>
    <t>LQPC-2.0T侧摇式手动</t>
  </si>
  <si>
    <t>LQPC-3.0T侧摇式手动</t>
  </si>
  <si>
    <t>LQPC-5.0T侧摇式手动</t>
  </si>
  <si>
    <t>LQPC-8.0T侧摇式手动</t>
  </si>
  <si>
    <t>LQPC-10.0T侧摇式手动</t>
  </si>
  <si>
    <t>LQSD-5.0T手动两用</t>
  </si>
  <si>
    <t>LQSD-8.0T手动两用</t>
  </si>
  <si>
    <t>LQSD-10.0T手动两用</t>
  </si>
  <si>
    <t>LQSD-15.0T手动两用</t>
  </si>
  <si>
    <t>LQSD-20.0T手动两用</t>
  </si>
  <si>
    <t>LQSD-（2×5）T双吊点</t>
  </si>
  <si>
    <t>LQSD-（2×10）T双吊点</t>
  </si>
  <si>
    <t>砼管</t>
  </si>
  <si>
    <t>预应力钢筋混凝土排水管（Ⅱ级）DN400</t>
  </si>
  <si>
    <t>预应力钢筋混凝土排水管（Ⅱ级）DN500</t>
  </si>
  <si>
    <t>预应力钢筋混凝土排水管（Ⅱ级）DN600</t>
  </si>
  <si>
    <t>预应力钢筋混凝土排水管（Ⅱ级）DN800</t>
  </si>
  <si>
    <t>预应力钢筋混凝土排水管（Ⅱ级）DN1000</t>
  </si>
  <si>
    <t>预应力钢筋混凝土排水管（Ⅱ级）DN1200</t>
  </si>
  <si>
    <t>预应力钢筋混凝土排水管（Ⅱ级）DN1400</t>
  </si>
  <si>
    <t>预应力钢筋混凝土排水管（Ⅱ级）DN1600</t>
  </si>
  <si>
    <t>预应力钢筋混凝土排水管（Ⅱ级）DN1800</t>
  </si>
  <si>
    <t>预应力钢筋混凝土排水管（Ⅱ级）DN2000</t>
  </si>
  <si>
    <t>钢筋混凝土排水管（Ⅱ级）DN200</t>
  </si>
  <si>
    <t>钢筋混凝土排水管（Ⅱ级）DN300</t>
  </si>
  <si>
    <t>钢筋混凝土排水管（Ⅱ级）DN400</t>
  </si>
  <si>
    <t>钢筋混凝土排水管（Ⅱ级）DN500</t>
  </si>
  <si>
    <t>钢筋混凝土排水管（Ⅱ级）DN600</t>
  </si>
  <si>
    <t>钢筋混凝土排水管（Ⅱ级）DN800</t>
  </si>
  <si>
    <t>钢筋混凝土排水管（顶管Ⅱ级）DN800</t>
  </si>
  <si>
    <t>钢筋混凝土排水管（Ⅱ级）DN1000</t>
  </si>
  <si>
    <t>钢筋混凝土排水管（顶管Ⅱ级）DN1000</t>
  </si>
  <si>
    <t>钢筋混凝土排水管（Ⅱ级）DN1200</t>
  </si>
  <si>
    <t>钢筋混凝土排水管（顶管Ⅱ级）DN1200</t>
  </si>
  <si>
    <t>钢筋混凝土排水管（Ⅱ级）DN1250</t>
  </si>
  <si>
    <t>钢筋混凝土排水管（顶管Ⅱ级）DN1250</t>
  </si>
  <si>
    <t>钢筋混凝土排水管（Ⅱ级）DN1350</t>
  </si>
  <si>
    <t>钢筋混凝土排水管（顶管Ⅱ级）DN1350</t>
  </si>
  <si>
    <t>钢筋混凝土排水管（Ⅱ级）DN1400</t>
  </si>
  <si>
    <t>钢筋混凝土排水管（顶管Ⅱ级）DN1400</t>
  </si>
  <si>
    <t>钢筋混凝土排水管（Ⅱ级）DN1500</t>
  </si>
  <si>
    <t>钢筋混凝土排水管（顶管Ⅱ级）DN1500</t>
  </si>
  <si>
    <t>钢筋混凝土排水管（Ⅱ级）DN1550</t>
  </si>
  <si>
    <t>钢筋混凝土排水管（顶管Ⅱ级）DN1550</t>
  </si>
  <si>
    <t>钢筋混凝土排水管（Ⅱ级）DN1600</t>
  </si>
  <si>
    <t>钢筋混凝土排水管（顶管Ⅱ级）DN1600</t>
  </si>
  <si>
    <t>钢筋混凝土排水管（Ⅱ级）DN1800</t>
  </si>
  <si>
    <t>钢筋混凝土排水管（顶管Ⅱ级）DN1800</t>
  </si>
  <si>
    <t>钢筋混凝土排水管（Ⅱ级）DN2000</t>
  </si>
  <si>
    <t>钢筋混凝土排水管（顶管Ⅱ级）DN2000</t>
  </si>
  <si>
    <t>钢筋混凝土排水管（Ⅱ级）DN2200</t>
  </si>
  <si>
    <t>钢筋混凝土排水管（顶管Ⅱ级）DN2200</t>
  </si>
  <si>
    <t>钢筋混凝土排水管（Ⅱ级）DN2400</t>
  </si>
  <si>
    <t>钢筋混凝土排水管（顶管Ⅱ级）DN2400</t>
  </si>
  <si>
    <t>钢筋混凝土排水管（Ⅱ级）DN2600</t>
  </si>
  <si>
    <t>钢筋混凝土排水管（顶管Ⅱ级）DN2600</t>
  </si>
  <si>
    <t>其他材料</t>
  </si>
  <si>
    <t>机砖</t>
  </si>
  <si>
    <t>千块</t>
  </si>
  <si>
    <t>石粉</t>
  </si>
  <si>
    <t>生石灰</t>
  </si>
  <si>
    <t>炉渣</t>
  </si>
  <si>
    <t>铁件</t>
  </si>
  <si>
    <t>铁钉</t>
  </si>
  <si>
    <t>沥青</t>
  </si>
  <si>
    <t>专用钢模</t>
  </si>
  <si>
    <t>组合钢模</t>
  </si>
  <si>
    <t>型钢</t>
  </si>
  <si>
    <t>卡扣件</t>
  </si>
  <si>
    <t>电焊条</t>
  </si>
  <si>
    <t>铁丝  20-22#</t>
  </si>
  <si>
    <t>预埋铁件</t>
  </si>
  <si>
    <t>垫铁块</t>
  </si>
  <si>
    <t>油毛毡</t>
  </si>
  <si>
    <t>塑料薄膜</t>
  </si>
  <si>
    <t>聚乙烯油膏</t>
  </si>
  <si>
    <t>锯材</t>
  </si>
  <si>
    <t>板枋材</t>
  </si>
  <si>
    <t>格宾</t>
  </si>
  <si>
    <t>铅丝笼</t>
  </si>
  <si>
    <t>土工布</t>
  </si>
  <si>
    <t>普通减水剂LD-M1</t>
  </si>
  <si>
    <t>高性能减水剂（保塌型）</t>
  </si>
  <si>
    <t>高性能减水剂（减水型）</t>
  </si>
  <si>
    <t>膨胀剂LD-EA1</t>
  </si>
  <si>
    <t>高性能抗裂膨胀剂</t>
  </si>
  <si>
    <t xml:space="preserve">                              </t>
  </si>
  <si>
    <t>法兰式金属软管DN200*300</t>
  </si>
  <si>
    <t>法兰式金属软管DN250*300</t>
  </si>
  <si>
    <t>法兰式金属软管DN300*300</t>
  </si>
  <si>
    <t>D341X-16 铸铁法兰涡轮蝶阀    DN150</t>
  </si>
  <si>
    <t>D341X-16 铸铁法兰涡轮蝶阀    DN200</t>
  </si>
  <si>
    <t>D341X-16 铸铁法兰涡轮蝶阀    DN250</t>
  </si>
  <si>
    <t>D341X-16 铸铁法兰涡轮蝶阀    DN300</t>
  </si>
  <si>
    <t>D341X-16 铸铁法兰涡轮蝶阀    DN350</t>
  </si>
  <si>
    <t>法兰 DN150</t>
  </si>
  <si>
    <t>片</t>
  </si>
  <si>
    <t>法兰 DN200</t>
  </si>
  <si>
    <t>法兰 DN250</t>
  </si>
  <si>
    <t>法兰 DN300</t>
  </si>
  <si>
    <t>法兰 DN350</t>
  </si>
  <si>
    <t>法兰 DN400</t>
  </si>
  <si>
    <t>法兰指针冷热水表  DN150</t>
  </si>
  <si>
    <t>法兰指针冷热水表  DN200</t>
  </si>
  <si>
    <t>法兰指针冷热水表  DN250</t>
  </si>
  <si>
    <t>法兰指针冷热水表  DN300</t>
  </si>
  <si>
    <t>电磁流量计 DN250</t>
  </si>
  <si>
    <t>电磁流量计 DN300</t>
  </si>
  <si>
    <t>电磁流量计 DN350</t>
  </si>
  <si>
    <t>电磁流量计 DN200</t>
  </si>
  <si>
    <t>混凝土及砂浆配合比计算表</t>
  </si>
  <si>
    <t>单位：m³</t>
  </si>
  <si>
    <t>砼或砂浆标号</t>
  </si>
  <si>
    <t>水泥标号</t>
  </si>
  <si>
    <t>砼级配</t>
  </si>
  <si>
    <t>水泥（t)</t>
  </si>
  <si>
    <t>砂子（m³)</t>
  </si>
  <si>
    <t>石子（m³)</t>
  </si>
  <si>
    <t>膨胀剂(Kg）</t>
  </si>
  <si>
    <t>水(m³)</t>
  </si>
  <si>
    <t>定额单价</t>
  </si>
  <si>
    <t>预算量</t>
  </si>
  <si>
    <t>定额价</t>
  </si>
  <si>
    <t>C10砼</t>
  </si>
  <si>
    <t>C15砼</t>
  </si>
  <si>
    <t>C20砼</t>
  </si>
  <si>
    <t>C20细石砼</t>
  </si>
  <si>
    <t>C25砼</t>
  </si>
  <si>
    <t>C30砼</t>
  </si>
  <si>
    <t>C35砼</t>
  </si>
  <si>
    <t>C40砼</t>
  </si>
  <si>
    <t>C45砼</t>
  </si>
  <si>
    <t>M5</t>
  </si>
  <si>
    <t>M7.5</t>
  </si>
  <si>
    <t>M10</t>
  </si>
  <si>
    <t>M12.5</t>
  </si>
  <si>
    <t>M15</t>
  </si>
  <si>
    <r>
      <rPr>
        <sz val="12"/>
        <rFont val="宋体"/>
        <charset val="134"/>
      </rPr>
      <t>M</t>
    </r>
    <r>
      <rPr>
        <sz val="12"/>
        <rFont val="宋体"/>
        <charset val="134"/>
      </rPr>
      <t>20</t>
    </r>
  </si>
  <si>
    <r>
      <rPr>
        <sz val="12"/>
        <rFont val="宋体"/>
        <charset val="134"/>
      </rPr>
      <t>m</t>
    </r>
    <r>
      <rPr>
        <sz val="12"/>
        <rFont val="宋体"/>
        <charset val="134"/>
      </rPr>
      <t>25</t>
    </r>
  </si>
  <si>
    <r>
      <rPr>
        <sz val="12"/>
        <rFont val="宋体"/>
        <charset val="134"/>
      </rPr>
      <t>m</t>
    </r>
    <r>
      <rPr>
        <sz val="12"/>
        <rFont val="宋体"/>
        <charset val="134"/>
      </rPr>
      <t>30</t>
    </r>
  </si>
  <si>
    <t>M40</t>
  </si>
  <si>
    <t>R[-6]C[-1]*5%</t>
  </si>
  <si>
    <t xml:space="preserve">   </t>
  </si>
  <si>
    <t>施工机械台时费汇总表</t>
  </si>
  <si>
    <t>机械名称</t>
  </si>
  <si>
    <t>依据定额名称</t>
  </si>
  <si>
    <r>
      <rPr>
        <b/>
        <sz val="16"/>
        <rFont val="宋体"/>
        <charset val="134"/>
      </rPr>
      <t>台时费（元</t>
    </r>
    <r>
      <rPr>
        <sz val="12"/>
        <color indexed="10"/>
        <rFont val="Times New Roman"/>
        <charset val="134"/>
      </rPr>
      <t>/</t>
    </r>
    <r>
      <rPr>
        <b/>
        <sz val="16"/>
        <rFont val="宋体"/>
        <charset val="134"/>
      </rPr>
      <t>台时）</t>
    </r>
  </si>
  <si>
    <t>土石方机械</t>
  </si>
  <si>
    <t>挖掘机（油动）</t>
  </si>
  <si>
    <t>0.5m³</t>
  </si>
  <si>
    <t>1.0m³</t>
  </si>
  <si>
    <t>挖掘机（液压）</t>
  </si>
  <si>
    <t>0.6m³</t>
  </si>
  <si>
    <t>1.2m³</t>
  </si>
  <si>
    <t>2.0m³</t>
  </si>
  <si>
    <t>装载机（轮胎式）</t>
  </si>
  <si>
    <t>1.5m³</t>
  </si>
  <si>
    <t>拖拉机（履带式）</t>
  </si>
  <si>
    <t>59kw</t>
  </si>
  <si>
    <t>74kw</t>
  </si>
  <si>
    <t>88kw</t>
  </si>
  <si>
    <t>118kw</t>
  </si>
  <si>
    <t>推土机</t>
  </si>
  <si>
    <t>55kw</t>
  </si>
  <si>
    <t>103kw</t>
  </si>
  <si>
    <t>手扶拖拉机</t>
  </si>
  <si>
    <t>9kw</t>
  </si>
  <si>
    <t>11kw</t>
  </si>
  <si>
    <t>自行式平地机</t>
  </si>
  <si>
    <t>44m³</t>
  </si>
  <si>
    <t>66m³</t>
  </si>
  <si>
    <t>118m³</t>
  </si>
  <si>
    <t>削坡机</t>
  </si>
  <si>
    <t>轮胎碾</t>
  </si>
  <si>
    <t>9~16t</t>
  </si>
  <si>
    <t>斜坡振动碾（拖式）</t>
  </si>
  <si>
    <t>10t</t>
  </si>
  <si>
    <t>13~14t</t>
  </si>
  <si>
    <t>16t</t>
  </si>
  <si>
    <t>羊角碾</t>
  </si>
  <si>
    <t>5~7t</t>
  </si>
  <si>
    <t>8~12t</t>
  </si>
  <si>
    <t>内燃压路机</t>
  </si>
  <si>
    <t>8~10t</t>
  </si>
  <si>
    <t>12~15t</t>
  </si>
  <si>
    <t>蛙式打夯机</t>
  </si>
  <si>
    <t>2.8kw</t>
  </si>
  <si>
    <t>风钻</t>
  </si>
  <si>
    <t>手持式</t>
  </si>
  <si>
    <t>气腿式</t>
  </si>
  <si>
    <t>风镐</t>
  </si>
  <si>
    <t>潜孔钻</t>
  </si>
  <si>
    <r>
      <rPr>
        <sz val="11"/>
        <rFont val="仿宋_GB2312"/>
        <charset val="134"/>
      </rPr>
      <t>80</t>
    </r>
    <r>
      <rPr>
        <sz val="10"/>
        <rFont val="宋体"/>
        <charset val="134"/>
      </rPr>
      <t>型</t>
    </r>
  </si>
  <si>
    <r>
      <rPr>
        <sz val="11"/>
        <rFont val="仿宋_GB2312"/>
        <charset val="134"/>
      </rPr>
      <t>100</t>
    </r>
    <r>
      <rPr>
        <sz val="10"/>
        <rFont val="宋体"/>
        <charset val="134"/>
      </rPr>
      <t>型</t>
    </r>
  </si>
  <si>
    <t>装岩机</t>
  </si>
  <si>
    <t>0.2m³</t>
  </si>
  <si>
    <t>吊桶</t>
  </si>
  <si>
    <t>0.2~0.6m³</t>
  </si>
  <si>
    <t>水枪</t>
  </si>
  <si>
    <r>
      <rPr>
        <sz val="10"/>
        <rFont val="宋体"/>
        <charset val="134"/>
      </rPr>
      <t>陕西</t>
    </r>
    <r>
      <rPr>
        <sz val="11"/>
        <rFont val="仿宋_GB2312"/>
        <charset val="134"/>
      </rPr>
      <t>20</t>
    </r>
    <r>
      <rPr>
        <sz val="10"/>
        <rFont val="宋体"/>
        <charset val="134"/>
      </rPr>
      <t>型</t>
    </r>
  </si>
  <si>
    <t>强夯机械</t>
  </si>
  <si>
    <t>120tm</t>
  </si>
  <si>
    <t>200tm</t>
  </si>
  <si>
    <t>300tm</t>
  </si>
  <si>
    <t>锯槽铺塑机</t>
  </si>
  <si>
    <t>挖沟铺管机</t>
  </si>
  <si>
    <r>
      <rPr>
        <sz val="11"/>
        <rFont val="仿宋_GB2312"/>
        <charset val="134"/>
      </rPr>
      <t>T555</t>
    </r>
    <r>
      <rPr>
        <sz val="10"/>
        <rFont val="宋体"/>
        <charset val="134"/>
      </rPr>
      <t>型</t>
    </r>
  </si>
  <si>
    <t>混凝土机械</t>
  </si>
  <si>
    <t>混凝土搅拌机</t>
  </si>
  <si>
    <t>0.25m³</t>
  </si>
  <si>
    <t>0.4m³</t>
  </si>
  <si>
    <t>0.8m³</t>
  </si>
  <si>
    <t>强制混凝土搅拌机</t>
  </si>
  <si>
    <t>0.35m³</t>
  </si>
  <si>
    <t>混凝土喷射机</t>
  </si>
  <si>
    <t>4~5m³/h</t>
  </si>
  <si>
    <t>喷浆机</t>
  </si>
  <si>
    <t>75L</t>
  </si>
  <si>
    <t>振捣器（插入式）</t>
  </si>
  <si>
    <t>1.1kw</t>
  </si>
  <si>
    <t>1.5kw</t>
  </si>
  <si>
    <t>2.2kw</t>
  </si>
  <si>
    <t>振捣器（平板式）</t>
  </si>
  <si>
    <t>变频机组</t>
  </si>
  <si>
    <t>4.5kva</t>
  </si>
  <si>
    <t>混凝土振动碾</t>
  </si>
  <si>
    <t>沥青滚动烘干机</t>
  </si>
  <si>
    <t>沥青强制搅拌机组</t>
  </si>
  <si>
    <t>沥青搅拌机出料</t>
  </si>
  <si>
    <t>0.15m³</t>
  </si>
  <si>
    <t>沥青摊铺机</t>
  </si>
  <si>
    <t>沥青振动碾</t>
  </si>
  <si>
    <t>1.5t</t>
  </si>
  <si>
    <t>混凝土罐</t>
  </si>
  <si>
    <t>风（砂）水枪</t>
  </si>
  <si>
    <t>6.0m³/min</t>
  </si>
  <si>
    <t>运输机械</t>
  </si>
  <si>
    <t>载重汽车</t>
  </si>
  <si>
    <t>4t</t>
  </si>
  <si>
    <t>5t</t>
  </si>
  <si>
    <t>自卸汽车</t>
  </si>
  <si>
    <t>3.5t</t>
  </si>
  <si>
    <t>8t</t>
  </si>
  <si>
    <t>12t</t>
  </si>
  <si>
    <t>15t</t>
  </si>
  <si>
    <t>18t</t>
  </si>
  <si>
    <t>20t</t>
  </si>
  <si>
    <t>平板挂车</t>
  </si>
  <si>
    <t>30t</t>
  </si>
  <si>
    <t>40t</t>
  </si>
  <si>
    <t>60t</t>
  </si>
  <si>
    <t>80t</t>
  </si>
  <si>
    <t>汽车牵引头</t>
  </si>
  <si>
    <t>洒水车</t>
  </si>
  <si>
    <t>2.5m³</t>
  </si>
  <si>
    <t>4.0m³</t>
  </si>
  <si>
    <t>4.8m³</t>
  </si>
  <si>
    <t>油罐汽车</t>
  </si>
  <si>
    <t>沥青洒布车</t>
  </si>
  <si>
    <t>3.5m³</t>
  </si>
  <si>
    <t>机动翻斗车</t>
  </si>
  <si>
    <t>1.0t</t>
  </si>
  <si>
    <t>胶轮车</t>
  </si>
  <si>
    <t>电瓶搬运车</t>
  </si>
  <si>
    <t>电瓶机车</t>
  </si>
  <si>
    <t>5.0t</t>
  </si>
  <si>
    <t>8.0t</t>
  </si>
  <si>
    <t>平车（窄轨）</t>
  </si>
  <si>
    <t>2.0t</t>
  </si>
  <si>
    <r>
      <rPr>
        <sz val="11"/>
        <rFont val="仿宋_GB2312"/>
        <charset val="134"/>
      </rPr>
      <t>V</t>
    </r>
    <r>
      <rPr>
        <sz val="10"/>
        <rFont val="宋体"/>
        <charset val="134"/>
      </rPr>
      <t>型斗车（窄轨）</t>
    </r>
  </si>
  <si>
    <t>V型斗车（窄轨）</t>
  </si>
  <si>
    <t>起重机械</t>
  </si>
  <si>
    <t>塔式起重机</t>
  </si>
  <si>
    <t>6.0t</t>
  </si>
  <si>
    <t>10.0t</t>
  </si>
  <si>
    <t>25t</t>
  </si>
  <si>
    <t>门座式起重机</t>
  </si>
  <si>
    <t>10~30t</t>
  </si>
  <si>
    <t>龙门式起重机</t>
  </si>
  <si>
    <t>简易龙门起重机</t>
  </si>
  <si>
    <t>桥式起重机（双梁）</t>
  </si>
  <si>
    <t>15/3t</t>
  </si>
  <si>
    <t>20/5t</t>
  </si>
  <si>
    <t>30/5t</t>
  </si>
  <si>
    <t>履带起重机（油动）</t>
  </si>
  <si>
    <t>50t</t>
  </si>
  <si>
    <t>90t</t>
  </si>
  <si>
    <t>100t</t>
  </si>
  <si>
    <t>汽车起重机</t>
  </si>
  <si>
    <t>6.3t</t>
  </si>
  <si>
    <t>70t</t>
  </si>
  <si>
    <t>轮胎起重机</t>
  </si>
  <si>
    <t>35t</t>
  </si>
  <si>
    <t>100~125t</t>
  </si>
  <si>
    <t>内燃叉车</t>
  </si>
  <si>
    <t>2t</t>
  </si>
  <si>
    <t>3t</t>
  </si>
  <si>
    <t>6t</t>
  </si>
  <si>
    <t>链式起重机（手动）</t>
  </si>
  <si>
    <t>桅杆式起重机</t>
  </si>
  <si>
    <t>千斤顶</t>
  </si>
  <si>
    <t>≤10t</t>
  </si>
  <si>
    <t>电动葫芦</t>
  </si>
  <si>
    <t>0.5t</t>
  </si>
  <si>
    <t>卷扬机</t>
  </si>
  <si>
    <t>箕斗</t>
  </si>
  <si>
    <t>0.6t</t>
  </si>
  <si>
    <t>人工绞磨</t>
  </si>
  <si>
    <t>简易缆索起重机</t>
  </si>
  <si>
    <t>钻孔灌浆机械</t>
  </si>
  <si>
    <t>地质钻机</t>
  </si>
  <si>
    <t>100型</t>
  </si>
  <si>
    <r>
      <rPr>
        <sz val="11"/>
        <rFont val="仿宋_GB2312"/>
        <charset val="134"/>
      </rPr>
      <t>150</t>
    </r>
    <r>
      <rPr>
        <sz val="10"/>
        <rFont val="宋体"/>
        <charset val="134"/>
      </rPr>
      <t>型</t>
    </r>
  </si>
  <si>
    <r>
      <rPr>
        <sz val="11"/>
        <rFont val="仿宋_GB2312"/>
        <charset val="134"/>
      </rPr>
      <t>300</t>
    </r>
    <r>
      <rPr>
        <sz val="10"/>
        <rFont val="宋体"/>
        <charset val="134"/>
      </rPr>
      <t>型</t>
    </r>
  </si>
  <si>
    <t>冲击钻机</t>
  </si>
  <si>
    <t>CZ-20</t>
  </si>
  <si>
    <t>CZ-22</t>
  </si>
  <si>
    <t>CZ-30</t>
  </si>
  <si>
    <t>大口径工程钻</t>
  </si>
  <si>
    <t>GJC-40H</t>
  </si>
  <si>
    <t>泥浆搅拌机</t>
  </si>
  <si>
    <t>灰浆搅拌机</t>
  </si>
  <si>
    <t>灌浆泵</t>
  </si>
  <si>
    <t>中低压泥浆</t>
  </si>
  <si>
    <t>中低压砂浆</t>
  </si>
  <si>
    <t>高压泥浆</t>
  </si>
  <si>
    <t>灰浆泵</t>
  </si>
  <si>
    <t>4.0kw</t>
  </si>
  <si>
    <t>振冲器</t>
  </si>
  <si>
    <t>ZCQ-13</t>
  </si>
  <si>
    <t>ZCQ-30</t>
  </si>
  <si>
    <t>振动打拔桩机</t>
  </si>
  <si>
    <t>工程船舶</t>
  </si>
  <si>
    <t>绞吸式挖泥船</t>
  </si>
  <si>
    <t>挖泥40m³/h</t>
  </si>
  <si>
    <t>挖砂40m³/h</t>
  </si>
  <si>
    <t>挖泥60m³/h</t>
  </si>
  <si>
    <t>挖砂60m³/h</t>
  </si>
  <si>
    <t>挖泥80m³/h</t>
  </si>
  <si>
    <t>挖砂80m³/h</t>
  </si>
  <si>
    <t>挖泥100m³/h</t>
  </si>
  <si>
    <t>挖砂100m³/h</t>
  </si>
  <si>
    <t>挖泥120m³/h</t>
  </si>
  <si>
    <t>挖砂120m³/h</t>
  </si>
  <si>
    <t>挖泥200m³/h</t>
  </si>
  <si>
    <t>挖砂200m³/h</t>
  </si>
  <si>
    <t>挖泥350m³/h</t>
  </si>
  <si>
    <t>链斗式挖泥船</t>
  </si>
  <si>
    <t>挖泥150m³/h</t>
  </si>
  <si>
    <t>挖砂150m³/h</t>
  </si>
  <si>
    <t>挖泥180m³/h</t>
  </si>
  <si>
    <t>挖砂180m³/h</t>
  </si>
  <si>
    <t>抓斗式挖泥船</t>
  </si>
  <si>
    <t>0.75m³</t>
  </si>
  <si>
    <t>铲斗式挖泥船</t>
  </si>
  <si>
    <t>铲扬式挖泥船</t>
  </si>
  <si>
    <t>水力冲挖机组</t>
  </si>
  <si>
    <r>
      <rPr>
        <sz val="10"/>
        <rFont val="宋体"/>
        <charset val="134"/>
      </rPr>
      <t>高压水泵</t>
    </r>
    <r>
      <rPr>
        <sz val="11"/>
        <rFont val="仿宋_GB2312"/>
        <charset val="134"/>
      </rPr>
      <t>15kw</t>
    </r>
  </si>
  <si>
    <t>水枪φ65mm</t>
  </si>
  <si>
    <r>
      <rPr>
        <sz val="10"/>
        <rFont val="宋体"/>
        <charset val="134"/>
      </rPr>
      <t>泥浆泵</t>
    </r>
    <r>
      <rPr>
        <sz val="11"/>
        <rFont val="仿宋_GB2312"/>
        <charset val="134"/>
      </rPr>
      <t>15kw</t>
    </r>
  </si>
  <si>
    <t>排泥管φ100mm长100m</t>
  </si>
  <si>
    <t>吹泥船</t>
  </si>
  <si>
    <t>挖泥船浮筒</t>
  </si>
  <si>
    <r>
      <rPr>
        <sz val="11"/>
        <rFont val="仿宋_GB2312"/>
        <charset val="134"/>
      </rPr>
      <t>250×5000</t>
    </r>
    <r>
      <rPr>
        <sz val="10"/>
        <rFont val="宋体"/>
        <charset val="134"/>
      </rPr>
      <t>排泥</t>
    </r>
  </si>
  <si>
    <r>
      <rPr>
        <sz val="11"/>
        <rFont val="仿宋_GB2312"/>
        <charset val="134"/>
      </rPr>
      <t>250×5000</t>
    </r>
    <r>
      <rPr>
        <sz val="10"/>
        <rFont val="宋体"/>
        <charset val="134"/>
      </rPr>
      <t>排砂</t>
    </r>
  </si>
  <si>
    <r>
      <rPr>
        <sz val="11"/>
        <rFont val="仿宋_GB2312"/>
        <charset val="134"/>
      </rPr>
      <t>300×5000</t>
    </r>
    <r>
      <rPr>
        <sz val="10"/>
        <rFont val="宋体"/>
        <charset val="134"/>
      </rPr>
      <t>排泥</t>
    </r>
  </si>
  <si>
    <r>
      <rPr>
        <sz val="11"/>
        <rFont val="仿宋_GB2312"/>
        <charset val="134"/>
      </rPr>
      <t>300×5000</t>
    </r>
    <r>
      <rPr>
        <sz val="10"/>
        <rFont val="宋体"/>
        <charset val="134"/>
      </rPr>
      <t>排砂</t>
    </r>
  </si>
  <si>
    <r>
      <rPr>
        <sz val="11"/>
        <rFont val="仿宋_GB2312"/>
        <charset val="134"/>
      </rPr>
      <t>400×7500</t>
    </r>
    <r>
      <rPr>
        <sz val="10"/>
        <rFont val="宋体"/>
        <charset val="134"/>
      </rPr>
      <t>排泥</t>
    </r>
  </si>
  <si>
    <r>
      <rPr>
        <sz val="11"/>
        <rFont val="仿宋_GB2312"/>
        <charset val="134"/>
      </rPr>
      <t>400×7500</t>
    </r>
    <r>
      <rPr>
        <sz val="10"/>
        <rFont val="宋体"/>
        <charset val="134"/>
      </rPr>
      <t>排砂</t>
    </r>
  </si>
  <si>
    <t>岸管</t>
  </si>
  <si>
    <r>
      <rPr>
        <sz val="11"/>
        <rFont val="仿宋_GB2312"/>
        <charset val="134"/>
      </rPr>
      <t>250×4000</t>
    </r>
    <r>
      <rPr>
        <sz val="10"/>
        <rFont val="宋体"/>
        <charset val="134"/>
      </rPr>
      <t>排泥</t>
    </r>
  </si>
  <si>
    <r>
      <rPr>
        <sz val="11"/>
        <rFont val="仿宋_GB2312"/>
        <charset val="134"/>
      </rPr>
      <t>250×4000</t>
    </r>
    <r>
      <rPr>
        <sz val="10"/>
        <rFont val="宋体"/>
        <charset val="134"/>
      </rPr>
      <t>排砂</t>
    </r>
  </si>
  <si>
    <r>
      <rPr>
        <sz val="11"/>
        <rFont val="仿宋_GB2312"/>
        <charset val="134"/>
      </rPr>
      <t>300×4000</t>
    </r>
    <r>
      <rPr>
        <sz val="10"/>
        <rFont val="宋体"/>
        <charset val="134"/>
      </rPr>
      <t>排泥</t>
    </r>
  </si>
  <si>
    <r>
      <rPr>
        <sz val="11"/>
        <rFont val="仿宋_GB2312"/>
        <charset val="134"/>
      </rPr>
      <t>300×4000</t>
    </r>
    <r>
      <rPr>
        <sz val="10"/>
        <rFont val="宋体"/>
        <charset val="134"/>
      </rPr>
      <t>排砂</t>
    </r>
  </si>
  <si>
    <t>拖轮</t>
  </si>
  <si>
    <t>37kw</t>
  </si>
  <si>
    <t>44kw</t>
  </si>
  <si>
    <t>75kw</t>
  </si>
  <si>
    <t>90kw</t>
  </si>
  <si>
    <t>110kw</t>
  </si>
  <si>
    <t>125kw</t>
  </si>
  <si>
    <t>147kw</t>
  </si>
  <si>
    <t>370kw</t>
  </si>
  <si>
    <t>锚艇</t>
  </si>
  <si>
    <t>80~90kw</t>
  </si>
  <si>
    <t>175kw</t>
  </si>
  <si>
    <t>200kw</t>
  </si>
  <si>
    <t>机艇</t>
  </si>
  <si>
    <t>30kw</t>
  </si>
  <si>
    <t>50kw</t>
  </si>
  <si>
    <t>60kw</t>
  </si>
  <si>
    <t>88~90kw</t>
  </si>
  <si>
    <t>120kw</t>
  </si>
  <si>
    <t>底开式泥驳</t>
  </si>
  <si>
    <t>自航50m³</t>
  </si>
  <si>
    <t>自航120m³</t>
  </si>
  <si>
    <t>非自航30m³</t>
  </si>
  <si>
    <t>非自航40m³</t>
  </si>
  <si>
    <t>非自航50m³</t>
  </si>
  <si>
    <t>非自航60m³</t>
  </si>
  <si>
    <t>非自航100m³</t>
  </si>
  <si>
    <t>非自航180m³</t>
  </si>
  <si>
    <t>非自航280m³</t>
  </si>
  <si>
    <t>满地泥驳</t>
  </si>
  <si>
    <t>自航60m³</t>
  </si>
  <si>
    <t>动力机械</t>
  </si>
  <si>
    <t>空压机（电动移动式）</t>
  </si>
  <si>
    <t>0.6m³/min</t>
  </si>
  <si>
    <t>3.0m³/min</t>
  </si>
  <si>
    <t>9.0m³/min</t>
  </si>
  <si>
    <t>空压机（油动移动式）</t>
  </si>
  <si>
    <t>17m³/min</t>
  </si>
  <si>
    <t>20m³/min</t>
  </si>
  <si>
    <t>空压机（电动固定式）</t>
  </si>
  <si>
    <t>15m³/min</t>
  </si>
  <si>
    <t>空压机（油动固定式）</t>
  </si>
  <si>
    <t>12m³/min</t>
  </si>
  <si>
    <t>汽油发电机</t>
  </si>
  <si>
    <t>移动式15m³/min</t>
  </si>
  <si>
    <t>固定式55m³/min</t>
  </si>
  <si>
    <t>柴油发电机</t>
  </si>
  <si>
    <t>移动式20kw</t>
  </si>
  <si>
    <t>移动式30kw</t>
  </si>
  <si>
    <t>移动式40kw</t>
  </si>
  <si>
    <t>移动式50kw</t>
  </si>
  <si>
    <t>移动式60kw</t>
  </si>
  <si>
    <t>移动式85kw</t>
  </si>
  <si>
    <t>固定式160kw</t>
  </si>
  <si>
    <t>固定式200kw</t>
  </si>
  <si>
    <t>固定式250kw</t>
  </si>
  <si>
    <t>其他机械</t>
  </si>
  <si>
    <t>电力变压器</t>
  </si>
  <si>
    <t>20kva</t>
  </si>
  <si>
    <t>30kva</t>
  </si>
  <si>
    <t>50kva</t>
  </si>
  <si>
    <t>离心水泵</t>
  </si>
  <si>
    <t>单级5~10kw</t>
  </si>
  <si>
    <t>单级11~17kw</t>
  </si>
  <si>
    <t>单级22kw</t>
  </si>
  <si>
    <t>单级30kw</t>
  </si>
  <si>
    <t>单级55kw</t>
  </si>
  <si>
    <t>单级75kw</t>
  </si>
  <si>
    <t>单级双吸20kw</t>
  </si>
  <si>
    <t>单级双吸55kw</t>
  </si>
  <si>
    <t>汽油泵</t>
  </si>
  <si>
    <t>2.2~3.7kw</t>
  </si>
  <si>
    <t>潜水泵</t>
  </si>
  <si>
    <t>7kw</t>
  </si>
  <si>
    <t>34kw</t>
  </si>
  <si>
    <t>4kw</t>
  </si>
  <si>
    <t>7.5kw</t>
  </si>
  <si>
    <t>22kw</t>
  </si>
  <si>
    <t>深井泵</t>
  </si>
  <si>
    <t>14kw</t>
  </si>
  <si>
    <t>电磁试压泵</t>
  </si>
  <si>
    <t>3kw</t>
  </si>
  <si>
    <t>离心通风机</t>
  </si>
  <si>
    <t>4.5kw</t>
  </si>
  <si>
    <t>10kw</t>
  </si>
  <si>
    <t>28kw</t>
  </si>
  <si>
    <t>轴流通风机</t>
  </si>
  <si>
    <t>2×55kw</t>
  </si>
  <si>
    <t>叶式通风机</t>
  </si>
  <si>
    <t>20kw</t>
  </si>
  <si>
    <t>电焊机</t>
  </si>
  <si>
    <t>交流25kva</t>
  </si>
  <si>
    <t>交流50kva</t>
  </si>
  <si>
    <t>直流20kva</t>
  </si>
  <si>
    <t>直流30kva</t>
  </si>
  <si>
    <t>点焊机</t>
  </si>
  <si>
    <r>
      <rPr>
        <sz val="10"/>
        <rFont val="宋体"/>
        <charset val="134"/>
      </rPr>
      <t>交流</t>
    </r>
    <r>
      <rPr>
        <sz val="11"/>
        <rFont val="仿宋_GB2312"/>
        <charset val="134"/>
      </rPr>
      <t>20kva</t>
    </r>
  </si>
  <si>
    <r>
      <rPr>
        <sz val="10"/>
        <rFont val="宋体"/>
        <charset val="134"/>
      </rPr>
      <t>交流30</t>
    </r>
    <r>
      <rPr>
        <sz val="11"/>
        <rFont val="仿宋_GB2312"/>
        <charset val="134"/>
      </rPr>
      <t>kva</t>
    </r>
  </si>
  <si>
    <r>
      <rPr>
        <sz val="10"/>
        <rFont val="宋体"/>
        <charset val="134"/>
      </rPr>
      <t>交流75</t>
    </r>
    <r>
      <rPr>
        <sz val="11"/>
        <rFont val="仿宋_GB2312"/>
        <charset val="134"/>
      </rPr>
      <t>kva</t>
    </r>
  </si>
  <si>
    <t>对焊机</t>
  </si>
  <si>
    <r>
      <rPr>
        <sz val="10"/>
        <rFont val="宋体"/>
        <charset val="134"/>
      </rPr>
      <t>电阻75</t>
    </r>
    <r>
      <rPr>
        <sz val="11"/>
        <rFont val="仿宋_GB2312"/>
        <charset val="134"/>
      </rPr>
      <t>kva</t>
    </r>
  </si>
  <si>
    <r>
      <rPr>
        <sz val="10"/>
        <rFont val="宋体"/>
        <charset val="134"/>
      </rPr>
      <t>电阻150</t>
    </r>
    <r>
      <rPr>
        <sz val="11"/>
        <rFont val="仿宋_GB2312"/>
        <charset val="134"/>
      </rPr>
      <t>kva</t>
    </r>
  </si>
  <si>
    <t>电弧150kva</t>
  </si>
  <si>
    <t>气割枪</t>
  </si>
  <si>
    <t>钢筋弯曲机</t>
  </si>
  <si>
    <t>钢筋切断机</t>
  </si>
  <si>
    <t>7.0kw</t>
  </si>
  <si>
    <t>钢筋调直机</t>
  </si>
  <si>
    <t>4~14kw</t>
  </si>
  <si>
    <t>卷板机</t>
  </si>
  <si>
    <t>2.25×10000mm</t>
  </si>
  <si>
    <t>20×2000mm</t>
  </si>
  <si>
    <t>剪板机</t>
  </si>
  <si>
    <t>6.3×2000mm</t>
  </si>
  <si>
    <t>刨边机</t>
  </si>
  <si>
    <t>9.0mm</t>
  </si>
  <si>
    <t>12mm</t>
  </si>
  <si>
    <t>普通车床</t>
  </si>
  <si>
    <t>φ250~400mm</t>
  </si>
  <si>
    <t>φ400~600mm</t>
  </si>
  <si>
    <t>摇臂车床</t>
  </si>
  <si>
    <t>φ20~35mm</t>
  </si>
  <si>
    <t>φ35~50mm</t>
  </si>
  <si>
    <t>立式钻床</t>
  </si>
  <si>
    <t>φ13mm</t>
  </si>
  <si>
    <t>牛头刨床</t>
  </si>
  <si>
    <t>B=650mm</t>
  </si>
  <si>
    <r>
      <rPr>
        <sz val="11"/>
        <rFont val="仿宋_GB2312"/>
        <charset val="134"/>
      </rPr>
      <t>X</t>
    </r>
    <r>
      <rPr>
        <sz val="10"/>
        <rFont val="宋体"/>
        <charset val="134"/>
      </rPr>
      <t>光探伤机</t>
    </r>
  </si>
  <si>
    <t>吹风机</t>
  </si>
  <si>
    <t>项目</t>
  </si>
  <si>
    <t>单斗挖掘机</t>
  </si>
  <si>
    <t>装载机</t>
  </si>
  <si>
    <t>拖拉机</t>
  </si>
  <si>
    <t>手扶式拖拉机</t>
  </si>
  <si>
    <t>油动</t>
  </si>
  <si>
    <t>液压</t>
  </si>
  <si>
    <t>轮胎式</t>
  </si>
  <si>
    <t>履带式</t>
  </si>
  <si>
    <t>斗容（m3）</t>
  </si>
  <si>
    <t>功率（kw）</t>
  </si>
  <si>
    <t>一类费用系数</t>
  </si>
  <si>
    <t>一类费用</t>
  </si>
  <si>
    <t>折旧费</t>
  </si>
  <si>
    <t>折旧费系数</t>
  </si>
  <si>
    <t>修理及替换设备费</t>
  </si>
  <si>
    <t>修理级替换设备费系数</t>
  </si>
  <si>
    <t>安装拆卸费</t>
  </si>
  <si>
    <t>安装拆除费</t>
  </si>
  <si>
    <t>\</t>
  </si>
  <si>
    <t>二类费用</t>
  </si>
  <si>
    <t>工时</t>
  </si>
  <si>
    <t>合价</t>
  </si>
  <si>
    <t>电</t>
  </si>
  <si>
    <t>风</t>
  </si>
  <si>
    <t>水</t>
  </si>
  <si>
    <t>煤</t>
  </si>
  <si>
    <t>斜坡振动碾</t>
  </si>
  <si>
    <t>压路机</t>
  </si>
  <si>
    <t>风镐（铲）</t>
  </si>
  <si>
    <t>吊斗（桶）</t>
  </si>
  <si>
    <t>拖式</t>
  </si>
  <si>
    <t>内燃</t>
  </si>
  <si>
    <t>电动</t>
  </si>
  <si>
    <t>重量（t）</t>
  </si>
  <si>
    <t>型号</t>
  </si>
  <si>
    <t>9~16</t>
  </si>
  <si>
    <t>13~14</t>
  </si>
  <si>
    <t>5~7</t>
  </si>
  <si>
    <t>8~12</t>
  </si>
  <si>
    <t>8~10</t>
  </si>
  <si>
    <t>12~15</t>
  </si>
  <si>
    <t>80型</t>
  </si>
  <si>
    <t>0.2~0.6</t>
  </si>
  <si>
    <t>锯槽      铺塑机</t>
  </si>
  <si>
    <t>挖沟        铺管机</t>
  </si>
  <si>
    <t>夯击能量（tm）</t>
  </si>
  <si>
    <t>陕西20型</t>
  </si>
  <si>
    <t>T555型</t>
  </si>
  <si>
    <t>强制式混凝土搅拌机</t>
  </si>
  <si>
    <t>振捣器</t>
  </si>
  <si>
    <t>沥青混凝土专用设备</t>
  </si>
  <si>
    <t>插入式</t>
  </si>
  <si>
    <t>平板式</t>
  </si>
  <si>
    <t>滚动烘干机</t>
  </si>
  <si>
    <t>强制搅拌机组</t>
  </si>
  <si>
    <t>搅拌机出料（m3）</t>
  </si>
  <si>
    <t>摊铺机</t>
  </si>
  <si>
    <t>振动碾（t）</t>
  </si>
  <si>
    <t>耗风量（m3/min）</t>
  </si>
  <si>
    <t>出料（m3）</t>
  </si>
  <si>
    <t>生产率（m3/h）</t>
  </si>
  <si>
    <t>容量（kva）</t>
  </si>
  <si>
    <t>容积（m3）</t>
  </si>
  <si>
    <t>4~5</t>
  </si>
  <si>
    <t>YZSIA</t>
  </si>
  <si>
    <t>φ200×L5000</t>
  </si>
  <si>
    <t>WH30</t>
  </si>
  <si>
    <t>LT6B</t>
  </si>
  <si>
    <t>TX150</t>
  </si>
  <si>
    <t>汽车拖车头</t>
  </si>
  <si>
    <t>载重量（t）</t>
  </si>
  <si>
    <t>牵引量（t）</t>
  </si>
  <si>
    <t>平车</t>
  </si>
  <si>
    <t>V型斗车</t>
  </si>
  <si>
    <t>窄轨</t>
  </si>
  <si>
    <t>容量（m3）</t>
  </si>
  <si>
    <t>重量（t)</t>
  </si>
  <si>
    <t>桥式起重机</t>
  </si>
  <si>
    <t>履带起重机</t>
  </si>
  <si>
    <t>10/30t高架</t>
  </si>
  <si>
    <t>双梁</t>
  </si>
  <si>
    <t>起重量（t）</t>
  </si>
  <si>
    <t>10~30</t>
  </si>
  <si>
    <t>100~125</t>
  </si>
  <si>
    <t>链式起重机</t>
  </si>
  <si>
    <t>手动</t>
  </si>
  <si>
    <t>单筒慢速</t>
  </si>
  <si>
    <t>≤10</t>
  </si>
  <si>
    <t>20×200</t>
  </si>
  <si>
    <t>20×300</t>
  </si>
  <si>
    <t>20×400</t>
  </si>
  <si>
    <t>20×500</t>
  </si>
  <si>
    <t>40×200</t>
  </si>
  <si>
    <t>40×300</t>
  </si>
  <si>
    <t>40×400</t>
  </si>
  <si>
    <t>40×500</t>
  </si>
  <si>
    <t>150型</t>
  </si>
  <si>
    <t>300型</t>
  </si>
  <si>
    <t>中低压</t>
  </si>
  <si>
    <t>高压</t>
  </si>
  <si>
    <t>激震力（t）</t>
  </si>
  <si>
    <t>泥浆</t>
  </si>
  <si>
    <t>砂浆</t>
  </si>
  <si>
    <t>挖泥</t>
  </si>
  <si>
    <t>挖砂</t>
  </si>
  <si>
    <t>挖泥船浮筒（每组）</t>
  </si>
  <si>
    <t>排泥管径×长度（mm×mm）</t>
  </si>
  <si>
    <t>高压水泵</t>
  </si>
  <si>
    <t>泥浆泵</t>
  </si>
  <si>
    <t>排泥管</t>
  </si>
  <si>
    <t>250*5000</t>
  </si>
  <si>
    <t>300*5000</t>
  </si>
  <si>
    <t>400*7500</t>
  </si>
  <si>
    <t>15kw</t>
  </si>
  <si>
    <t>φ65mm</t>
  </si>
  <si>
    <t>φ100mm长100m</t>
  </si>
  <si>
    <t>排泥</t>
  </si>
  <si>
    <t>排砂</t>
  </si>
  <si>
    <t>岸管（根）</t>
  </si>
  <si>
    <t>管径*长度（mm*mm）</t>
  </si>
  <si>
    <t>自航</t>
  </si>
  <si>
    <t>250*4000</t>
  </si>
  <si>
    <t>300*4000</t>
  </si>
  <si>
    <t>航容积（m3）</t>
  </si>
  <si>
    <t>88~90</t>
  </si>
  <si>
    <t>底开式驳船</t>
  </si>
  <si>
    <t>满底泥驳</t>
  </si>
  <si>
    <t>非自航</t>
  </si>
  <si>
    <t>空压机</t>
  </si>
  <si>
    <t>电动移动式</t>
  </si>
  <si>
    <t>油动移动式</t>
  </si>
  <si>
    <t>电动固定式</t>
  </si>
  <si>
    <t>油动固定式</t>
  </si>
  <si>
    <t>移动式</t>
  </si>
  <si>
    <t>固定式</t>
  </si>
  <si>
    <t>排气量（m3/min）</t>
  </si>
  <si>
    <t>污水泵</t>
  </si>
  <si>
    <t>三相双线圈铝线</t>
  </si>
  <si>
    <t>单级</t>
  </si>
  <si>
    <t>单级双吸</t>
  </si>
  <si>
    <t>5~10</t>
  </si>
  <si>
    <t>11~17</t>
  </si>
  <si>
    <t>2.2~3.7</t>
  </si>
  <si>
    <t xml:space="preserve">气割枪 </t>
  </si>
  <si>
    <t>交流（kva）</t>
  </si>
  <si>
    <t>直流（kva）</t>
  </si>
  <si>
    <t>电阻（kva）</t>
  </si>
  <si>
    <t>电弧（kva）</t>
  </si>
  <si>
    <t>2×55</t>
  </si>
  <si>
    <t>ACM~2</t>
  </si>
  <si>
    <t>X光探伤机</t>
  </si>
  <si>
    <t>规格（mm）</t>
  </si>
  <si>
    <t>排风量</t>
  </si>
  <si>
    <t>φ6~40</t>
  </si>
  <si>
    <t>4~14</t>
  </si>
  <si>
    <t>2.25×10000</t>
  </si>
  <si>
    <t>20×2000</t>
  </si>
  <si>
    <t>6.3×2000</t>
  </si>
  <si>
    <t>φ250~400</t>
  </si>
  <si>
    <t>φ400~600</t>
  </si>
  <si>
    <t>φ20~35</t>
  </si>
  <si>
    <t>φ35~50</t>
  </si>
  <si>
    <t>φ13</t>
  </si>
  <si>
    <t>TX-2505</t>
  </si>
  <si>
    <t>≤4m3/min</t>
  </si>
  <si>
    <r>
      <rPr>
        <sz val="11"/>
        <rFont val="Times New Roman"/>
        <charset val="134"/>
      </rPr>
      <t>人工工资计算表</t>
    </r>
    <r>
      <rPr>
        <b/>
        <sz val="12"/>
        <rFont val="宋体"/>
        <charset val="134"/>
      </rPr>
      <t xml:space="preserve"> </t>
    </r>
    <r>
      <rPr>
        <sz val="11"/>
        <rFont val="Times New Roman"/>
        <charset val="134"/>
      </rPr>
      <t>（普工）</t>
    </r>
  </si>
  <si>
    <t>基本工资</t>
  </si>
  <si>
    <t>355元/月×12月÷251天×1.1304×1.068</t>
  </si>
  <si>
    <t>辅助工资</t>
  </si>
  <si>
    <t>a+b+c+d</t>
  </si>
  <si>
    <t>a</t>
  </si>
  <si>
    <t>地区津贴</t>
  </si>
  <si>
    <t>355元/月×12月÷251天×1.1304×1.068*8%</t>
  </si>
  <si>
    <t>b</t>
  </si>
  <si>
    <t>施工津贴</t>
  </si>
  <si>
    <t>8元/天×365天×95%÷251天×1.068*80%</t>
  </si>
  <si>
    <t>c</t>
  </si>
  <si>
    <t>夜餐津贴</t>
  </si>
  <si>
    <t>（4.5元＋5.0元）÷2×20%</t>
  </si>
  <si>
    <t>d</t>
  </si>
  <si>
    <t>节日加班津贴</t>
  </si>
  <si>
    <t>21.85元/工日×10×3÷251×35%</t>
  </si>
  <si>
    <t>工资附加费</t>
  </si>
  <si>
    <t>a+b+c+d+e+f+g</t>
  </si>
  <si>
    <t>职工福利基金</t>
  </si>
  <si>
    <t>33.44元/工日×7％</t>
  </si>
  <si>
    <t>工会经费</t>
  </si>
  <si>
    <t>33.44元/工日×1％</t>
  </si>
  <si>
    <t>养老保险费</t>
  </si>
  <si>
    <t>33.44元/工日×20％×0.8</t>
  </si>
  <si>
    <t>医疗保险费</t>
  </si>
  <si>
    <t>33.44元/工日×2％</t>
  </si>
  <si>
    <t>e</t>
  </si>
  <si>
    <t>工伤保险费</t>
  </si>
  <si>
    <t>33.44元/工日×1.5％</t>
  </si>
  <si>
    <t>f</t>
  </si>
  <si>
    <t>职工失业保险基金</t>
  </si>
  <si>
    <t>g</t>
  </si>
  <si>
    <t>住房公积金</t>
  </si>
  <si>
    <t>33.44元/工日×12％×0.8</t>
  </si>
  <si>
    <t>合计（元/工日）</t>
  </si>
  <si>
    <t>1+2+3</t>
  </si>
  <si>
    <t>合计（元/工时）</t>
  </si>
  <si>
    <t>(1+2+3)÷8</t>
  </si>
  <si>
    <t>人工工资计算表 （技工）</t>
  </si>
  <si>
    <t>445元/月×12月÷251天×1.1304×1.068</t>
  </si>
  <si>
    <t>445元/月×12月÷251天×1.1304×1.068*8%</t>
  </si>
  <si>
    <t>8元/天×365天×95%÷251天×1.068</t>
  </si>
  <si>
    <t>28.24元/工日×10×3÷251×35%</t>
  </si>
  <si>
    <t>41.67元/工日×14％</t>
  </si>
  <si>
    <t>41.67元/工日×2％</t>
  </si>
  <si>
    <t>41.67元/工日×20％</t>
  </si>
  <si>
    <t>41.67元/工日×4％</t>
  </si>
  <si>
    <t>41.67元/工日×1.5％</t>
  </si>
  <si>
    <t>41.67元/工日×12％</t>
  </si>
  <si>
    <t>附录1    土石方松实系数换算表</t>
  </si>
  <si>
    <t>自然方</t>
  </si>
  <si>
    <t>松方</t>
  </si>
  <si>
    <t>实方</t>
  </si>
  <si>
    <t>码方</t>
  </si>
  <si>
    <t>土方</t>
  </si>
  <si>
    <t>石方</t>
  </si>
  <si>
    <t>砂方</t>
  </si>
  <si>
    <t>混合料</t>
  </si>
  <si>
    <t>附录2    一般工程土类分级表</t>
  </si>
  <si>
    <t>土质级别</t>
  </si>
  <si>
    <t>土质名称</t>
  </si>
  <si>
    <t>自然湿容重（kg/m³）</t>
  </si>
  <si>
    <t>外形特征</t>
  </si>
  <si>
    <t>开挖方法</t>
  </si>
  <si>
    <t>1.沙土          2.种植土</t>
  </si>
  <si>
    <t>1650~1750</t>
  </si>
  <si>
    <t>疏松，粘着力差或易透水，略有粘性</t>
  </si>
  <si>
    <t>用锹或略加脚踩开挖</t>
  </si>
  <si>
    <t>1.壤土          2.淤泥          3.含壤种植土</t>
  </si>
  <si>
    <t>1750~1850</t>
  </si>
  <si>
    <t>开挖时能成块，并易打碎</t>
  </si>
  <si>
    <t>用锹需用脚踩开挖</t>
  </si>
  <si>
    <t>1.粘土          2.干燥黄土      3.干淤泥        4.含少量砂砾粘土</t>
  </si>
  <si>
    <t>1800~1950</t>
  </si>
  <si>
    <t>粘手，看不见砂粒或干硬</t>
  </si>
  <si>
    <t xml:space="preserve">用镐、三齿耙开挖或用锹需用力加脚踩开挖 </t>
  </si>
  <si>
    <t>Ⅳ</t>
  </si>
  <si>
    <t>1.坚硬红粘土     2.砂质粘土       3.含卵石粘土</t>
  </si>
  <si>
    <t>1900~2100</t>
  </si>
  <si>
    <t>土壤结构坚硬，将土分裂后成块状或含粘粒砾石较多</t>
  </si>
  <si>
    <t>用镐、三齿耙工具开挖</t>
  </si>
  <si>
    <t>附录6-1    混凝土设计龄期强度折合系数表</t>
  </si>
  <si>
    <t>设计龄期（d）</t>
  </si>
  <si>
    <t>强度等级折合系数</t>
  </si>
  <si>
    <t>附录6-2     混凝土配合表原材料换算系数</t>
  </si>
  <si>
    <t>砂</t>
  </si>
  <si>
    <t>卵石换为碎石</t>
  </si>
  <si>
    <t>粗砂换为中砂</t>
  </si>
  <si>
    <t>粗砂换为细砂</t>
  </si>
  <si>
    <t>粗砂换为特细砂</t>
  </si>
  <si>
    <t>注：混凝土配合比表中系卵石、粗砂混凝土</t>
  </si>
  <si>
    <t>细度模数3.19~3.85（或平均粒径1.2~2.5mm）为粗砂</t>
  </si>
  <si>
    <t>细度模数2.5~3.19（或平均粒径0.6~1.2mm）为中砂</t>
  </si>
  <si>
    <t>细度模数1.78~2.5（或平均粒径0.3~0.6mm）为细砂</t>
  </si>
  <si>
    <t>细度模数0.9~1.78（或平均粒径0.15~0.3mm）为特细砂</t>
  </si>
  <si>
    <t>附录6-4     抗渗抗冻要求下水灰比表</t>
  </si>
  <si>
    <t>抗渗标号</t>
  </si>
  <si>
    <t>一般水灰比</t>
  </si>
  <si>
    <t>抗冻标号</t>
  </si>
  <si>
    <t>W4</t>
  </si>
  <si>
    <t>0.60~0.65</t>
  </si>
  <si>
    <t>F50</t>
  </si>
  <si>
    <t>＜0.58</t>
  </si>
  <si>
    <t>W6</t>
  </si>
  <si>
    <t>0.55~0.60</t>
  </si>
  <si>
    <t>F100</t>
  </si>
  <si>
    <t>＜0.55</t>
  </si>
  <si>
    <t>W8</t>
  </si>
  <si>
    <t>0.50~0.55</t>
  </si>
  <si>
    <t>F150</t>
  </si>
  <si>
    <t>＜0.52</t>
  </si>
  <si>
    <t>W12</t>
  </si>
  <si>
    <t>＜0.50</t>
  </si>
  <si>
    <t>F200</t>
  </si>
  <si>
    <t>F300</t>
  </si>
  <si>
    <t>＜0.45</t>
  </si>
  <si>
    <t>附录6-5     混凝土新旧标号对比表</t>
  </si>
  <si>
    <t>原用标号（kgf/cm²）</t>
  </si>
  <si>
    <t>新强度等级C</t>
  </si>
  <si>
    <t>C9</t>
  </si>
  <si>
    <t>C14</t>
  </si>
  <si>
    <t>C19</t>
  </si>
  <si>
    <t>C24</t>
  </si>
  <si>
    <t>C29.5</t>
  </si>
  <si>
    <t>C35</t>
  </si>
  <si>
    <t>C40</t>
  </si>
  <si>
    <t>附录6-6     砂浆新旧标号对比表</t>
  </si>
  <si>
    <t>新强度等级M</t>
  </si>
  <si>
    <t>m²0</t>
  </si>
  <si>
    <t>m²5</t>
  </si>
  <si>
    <t>m³0</t>
  </si>
  <si>
    <t>m³5</t>
  </si>
  <si>
    <t>纯混凝土材料配合比及材料用量</t>
  </si>
  <si>
    <t>掺外加剂混凝土材料配合比及材料用量</t>
  </si>
  <si>
    <t>砼强度等级</t>
  </si>
  <si>
    <t>水泥强度等级</t>
  </si>
  <si>
    <t>水灰比</t>
  </si>
  <si>
    <t>级配</t>
  </si>
  <si>
    <t>最大粒径（mm）</t>
  </si>
  <si>
    <t>配合比</t>
  </si>
  <si>
    <t>水泥（kg）</t>
  </si>
  <si>
    <t>粗砂</t>
  </si>
  <si>
    <t>水（m³）</t>
  </si>
  <si>
    <t>外加剂(kg)</t>
  </si>
  <si>
    <t>C10</t>
  </si>
  <si>
    <t>C25</t>
  </si>
  <si>
    <t>C30</t>
  </si>
  <si>
    <t>C45</t>
  </si>
  <si>
    <t>水泥砂浆材料配合比（砌筑）</t>
  </si>
  <si>
    <t>砂浆类别</t>
  </si>
  <si>
    <t>砂浆强度等级</t>
  </si>
  <si>
    <t>砂（m³）</t>
  </si>
  <si>
    <t>水泥砂浆</t>
  </si>
  <si>
    <t>投资分布表</t>
  </si>
  <si>
    <t xml:space="preserve">               PVC-U管材价格表</t>
  </si>
  <si>
    <t xml:space="preserve">                                              PVC-U管材重量表   </t>
  </si>
  <si>
    <t>单位：kg/m</t>
  </si>
  <si>
    <t>单价:</t>
  </si>
  <si>
    <t>元/t</t>
  </si>
  <si>
    <t>单位:元/km</t>
  </si>
  <si>
    <t>单位:元/m</t>
  </si>
  <si>
    <r>
      <rPr>
        <b/>
        <sz val="11"/>
        <rFont val="宋体"/>
        <charset val="134"/>
      </rPr>
      <t>公称外径</t>
    </r>
    <r>
      <rPr>
        <b/>
        <sz val="11"/>
        <rFont val="Times New Roman"/>
        <charset val="134"/>
      </rPr>
      <t>(dn)</t>
    </r>
  </si>
  <si>
    <r>
      <rPr>
        <b/>
        <sz val="11"/>
        <rFont val="宋体"/>
        <charset val="134"/>
      </rPr>
      <t>公</t>
    </r>
    <r>
      <rPr>
        <b/>
        <sz val="11"/>
        <rFont val="Times New Roman"/>
        <charset val="134"/>
      </rPr>
      <t xml:space="preserve">        </t>
    </r>
    <r>
      <rPr>
        <b/>
        <sz val="11"/>
        <rFont val="宋体"/>
        <charset val="134"/>
      </rPr>
      <t>称</t>
    </r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压</t>
    </r>
    <r>
      <rPr>
        <b/>
        <sz val="11"/>
        <rFont val="Times New Roman"/>
        <charset val="134"/>
      </rPr>
      <t xml:space="preserve">       </t>
    </r>
    <r>
      <rPr>
        <b/>
        <sz val="11"/>
        <rFont val="宋体"/>
        <charset val="134"/>
      </rPr>
      <t>力</t>
    </r>
  </si>
  <si>
    <t>公 称外径(dn)</t>
  </si>
  <si>
    <t>公        称    压       力</t>
  </si>
  <si>
    <t>0.32Mpa</t>
  </si>
  <si>
    <t>0.63Mpa</t>
  </si>
  <si>
    <t>0.8 Mpa</t>
  </si>
  <si>
    <t>1.0 Mpa</t>
  </si>
  <si>
    <t>1.25Mpa</t>
  </si>
  <si>
    <t>1.6 Mpa</t>
  </si>
  <si>
    <t>2.0 Mpa</t>
  </si>
  <si>
    <t>2.5 Mpa</t>
  </si>
  <si>
    <t>￠20</t>
  </si>
  <si>
    <t>￠25</t>
  </si>
  <si>
    <t>￠32</t>
  </si>
  <si>
    <t>￠40</t>
  </si>
  <si>
    <t>￠50</t>
  </si>
  <si>
    <t>￠63</t>
  </si>
  <si>
    <t>￠75</t>
  </si>
  <si>
    <t>￠90</t>
  </si>
  <si>
    <t>￠110</t>
  </si>
  <si>
    <t>￠125</t>
  </si>
  <si>
    <t>￠140</t>
  </si>
  <si>
    <t>￠160</t>
  </si>
  <si>
    <t>￠180</t>
  </si>
  <si>
    <t>￠200</t>
  </si>
  <si>
    <t>￠225</t>
  </si>
  <si>
    <t>￠250</t>
  </si>
  <si>
    <t>￠280</t>
  </si>
  <si>
    <t>￠315</t>
  </si>
  <si>
    <t>￠355</t>
  </si>
  <si>
    <t>￠400</t>
  </si>
  <si>
    <t>￠450</t>
  </si>
  <si>
    <t>￠500</t>
  </si>
  <si>
    <t>PE软管材价格表</t>
  </si>
  <si>
    <t xml:space="preserve">                      PVC-U管材价格表</t>
  </si>
  <si>
    <t>低压输水软管PEФ63</t>
  </si>
  <si>
    <t>0.25MPa</t>
  </si>
  <si>
    <t>低压输水软管PEФ75</t>
  </si>
  <si>
    <t>低压输水软管PEФ90</t>
  </si>
  <si>
    <t>低压输水软管PEФ110</t>
  </si>
  <si>
    <t>管径（mm）</t>
  </si>
  <si>
    <t>管沟</t>
  </si>
  <si>
    <t>开挖边坡</t>
  </si>
  <si>
    <t>沟深（m）</t>
  </si>
  <si>
    <t>开挖面积</t>
  </si>
  <si>
    <t>低压输水软管PEФ125</t>
  </si>
  <si>
    <t>0.26MPa</t>
  </si>
  <si>
    <t>下底（m）</t>
  </si>
  <si>
    <t>上底（m）</t>
  </si>
  <si>
    <t>1.5确定</t>
  </si>
  <si>
    <t>PEФ32</t>
  </si>
  <si>
    <t>0.4MPa</t>
  </si>
  <si>
    <t>PEФ40</t>
  </si>
  <si>
    <t>PEФ50</t>
  </si>
  <si>
    <t>PEФ63</t>
  </si>
  <si>
    <t>PEФ75</t>
  </si>
  <si>
    <t>PEФ90</t>
  </si>
  <si>
    <t xml:space="preserve">                              玻璃钢管材价格表</t>
  </si>
  <si>
    <t>宁夏鸿通管业有限公司：8422218-609  传真：0951 4066387</t>
  </si>
  <si>
    <t>销售部：黄永华</t>
  </si>
  <si>
    <r>
      <rPr>
        <b/>
        <sz val="10"/>
        <rFont val="宋体"/>
        <charset val="134"/>
      </rPr>
      <t>公称外径</t>
    </r>
    <r>
      <rPr>
        <b/>
        <sz val="10"/>
        <rFont val="Times New Roman"/>
        <charset val="134"/>
      </rPr>
      <t>(dn)</t>
    </r>
  </si>
  <si>
    <r>
      <rPr>
        <b/>
        <sz val="10"/>
        <rFont val="宋体"/>
        <charset val="134"/>
      </rPr>
      <t>公</t>
    </r>
    <r>
      <rPr>
        <b/>
        <sz val="10"/>
        <rFont val="Times New Roman"/>
        <charset val="134"/>
      </rPr>
      <t xml:space="preserve">        </t>
    </r>
    <r>
      <rPr>
        <b/>
        <sz val="10"/>
        <rFont val="宋体"/>
        <charset val="134"/>
      </rPr>
      <t>称</t>
    </r>
    <r>
      <rPr>
        <b/>
        <sz val="10"/>
        <rFont val="Times New Roman"/>
        <charset val="134"/>
      </rPr>
      <t xml:space="preserve">    </t>
    </r>
    <r>
      <rPr>
        <b/>
        <sz val="10"/>
        <rFont val="宋体"/>
        <charset val="134"/>
      </rPr>
      <t>压</t>
    </r>
    <r>
      <rPr>
        <b/>
        <sz val="10"/>
        <rFont val="Times New Roman"/>
        <charset val="134"/>
      </rPr>
      <t xml:space="preserve">       </t>
    </r>
    <r>
      <rPr>
        <b/>
        <sz val="10"/>
        <rFont val="宋体"/>
        <charset val="134"/>
      </rPr>
      <t>力</t>
    </r>
  </si>
  <si>
    <t>支管浅埋0.7m</t>
  </si>
  <si>
    <t>3.0 Mpa</t>
  </si>
  <si>
    <t>3.5 Mpa</t>
  </si>
  <si>
    <t>4.0 Mpa</t>
  </si>
  <si>
    <t>5.0 Mpa</t>
  </si>
  <si>
    <t>￠100</t>
  </si>
  <si>
    <t>￠150</t>
  </si>
  <si>
    <t>￠300</t>
  </si>
  <si>
    <t>￠600</t>
  </si>
  <si>
    <t>￠700</t>
  </si>
  <si>
    <t>￠800</t>
  </si>
  <si>
    <t>￠1000</t>
  </si>
  <si>
    <t>￠1200</t>
  </si>
  <si>
    <t>一片区</t>
  </si>
  <si>
    <t>工程量</t>
  </si>
  <si>
    <t>量</t>
  </si>
  <si>
    <t>PVC315</t>
  </si>
  <si>
    <t>PVC280</t>
  </si>
  <si>
    <t>PVC160</t>
  </si>
  <si>
    <t>PVC125</t>
  </si>
  <si>
    <t>PVC110</t>
  </si>
  <si>
    <t>PVC90（竖管）</t>
  </si>
  <si>
    <t>PE输水带75</t>
  </si>
  <si>
    <t>阀门保护池</t>
  </si>
  <si>
    <t>315/280共用管沟</t>
  </si>
  <si>
    <t>160/110共用管沟</t>
  </si>
  <si>
    <r>
      <rPr>
        <sz val="10"/>
        <rFont val="宋体"/>
        <charset val="134"/>
      </rPr>
      <t>160/160共用管沟</t>
    </r>
  </si>
  <si>
    <t>管沟土方</t>
  </si>
  <si>
    <r>
      <rPr>
        <sz val="12"/>
        <color indexed="10"/>
        <rFont val="宋体"/>
        <charset val="134"/>
      </rPr>
      <t>钢管重量=（外径</t>
    </r>
    <r>
      <rPr>
        <vertAlign val="superscript"/>
        <sz val="12"/>
        <color indexed="10"/>
        <rFont val="宋体"/>
        <charset val="134"/>
      </rPr>
      <t>2</t>
    </r>
    <r>
      <rPr>
        <sz val="12"/>
        <color indexed="10"/>
        <rFont val="宋体"/>
        <charset val="134"/>
      </rPr>
      <t>-内经</t>
    </r>
    <r>
      <rPr>
        <vertAlign val="superscript"/>
        <sz val="12"/>
        <color indexed="10"/>
        <rFont val="宋体"/>
        <charset val="134"/>
      </rPr>
      <t>2</t>
    </r>
    <r>
      <rPr>
        <sz val="12"/>
        <color indexed="10"/>
        <rFont val="宋体"/>
        <charset val="134"/>
      </rPr>
      <t>）*3.1416*长*0.785</t>
    </r>
  </si>
  <si>
    <t>公称直径（DN）</t>
  </si>
  <si>
    <t>长度（m）</t>
  </si>
  <si>
    <t>半径（mm）</t>
  </si>
  <si>
    <t>计算重量（kg）</t>
  </si>
  <si>
    <t>查询重量</t>
  </si>
  <si>
    <t>价格（元）</t>
  </si>
  <si>
    <t>DN50钢管</t>
  </si>
  <si>
    <t>DN80钢管</t>
  </si>
  <si>
    <t>DN150钢管</t>
  </si>
  <si>
    <t>DN200钢管</t>
  </si>
  <si>
    <t>DN250钢管</t>
  </si>
  <si>
    <t>DN300钢管</t>
  </si>
  <si>
    <t>DN350钢管</t>
  </si>
</sst>
</file>

<file path=xl/styles.xml><?xml version="1.0" encoding="utf-8"?>
<styleSheet xmlns="http://schemas.openxmlformats.org/spreadsheetml/2006/main" xmlns:xr9="http://schemas.microsoft.com/office/spreadsheetml/2016/revision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?/??"/>
    <numFmt numFmtId="177" formatCode="0.00_ "/>
    <numFmt numFmtId="178" formatCode="0_ "/>
    <numFmt numFmtId="179" formatCode="0.00_);[Red]\(0.00\)"/>
    <numFmt numFmtId="180" formatCode="0.0_ "/>
    <numFmt numFmtId="181" formatCode="0_);[Red]\(0\)"/>
    <numFmt numFmtId="182" formatCode="0_);\(0\)"/>
    <numFmt numFmtId="183" formatCode="0.0_);[Red]\(0.0\)"/>
  </numFmts>
  <fonts count="160">
    <font>
      <sz val="12"/>
      <name val="宋体"/>
      <charset val="134"/>
    </font>
    <font>
      <sz val="12"/>
      <color indexed="10"/>
      <name val="宋体"/>
      <charset val="134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Times New Roman"/>
      <charset val="134"/>
    </font>
    <font>
      <b/>
      <sz val="14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b/>
      <sz val="10"/>
      <name val="宋体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0.5"/>
      <name val="宋体"/>
      <charset val="134"/>
    </font>
    <font>
      <sz val="6"/>
      <name val="宋体"/>
      <charset val="134"/>
    </font>
    <font>
      <sz val="11"/>
      <name val="仿宋_GB2312"/>
      <charset val="134"/>
    </font>
    <font>
      <sz val="16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6"/>
      <name val="Times New Roman"/>
      <charset val="134"/>
    </font>
    <font>
      <b/>
      <sz val="16"/>
      <name val="Times New Roman"/>
      <charset val="134"/>
    </font>
    <font>
      <b/>
      <u/>
      <sz val="11"/>
      <name val="宋体"/>
      <charset val="134"/>
    </font>
    <font>
      <b/>
      <u/>
      <sz val="11"/>
      <name val="Times New Roman"/>
      <charset val="134"/>
    </font>
    <font>
      <sz val="16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4"/>
      <name val="黑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sz val="8"/>
      <name val="宋体"/>
      <charset val="134"/>
      <scheme val="minor"/>
    </font>
    <font>
      <sz val="10"/>
      <color rgb="FF333333"/>
      <name val="仿宋_GB2312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sz val="10"/>
      <color rgb="FF000000"/>
      <name val="楷体_GB2312"/>
      <charset val="134"/>
    </font>
    <font>
      <sz val="10"/>
      <name val="楷体_GB2312"/>
      <charset val="134"/>
    </font>
    <font>
      <sz val="10"/>
      <name val="Times New Roman"/>
      <charset val="0"/>
    </font>
    <font>
      <sz val="9"/>
      <color indexed="8"/>
      <name val="仿宋_GB2312"/>
      <charset val="134"/>
    </font>
    <font>
      <b/>
      <sz val="14"/>
      <name val="Times New Roman"/>
      <charset val="134"/>
    </font>
    <font>
      <sz val="10.5"/>
      <color indexed="8"/>
      <name val="Times New Roman"/>
      <charset val="134"/>
    </font>
    <font>
      <b/>
      <sz val="10.5"/>
      <color indexed="8"/>
      <name val="宋体"/>
      <charset val="134"/>
    </font>
    <font>
      <b/>
      <sz val="10.5"/>
      <color indexed="8"/>
      <name val="Times New Roman"/>
      <charset val="134"/>
    </font>
    <font>
      <sz val="10.5"/>
      <color indexed="8"/>
      <name val="宋体"/>
      <charset val="134"/>
    </font>
    <font>
      <sz val="10.5"/>
      <name val="Times New Roman"/>
      <charset val="134"/>
    </font>
    <font>
      <sz val="10"/>
      <name val="仿宋_GB2312"/>
      <charset val="134"/>
    </font>
    <font>
      <b/>
      <sz val="10.5"/>
      <name val="宋体"/>
      <charset val="134"/>
    </font>
    <font>
      <sz val="12"/>
      <name val="仿宋_GB2312"/>
      <charset val="134"/>
    </font>
    <font>
      <sz val="9"/>
      <name val="仿宋_GB2312"/>
      <charset val="134"/>
    </font>
    <font>
      <sz val="9"/>
      <name val="Times New Roman"/>
      <charset val="134"/>
    </font>
    <font>
      <sz val="12"/>
      <color indexed="10"/>
      <name val="Times New Roman"/>
      <charset val="134"/>
    </font>
    <font>
      <sz val="10"/>
      <color indexed="10"/>
      <name val="Times New Roman"/>
      <charset val="134"/>
    </font>
    <font>
      <b/>
      <sz val="16"/>
      <name val="仿宋_GB2312"/>
      <charset val="134"/>
    </font>
    <font>
      <b/>
      <sz val="12"/>
      <name val="仿宋_GB2312"/>
      <charset val="134"/>
    </font>
    <font>
      <b/>
      <sz val="10"/>
      <name val="仿宋_GB2312"/>
      <charset val="134"/>
    </font>
    <font>
      <sz val="9"/>
      <name val="宋体"/>
      <charset val="134"/>
    </font>
    <font>
      <sz val="10"/>
      <name val="黑体"/>
      <charset val="134"/>
    </font>
    <font>
      <b/>
      <sz val="10.5"/>
      <name val="宋体"/>
      <charset val="134"/>
      <scheme val="minor"/>
    </font>
    <font>
      <sz val="10.5"/>
      <name val="宋体"/>
      <charset val="134"/>
      <scheme val="minor"/>
    </font>
    <font>
      <b/>
      <sz val="10"/>
      <name val="仿宋"/>
      <charset val="134"/>
    </font>
    <font>
      <sz val="10"/>
      <name val="仿宋"/>
      <charset val="134"/>
    </font>
    <font>
      <sz val="10"/>
      <color theme="1" tint="0.0499893185216834"/>
      <name val="宋体"/>
      <charset val="134"/>
      <scheme val="minor"/>
    </font>
    <font>
      <b/>
      <sz val="10"/>
      <color rgb="FFFF0000"/>
      <name val="Times New Roman"/>
      <charset val="134"/>
    </font>
    <font>
      <b/>
      <sz val="10"/>
      <color indexed="8"/>
      <name val="宋体"/>
      <charset val="134"/>
      <scheme val="minor"/>
    </font>
    <font>
      <sz val="10"/>
      <color theme="1" tint="0.0499893185216834"/>
      <name val="Times New Roman"/>
      <charset val="134"/>
    </font>
    <font>
      <b/>
      <sz val="10"/>
      <color theme="1" tint="0.0499893185216834"/>
      <name val="Times New Roman"/>
      <charset val="134"/>
    </font>
    <font>
      <sz val="10"/>
      <color indexed="8"/>
      <name val="宋体"/>
      <charset val="134"/>
      <scheme val="minor"/>
    </font>
    <font>
      <b/>
      <sz val="10.5"/>
      <name val="Times New Roman"/>
      <charset val="134"/>
    </font>
    <font>
      <b/>
      <sz val="8"/>
      <name val="宋体"/>
      <charset val="134"/>
      <scheme val="minor"/>
    </font>
    <font>
      <b/>
      <sz val="9"/>
      <name val="Times New Roman"/>
      <charset val="134"/>
    </font>
    <font>
      <b/>
      <sz val="9"/>
      <name val="宋体"/>
      <charset val="134"/>
      <scheme val="minor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0.5"/>
      <color rgb="FF000000"/>
      <name val="宋体"/>
      <charset val="134"/>
    </font>
    <font>
      <sz val="10"/>
      <color rgb="FF000000"/>
      <name val="宋体"/>
      <charset val="134"/>
    </font>
    <font>
      <sz val="9"/>
      <color rgb="FF000000"/>
      <name val="宋体"/>
      <charset val="134"/>
      <scheme val="minor"/>
    </font>
    <font>
      <sz val="10"/>
      <color rgb="FF000000"/>
      <name val="Times New Roman"/>
      <charset val="134"/>
    </font>
    <font>
      <sz val="10"/>
      <color rgb="FFFF0000"/>
      <name val="Times New Roman"/>
      <charset val="134"/>
    </font>
    <font>
      <sz val="10.5"/>
      <color indexed="10"/>
      <name val="Times New Roman"/>
      <charset val="134"/>
    </font>
    <font>
      <sz val="12"/>
      <color indexed="8"/>
      <name val="Times New Roman"/>
      <charset val="134"/>
    </font>
    <font>
      <sz val="14"/>
      <name val="宋体"/>
      <charset val="134"/>
    </font>
    <font>
      <sz val="14"/>
      <color indexed="8"/>
      <name val="宋体"/>
      <charset val="134"/>
    </font>
    <font>
      <sz val="11"/>
      <color theme="1"/>
      <name val="宋体"/>
      <charset val="134"/>
      <scheme val="minor"/>
    </font>
    <font>
      <b/>
      <sz val="15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0"/>
      <color indexed="8"/>
      <name val="仿宋_GB2312"/>
      <charset val="134"/>
    </font>
    <font>
      <sz val="11"/>
      <color indexed="42"/>
      <name val="宋体"/>
      <charset val="134"/>
    </font>
    <font>
      <sz val="10"/>
      <name val="Helv"/>
      <charset val="134"/>
    </font>
    <font>
      <sz val="11"/>
      <color indexed="9"/>
      <name val="宋体"/>
      <charset val="134"/>
    </font>
    <font>
      <sz val="11"/>
      <color indexed="10"/>
      <name val="宋体"/>
      <charset val="134"/>
    </font>
    <font>
      <sz val="10"/>
      <name val="Arial"/>
      <charset val="134"/>
    </font>
    <font>
      <sz val="16"/>
      <color indexed="8"/>
      <name val="宋体"/>
      <charset val="134"/>
    </font>
    <font>
      <sz val="10"/>
      <name val="Geneva"/>
      <charset val="134"/>
    </font>
    <font>
      <b/>
      <sz val="11"/>
      <color indexed="52"/>
      <name val="宋体"/>
      <charset val="134"/>
    </font>
    <font>
      <b/>
      <sz val="11"/>
      <color indexed="62"/>
      <name val="宋体"/>
      <charset val="134"/>
    </font>
    <font>
      <sz val="10"/>
      <color indexed="17"/>
      <name val="宋体"/>
      <charset val="134"/>
    </font>
    <font>
      <sz val="12"/>
      <color indexed="9"/>
      <name val="宋体"/>
      <charset val="134"/>
    </font>
    <font>
      <u/>
      <sz val="12"/>
      <color indexed="36"/>
      <name val="宋体"/>
      <charset val="134"/>
    </font>
    <font>
      <u/>
      <sz val="12"/>
      <color indexed="12"/>
      <name val="宋体"/>
      <charset val="134"/>
    </font>
    <font>
      <sz val="12"/>
      <color indexed="16"/>
      <name val="宋体"/>
      <charset val="134"/>
    </font>
    <font>
      <b/>
      <sz val="12"/>
      <color indexed="8"/>
      <name val="宋体"/>
      <charset val="134"/>
    </font>
    <font>
      <sz val="11"/>
      <color indexed="52"/>
      <name val="宋体"/>
      <charset val="134"/>
    </font>
    <font>
      <b/>
      <sz val="18"/>
      <color indexed="56"/>
      <name val="黑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sz val="10"/>
      <color indexed="20"/>
      <name val="宋体"/>
      <charset val="134"/>
    </font>
    <font>
      <b/>
      <sz val="18"/>
      <color indexed="56"/>
      <name val="宋体"/>
      <charset val="134"/>
    </font>
    <font>
      <b/>
      <sz val="10"/>
      <name val="Tms Rmn"/>
      <charset val="134"/>
    </font>
    <font>
      <b/>
      <sz val="18"/>
      <color indexed="62"/>
      <name val="宋体"/>
      <charset val="134"/>
    </font>
    <font>
      <b/>
      <sz val="11"/>
      <color indexed="63"/>
      <name val="宋体"/>
      <charset val="134"/>
    </font>
    <font>
      <sz val="7"/>
      <name val="Small Fonts"/>
      <charset val="134"/>
    </font>
    <font>
      <sz val="10"/>
      <name val="楷体"/>
      <charset val="134"/>
    </font>
    <font>
      <sz val="8"/>
      <name val="Times New Roman"/>
      <charset val="134"/>
    </font>
    <font>
      <b/>
      <sz val="15"/>
      <color indexed="62"/>
      <name val="宋体"/>
      <charset val="134"/>
    </font>
    <font>
      <i/>
      <sz val="11"/>
      <color indexed="23"/>
      <name val="宋体"/>
      <charset val="134"/>
    </font>
    <font>
      <sz val="12"/>
      <color indexed="17"/>
      <name val="宋体"/>
      <charset val="134"/>
    </font>
    <font>
      <b/>
      <sz val="10"/>
      <name val="MS Sans Serif"/>
      <charset val="134"/>
    </font>
    <font>
      <sz val="8"/>
      <name val="Arial"/>
      <charset val="134"/>
    </font>
    <font>
      <b/>
      <sz val="12"/>
      <name val="Arial"/>
      <charset val="134"/>
    </font>
    <font>
      <sz val="12"/>
      <color indexed="8"/>
      <name val="宋体"/>
      <charset val="134"/>
    </font>
    <font>
      <b/>
      <sz val="11"/>
      <color indexed="42"/>
      <name val="宋体"/>
      <charset val="134"/>
    </font>
    <font>
      <b/>
      <sz val="13"/>
      <color indexed="62"/>
      <name val="宋体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b/>
      <sz val="14"/>
      <name val="楷体"/>
      <charset val="134"/>
    </font>
    <font>
      <sz val="10"/>
      <name val="MS Sans Serif"/>
      <charset val="134"/>
    </font>
    <font>
      <b/>
      <sz val="13"/>
      <color indexed="56"/>
      <name val="宋体"/>
      <charset val="134"/>
    </font>
    <font>
      <sz val="10"/>
      <color indexed="8"/>
      <name val="MS Sans Serif"/>
      <charset val="134"/>
    </font>
    <font>
      <b/>
      <sz val="10"/>
      <name val="Arial"/>
      <charset val="134"/>
    </font>
    <font>
      <sz val="10"/>
      <name val="Geneva"/>
      <charset val="0"/>
    </font>
    <font>
      <vertAlign val="superscript"/>
      <sz val="12"/>
      <color indexed="10"/>
      <name val="宋体"/>
      <charset val="134"/>
    </font>
    <font>
      <vertAlign val="superscript"/>
      <sz val="10"/>
      <name val="Times New Roman"/>
      <charset val="134"/>
    </font>
    <font>
      <vertAlign val="subscript"/>
      <sz val="10"/>
      <name val="Times New Roman"/>
      <charset val="134"/>
    </font>
    <font>
      <vertAlign val="superscript"/>
      <sz val="10"/>
      <name val="宋体"/>
      <charset val="134"/>
      <scheme val="minor"/>
    </font>
    <font>
      <vertAlign val="superscript"/>
      <sz val="10"/>
      <name val="宋体"/>
      <charset val="134"/>
    </font>
    <font>
      <vertAlign val="superscript"/>
      <sz val="10"/>
      <color indexed="8"/>
      <name val="宋体"/>
      <charset val="134"/>
      <scheme val="minor"/>
    </font>
    <font>
      <sz val="10.5"/>
      <color indexed="8"/>
      <name val="宋体"/>
      <charset val="134"/>
      <scheme val="minor"/>
    </font>
    <font>
      <vertAlign val="subscript"/>
      <sz val="10"/>
      <name val="宋体"/>
      <charset val="134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39982299264503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5"/>
        <bgColor indexed="64"/>
      </patternFill>
    </fill>
    <fill>
      <patternFill patternType="gray0625"/>
    </fill>
    <fill>
      <patternFill patternType="solid">
        <fgColor indexed="57"/>
        <bgColor indexed="64"/>
      </patternFill>
    </fill>
    <fill>
      <patternFill patternType="mediumGray">
        <f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</fills>
  <borders count="10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rgb="FFECE9D8"/>
      </left>
      <right style="medium">
        <color rgb="FFECE9D8"/>
      </right>
      <top style="medium">
        <color rgb="FFECE9D8"/>
      </top>
      <bottom style="medium">
        <color rgb="FFECE9D8"/>
      </bottom>
      <diagonal/>
    </border>
    <border>
      <left style="medium">
        <color rgb="FFECE9D8"/>
      </left>
      <right style="medium">
        <color rgb="FFECE9D8"/>
      </right>
      <top/>
      <bottom style="medium">
        <color rgb="FFECE9D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ECE9D8"/>
      </right>
      <top style="medium">
        <color rgb="FFECE9D8"/>
      </top>
      <bottom style="medium">
        <color rgb="FFECE9D8"/>
      </bottom>
      <diagonal/>
    </border>
    <border>
      <left/>
      <right style="medium">
        <color rgb="FFECE9D8"/>
      </right>
      <top/>
      <bottom style="medium">
        <color rgb="FFECE9D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4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medium">
        <color indexed="13"/>
      </bottom>
      <diagonal/>
    </border>
  </borders>
  <cellStyleXfs count="1747">
    <xf numFmtId="0" fontId="0" fillId="0" borderId="0"/>
    <xf numFmtId="43" fontId="84" fillId="0" borderId="0" applyFont="0" applyFill="0" applyBorder="0" applyAlignment="0" applyProtection="0">
      <alignment vertical="center"/>
    </xf>
    <xf numFmtId="44" fontId="8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41" fontId="84" fillId="0" borderId="0" applyFont="0" applyFill="0" applyBorder="0" applyAlignment="0" applyProtection="0">
      <alignment vertical="center"/>
    </xf>
    <xf numFmtId="42" fontId="84" fillId="0" borderId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center"/>
    </xf>
    <xf numFmtId="0" fontId="84" fillId="18" borderId="74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75" applyNumberFormat="0" applyFill="0" applyAlignment="0" applyProtection="0">
      <alignment vertical="center"/>
    </xf>
    <xf numFmtId="0" fontId="91" fillId="0" borderId="75" applyNumberFormat="0" applyFill="0" applyAlignment="0" applyProtection="0">
      <alignment vertical="center"/>
    </xf>
    <xf numFmtId="0" fontId="92" fillId="0" borderId="7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19" borderId="77" applyNumberFormat="0" applyAlignment="0" applyProtection="0">
      <alignment vertical="center"/>
    </xf>
    <xf numFmtId="0" fontId="94" fillId="20" borderId="78" applyNumberFormat="0" applyAlignment="0" applyProtection="0">
      <alignment vertical="center"/>
    </xf>
    <xf numFmtId="0" fontId="95" fillId="20" borderId="77" applyNumberFormat="0" applyAlignment="0" applyProtection="0">
      <alignment vertical="center"/>
    </xf>
    <xf numFmtId="0" fontId="96" fillId="21" borderId="79" applyNumberFormat="0" applyAlignment="0" applyProtection="0">
      <alignment vertical="center"/>
    </xf>
    <xf numFmtId="0" fontId="97" fillId="0" borderId="80" applyNumberFormat="0" applyFill="0" applyAlignment="0" applyProtection="0">
      <alignment vertical="center"/>
    </xf>
    <xf numFmtId="0" fontId="98" fillId="0" borderId="81" applyNumberFormat="0" applyFill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0" fontId="103" fillId="26" borderId="0" applyNumberFormat="0" applyBorder="0" applyAlignment="0" applyProtection="0">
      <alignment vertical="center"/>
    </xf>
    <xf numFmtId="0" fontId="103" fillId="27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0" fontId="102" fillId="29" borderId="0" applyNumberFormat="0" applyBorder="0" applyAlignment="0" applyProtection="0">
      <alignment vertical="center"/>
    </xf>
    <xf numFmtId="0" fontId="103" fillId="30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3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>
      <alignment vertical="center"/>
    </xf>
    <xf numFmtId="0" fontId="102" fillId="37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3" fillId="39" borderId="0" applyNumberFormat="0" applyBorder="0" applyAlignment="0" applyProtection="0">
      <alignment vertical="center"/>
    </xf>
    <xf numFmtId="0" fontId="102" fillId="40" borderId="0" applyNumberFormat="0" applyBorder="0" applyAlignment="0" applyProtection="0">
      <alignment vertical="center"/>
    </xf>
    <xf numFmtId="0" fontId="102" fillId="41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3" fillId="43" borderId="0" applyNumberFormat="0" applyBorder="0" applyAlignment="0" applyProtection="0">
      <alignment vertical="center"/>
    </xf>
    <xf numFmtId="0" fontId="102" fillId="44" borderId="0" applyNumberFormat="0" applyBorder="0" applyAlignment="0" applyProtection="0">
      <alignment vertical="center"/>
    </xf>
    <xf numFmtId="0" fontId="102" fillId="45" borderId="0" applyNumberFormat="0" applyBorder="0" applyAlignment="0" applyProtection="0">
      <alignment vertical="center"/>
    </xf>
    <xf numFmtId="0" fontId="103" fillId="46" borderId="0" applyNumberFormat="0" applyBorder="0" applyAlignment="0" applyProtection="0">
      <alignment vertical="center"/>
    </xf>
    <xf numFmtId="0" fontId="103" fillId="47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4" fillId="0" borderId="0"/>
    <xf numFmtId="0" fontId="105" fillId="49" borderId="0" applyNumberFormat="0" applyBorder="0" applyAlignment="0" applyProtection="0">
      <alignment vertical="center"/>
    </xf>
    <xf numFmtId="0" fontId="106" fillId="0" borderId="0">
      <alignment horizontal="center" wrapText="1"/>
      <protection locked="0"/>
    </xf>
    <xf numFmtId="0" fontId="107" fillId="50" borderId="0" applyNumberFormat="0" applyBorder="0" applyAlignment="0" applyProtection="0"/>
    <xf numFmtId="0" fontId="108" fillId="51" borderId="0" applyNumberFormat="0" applyBorder="0" applyAlignment="0" applyProtection="0"/>
    <xf numFmtId="49" fontId="0" fillId="0" borderId="0" applyFont="0" applyFill="0" applyBorder="0" applyAlignment="0" applyProtection="0"/>
    <xf numFmtId="0" fontId="108" fillId="15" borderId="0" applyNumberFormat="0" applyBorder="0" applyAlignment="0" applyProtection="0"/>
    <xf numFmtId="0" fontId="109" fillId="7" borderId="82" applyNumberFormat="0" applyAlignment="0" applyProtection="0">
      <alignment vertical="center"/>
    </xf>
    <xf numFmtId="0" fontId="107" fillId="52" borderId="0" applyNumberFormat="0" applyBorder="0" applyAlignment="0" applyProtection="0"/>
    <xf numFmtId="0" fontId="107" fillId="53" borderId="0" applyNumberFormat="0" applyBorder="0" applyAlignment="0" applyProtection="0"/>
    <xf numFmtId="0" fontId="108" fillId="51" borderId="0" applyNumberFormat="0" applyBorder="0" applyAlignment="0" applyProtection="0"/>
    <xf numFmtId="49" fontId="0" fillId="0" borderId="0" applyFont="0" applyFill="0" applyBorder="0" applyAlignment="0" applyProtection="0"/>
    <xf numFmtId="0" fontId="0" fillId="0" borderId="0">
      <alignment vertical="center"/>
    </xf>
    <xf numFmtId="0" fontId="110" fillId="10" borderId="0" applyNumberFormat="0" applyBorder="0" applyAlignment="0" applyProtection="0">
      <alignment vertical="center"/>
    </xf>
    <xf numFmtId="0" fontId="107" fillId="50" borderId="0" applyNumberFormat="0" applyBorder="0" applyAlignment="0" applyProtection="0"/>
    <xf numFmtId="0" fontId="111" fillId="49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20" fillId="0" borderId="0"/>
    <xf numFmtId="0" fontId="107" fillId="52" borderId="0" applyNumberFormat="0" applyBorder="0" applyAlignment="0" applyProtection="0"/>
    <xf numFmtId="9" fontId="0" fillId="0" borderId="0" applyFont="0" applyFill="0" applyBorder="0" applyAlignment="0" applyProtection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107" fillId="52" borderId="0" applyNumberFormat="0" applyBorder="0" applyAlignment="0" applyProtection="0"/>
    <xf numFmtId="0" fontId="105" fillId="56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107" fillId="52" borderId="0" applyNumberFormat="0" applyBorder="0" applyAlignment="0" applyProtection="0"/>
    <xf numFmtId="0" fontId="114" fillId="0" borderId="0"/>
    <xf numFmtId="0" fontId="115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6" fillId="54" borderId="82" applyNumberFormat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9" fillId="0" borderId="83" applyNumberFormat="0" applyFill="0" applyAlignment="0" applyProtection="0">
      <alignment vertical="center"/>
    </xf>
    <xf numFmtId="0" fontId="0" fillId="0" borderId="0"/>
    <xf numFmtId="0" fontId="73" fillId="51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108" fillId="15" borderId="0" applyNumberFormat="0" applyBorder="0" applyAlignment="0" applyProtection="0"/>
    <xf numFmtId="0" fontId="0" fillId="0" borderId="0"/>
    <xf numFmtId="0" fontId="0" fillId="0" borderId="0" applyNumberFormat="0" applyFont="0" applyFill="0" applyBorder="0" applyAlignment="0" applyProtection="0">
      <alignment horizontal="left"/>
    </xf>
    <xf numFmtId="0" fontId="108" fillId="15" borderId="0" applyNumberFormat="0" applyBorder="0" applyAlignment="0" applyProtection="0"/>
    <xf numFmtId="0" fontId="0" fillId="0" borderId="0"/>
    <xf numFmtId="0" fontId="0" fillId="0" borderId="0"/>
    <xf numFmtId="0" fontId="110" fillId="10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08" fillId="15" borderId="0" applyNumberFormat="0" applyBorder="0" applyAlignment="0" applyProtection="0"/>
    <xf numFmtId="0" fontId="0" fillId="0" borderId="0"/>
    <xf numFmtId="0" fontId="110" fillId="10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07" fillId="52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04" fillId="0" borderId="0"/>
    <xf numFmtId="0" fontId="119" fillId="0" borderId="83" applyNumberFormat="0" applyFill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0" fillId="58" borderId="0" applyNumberFormat="0" applyBorder="0" applyAlignment="0" applyProtection="0"/>
    <xf numFmtId="0" fontId="104" fillId="0" borderId="0"/>
    <xf numFmtId="0" fontId="112" fillId="9" borderId="0" applyNumberFormat="0" applyBorder="0" applyAlignment="0" applyProtection="0">
      <alignment vertical="center"/>
    </xf>
    <xf numFmtId="0" fontId="114" fillId="0" borderId="0"/>
    <xf numFmtId="0" fontId="119" fillId="0" borderId="83" applyNumberFormat="0" applyFill="0" applyAlignment="0" applyProtection="0">
      <alignment vertical="center"/>
    </xf>
    <xf numFmtId="0" fontId="114" fillId="0" borderId="0"/>
    <xf numFmtId="0" fontId="112" fillId="9" borderId="0" applyNumberFormat="0" applyBorder="0" applyAlignment="0" applyProtection="0">
      <alignment vertical="center"/>
    </xf>
    <xf numFmtId="0" fontId="20" fillId="0" borderId="0"/>
    <xf numFmtId="0" fontId="105" fillId="56" borderId="0" applyNumberFormat="0" applyBorder="0" applyAlignment="0" applyProtection="0">
      <alignment vertical="center"/>
    </xf>
    <xf numFmtId="0" fontId="114" fillId="0" borderId="0"/>
    <xf numFmtId="0" fontId="0" fillId="0" borderId="0"/>
    <xf numFmtId="0" fontId="104" fillId="0" borderId="0"/>
    <xf numFmtId="0" fontId="104" fillId="0" borderId="0"/>
    <xf numFmtId="0" fontId="107" fillId="56" borderId="0" applyNumberFormat="0" applyBorder="0" applyAlignment="0" applyProtection="0"/>
    <xf numFmtId="0" fontId="20" fillId="0" borderId="0"/>
    <xf numFmtId="0" fontId="0" fillId="0" borderId="0"/>
    <xf numFmtId="0" fontId="108" fillId="51" borderId="0" applyNumberFormat="0" applyBorder="0" applyAlignment="0" applyProtection="0"/>
    <xf numFmtId="49" fontId="0" fillId="0" borderId="0" applyFont="0" applyFill="0" applyBorder="0" applyAlignment="0" applyProtection="0"/>
    <xf numFmtId="0" fontId="108" fillId="51" borderId="0" applyNumberFormat="0" applyBorder="0" applyAlignment="0" applyProtection="0"/>
    <xf numFmtId="49" fontId="0" fillId="0" borderId="0" applyFont="0" applyFill="0" applyBorder="0" applyAlignment="0" applyProtection="0"/>
    <xf numFmtId="0" fontId="107" fillId="59" borderId="0" applyNumberFormat="0" applyBorder="0" applyAlignment="0" applyProtection="0"/>
    <xf numFmtId="0" fontId="20" fillId="0" borderId="0"/>
    <xf numFmtId="0" fontId="110" fillId="10" borderId="0" applyNumberFormat="0" applyBorder="0" applyAlignment="0" applyProtection="0">
      <alignment vertical="center"/>
    </xf>
    <xf numFmtId="0" fontId="107" fillId="59" borderId="0" applyNumberFormat="0" applyBorder="0" applyAlignment="0" applyProtection="0"/>
    <xf numFmtId="0" fontId="104" fillId="0" borderId="0"/>
    <xf numFmtId="0" fontId="108" fillId="9" borderId="0" applyNumberFormat="0" applyBorder="0" applyAlignment="0" applyProtection="0"/>
    <xf numFmtId="0" fontId="20" fillId="0" borderId="0"/>
    <xf numFmtId="0" fontId="104" fillId="0" borderId="0"/>
    <xf numFmtId="0" fontId="121" fillId="0" borderId="84" applyNumberFormat="0" applyFill="0" applyAlignment="0" applyProtection="0">
      <alignment vertical="center"/>
    </xf>
    <xf numFmtId="0" fontId="20" fillId="0" borderId="0"/>
    <xf numFmtId="0" fontId="20" fillId="0" borderId="0"/>
    <xf numFmtId="0" fontId="0" fillId="0" borderId="0"/>
    <xf numFmtId="0" fontId="73" fillId="7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4" fillId="0" borderId="0"/>
    <xf numFmtId="0" fontId="73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0" fillId="0" borderId="0"/>
    <xf numFmtId="0" fontId="20" fillId="0" borderId="0"/>
    <xf numFmtId="15" fontId="0" fillId="0" borderId="0" applyFont="0" applyFill="0" applyBorder="0" applyAlignment="0" applyProtection="0"/>
    <xf numFmtId="0" fontId="108" fillId="60" borderId="0" applyNumberFormat="0" applyBorder="0" applyAlignment="0" applyProtection="0"/>
    <xf numFmtId="0" fontId="20" fillId="0" borderId="0"/>
    <xf numFmtId="0" fontId="122" fillId="0" borderId="0" applyNumberFormat="0" applyFill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114" fillId="0" borderId="0"/>
    <xf numFmtId="0" fontId="110" fillId="10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60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73" fillId="7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10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1" fillId="2" borderId="0" applyNumberFormat="0" applyBorder="0" applyAlignment="0" applyProtection="0">
      <alignment vertical="center"/>
    </xf>
    <xf numFmtId="0" fontId="0" fillId="0" borderId="0"/>
    <xf numFmtId="0" fontId="73" fillId="51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0" fillId="0" borderId="0"/>
    <xf numFmtId="0" fontId="73" fillId="51" borderId="0" applyNumberFormat="0" applyBorder="0" applyAlignment="0" applyProtection="0">
      <alignment vertical="center"/>
    </xf>
    <xf numFmtId="0" fontId="73" fillId="9" borderId="0" applyNumberFormat="0" applyBorder="0" applyAlignment="0" applyProtection="0">
      <alignment vertical="center"/>
    </xf>
    <xf numFmtId="0" fontId="107" fillId="7" borderId="0" applyNumberFormat="0" applyBorder="0" applyAlignment="0" applyProtection="0"/>
    <xf numFmtId="0" fontId="73" fillId="54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7" fillId="7" borderId="0" applyNumberFormat="0" applyBorder="0" applyAlignment="0" applyProtection="0"/>
    <xf numFmtId="0" fontId="73" fillId="8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111" fillId="6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1" fillId="12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107" fillId="7" borderId="0" applyNumberFormat="0" applyBorder="0" applyAlignment="0" applyProtection="0"/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05" fillId="62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11" fillId="63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21" fillId="0" borderId="84" applyNumberFormat="0" applyFill="0" applyAlignment="0" applyProtection="0">
      <alignment vertical="center"/>
    </xf>
    <xf numFmtId="0" fontId="0" fillId="0" borderId="0"/>
    <xf numFmtId="0" fontId="73" fillId="54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73" fillId="51" borderId="0" applyNumberFormat="0" applyBorder="0" applyAlignment="0" applyProtection="0">
      <alignment vertical="center"/>
    </xf>
    <xf numFmtId="0" fontId="73" fillId="54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3" fillId="0" borderId="3" applyNumberFormat="0" applyFill="0" applyProtection="0">
      <alignment horizontal="center"/>
    </xf>
    <xf numFmtId="0" fontId="115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24" fillId="0" borderId="0"/>
    <xf numFmtId="0" fontId="73" fillId="15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73" fillId="15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73" fillId="59" borderId="0" applyNumberFormat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11" fillId="4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107" fillId="50" borderId="0" applyNumberFormat="0" applyBorder="0" applyAlignment="0" applyProtection="0"/>
    <xf numFmtId="0" fontId="0" fillId="0" borderId="0"/>
    <xf numFmtId="0" fontId="73" fillId="59" borderId="0" applyNumberFormat="0" applyBorder="0" applyAlignment="0" applyProtection="0">
      <alignment vertical="center"/>
    </xf>
    <xf numFmtId="0" fontId="107" fillId="64" borderId="0" applyNumberFormat="0" applyBorder="0" applyAlignment="0" applyProtection="0"/>
    <xf numFmtId="0" fontId="0" fillId="0" borderId="0"/>
    <xf numFmtId="0" fontId="73" fillId="59" borderId="0" applyNumberFormat="0" applyBorder="0" applyAlignment="0" applyProtection="0">
      <alignment vertical="center"/>
    </xf>
    <xf numFmtId="0" fontId="107" fillId="53" borderId="0" applyNumberFormat="0" applyBorder="0" applyAlignment="0" applyProtection="0"/>
    <xf numFmtId="0" fontId="0" fillId="0" borderId="0"/>
    <xf numFmtId="0" fontId="73" fillId="5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4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51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108" fillId="51" borderId="0" applyNumberFormat="0" applyBorder="0" applyAlignment="0" applyProtection="0"/>
    <xf numFmtId="0" fontId="73" fillId="5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08" fillId="51" borderId="0" applyNumberFormat="0" applyBorder="0" applyAlignment="0" applyProtection="0"/>
    <xf numFmtId="0" fontId="73" fillId="55" borderId="0" applyNumberFormat="0" applyBorder="0" applyAlignment="0" applyProtection="0">
      <alignment vertical="center"/>
    </xf>
    <xf numFmtId="0" fontId="108" fillId="51" borderId="0" applyNumberFormat="0" applyBorder="0" applyAlignment="0" applyProtection="0"/>
    <xf numFmtId="0" fontId="115" fillId="9" borderId="0" applyNumberFormat="0" applyBorder="0" applyAlignment="0" applyProtection="0">
      <alignment vertical="center"/>
    </xf>
    <xf numFmtId="0" fontId="107" fillId="15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37" fontId="127" fillId="0" borderId="0"/>
    <xf numFmtId="0" fontId="116" fillId="54" borderId="82" applyNumberFormat="0" applyAlignment="0" applyProtection="0">
      <alignment vertical="center"/>
    </xf>
    <xf numFmtId="0" fontId="73" fillId="59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05" fillId="5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108" fillId="60" borderId="0" applyNumberFormat="0" applyBorder="0" applyAlignment="0" applyProtection="0"/>
    <xf numFmtId="0" fontId="107" fillId="53" borderId="0" applyNumberFormat="0" applyBorder="0" applyAlignment="0" applyProtection="0"/>
    <xf numFmtId="0" fontId="105" fillId="56" borderId="0" applyNumberFormat="0" applyBorder="0" applyAlignment="0" applyProtection="0">
      <alignment vertical="center"/>
    </xf>
    <xf numFmtId="0" fontId="107" fillId="53" borderId="0" applyNumberFormat="0" applyBorder="0" applyAlignment="0" applyProtection="0"/>
    <xf numFmtId="0" fontId="125" fillId="9" borderId="0" applyNumberFormat="0" applyBorder="0" applyAlignment="0" applyProtection="0"/>
    <xf numFmtId="0" fontId="105" fillId="56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05" fillId="50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0" fillId="0" borderId="0"/>
    <xf numFmtId="0" fontId="130" fillId="65" borderId="23">
      <protection locked="0"/>
    </xf>
    <xf numFmtId="0" fontId="105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center"/>
    </xf>
    <xf numFmtId="3" fontId="0" fillId="0" borderId="0" applyFont="0" applyFill="0" applyBorder="0" applyAlignment="0" applyProtection="0"/>
    <xf numFmtId="0" fontId="105" fillId="15" borderId="0" applyNumberFormat="0" applyBorder="0" applyAlignment="0" applyProtection="0">
      <alignment vertical="center"/>
    </xf>
    <xf numFmtId="14" fontId="106" fillId="0" borderId="0">
      <alignment horizontal="center" wrapText="1"/>
      <protection locked="0"/>
    </xf>
    <xf numFmtId="3" fontId="0" fillId="0" borderId="0" applyFont="0" applyFill="0" applyBorder="0" applyAlignment="0" applyProtection="0"/>
    <xf numFmtId="0" fontId="110" fillId="10" borderId="0" applyNumberFormat="0" applyBorder="0" applyAlignment="0" applyProtection="0">
      <alignment vertical="center"/>
    </xf>
    <xf numFmtId="0" fontId="105" fillId="15" borderId="0" applyNumberFormat="0" applyBorder="0" applyAlignment="0" applyProtection="0">
      <alignment vertical="center"/>
    </xf>
    <xf numFmtId="3" fontId="0" fillId="0" borderId="0" applyFont="0" applyFill="0" applyBorder="0" applyAlignment="0" applyProtection="0"/>
    <xf numFmtId="0" fontId="105" fillId="15" borderId="0" applyNumberFormat="0" applyBorder="0" applyAlignment="0" applyProtection="0">
      <alignment vertical="center"/>
    </xf>
    <xf numFmtId="3" fontId="0" fillId="0" borderId="0" applyFont="0" applyFill="0" applyBorder="0" applyAlignment="0" applyProtection="0"/>
    <xf numFmtId="0" fontId="105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0" fontId="111" fillId="52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05" fillId="5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/>
    </xf>
    <xf numFmtId="0" fontId="130" fillId="65" borderId="23">
      <protection locked="0"/>
    </xf>
    <xf numFmtId="0" fontId="111" fillId="63" borderId="0" applyNumberFormat="0" applyBorder="0" applyAlignment="0" applyProtection="0">
      <alignment vertical="center"/>
    </xf>
    <xf numFmtId="0" fontId="105" fillId="7" borderId="0" applyNumberFormat="0" applyBorder="0" applyAlignment="0" applyProtection="0">
      <alignment vertical="center"/>
    </xf>
    <xf numFmtId="0" fontId="105" fillId="7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105" fillId="7" borderId="0" applyNumberFormat="0" applyBorder="0" applyAlignment="0" applyProtection="0">
      <alignment vertical="center"/>
    </xf>
    <xf numFmtId="0" fontId="105" fillId="7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1" fillId="61" borderId="0" applyNumberFormat="0" applyBorder="0" applyAlignment="0" applyProtection="0">
      <alignment vertical="center"/>
    </xf>
    <xf numFmtId="0" fontId="111" fillId="49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1" fillId="12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111" fillId="12" borderId="0" applyNumberFormat="0" applyBorder="0" applyAlignment="0" applyProtection="0">
      <alignment vertical="center"/>
    </xf>
    <xf numFmtId="0" fontId="111" fillId="63" borderId="0" applyNumberFormat="0" applyBorder="0" applyAlignment="0" applyProtection="0">
      <alignment vertical="center"/>
    </xf>
    <xf numFmtId="0" fontId="111" fillId="63" borderId="0" applyNumberFormat="0" applyBorder="0" applyAlignment="0" applyProtection="0">
      <alignment vertical="center"/>
    </xf>
    <xf numFmtId="0" fontId="111" fillId="15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7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04" fillId="0" borderId="0">
      <protection locked="0"/>
    </xf>
    <xf numFmtId="0" fontId="112" fillId="9" borderId="0" applyNumberFormat="0" applyBorder="0" applyAlignment="0" applyProtection="0">
      <alignment vertical="center"/>
    </xf>
    <xf numFmtId="0" fontId="108" fillId="60" borderId="0" applyNumberFormat="0" applyBorder="0" applyAlignment="0" applyProtection="0"/>
    <xf numFmtId="0" fontId="0" fillId="0" borderId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31" fillId="0" borderId="85" applyNumberFormat="0" applyFill="0" applyAlignment="0" applyProtection="0">
      <alignment vertical="center"/>
    </xf>
    <xf numFmtId="0" fontId="108" fillId="51" borderId="0" applyNumberFormat="0" applyBorder="0" applyAlignment="0" applyProtection="0"/>
    <xf numFmtId="0" fontId="107" fillId="5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07" fillId="59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07" fillId="59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30" fillId="65" borderId="23">
      <protection locked="0"/>
    </xf>
    <xf numFmtId="0" fontId="0" fillId="0" borderId="0"/>
    <xf numFmtId="0" fontId="107" fillId="50" borderId="0" applyNumberFormat="0" applyBorder="0" applyAlignment="0" applyProtection="0"/>
    <xf numFmtId="0" fontId="107" fillId="53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0" fontId="107" fillId="64" borderId="0" applyNumberFormat="0" applyBorder="0" applyAlignment="0" applyProtection="0"/>
    <xf numFmtId="15" fontId="132" fillId="0" borderId="0"/>
    <xf numFmtId="0" fontId="107" fillId="64" borderId="0" applyNumberFormat="0" applyBorder="0" applyAlignment="0" applyProtection="0"/>
    <xf numFmtId="0" fontId="105" fillId="14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107" fillId="56" borderId="0" applyNumberFormat="0" applyBorder="0" applyAlignment="0" applyProtection="0"/>
    <xf numFmtId="0" fontId="108" fillId="51" borderId="0" applyNumberFormat="0" applyBorder="0" applyAlignment="0" applyProtection="0"/>
    <xf numFmtId="0" fontId="131" fillId="0" borderId="85" applyNumberFormat="0" applyFill="0" applyAlignment="0" applyProtection="0">
      <alignment vertical="center"/>
    </xf>
    <xf numFmtId="0" fontId="108" fillId="51" borderId="0" applyNumberFormat="0" applyBorder="0" applyAlignment="0" applyProtection="0"/>
    <xf numFmtId="0" fontId="131" fillId="0" borderId="85" applyNumberFormat="0" applyFill="0" applyAlignment="0" applyProtection="0">
      <alignment vertical="center"/>
    </xf>
    <xf numFmtId="0" fontId="108" fillId="51" borderId="0" applyNumberFormat="0" applyBorder="0" applyAlignment="0" applyProtection="0"/>
    <xf numFmtId="0" fontId="0" fillId="0" borderId="0" applyFont="0" applyFill="0" applyBorder="0" applyAlignment="0" applyProtection="0"/>
    <xf numFmtId="0" fontId="108" fillId="9" borderId="0" applyNumberFormat="0" applyBorder="0" applyAlignment="0" applyProtection="0"/>
    <xf numFmtId="0" fontId="107" fillId="15" borderId="0" applyNumberFormat="0" applyBorder="0" applyAlignment="0" applyProtection="0"/>
    <xf numFmtId="0" fontId="0" fillId="0" borderId="0" applyFont="0" applyFill="0" applyBorder="0" applyAlignment="0" applyProtection="0"/>
    <xf numFmtId="0" fontId="108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33" fillId="0" borderId="86">
      <alignment horizontal="center"/>
    </xf>
    <xf numFmtId="0" fontId="116" fillId="54" borderId="82" applyNumberFormat="0" applyAlignment="0" applyProtection="0">
      <alignment vertical="center"/>
    </xf>
    <xf numFmtId="0" fontId="108" fillId="9" borderId="0" applyNumberFormat="0" applyBorder="0" applyAlignment="0" applyProtection="0"/>
    <xf numFmtId="0" fontId="107" fillId="15" borderId="0" applyNumberFormat="0" applyBorder="0" applyAlignment="0" applyProtection="0"/>
    <xf numFmtId="0" fontId="108" fillId="8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26" fillId="0" borderId="0" applyNumberFormat="0" applyFill="0" applyBorder="0" applyAlignment="0" applyProtection="0">
      <alignment vertical="center"/>
    </xf>
    <xf numFmtId="0" fontId="107" fillId="53" borderId="0" applyNumberFormat="0" applyBorder="0" applyAlignment="0" applyProtection="0"/>
    <xf numFmtId="0" fontId="134" fillId="0" borderId="87" applyNumberFormat="0" applyFill="0" applyAlignment="0" applyProtection="0">
      <alignment vertical="center"/>
    </xf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107" fillId="53" borderId="0" applyNumberFormat="0" applyBorder="0" applyAlignment="0" applyProtection="0"/>
    <xf numFmtId="0" fontId="0" fillId="0" borderId="0" applyFont="0" applyFill="0" applyBorder="0" applyAlignment="0" applyProtection="0"/>
    <xf numFmtId="0" fontId="107" fillId="53" borderId="0" applyNumberFormat="0" applyBorder="0" applyAlignment="0" applyProtection="0"/>
    <xf numFmtId="0" fontId="0" fillId="0" borderId="0"/>
    <xf numFmtId="0" fontId="105" fillId="66" borderId="0" applyNumberFormat="0" applyBorder="0" applyAlignment="0" applyProtection="0">
      <alignment vertical="center"/>
    </xf>
    <xf numFmtId="0" fontId="107" fillId="50" borderId="0" applyNumberFormat="0" applyBorder="0" applyAlignment="0" applyProtection="0"/>
    <xf numFmtId="0" fontId="108" fillId="60" borderId="0" applyNumberFormat="0" applyBorder="0" applyAlignment="0" applyProtection="0"/>
    <xf numFmtId="0" fontId="108" fillId="6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0" fillId="67" borderId="0" applyNumberFormat="0" applyFont="0" applyBorder="0" applyAlignment="0" applyProtection="0"/>
    <xf numFmtId="0" fontId="110" fillId="10" borderId="0" applyNumberFormat="0" applyBorder="0" applyAlignment="0" applyProtection="0">
      <alignment vertical="center"/>
    </xf>
    <xf numFmtId="0" fontId="108" fillId="15" borderId="0" applyNumberFormat="0" applyBorder="0" applyAlignment="0" applyProtection="0"/>
    <xf numFmtId="0" fontId="108" fillId="7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5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07" fillId="15" borderId="0" applyNumberFormat="0" applyBorder="0" applyAlignment="0" applyProtection="0"/>
    <xf numFmtId="0" fontId="0" fillId="67" borderId="0" applyNumberFormat="0" applyFont="0" applyBorder="0" applyAlignment="0" applyProtection="0"/>
    <xf numFmtId="0" fontId="107" fillId="15" borderId="0" applyNumberFormat="0" applyBorder="0" applyAlignment="0" applyProtection="0"/>
    <xf numFmtId="0" fontId="107" fillId="52" borderId="0" applyNumberFormat="0" applyBorder="0" applyAlignment="0" applyProtection="0"/>
    <xf numFmtId="0" fontId="107" fillId="50" borderId="0" applyNumberFormat="0" applyBorder="0" applyAlignment="0" applyProtection="0"/>
    <xf numFmtId="0" fontId="5" fillId="0" borderId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07" fillId="50" borderId="0" applyNumberFormat="0" applyBorder="0" applyAlignment="0" applyProtection="0"/>
    <xf numFmtId="0" fontId="107" fillId="56" borderId="0" applyNumberFormat="0" applyBorder="0" applyAlignment="0" applyProtection="0"/>
    <xf numFmtId="0" fontId="107" fillId="59" borderId="0" applyNumberFormat="0" applyBorder="0" applyAlignment="0" applyProtection="0"/>
    <xf numFmtId="0" fontId="108" fillId="8" borderId="0" applyNumberFormat="0" applyBorder="0" applyAlignment="0" applyProtection="0"/>
    <xf numFmtId="0" fontId="108" fillId="8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08" fillId="8" borderId="0" applyNumberFormat="0" applyBorder="0" applyAlignment="0" applyProtection="0"/>
    <xf numFmtId="0" fontId="108" fillId="60" borderId="0" applyNumberFormat="0" applyBorder="0" applyAlignment="0" applyProtection="0"/>
    <xf numFmtId="0" fontId="0" fillId="0" borderId="0"/>
    <xf numFmtId="4" fontId="0" fillId="0" borderId="0" applyFont="0" applyFill="0" applyBorder="0" applyAlignment="0" applyProtection="0"/>
    <xf numFmtId="0" fontId="107" fillId="59" borderId="0" applyNumberFormat="0" applyBorder="0" applyAlignment="0" applyProtection="0"/>
    <xf numFmtId="0" fontId="107" fillId="59" borderId="0" applyNumberFormat="0" applyBorder="0" applyAlignment="0" applyProtection="0"/>
    <xf numFmtId="0" fontId="107" fillId="56" borderId="0" applyNumberFormat="0" applyBorder="0" applyAlignment="0" applyProtection="0"/>
    <xf numFmtId="0" fontId="134" fillId="0" borderId="88" applyNumberFormat="0" applyFill="0" applyAlignment="0" applyProtection="0">
      <alignment vertical="center"/>
    </xf>
    <xf numFmtId="0" fontId="107" fillId="56" borderId="0" applyNumberFormat="0" applyBorder="0" applyAlignment="0" applyProtection="0"/>
    <xf numFmtId="0" fontId="134" fillId="0" borderId="89" applyNumberFormat="0" applyFill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07" fillId="56" borderId="0" applyNumberFormat="0" applyBorder="0" applyAlignment="0" applyProtection="0"/>
    <xf numFmtId="0" fontId="105" fillId="56" borderId="0" applyNumberFormat="0" applyBorder="0" applyAlignment="0" applyProtection="0">
      <alignment vertical="center"/>
    </xf>
    <xf numFmtId="0" fontId="108" fillId="51" borderId="0" applyNumberFormat="0" applyBorder="0" applyAlignment="0" applyProtection="0"/>
    <xf numFmtId="0" fontId="119" fillId="0" borderId="0" applyNumberFormat="0" applyFill="0" applyBorder="0" applyAlignment="0" applyProtection="0">
      <alignment vertical="center"/>
    </xf>
    <xf numFmtId="0" fontId="108" fillId="7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/>
    <xf numFmtId="0" fontId="108" fillId="7" borderId="0" applyNumberFormat="0" applyBorder="0" applyAlignment="0" applyProtection="0"/>
    <xf numFmtId="0" fontId="0" fillId="0" borderId="0"/>
    <xf numFmtId="0" fontId="128" fillId="0" borderId="0" applyNumberFormat="0" applyFill="0" applyBorder="0" applyAlignment="0" applyProtection="0">
      <alignment vertical="center"/>
    </xf>
    <xf numFmtId="0" fontId="108" fillId="7" borderId="0" applyNumberFormat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07" fillId="7" borderId="0" applyNumberFormat="0" applyBorder="0" applyAlignment="0" applyProtection="0"/>
    <xf numFmtId="0" fontId="0" fillId="0" borderId="0"/>
    <xf numFmtId="0" fontId="110" fillId="10" borderId="0" applyNumberFormat="0" applyBorder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6" fillId="54" borderId="82" applyNumberFormat="0" applyAlignment="0" applyProtection="0">
      <alignment vertical="center"/>
    </xf>
    <xf numFmtId="0" fontId="135" fillId="53" borderId="91" applyNumberFormat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35" fillId="53" borderId="91" applyNumberFormat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35" fillId="53" borderId="91" applyNumberFormat="0" applyAlignment="0" applyProtection="0">
      <alignment vertical="center"/>
    </xf>
    <xf numFmtId="0" fontId="135" fillId="53" borderId="91" applyNumberFormat="0" applyAlignment="0" applyProtection="0">
      <alignment vertical="center"/>
    </xf>
    <xf numFmtId="0" fontId="136" fillId="0" borderId="92" applyNumberFormat="0" applyFill="0" applyAlignment="0" applyProtection="0">
      <alignment vertical="center"/>
    </xf>
    <xf numFmtId="0" fontId="0" fillId="0" borderId="0" applyFont="0" applyFill="0" applyBorder="0" applyAlignment="0" applyProtection="0"/>
    <xf numFmtId="0" fontId="5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67" borderId="0" applyNumberFormat="0" applyFont="0" applyBorder="0" applyAlignment="0" applyProtection="0"/>
    <xf numFmtId="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0" fillId="0" borderId="0" applyFont="0" applyFill="0" applyBorder="0" applyAlignment="0" applyProtection="0"/>
    <xf numFmtId="0" fontId="137" fillId="0" borderId="84" applyNumberFormat="0" applyFill="0" applyAlignment="0" applyProtection="0">
      <alignment vertical="center"/>
    </xf>
    <xf numFmtId="0" fontId="0" fillId="0" borderId="0" applyFont="0" applyFill="0" applyBorder="0" applyAlignment="0" applyProtection="0"/>
    <xf numFmtId="0" fontId="137" fillId="0" borderId="84" applyNumberFormat="0" applyFill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4" fontId="0" fillId="0" borderId="0" applyFont="0" applyFill="0" applyBorder="0" applyAlignment="0" applyProtection="0"/>
    <xf numFmtId="0" fontId="0" fillId="0" borderId="0"/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37" fillId="0" borderId="93" applyNumberFormat="0" applyFill="0" applyAlignment="0" applyProtection="0">
      <alignment vertical="center"/>
    </xf>
    <xf numFmtId="10" fontId="0" fillId="0" borderId="0" applyFont="0" applyFill="0" applyBorder="0" applyAlignment="0" applyProtection="0"/>
    <xf numFmtId="0" fontId="138" fillId="15" borderId="0" applyNumberFormat="0" applyBorder="0" applyAlignment="0" applyProtection="0"/>
    <xf numFmtId="0" fontId="129" fillId="10" borderId="0" applyNumberFormat="0" applyBorder="0" applyAlignment="0" applyProtection="0">
      <alignment vertical="center"/>
    </xf>
    <xf numFmtId="0" fontId="139" fillId="0" borderId="94" applyNumberFormat="0" applyAlignment="0" applyProtection="0">
      <alignment horizontal="left" vertical="center"/>
    </xf>
    <xf numFmtId="0" fontId="110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39" fillId="0" borderId="6">
      <alignment horizontal="left" vertical="center"/>
    </xf>
    <xf numFmtId="0" fontId="140" fillId="0" borderId="95" applyNumberFormat="0" applyFill="0" applyAlignment="0" applyProtection="0">
      <alignment vertical="center"/>
    </xf>
    <xf numFmtId="0" fontId="140" fillId="0" borderId="95" applyNumberFormat="0" applyFill="0" applyAlignment="0" applyProtection="0">
      <alignment vertical="center"/>
    </xf>
    <xf numFmtId="0" fontId="140" fillId="0" borderId="95" applyNumberFormat="0" applyFill="0" applyAlignment="0" applyProtection="0">
      <alignment vertical="center"/>
    </xf>
    <xf numFmtId="0" fontId="140" fillId="0" borderId="95" applyNumberFormat="0" applyFill="0" applyAlignment="0" applyProtection="0">
      <alignment vertical="center"/>
    </xf>
    <xf numFmtId="0" fontId="121" fillId="0" borderId="84" applyNumberFormat="0" applyFill="0" applyAlignment="0" applyProtection="0">
      <alignment vertical="center"/>
    </xf>
    <xf numFmtId="0" fontId="121" fillId="0" borderId="84" applyNumberFormat="0" applyFill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19" fillId="0" borderId="83" applyNumberFormat="0" applyFill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18" fillId="10" borderId="0" applyNumberFormat="0" applyBorder="0" applyAlignment="0" applyProtection="0"/>
    <xf numFmtId="0" fontId="138" fillId="51" borderId="1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41" fillId="54" borderId="96" applyNumberFormat="0" applyAlignment="0" applyProtection="0">
      <alignment vertical="center"/>
    </xf>
    <xf numFmtId="0" fontId="142" fillId="68" borderId="0"/>
    <xf numFmtId="0" fontId="136" fillId="0" borderId="0" applyNumberFormat="0" applyFill="0" applyBorder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44" fillId="69" borderId="0"/>
    <xf numFmtId="0" fontId="110" fillId="10" borderId="0" applyNumberFormat="0" applyBorder="0" applyAlignment="0" applyProtection="0">
      <alignment vertical="center"/>
    </xf>
    <xf numFmtId="38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0" fillId="0" borderId="0"/>
    <xf numFmtId="4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04" fillId="0" borderId="0"/>
    <xf numFmtId="0" fontId="111" fillId="0" borderId="0"/>
    <xf numFmtId="0" fontId="145" fillId="0" borderId="0" applyNumberFormat="0" applyFill="0" applyBorder="0" applyAlignment="0" applyProtection="0">
      <alignment vertical="center"/>
    </xf>
    <xf numFmtId="0" fontId="0" fillId="0" borderId="0"/>
    <xf numFmtId="0" fontId="0" fillId="51" borderId="90" applyNumberFormat="0" applyFont="0" applyAlignment="0" applyProtection="0">
      <alignment vertical="center"/>
    </xf>
    <xf numFmtId="176" fontId="0" fillId="0" borderId="0" applyFont="0" applyFill="0" applyProtection="0"/>
    <xf numFmtId="0" fontId="110" fillId="10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141" fillId="54" borderId="96" applyNumberFormat="0" applyAlignment="0" applyProtection="0">
      <alignment vertical="center"/>
    </xf>
    <xf numFmtId="0" fontId="141" fillId="54" borderId="96" applyNumberFormat="0" applyAlignment="0" applyProtection="0">
      <alignment vertical="center"/>
    </xf>
    <xf numFmtId="0" fontId="141" fillId="54" borderId="96" applyNumberFormat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 applyNumberFormat="0" applyFont="0" applyFill="0" applyBorder="0" applyAlignment="0" applyProtection="0">
      <alignment horizontal="left"/>
    </xf>
    <xf numFmtId="15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5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5" fontId="0" fillId="0" borderId="0" applyFont="0" applyFill="0" applyBorder="0" applyAlignment="0" applyProtection="0"/>
    <xf numFmtId="4" fontId="0" fillId="0" borderId="0" applyFont="0" applyFill="0" applyBorder="0" applyAlignment="0" applyProtection="0"/>
    <xf numFmtId="0" fontId="0" fillId="0" borderId="0"/>
    <xf numFmtId="4" fontId="0" fillId="0" borderId="0" applyFont="0" applyFill="0" applyBorder="0" applyAlignment="0" applyProtection="0"/>
    <xf numFmtId="0" fontId="110" fillId="10" borderId="0" applyNumberFormat="0" applyBorder="0" applyAlignment="0" applyProtection="0">
      <alignment vertical="center"/>
    </xf>
    <xf numFmtId="0" fontId="0" fillId="67" borderId="0" applyNumberFormat="0" applyFont="0" applyBorder="0" applyAlignment="0" applyProtection="0"/>
    <xf numFmtId="0" fontId="0" fillId="0" borderId="0" applyProtection="0">
      <alignment vertical="center"/>
    </xf>
    <xf numFmtId="0" fontId="146" fillId="0" borderId="0"/>
    <xf numFmtId="0" fontId="128" fillId="0" borderId="0" applyNumberFormat="0" applyFill="0" applyBorder="0" applyAlignment="0" applyProtection="0"/>
    <xf numFmtId="0" fontId="134" fillId="0" borderId="87" applyNumberFormat="0" applyFill="0" applyAlignment="0" applyProtection="0">
      <alignment vertical="center"/>
    </xf>
    <xf numFmtId="0" fontId="0" fillId="0" borderId="0"/>
    <xf numFmtId="0" fontId="128" fillId="0" borderId="0" applyNumberFormat="0" applyFill="0" applyBorder="0" applyAlignment="0" applyProtection="0"/>
    <xf numFmtId="0" fontId="134" fillId="0" borderId="87" applyNumberFormat="0" applyFill="0" applyAlignment="0" applyProtection="0">
      <alignment vertical="center"/>
    </xf>
    <xf numFmtId="0" fontId="134" fillId="0" borderId="87" applyNumberFormat="0" applyFill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112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124" fillId="0" borderId="3" applyNumberFormat="0" applyFill="0" applyProtection="0">
      <alignment horizontal="right"/>
    </xf>
    <xf numFmtId="0" fontId="131" fillId="0" borderId="98" applyNumberFormat="0" applyFill="0" applyAlignment="0" applyProtection="0">
      <alignment vertical="center"/>
    </xf>
    <xf numFmtId="0" fontId="137" fillId="0" borderId="84" applyNumberFormat="0" applyFill="0" applyAlignment="0" applyProtection="0">
      <alignment vertical="center"/>
    </xf>
    <xf numFmtId="0" fontId="136" fillId="0" borderId="99" applyNumberFormat="0" applyFill="0" applyAlignment="0" applyProtection="0">
      <alignment vertical="center"/>
    </xf>
    <xf numFmtId="0" fontId="136" fillId="0" borderId="92" applyNumberFormat="0" applyFill="0" applyAlignment="0" applyProtection="0">
      <alignment vertical="center"/>
    </xf>
    <xf numFmtId="0" fontId="136" fillId="0" borderId="92" applyNumberFormat="0" applyFill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7" fillId="0" borderId="9" applyNumberFormat="0" applyFill="0" applyProtection="0">
      <alignment horizontal="center"/>
    </xf>
    <xf numFmtId="0" fontId="113" fillId="0" borderId="0" applyNumberFormat="0" applyFill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74" fillId="0" borderId="0">
      <alignment vertical="center"/>
    </xf>
    <xf numFmtId="0" fontId="129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0" fillId="0" borderId="0"/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0" fillId="0" borderId="0"/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0" fillId="0" borderId="0"/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29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10" fillId="10" borderId="0" applyNumberFormat="0" applyBorder="0" applyAlignment="0" applyProtection="0">
      <alignment vertical="center"/>
    </xf>
    <xf numFmtId="0" fontId="73" fillId="0" borderId="0">
      <alignment vertical="center"/>
    </xf>
    <xf numFmtId="0" fontId="110" fillId="10" borderId="0" applyNumberFormat="0" applyBorder="0" applyAlignment="0" applyProtection="0">
      <alignment vertical="center"/>
    </xf>
    <xf numFmtId="0" fontId="73" fillId="0" borderId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0" fillId="0" borderId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5" fillId="9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43" fontId="0" fillId="0" borderId="0" applyFont="0" applyFill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0" fillId="0" borderId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8" fillId="10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09" fillId="7" borderId="82" applyNumberFormat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5" fillId="71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25" fillId="71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0" fillId="0" borderId="0"/>
    <xf numFmtId="0" fontId="110" fillId="10" borderId="0" applyNumberFormat="0" applyBorder="0" applyAlignment="0" applyProtection="0">
      <alignment vertical="center"/>
    </xf>
    <xf numFmtId="0" fontId="110" fillId="10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0" fillId="55" borderId="0" applyNumberFormat="0" applyBorder="0" applyAlignment="0" applyProtection="0">
      <alignment vertical="center"/>
    </xf>
    <xf numFmtId="0" fontId="110" fillId="55" borderId="0" applyNumberFormat="0" applyBorder="0" applyAlignment="0" applyProtection="0">
      <alignment vertical="center"/>
    </xf>
    <xf numFmtId="0" fontId="110" fillId="55" borderId="0" applyNumberFormat="0" applyBorder="0" applyAlignment="0" applyProtection="0">
      <alignment vertical="center"/>
    </xf>
    <xf numFmtId="0" fontId="110" fillId="55" borderId="0" applyNumberFormat="0" applyBorder="0" applyAlignment="0" applyProtection="0">
      <alignment vertical="center"/>
    </xf>
    <xf numFmtId="0" fontId="110" fillId="55" borderId="0" applyNumberFormat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/>
    <xf numFmtId="0" fontId="111" fillId="66" borderId="0" applyNumberFormat="0" applyBorder="0" applyAlignment="0" applyProtection="0">
      <alignment vertical="center"/>
    </xf>
    <xf numFmtId="0" fontId="0" fillId="0" borderId="0"/>
    <xf numFmtId="0" fontId="111" fillId="6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48" fillId="53" borderId="9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25" fillId="9" borderId="0" applyNumberFormat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109" fillId="7" borderId="82" applyNumberFormat="0" applyAlignment="0" applyProtection="0">
      <alignment vertical="center"/>
    </xf>
    <xf numFmtId="0" fontId="0" fillId="0" borderId="0"/>
    <xf numFmtId="0" fontId="109" fillId="7" borderId="82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1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1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>
      <alignment vertical="center"/>
    </xf>
    <xf numFmtId="0" fontId="0" fillId="0" borderId="0"/>
    <xf numFmtId="0" fontId="73" fillId="0" borderId="0">
      <alignment vertical="center"/>
    </xf>
    <xf numFmtId="0" fontId="0" fillId="0" borderId="0"/>
    <xf numFmtId="0" fontId="73" fillId="0" borderId="0">
      <alignment vertical="center"/>
    </xf>
    <xf numFmtId="0" fontId="0" fillId="0" borderId="0"/>
    <xf numFmtId="0" fontId="112" fillId="9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0" borderId="0"/>
    <xf numFmtId="0" fontId="73" fillId="0" borderId="0">
      <alignment vertical="center"/>
    </xf>
    <xf numFmtId="0" fontId="112" fillId="9" borderId="0" applyNumberFormat="0" applyBorder="0" applyAlignment="0" applyProtection="0">
      <alignment vertical="center"/>
    </xf>
    <xf numFmtId="0" fontId="73" fillId="0" borderId="0">
      <alignment vertical="center"/>
    </xf>
    <xf numFmtId="0" fontId="112" fillId="9" borderId="0" applyNumberFormat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2" fillId="9" borderId="0" applyNumberFormat="0" applyBorder="0" applyAlignment="0" applyProtection="0">
      <alignment vertical="center"/>
    </xf>
    <xf numFmtId="0" fontId="0" fillId="0" borderId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25" fillId="9" borderId="0" applyNumberFormat="0" applyBorder="0" applyAlignment="0" applyProtection="0"/>
    <xf numFmtId="0" fontId="13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0" borderId="0">
      <alignment vertical="center"/>
    </xf>
    <xf numFmtId="0" fontId="13" fillId="0" borderId="0">
      <alignment vertical="center"/>
    </xf>
    <xf numFmtId="0" fontId="116" fillId="15" borderId="82" applyNumberFormat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1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74" fillId="0" borderId="0">
      <alignment vertical="center"/>
    </xf>
    <xf numFmtId="0" fontId="5" fillId="0" borderId="0"/>
    <xf numFmtId="0" fontId="74" fillId="0" borderId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6" fillId="15" borderId="82" applyNumberFormat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5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48" fillId="53" borderId="91" applyNumberFormat="0" applyAlignment="0" applyProtection="0">
      <alignment vertical="center"/>
    </xf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71" borderId="0" applyNumberFormat="0" applyBorder="0" applyAlignment="0" applyProtection="0"/>
    <xf numFmtId="0" fontId="125" fillId="71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20" fillId="58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20" fillId="58" borderId="0" applyNumberFormat="0" applyBorder="0" applyAlignment="0" applyProtection="0"/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9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34" fillId="0" borderId="89" applyNumberFormat="0" applyFill="0" applyAlignment="0" applyProtection="0">
      <alignment vertical="center"/>
    </xf>
    <xf numFmtId="0" fontId="134" fillId="0" borderId="89" applyNumberFormat="0" applyFill="0" applyAlignment="0" applyProtection="0">
      <alignment vertical="center"/>
    </xf>
    <xf numFmtId="0" fontId="116" fillId="15" borderId="82" applyNumberFormat="0" applyAlignment="0" applyProtection="0">
      <alignment vertical="center"/>
    </xf>
    <xf numFmtId="0" fontId="116" fillId="15" borderId="82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48" fillId="53" borderId="91" applyNumberFormat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47" fillId="0" borderId="9" applyNumberFormat="0" applyFill="0" applyProtection="0">
      <alignment horizontal="left"/>
    </xf>
    <xf numFmtId="0" fontId="12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143" fillId="0" borderId="97" applyNumberFormat="0" applyFill="0" applyAlignment="0" applyProtection="0">
      <alignment vertical="center"/>
    </xf>
    <xf numFmtId="0" fontId="20" fillId="0" borderId="0"/>
    <xf numFmtId="0" fontId="151" fillId="0" borderId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20" fillId="58" borderId="0" applyNumberFormat="0" applyBorder="0" applyAlignment="0" applyProtection="0"/>
    <xf numFmtId="0" fontId="120" fillId="72" borderId="0" applyNumberFormat="0" applyBorder="0" applyAlignment="0" applyProtection="0"/>
    <xf numFmtId="0" fontId="120" fillId="72" borderId="0" applyNumberFormat="0" applyBorder="0" applyAlignment="0" applyProtection="0"/>
    <xf numFmtId="0" fontId="120" fillId="72" borderId="0" applyNumberFormat="0" applyBorder="0" applyAlignment="0" applyProtection="0"/>
    <xf numFmtId="0" fontId="120" fillId="72" borderId="0" applyNumberFormat="0" applyBorder="0" applyAlignment="0" applyProtection="0"/>
    <xf numFmtId="0" fontId="120" fillId="73" borderId="0" applyNumberFormat="0" applyBorder="0" applyAlignment="0" applyProtection="0"/>
    <xf numFmtId="0" fontId="120" fillId="73" borderId="0" applyNumberFormat="0" applyBorder="0" applyAlignment="0" applyProtection="0"/>
    <xf numFmtId="0" fontId="120" fillId="73" borderId="0" applyNumberFormat="0" applyBorder="0" applyAlignment="0" applyProtection="0"/>
    <xf numFmtId="0" fontId="120" fillId="73" borderId="0" applyNumberFormat="0" applyBorder="0" applyAlignment="0" applyProtection="0"/>
    <xf numFmtId="0" fontId="111" fillId="74" borderId="0" applyNumberFormat="0" applyBorder="0" applyAlignment="0" applyProtection="0">
      <alignment vertical="center"/>
    </xf>
    <xf numFmtId="0" fontId="111" fillId="75" borderId="0" applyNumberFormat="0" applyBorder="0" applyAlignment="0" applyProtection="0">
      <alignment vertical="center"/>
    </xf>
    <xf numFmtId="0" fontId="111" fillId="75" borderId="0" applyNumberFormat="0" applyBorder="0" applyAlignment="0" applyProtection="0">
      <alignment vertical="center"/>
    </xf>
    <xf numFmtId="0" fontId="111" fillId="75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111" fillId="14" borderId="0" applyNumberFormat="0" applyBorder="0" applyAlignment="0" applyProtection="0">
      <alignment vertical="center"/>
    </xf>
    <xf numFmtId="0" fontId="111" fillId="14" borderId="0" applyNumberFormat="0" applyBorder="0" applyAlignment="0" applyProtection="0">
      <alignment vertical="center"/>
    </xf>
    <xf numFmtId="0" fontId="111" fillId="66" borderId="0" applyNumberFormat="0" applyBorder="0" applyAlignment="0" applyProtection="0">
      <alignment vertical="center"/>
    </xf>
    <xf numFmtId="0" fontId="111" fillId="66" borderId="0" applyNumberFormat="0" applyBorder="0" applyAlignment="0" applyProtection="0">
      <alignment vertical="center"/>
    </xf>
    <xf numFmtId="0" fontId="111" fillId="63" borderId="0" applyNumberFormat="0" applyBorder="0" applyAlignment="0" applyProtection="0">
      <alignment vertical="center"/>
    </xf>
    <xf numFmtId="0" fontId="111" fillId="63" borderId="0" applyNumberFormat="0" applyBorder="0" applyAlignment="0" applyProtection="0">
      <alignment vertical="center"/>
    </xf>
    <xf numFmtId="0" fontId="111" fillId="50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111" fillId="62" borderId="0" applyNumberFormat="0" applyBorder="0" applyAlignment="0" applyProtection="0">
      <alignment vertical="center"/>
    </xf>
    <xf numFmtId="0" fontId="124" fillId="0" borderId="9" applyFill="0" applyProtection="0">
      <alignment horizontal="right"/>
    </xf>
    <xf numFmtId="0" fontId="124" fillId="0" borderId="3" applyNumberFormat="0" applyFill="0" applyProtection="0">
      <alignment horizontal="left"/>
    </xf>
    <xf numFmtId="0" fontId="117" fillId="6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41" fillId="15" borderId="96" applyNumberFormat="0" applyAlignment="0" applyProtection="0">
      <alignment vertical="center"/>
    </xf>
    <xf numFmtId="0" fontId="141" fillId="15" borderId="96" applyNumberFormat="0" applyAlignment="0" applyProtection="0">
      <alignment vertical="center"/>
    </xf>
    <xf numFmtId="0" fontId="141" fillId="15" borderId="96" applyNumberFormat="0" applyAlignment="0" applyProtection="0">
      <alignment vertical="center"/>
    </xf>
    <xf numFmtId="0" fontId="141" fillId="15" borderId="96" applyNumberFormat="0" applyAlignment="0" applyProtection="0">
      <alignment vertical="center"/>
    </xf>
    <xf numFmtId="0" fontId="109" fillId="7" borderId="82" applyNumberFormat="0" applyAlignment="0" applyProtection="0">
      <alignment vertical="center"/>
    </xf>
    <xf numFmtId="1" fontId="124" fillId="0" borderId="9" applyFill="0" applyProtection="0">
      <alignment horizontal="center"/>
    </xf>
    <xf numFmtId="0" fontId="114" fillId="0" borderId="0"/>
    <xf numFmtId="0" fontId="132" fillId="0" borderId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0" fillId="51" borderId="90" applyNumberFormat="0" applyFont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0" fillId="51" borderId="90" applyNumberFormat="0" applyFont="0" applyAlignment="0" applyProtection="0">
      <alignment vertical="center"/>
    </xf>
    <xf numFmtId="0" fontId="0" fillId="0" borderId="0">
      <alignment vertical="center"/>
    </xf>
  </cellStyleXfs>
  <cellXfs count="1004">
    <xf numFmtId="0" fontId="0" fillId="0" borderId="0" xfId="0" applyFont="1"/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" fillId="2" borderId="1" xfId="1738" applyFont="1" applyFill="1" applyBorder="1" applyAlignment="1">
      <alignment horizontal="center" vertical="center" wrapText="1"/>
    </xf>
    <xf numFmtId="0" fontId="2" fillId="3" borderId="1" xfId="1738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0" borderId="0" xfId="0" applyNumberFormat="1" applyFont="1"/>
    <xf numFmtId="0" fontId="2" fillId="0" borderId="0" xfId="0" applyNumberFormat="1" applyFont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0" fontId="5" fillId="0" borderId="0" xfId="1305" applyFont="1"/>
    <xf numFmtId="0" fontId="0" fillId="0" borderId="0" xfId="1150"/>
    <xf numFmtId="0" fontId="6" fillId="0" borderId="0" xfId="1317" applyFont="1" applyBorder="1"/>
    <xf numFmtId="0" fontId="0" fillId="0" borderId="0" xfId="1317" applyFont="1"/>
    <xf numFmtId="0" fontId="7" fillId="0" borderId="0" xfId="1317" applyFont="1" applyBorder="1"/>
    <xf numFmtId="0" fontId="7" fillId="0" borderId="0" xfId="1317" applyFont="1" applyAlignment="1">
      <alignment horizontal="right"/>
    </xf>
    <xf numFmtId="0" fontId="7" fillId="5" borderId="1" xfId="1317" applyFont="1" applyFill="1" applyBorder="1"/>
    <xf numFmtId="0" fontId="7" fillId="0" borderId="0" xfId="1317" applyFont="1"/>
    <xf numFmtId="0" fontId="8" fillId="6" borderId="4" xfId="1317" applyFont="1" applyFill="1" applyBorder="1" applyAlignment="1">
      <alignment horizontal="center" wrapText="1"/>
    </xf>
    <xf numFmtId="0" fontId="8" fillId="6" borderId="2" xfId="1317" applyFont="1" applyFill="1" applyBorder="1" applyAlignment="1">
      <alignment horizontal="center" wrapText="1"/>
    </xf>
    <xf numFmtId="0" fontId="8" fillId="6" borderId="5" xfId="1317" applyFont="1" applyFill="1" applyBorder="1" applyAlignment="1">
      <alignment horizontal="center" wrapText="1"/>
    </xf>
    <xf numFmtId="0" fontId="8" fillId="6" borderId="6" xfId="1317" applyFont="1" applyFill="1" applyBorder="1" applyAlignment="1">
      <alignment horizontal="center" wrapText="1"/>
    </xf>
    <xf numFmtId="0" fontId="8" fillId="6" borderId="7" xfId="1317" applyFont="1" applyFill="1" applyBorder="1" applyAlignment="1">
      <alignment horizontal="center" wrapText="1"/>
    </xf>
    <xf numFmtId="0" fontId="8" fillId="2" borderId="8" xfId="1317" applyFont="1" applyFill="1" applyBorder="1" applyAlignment="1">
      <alignment horizontal="center" wrapText="1"/>
    </xf>
    <xf numFmtId="0" fontId="9" fillId="6" borderId="3" xfId="1317" applyFont="1" applyFill="1" applyBorder="1" applyAlignment="1">
      <alignment horizontal="center" wrapText="1"/>
    </xf>
    <xf numFmtId="0" fontId="9" fillId="6" borderId="9" xfId="1317" applyFont="1" applyFill="1" applyBorder="1" applyAlignment="1">
      <alignment horizontal="center" wrapText="1"/>
    </xf>
    <xf numFmtId="0" fontId="8" fillId="6" borderId="3" xfId="1317" applyFont="1" applyFill="1" applyBorder="1" applyAlignment="1">
      <alignment horizontal="center" wrapText="1"/>
    </xf>
    <xf numFmtId="0" fontId="8" fillId="6" borderId="2" xfId="1317" applyFont="1" applyFill="1" applyBorder="1" applyAlignment="1">
      <alignment wrapText="1"/>
    </xf>
    <xf numFmtId="0" fontId="7" fillId="6" borderId="9" xfId="1317" applyFont="1" applyFill="1" applyBorder="1" applyAlignment="1">
      <alignment wrapText="1"/>
    </xf>
    <xf numFmtId="0" fontId="10" fillId="7" borderId="9" xfId="1317" applyFont="1" applyFill="1" applyBorder="1" applyAlignment="1">
      <alignment wrapText="1"/>
    </xf>
    <xf numFmtId="0" fontId="8" fillId="6" borderId="9" xfId="1317" applyFont="1" applyFill="1" applyBorder="1" applyAlignment="1">
      <alignment wrapText="1"/>
    </xf>
    <xf numFmtId="0" fontId="10" fillId="2" borderId="9" xfId="1317" applyFont="1" applyFill="1" applyBorder="1" applyAlignment="1">
      <alignment wrapText="1"/>
    </xf>
    <xf numFmtId="0" fontId="8" fillId="6" borderId="10" xfId="1317" applyFont="1" applyFill="1" applyBorder="1" applyAlignment="1">
      <alignment horizontal="center" wrapText="1"/>
    </xf>
    <xf numFmtId="0" fontId="0" fillId="0" borderId="0" xfId="1317" applyFont="1" applyBorder="1"/>
    <xf numFmtId="0" fontId="7" fillId="5" borderId="3" xfId="1317" applyFont="1" applyFill="1" applyBorder="1"/>
    <xf numFmtId="0" fontId="2" fillId="8" borderId="1" xfId="1317" applyFont="1" applyFill="1" applyBorder="1" applyAlignment="1">
      <alignment horizontal="center" vertical="center"/>
    </xf>
    <xf numFmtId="0" fontId="2" fillId="8" borderId="5" xfId="1317" applyFont="1" applyFill="1" applyBorder="1" applyAlignment="1">
      <alignment horizontal="left" vertical="center"/>
    </xf>
    <xf numFmtId="0" fontId="2" fillId="8" borderId="2" xfId="1317" applyFont="1" applyFill="1" applyBorder="1" applyAlignment="1">
      <alignment horizontal="left" vertical="center"/>
    </xf>
    <xf numFmtId="0" fontId="2" fillId="5" borderId="9" xfId="1317" applyFont="1" applyFill="1" applyBorder="1" applyAlignment="1">
      <alignment horizontal="center" vertical="center"/>
    </xf>
    <xf numFmtId="0" fontId="2" fillId="8" borderId="2" xfId="1317" applyFont="1" applyFill="1" applyBorder="1" applyAlignment="1">
      <alignment horizontal="center" vertical="center"/>
    </xf>
    <xf numFmtId="0" fontId="10" fillId="5" borderId="2" xfId="1317" applyFont="1" applyFill="1" applyBorder="1" applyAlignment="1">
      <alignment horizontal="right" wrapText="1"/>
    </xf>
    <xf numFmtId="0" fontId="2" fillId="8" borderId="3" xfId="1317" applyFont="1" applyFill="1" applyBorder="1" applyAlignment="1">
      <alignment horizontal="center" vertical="center"/>
    </xf>
    <xf numFmtId="0" fontId="2" fillId="8" borderId="9" xfId="1317" applyFont="1" applyFill="1" applyBorder="1" applyAlignment="1">
      <alignment horizontal="center" vertical="center"/>
    </xf>
    <xf numFmtId="0" fontId="2" fillId="8" borderId="11" xfId="1317" applyFont="1" applyFill="1" applyBorder="1" applyAlignment="1">
      <alignment horizontal="left" vertical="center"/>
    </xf>
    <xf numFmtId="0" fontId="2" fillId="5" borderId="2" xfId="1317" applyFont="1" applyFill="1" applyBorder="1" applyAlignment="1">
      <alignment horizontal="center" vertical="center"/>
    </xf>
    <xf numFmtId="0" fontId="10" fillId="5" borderId="2" xfId="1317" applyFont="1" applyFill="1" applyBorder="1" applyAlignment="1">
      <alignment horizontal="center" wrapText="1"/>
    </xf>
    <xf numFmtId="2" fontId="2" fillId="8" borderId="2" xfId="1317" applyNumberFormat="1" applyFont="1" applyFill="1" applyBorder="1" applyAlignment="1">
      <alignment horizontal="center" vertical="center"/>
    </xf>
    <xf numFmtId="2" fontId="10" fillId="5" borderId="2" xfId="1317" applyNumberFormat="1" applyFont="1" applyFill="1" applyBorder="1" applyAlignment="1">
      <alignment horizontal="center" wrapText="1"/>
    </xf>
    <xf numFmtId="0" fontId="10" fillId="5" borderId="9" xfId="1317" applyFont="1" applyFill="1" applyBorder="1" applyAlignment="1">
      <alignment horizontal="center" wrapText="1"/>
    </xf>
    <xf numFmtId="2" fontId="2" fillId="8" borderId="9" xfId="1317" applyNumberFormat="1" applyFont="1" applyFill="1" applyBorder="1" applyAlignment="1">
      <alignment horizontal="center" vertical="center"/>
    </xf>
    <xf numFmtId="2" fontId="10" fillId="5" borderId="9" xfId="1317" applyNumberFormat="1" applyFont="1" applyFill="1" applyBorder="1" applyAlignment="1">
      <alignment horizontal="center" wrapText="1"/>
    </xf>
    <xf numFmtId="0" fontId="2" fillId="8" borderId="9" xfId="1317" applyFont="1" applyFill="1" applyBorder="1" applyAlignment="1">
      <alignment vertical="center"/>
    </xf>
    <xf numFmtId="0" fontId="7" fillId="0" borderId="12" xfId="1317" applyFont="1" applyBorder="1" applyAlignment="1">
      <alignment horizontal="center"/>
    </xf>
    <xf numFmtId="0" fontId="11" fillId="6" borderId="13" xfId="1317" applyFont="1" applyFill="1" applyBorder="1" applyAlignment="1">
      <alignment horizontal="center" wrapText="1"/>
    </xf>
    <xf numFmtId="0" fontId="11" fillId="6" borderId="5" xfId="1317" applyFont="1" applyFill="1" applyBorder="1" applyAlignment="1">
      <alignment horizontal="center" wrapText="1"/>
    </xf>
    <xf numFmtId="0" fontId="11" fillId="6" borderId="6" xfId="1317" applyFont="1" applyFill="1" applyBorder="1" applyAlignment="1">
      <alignment horizontal="center" wrapText="1"/>
    </xf>
    <xf numFmtId="0" fontId="11" fillId="6" borderId="3" xfId="1317" applyFont="1" applyFill="1" applyBorder="1" applyAlignment="1">
      <alignment horizontal="center" wrapText="1"/>
    </xf>
    <xf numFmtId="0" fontId="12" fillId="6" borderId="9" xfId="1317" applyFont="1" applyFill="1" applyBorder="1" applyAlignment="1">
      <alignment horizontal="center" wrapText="1"/>
    </xf>
    <xf numFmtId="0" fontId="2" fillId="9" borderId="9" xfId="1317" applyFont="1" applyFill="1" applyBorder="1" applyAlignment="1">
      <alignment horizontal="justify" wrapText="1"/>
    </xf>
    <xf numFmtId="0" fontId="13" fillId="9" borderId="9" xfId="1317" applyFont="1" applyFill="1" applyBorder="1" applyAlignment="1">
      <alignment horizontal="right" wrapText="1"/>
    </xf>
    <xf numFmtId="0" fontId="13" fillId="7" borderId="9" xfId="1317" applyFont="1" applyFill="1" applyBorder="1" applyAlignment="1">
      <alignment horizontal="right" wrapText="1"/>
    </xf>
    <xf numFmtId="0" fontId="13" fillId="6" borderId="9" xfId="1317" applyFont="1" applyFill="1" applyBorder="1" applyAlignment="1">
      <alignment horizontal="right" wrapText="1"/>
    </xf>
    <xf numFmtId="0" fontId="2" fillId="6" borderId="9" xfId="1317" applyFont="1" applyFill="1" applyBorder="1"/>
    <xf numFmtId="0" fontId="2" fillId="7" borderId="9" xfId="1317" applyFont="1" applyFill="1" applyBorder="1"/>
    <xf numFmtId="0" fontId="2" fillId="6" borderId="9" xfId="1317" applyFont="1" applyFill="1" applyBorder="1" applyAlignment="1">
      <alignment horizontal="justify" wrapText="1"/>
    </xf>
    <xf numFmtId="0" fontId="8" fillId="0" borderId="8" xfId="1317" applyFont="1" applyBorder="1" applyAlignment="1">
      <alignment horizontal="center" wrapText="1"/>
    </xf>
    <xf numFmtId="0" fontId="8" fillId="6" borderId="9" xfId="1317" applyFont="1" applyFill="1" applyBorder="1" applyAlignment="1">
      <alignment horizontal="center" wrapText="1"/>
    </xf>
    <xf numFmtId="0" fontId="7" fillId="6" borderId="9" xfId="1317" applyFont="1" applyFill="1" applyBorder="1" applyAlignment="1">
      <alignment horizontal="justify" wrapText="1"/>
    </xf>
    <xf numFmtId="0" fontId="10" fillId="5" borderId="9" xfId="1317" applyFont="1" applyFill="1" applyBorder="1" applyAlignment="1">
      <alignment horizontal="right" wrapText="1"/>
    </xf>
    <xf numFmtId="0" fontId="10" fillId="2" borderId="9" xfId="1317" applyFont="1" applyFill="1" applyBorder="1" applyAlignment="1">
      <alignment horizontal="right" wrapText="1"/>
    </xf>
    <xf numFmtId="0" fontId="0" fillId="0" borderId="0" xfId="1317" applyFont="1" applyBorder="1" applyAlignment="1">
      <alignment vertical="center"/>
    </xf>
    <xf numFmtId="0" fontId="0" fillId="0" borderId="1" xfId="0" applyFont="1" applyFill="1" applyBorder="1" applyAlignment="1">
      <alignment horizontal="center"/>
    </xf>
    <xf numFmtId="0" fontId="11" fillId="6" borderId="2" xfId="1317" applyFont="1" applyFill="1" applyBorder="1" applyAlignment="1">
      <alignment horizontal="center" wrapText="1"/>
    </xf>
    <xf numFmtId="0" fontId="2" fillId="9" borderId="9" xfId="1317" applyFont="1" applyFill="1" applyBorder="1"/>
    <xf numFmtId="0" fontId="2" fillId="10" borderId="9" xfId="1317" applyFont="1" applyFill="1" applyBorder="1"/>
    <xf numFmtId="1" fontId="2" fillId="6" borderId="9" xfId="1317" applyNumberFormat="1" applyFont="1" applyFill="1" applyBorder="1" applyAlignment="1">
      <alignment horizontal="center" vertical="center" wrapText="1"/>
    </xf>
    <xf numFmtId="0" fontId="2" fillId="6" borderId="9" xfId="1317" applyFont="1" applyFill="1" applyBorder="1" applyAlignment="1">
      <alignment horizontal="center" vertical="center"/>
    </xf>
    <xf numFmtId="0" fontId="6" fillId="0" borderId="0" xfId="1317" applyFont="1" applyAlignment="1">
      <alignment horizontal="center"/>
    </xf>
    <xf numFmtId="0" fontId="8" fillId="0" borderId="14" xfId="1317" applyFont="1" applyBorder="1" applyAlignment="1">
      <alignment horizontal="center"/>
    </xf>
    <xf numFmtId="0" fontId="8" fillId="0" borderId="0" xfId="1317" applyFont="1" applyBorder="1" applyAlignment="1">
      <alignment horizontal="center"/>
    </xf>
    <xf numFmtId="0" fontId="8" fillId="6" borderId="11" xfId="1317" applyFont="1" applyFill="1" applyBorder="1" applyAlignment="1">
      <alignment horizontal="center" wrapText="1"/>
    </xf>
    <xf numFmtId="0" fontId="8" fillId="0" borderId="15" xfId="1317" applyFont="1" applyBorder="1" applyAlignment="1">
      <alignment horizontal="center" wrapText="1"/>
    </xf>
    <xf numFmtId="0" fontId="8" fillId="0" borderId="16" xfId="1317" applyFont="1" applyBorder="1" applyAlignment="1">
      <alignment horizontal="center" wrapText="1"/>
    </xf>
    <xf numFmtId="0" fontId="8" fillId="0" borderId="17" xfId="1317" applyFont="1" applyBorder="1" applyAlignment="1">
      <alignment horizontal="center" wrapText="1"/>
    </xf>
    <xf numFmtId="0" fontId="8" fillId="0" borderId="18" xfId="1317" applyFont="1" applyBorder="1" applyAlignment="1">
      <alignment horizontal="center" wrapText="1"/>
    </xf>
    <xf numFmtId="0" fontId="8" fillId="0" borderId="19" xfId="1317" applyFont="1" applyBorder="1" applyAlignment="1">
      <alignment horizontal="center" wrapText="1"/>
    </xf>
    <xf numFmtId="0" fontId="8" fillId="0" borderId="20" xfId="1317" applyFont="1" applyBorder="1" applyAlignment="1">
      <alignment horizontal="center" wrapText="1"/>
    </xf>
    <xf numFmtId="0" fontId="7" fillId="0" borderId="18" xfId="1317" applyFont="1" applyBorder="1" applyAlignment="1">
      <alignment horizontal="center" wrapText="1"/>
    </xf>
    <xf numFmtId="0" fontId="8" fillId="0" borderId="21" xfId="1317" applyFont="1" applyBorder="1" applyAlignment="1">
      <alignment horizontal="center" wrapText="1"/>
    </xf>
    <xf numFmtId="0" fontId="8" fillId="0" borderId="22" xfId="1317" applyFont="1" applyBorder="1" applyAlignment="1">
      <alignment horizontal="center" wrapText="1"/>
    </xf>
    <xf numFmtId="0" fontId="14" fillId="0" borderId="1" xfId="1317" applyFont="1" applyBorder="1" applyAlignment="1">
      <alignment horizontal="center" wrapText="1"/>
    </xf>
    <xf numFmtId="0" fontId="14" fillId="0" borderId="3" xfId="1317" applyFont="1" applyBorder="1" applyAlignment="1">
      <alignment horizontal="center" wrapText="1"/>
    </xf>
    <xf numFmtId="0" fontId="0" fillId="11" borderId="1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0" fillId="0" borderId="3" xfId="0" applyFont="1" applyFill="1" applyBorder="1" applyAlignment="1">
      <alignment horizontal="center"/>
    </xf>
    <xf numFmtId="0" fontId="0" fillId="11" borderId="0" xfId="0" applyFont="1" applyFill="1" applyBorder="1" applyAlignment="1"/>
    <xf numFmtId="0" fontId="0" fillId="0" borderId="0" xfId="1317" applyFont="1" applyAlignment="1">
      <alignment vertical="center"/>
    </xf>
    <xf numFmtId="0" fontId="2" fillId="7" borderId="3" xfId="1317" applyFont="1" applyFill="1" applyBorder="1"/>
    <xf numFmtId="0" fontId="0" fillId="0" borderId="0" xfId="0" applyFont="1" applyAlignment="1">
      <alignment horizontal="center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9" fillId="0" borderId="0" xfId="0" applyFont="1"/>
    <xf numFmtId="0" fontId="13" fillId="0" borderId="0" xfId="0" applyFont="1"/>
    <xf numFmtId="0" fontId="11" fillId="0" borderId="0" xfId="0" applyFont="1"/>
    <xf numFmtId="0" fontId="20" fillId="0" borderId="0" xfId="0" applyFont="1"/>
    <xf numFmtId="0" fontId="10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12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8" xfId="0" applyFont="1" applyBorder="1" applyAlignment="1">
      <alignment horizontal="left" vertical="center"/>
    </xf>
    <xf numFmtId="0" fontId="0" fillId="11" borderId="29" xfId="0" applyFont="1" applyFill="1" applyBorder="1" applyAlignment="1">
      <alignment horizontal="center" vertical="center"/>
    </xf>
    <xf numFmtId="0" fontId="0" fillId="0" borderId="30" xfId="0" applyFont="1" applyBorder="1" applyAlignment="1">
      <alignment horizontal="left" vertical="center"/>
    </xf>
    <xf numFmtId="0" fontId="0" fillId="0" borderId="3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0" fillId="12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2" fillId="15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13" fillId="0" borderId="1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77" fontId="1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4" fillId="0" borderId="0" xfId="0" applyFont="1" applyFill="1"/>
    <xf numFmtId="0" fontId="27" fillId="0" borderId="0" xfId="0" applyFont="1" applyFill="1" applyAlignment="1">
      <alignment horizontal="center" vertical="center"/>
    </xf>
    <xf numFmtId="0" fontId="28" fillId="0" borderId="12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727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727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/>
    </xf>
    <xf numFmtId="0" fontId="29" fillId="0" borderId="1" xfId="0" applyFont="1" applyBorder="1" applyAlignment="1">
      <alignment horizontal="right"/>
    </xf>
    <xf numFmtId="0" fontId="25" fillId="0" borderId="0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/>
    <xf numFmtId="0" fontId="26" fillId="0" borderId="1" xfId="0" applyFont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2" fontId="26" fillId="0" borderId="1" xfId="0" applyNumberFormat="1" applyFont="1" applyBorder="1" applyAlignment="1">
      <alignment horizontal="center" vertical="center"/>
    </xf>
    <xf numFmtId="0" fontId="29" fillId="0" borderId="1" xfId="0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right"/>
    </xf>
    <xf numFmtId="0" fontId="28" fillId="11" borderId="1" xfId="0" applyFont="1" applyFill="1" applyBorder="1" applyAlignment="1">
      <alignment horizontal="center" vertical="center"/>
    </xf>
    <xf numFmtId="0" fontId="28" fillId="0" borderId="1" xfId="0" applyFont="1" applyFill="1" applyBorder="1"/>
    <xf numFmtId="0" fontId="24" fillId="0" borderId="1" xfId="0" applyFont="1" applyFill="1" applyBorder="1"/>
    <xf numFmtId="0" fontId="24" fillId="0" borderId="1" xfId="0" applyFont="1" applyFill="1" applyBorder="1" applyAlignment="1">
      <alignment horizontal="center"/>
    </xf>
    <xf numFmtId="0" fontId="28" fillId="0" borderId="0" xfId="0" applyFont="1" applyFill="1"/>
    <xf numFmtId="0" fontId="18" fillId="0" borderId="0" xfId="0" applyFont="1" applyFill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6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 applyProtection="1">
      <alignment horizontal="center" vertical="center"/>
    </xf>
    <xf numFmtId="0" fontId="13" fillId="0" borderId="1" xfId="6" applyFont="1" applyFill="1" applyBorder="1" applyAlignment="1" applyProtection="1">
      <alignment horizontal="left" vertical="center"/>
    </xf>
    <xf numFmtId="2" fontId="13" fillId="0" borderId="1" xfId="6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34" fillId="16" borderId="33" xfId="0" applyFont="1" applyFill="1" applyBorder="1" applyAlignment="1">
      <alignment horizontal="center" vertical="center" wrapText="1"/>
    </xf>
    <xf numFmtId="0" fontId="34" fillId="16" borderId="34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177" fontId="2" fillId="0" borderId="29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177" fontId="2" fillId="0" borderId="3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35" fillId="0" borderId="26" xfId="643" applyFont="1" applyFill="1" applyBorder="1" applyAlignment="1">
      <alignment horizontal="center" vertical="center" wrapText="1"/>
    </xf>
    <xf numFmtId="0" fontId="35" fillId="0" borderId="32" xfId="643" applyFont="1" applyFill="1" applyBorder="1" applyAlignment="1">
      <alignment horizontal="center" vertical="center" wrapText="1"/>
    </xf>
    <xf numFmtId="0" fontId="35" fillId="0" borderId="27" xfId="643" applyFont="1" applyFill="1" applyBorder="1" applyAlignment="1">
      <alignment horizontal="center" vertical="center" wrapText="1"/>
    </xf>
    <xf numFmtId="0" fontId="2" fillId="0" borderId="28" xfId="643" applyFont="1" applyFill="1" applyBorder="1" applyAlignment="1">
      <alignment horizontal="center" vertical="center"/>
    </xf>
    <xf numFmtId="0" fontId="2" fillId="0" borderId="1" xfId="643" applyFont="1" applyFill="1" applyBorder="1" applyAlignment="1">
      <alignment horizontal="center" vertical="center"/>
    </xf>
    <xf numFmtId="0" fontId="2" fillId="0" borderId="29" xfId="643" applyFont="1" applyFill="1" applyBorder="1" applyAlignment="1">
      <alignment horizontal="center" vertical="center"/>
    </xf>
    <xf numFmtId="177" fontId="2" fillId="0" borderId="1" xfId="643" applyNumberFormat="1" applyFont="1" applyFill="1" applyBorder="1" applyAlignment="1">
      <alignment horizontal="center" vertical="center"/>
    </xf>
    <xf numFmtId="177" fontId="2" fillId="0" borderId="29" xfId="643" applyNumberFormat="1" applyFont="1" applyFill="1" applyBorder="1" applyAlignment="1">
      <alignment horizontal="center" vertical="center"/>
    </xf>
    <xf numFmtId="179" fontId="2" fillId="2" borderId="1" xfId="643" applyNumberFormat="1" applyFont="1" applyFill="1" applyBorder="1" applyAlignment="1">
      <alignment horizontal="center" vertical="center"/>
    </xf>
    <xf numFmtId="179" fontId="2" fillId="0" borderId="1" xfId="643" applyNumberFormat="1" applyFont="1" applyFill="1" applyBorder="1" applyAlignment="1">
      <alignment horizontal="center" vertical="center"/>
    </xf>
    <xf numFmtId="179" fontId="2" fillId="0" borderId="29" xfId="643" applyNumberFormat="1" applyFont="1" applyFill="1" applyBorder="1" applyAlignment="1">
      <alignment horizontal="center" vertical="center"/>
    </xf>
    <xf numFmtId="0" fontId="2" fillId="0" borderId="1" xfId="643" applyFont="1" applyFill="1" applyBorder="1" applyAlignment="1">
      <alignment horizontal="center" vertical="center" wrapText="1"/>
    </xf>
    <xf numFmtId="0" fontId="2" fillId="0" borderId="29" xfId="643" applyFont="1" applyFill="1" applyBorder="1" applyAlignment="1">
      <alignment horizontal="center" vertical="center" wrapText="1"/>
    </xf>
    <xf numFmtId="10" fontId="2" fillId="0" borderId="1" xfId="3" applyNumberFormat="1" applyFont="1" applyFill="1" applyBorder="1" applyAlignment="1">
      <alignment horizontal="center" vertical="center"/>
    </xf>
    <xf numFmtId="10" fontId="2" fillId="0" borderId="29" xfId="3" applyNumberFormat="1" applyFont="1" applyFill="1" applyBorder="1" applyAlignment="1">
      <alignment horizontal="center" vertical="center"/>
    </xf>
    <xf numFmtId="0" fontId="11" fillId="0" borderId="1" xfId="643" applyFont="1" applyFill="1" applyBorder="1" applyAlignment="1">
      <alignment horizontal="center" vertical="center"/>
    </xf>
    <xf numFmtId="177" fontId="2" fillId="0" borderId="1" xfId="3" applyNumberFormat="1" applyFont="1" applyFill="1" applyBorder="1" applyAlignment="1">
      <alignment horizontal="center" vertical="center"/>
    </xf>
    <xf numFmtId="177" fontId="2" fillId="0" borderId="29" xfId="3" applyNumberFormat="1" applyFont="1" applyFill="1" applyBorder="1" applyAlignment="1">
      <alignment horizontal="center" vertical="center"/>
    </xf>
    <xf numFmtId="0" fontId="36" fillId="0" borderId="30" xfId="643" applyFont="1" applyFill="1" applyBorder="1" applyAlignment="1">
      <alignment horizontal="center" vertical="center" wrapText="1"/>
    </xf>
    <xf numFmtId="0" fontId="36" fillId="0" borderId="35" xfId="643" applyFont="1" applyFill="1" applyBorder="1" applyAlignment="1">
      <alignment horizontal="center" vertical="center"/>
    </xf>
    <xf numFmtId="0" fontId="36" fillId="0" borderId="31" xfId="643" applyFont="1" applyFill="1" applyBorder="1" applyAlignment="1">
      <alignment horizontal="center" vertical="center"/>
    </xf>
    <xf numFmtId="0" fontId="36" fillId="0" borderId="0" xfId="643" applyFont="1" applyFill="1" applyBorder="1" applyAlignment="1">
      <alignment horizontal="center" vertical="center" wrapText="1"/>
    </xf>
    <xf numFmtId="0" fontId="36" fillId="0" borderId="0" xfId="643" applyFont="1" applyFill="1" applyBorder="1" applyAlignment="1">
      <alignment horizontal="center" vertical="center"/>
    </xf>
    <xf numFmtId="0" fontId="35" fillId="0" borderId="26" xfId="643" applyFont="1" applyFill="1" applyBorder="1" applyAlignment="1">
      <alignment horizontal="center" vertical="center"/>
    </xf>
    <xf numFmtId="0" fontId="35" fillId="0" borderId="32" xfId="643" applyFont="1" applyFill="1" applyBorder="1" applyAlignment="1">
      <alignment horizontal="center" vertical="center"/>
    </xf>
    <xf numFmtId="0" fontId="35" fillId="0" borderId="27" xfId="643" applyFont="1" applyFill="1" applyBorder="1" applyAlignment="1">
      <alignment horizontal="center" vertical="center"/>
    </xf>
    <xf numFmtId="0" fontId="34" fillId="16" borderId="36" xfId="0" applyFont="1" applyFill="1" applyBorder="1" applyAlignment="1">
      <alignment horizontal="center" vertical="center" wrapText="1"/>
    </xf>
    <xf numFmtId="0" fontId="34" fillId="16" borderId="37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42" xfId="0" applyFont="1" applyFill="1" applyBorder="1" applyAlignment="1">
      <alignment horizontal="center" vertical="center" wrapText="1"/>
    </xf>
    <xf numFmtId="4" fontId="37" fillId="0" borderId="41" xfId="0" applyNumberFormat="1" applyFont="1" applyFill="1" applyBorder="1" applyAlignment="1">
      <alignment horizontal="center" vertical="center" wrapText="1"/>
    </xf>
    <xf numFmtId="3" fontId="37" fillId="0" borderId="41" xfId="0" applyNumberFormat="1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9" fontId="39" fillId="0" borderId="1" xfId="0" applyNumberFormat="1" applyFont="1" applyFill="1" applyBorder="1" applyAlignment="1">
      <alignment horizontal="center" vertical="center"/>
    </xf>
    <xf numFmtId="10" fontId="39" fillId="0" borderId="1" xfId="0" applyNumberFormat="1" applyFont="1" applyFill="1" applyBorder="1" applyAlignment="1">
      <alignment horizontal="center" vertical="center"/>
    </xf>
    <xf numFmtId="177" fontId="2" fillId="2" borderId="1" xfId="643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40" fillId="0" borderId="0" xfId="1693" applyFont="1" applyFill="1" applyBorder="1" applyAlignment="1">
      <alignment vertical="center" wrapText="1"/>
    </xf>
    <xf numFmtId="0" fontId="0" fillId="0" borderId="0" xfId="1693" applyFont="1" applyBorder="1" applyAlignment="1">
      <alignment vertical="center"/>
    </xf>
    <xf numFmtId="0" fontId="40" fillId="0" borderId="5" xfId="1693" applyFont="1" applyFill="1" applyBorder="1" applyAlignment="1">
      <alignment horizontal="center" vertical="center" wrapText="1"/>
    </xf>
    <xf numFmtId="0" fontId="40" fillId="0" borderId="6" xfId="1693" applyFont="1" applyFill="1" applyBorder="1" applyAlignment="1">
      <alignment horizontal="center" vertical="center" wrapText="1"/>
    </xf>
    <xf numFmtId="0" fontId="0" fillId="0" borderId="0" xfId="1693" applyFont="1" applyAlignment="1">
      <alignment vertical="center"/>
    </xf>
    <xf numFmtId="0" fontId="0" fillId="0" borderId="1" xfId="1693" applyFont="1" applyBorder="1" applyAlignment="1">
      <alignment horizontal="center" vertical="center"/>
    </xf>
    <xf numFmtId="0" fontId="0" fillId="0" borderId="24" xfId="1693" applyFont="1" applyBorder="1" applyAlignment="1">
      <alignment horizontal="center" vertical="center"/>
    </xf>
    <xf numFmtId="0" fontId="0" fillId="0" borderId="0" xfId="1693" applyFont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0" fontId="0" fillId="0" borderId="0" xfId="0" applyNumberFormat="1" applyFont="1" applyFill="1" applyBorder="1" applyAlignment="1">
      <alignment vertical="center"/>
    </xf>
    <xf numFmtId="10" fontId="2" fillId="0" borderId="1" xfId="0" applyNumberFormat="1" applyFont="1" applyFill="1" applyBorder="1" applyAlignment="1">
      <alignment horizontal="center" vertical="center" wrapText="1"/>
    </xf>
    <xf numFmtId="0" fontId="2" fillId="0" borderId="28" xfId="1314" applyFont="1" applyFill="1" applyBorder="1" applyAlignment="1">
      <alignment horizontal="center" vertical="center"/>
    </xf>
    <xf numFmtId="0" fontId="2" fillId="0" borderId="1" xfId="1314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wrapText="1"/>
    </xf>
    <xf numFmtId="0" fontId="42" fillId="0" borderId="26" xfId="1192" applyFont="1" applyFill="1" applyBorder="1" applyAlignment="1">
      <alignment horizontal="center" vertical="center" wrapText="1"/>
    </xf>
    <xf numFmtId="0" fontId="42" fillId="0" borderId="32" xfId="1192" applyFont="1" applyFill="1" applyBorder="1" applyAlignment="1">
      <alignment horizontal="center" vertical="center" wrapText="1"/>
    </xf>
    <xf numFmtId="2" fontId="42" fillId="0" borderId="32" xfId="1192" applyNumberFormat="1" applyFont="1" applyFill="1" applyBorder="1" applyAlignment="1">
      <alignment horizontal="center" vertical="center" wrapText="1"/>
    </xf>
    <xf numFmtId="0" fontId="42" fillId="0" borderId="27" xfId="1192" applyFont="1" applyFill="1" applyBorder="1" applyAlignment="1">
      <alignment horizontal="center" vertical="center" wrapText="1"/>
    </xf>
    <xf numFmtId="0" fontId="0" fillId="0" borderId="0" xfId="0" applyFont="1" applyBorder="1"/>
    <xf numFmtId="0" fontId="43" fillId="0" borderId="28" xfId="1192" applyFont="1" applyFill="1" applyBorder="1" applyAlignment="1">
      <alignment horizontal="center" vertical="center" wrapText="1"/>
    </xf>
    <xf numFmtId="0" fontId="43" fillId="0" borderId="1" xfId="1192" applyFont="1" applyFill="1" applyBorder="1" applyAlignment="1">
      <alignment horizontal="center" vertical="center" wrapText="1"/>
    </xf>
    <xf numFmtId="0" fontId="12" fillId="0" borderId="1" xfId="1313" applyFont="1" applyBorder="1" applyAlignment="1">
      <alignment horizontal="center" vertical="center"/>
    </xf>
    <xf numFmtId="0" fontId="0" fillId="0" borderId="29" xfId="0" applyFont="1" applyBorder="1"/>
    <xf numFmtId="0" fontId="13" fillId="0" borderId="28" xfId="1313" applyFont="1" applyBorder="1" applyAlignment="1">
      <alignment horizontal="center" vertical="center"/>
    </xf>
    <xf numFmtId="0" fontId="2" fillId="0" borderId="1" xfId="1313" applyFont="1" applyBorder="1" applyAlignment="1">
      <alignment horizontal="center" vertical="center"/>
    </xf>
    <xf numFmtId="0" fontId="13" fillId="0" borderId="1" xfId="1313" applyFont="1" applyBorder="1" applyAlignment="1">
      <alignment horizontal="center" vertical="center"/>
    </xf>
    <xf numFmtId="0" fontId="5" fillId="0" borderId="29" xfId="0" applyFont="1" applyBorder="1"/>
    <xf numFmtId="0" fontId="44" fillId="0" borderId="1" xfId="1192" applyFont="1" applyFill="1" applyBorder="1" applyAlignment="1">
      <alignment horizontal="center" vertical="center" wrapText="1"/>
    </xf>
    <xf numFmtId="2" fontId="44" fillId="0" borderId="1" xfId="1192" applyNumberFormat="1" applyFont="1" applyFill="1" applyBorder="1" applyAlignment="1">
      <alignment horizontal="center" vertical="center" wrapText="1"/>
    </xf>
    <xf numFmtId="0" fontId="42" fillId="0" borderId="28" xfId="1192" applyFont="1" applyFill="1" applyBorder="1" applyAlignment="1">
      <alignment horizontal="center" vertical="center" wrapText="1"/>
    </xf>
    <xf numFmtId="0" fontId="45" fillId="0" borderId="1" xfId="1192" applyFont="1" applyFill="1" applyBorder="1" applyAlignment="1">
      <alignment horizontal="center" vertical="center" wrapText="1"/>
    </xf>
    <xf numFmtId="0" fontId="46" fillId="0" borderId="1" xfId="1192" applyFont="1" applyFill="1" applyBorder="1" applyAlignment="1">
      <alignment horizontal="center" vertical="center" wrapText="1"/>
    </xf>
    <xf numFmtId="0" fontId="42" fillId="0" borderId="1" xfId="1192" applyFont="1" applyFill="1" applyBorder="1" applyAlignment="1">
      <alignment horizontal="center" vertical="center" wrapText="1"/>
    </xf>
    <xf numFmtId="0" fontId="13" fillId="0" borderId="28" xfId="1312" applyFont="1" applyBorder="1" applyAlignment="1">
      <alignment horizontal="center" vertical="center"/>
    </xf>
    <xf numFmtId="0" fontId="13" fillId="0" borderId="1" xfId="1312" applyFont="1" applyBorder="1" applyAlignment="1">
      <alignment horizontal="center" vertical="center"/>
    </xf>
    <xf numFmtId="0" fontId="47" fillId="0" borderId="1" xfId="1312" applyFont="1" applyBorder="1" applyAlignment="1">
      <alignment horizontal="center" vertical="center"/>
    </xf>
    <xf numFmtId="0" fontId="43" fillId="0" borderId="30" xfId="1192" applyFont="1" applyFill="1" applyBorder="1" applyAlignment="1">
      <alignment horizontal="center" vertical="center" wrapText="1"/>
    </xf>
    <xf numFmtId="0" fontId="44" fillId="0" borderId="35" xfId="1192" applyFont="1" applyFill="1" applyBorder="1" applyAlignment="1">
      <alignment horizontal="center" vertical="center" wrapText="1"/>
    </xf>
    <xf numFmtId="0" fontId="48" fillId="0" borderId="35" xfId="1192" applyFont="1" applyFill="1" applyBorder="1" applyAlignment="1">
      <alignment horizontal="center" vertical="center" wrapText="1"/>
    </xf>
    <xf numFmtId="2" fontId="44" fillId="0" borderId="35" xfId="1192" applyNumberFormat="1" applyFont="1" applyFill="1" applyBorder="1" applyAlignment="1">
      <alignment horizontal="center" vertical="center" wrapText="1"/>
    </xf>
    <xf numFmtId="0" fontId="0" fillId="0" borderId="31" xfId="0" applyFont="1" applyBorder="1"/>
    <xf numFmtId="0" fontId="49" fillId="0" borderId="12" xfId="1312" applyFont="1" applyBorder="1" applyAlignment="1">
      <alignment horizontal="center" vertical="center"/>
    </xf>
    <xf numFmtId="0" fontId="5" fillId="0" borderId="12" xfId="1312" applyFont="1" applyBorder="1" applyAlignment="1">
      <alignment horizontal="center" vertical="center"/>
    </xf>
    <xf numFmtId="0" fontId="50" fillId="0" borderId="1" xfId="1312" applyFont="1" applyFill="1" applyBorder="1" applyAlignment="1">
      <alignment horizontal="center" vertical="center" wrapText="1"/>
    </xf>
    <xf numFmtId="0" fontId="50" fillId="0" borderId="1" xfId="1312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center" vertical="center"/>
    </xf>
    <xf numFmtId="0" fontId="51" fillId="0" borderId="1" xfId="1312" applyFont="1" applyFill="1" applyBorder="1" applyAlignment="1">
      <alignment horizontal="center" vertical="center"/>
    </xf>
    <xf numFmtId="0" fontId="5" fillId="0" borderId="0" xfId="1312" applyFont="1" applyBorder="1" applyAlignment="1">
      <alignment horizontal="center" vertical="center"/>
    </xf>
    <xf numFmtId="0" fontId="50" fillId="0" borderId="13" xfId="1312" applyFont="1" applyFill="1" applyBorder="1" applyAlignment="1">
      <alignment horizontal="center" vertical="center"/>
    </xf>
    <xf numFmtId="0" fontId="51" fillId="17" borderId="1" xfId="1312" applyFont="1" applyFill="1" applyBorder="1" applyAlignment="1">
      <alignment horizontal="center" vertical="center"/>
    </xf>
    <xf numFmtId="0" fontId="52" fillId="0" borderId="1" xfId="1312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31" fillId="0" borderId="0" xfId="0" applyFont="1"/>
    <xf numFmtId="0" fontId="26" fillId="0" borderId="0" xfId="0" applyFont="1"/>
    <xf numFmtId="0" fontId="27" fillId="0" borderId="0" xfId="0" applyFont="1" applyFill="1" applyBorder="1" applyAlignment="1">
      <alignment horizontal="center" vertical="center" wrapText="1"/>
    </xf>
    <xf numFmtId="0" fontId="28" fillId="0" borderId="0" xfId="1738" applyFont="1" applyFill="1" applyBorder="1" applyAlignment="1">
      <alignment vertical="center"/>
    </xf>
    <xf numFmtId="0" fontId="25" fillId="0" borderId="26" xfId="0" applyFont="1" applyFill="1" applyBorder="1" applyAlignment="1">
      <alignment horizontal="center" vertical="center"/>
    </xf>
    <xf numFmtId="0" fontId="25" fillId="0" borderId="32" xfId="0" applyFont="1" applyFill="1" applyBorder="1" applyAlignment="1">
      <alignment horizontal="center" vertical="center"/>
    </xf>
    <xf numFmtId="0" fontId="25" fillId="0" borderId="27" xfId="0" applyFont="1" applyFill="1" applyBorder="1" applyAlignment="1">
      <alignment horizontal="center" vertical="center"/>
    </xf>
    <xf numFmtId="0" fontId="25" fillId="0" borderId="28" xfId="0" applyFont="1" applyFill="1" applyBorder="1" applyAlignment="1">
      <alignment horizontal="center" vertical="center"/>
    </xf>
    <xf numFmtId="2" fontId="12" fillId="0" borderId="29" xfId="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2" fontId="13" fillId="0" borderId="29" xfId="0" applyNumberFormat="1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center" vertical="center"/>
    </xf>
    <xf numFmtId="0" fontId="25" fillId="0" borderId="35" xfId="0" applyFont="1" applyFill="1" applyBorder="1" applyAlignment="1">
      <alignment horizontal="center" vertical="center"/>
    </xf>
    <xf numFmtId="0" fontId="12" fillId="0" borderId="35" xfId="0" applyNumberFormat="1" applyFont="1" applyFill="1" applyBorder="1" applyAlignment="1">
      <alignment horizontal="center" vertical="center"/>
    </xf>
    <xf numFmtId="2" fontId="12" fillId="0" borderId="35" xfId="0" applyNumberFormat="1" applyFont="1" applyFill="1" applyBorder="1" applyAlignment="1">
      <alignment horizontal="center" vertical="center" wrapText="1"/>
    </xf>
    <xf numFmtId="2" fontId="12" fillId="0" borderId="31" xfId="0" applyNumberFormat="1" applyFont="1" applyFill="1" applyBorder="1" applyAlignment="1">
      <alignment horizontal="center" vertical="center"/>
    </xf>
    <xf numFmtId="0" fontId="20" fillId="0" borderId="0" xfId="1312" applyFont="1" applyFill="1" applyAlignment="1">
      <alignment vertical="center" wrapText="1"/>
    </xf>
    <xf numFmtId="0" fontId="53" fillId="0" borderId="0" xfId="1312" applyFont="1" applyFill="1">
      <alignment vertical="center"/>
    </xf>
    <xf numFmtId="0" fontId="53" fillId="0" borderId="0" xfId="1312" applyFont="1">
      <alignment vertical="center"/>
    </xf>
    <xf numFmtId="0" fontId="20" fillId="0" borderId="0" xfId="1312" applyFont="1">
      <alignment vertical="center"/>
    </xf>
    <xf numFmtId="0" fontId="45" fillId="0" borderId="12" xfId="1312" applyFont="1" applyBorder="1" applyAlignment="1">
      <alignment horizontal="center" vertical="center"/>
    </xf>
    <xf numFmtId="0" fontId="20" fillId="0" borderId="12" xfId="1312" applyFont="1" applyBorder="1" applyAlignment="1">
      <alignment horizontal="center" vertical="center"/>
    </xf>
    <xf numFmtId="0" fontId="49" fillId="0" borderId="1" xfId="1312" applyFont="1" applyFill="1" applyBorder="1" applyAlignment="1">
      <alignment horizontal="center" vertical="center" wrapText="1"/>
    </xf>
    <xf numFmtId="0" fontId="49" fillId="0" borderId="1" xfId="1312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9" fillId="0" borderId="13" xfId="1312" applyFont="1" applyFill="1" applyBorder="1" applyAlignment="1">
      <alignment horizontal="center" vertical="center"/>
    </xf>
    <xf numFmtId="0" fontId="49" fillId="0" borderId="23" xfId="1312" applyFont="1" applyFill="1" applyBorder="1" applyAlignment="1">
      <alignment horizontal="center" vertical="center"/>
    </xf>
    <xf numFmtId="0" fontId="53" fillId="0" borderId="1" xfId="1312" applyFont="1" applyFill="1" applyBorder="1" applyAlignment="1">
      <alignment horizontal="center" vertical="center"/>
    </xf>
    <xf numFmtId="0" fontId="50" fillId="0" borderId="0" xfId="1312" applyFont="1" applyFill="1" applyBorder="1" applyAlignment="1">
      <alignment horizontal="center" vertical="center"/>
    </xf>
    <xf numFmtId="0" fontId="20" fillId="0" borderId="0" xfId="1312" applyFont="1" applyBorder="1" applyAlignment="1">
      <alignment vertical="center"/>
    </xf>
    <xf numFmtId="0" fontId="54" fillId="0" borderId="12" xfId="1312" applyFont="1" applyBorder="1" applyAlignment="1">
      <alignment horizontal="center" vertical="center"/>
    </xf>
    <xf numFmtId="0" fontId="54" fillId="0" borderId="1" xfId="1312" applyFont="1" applyBorder="1" applyAlignment="1">
      <alignment horizontal="center" vertical="center"/>
    </xf>
    <xf numFmtId="0" fontId="54" fillId="0" borderId="1" xfId="1312" applyFont="1" applyBorder="1" applyAlignment="1">
      <alignment horizontal="center" vertical="center" wrapText="1"/>
    </xf>
    <xf numFmtId="0" fontId="5" fillId="0" borderId="1" xfId="1312" applyFont="1" applyBorder="1" applyAlignment="1">
      <alignment horizontal="center" vertical="center"/>
    </xf>
    <xf numFmtId="0" fontId="54" fillId="0" borderId="1" xfId="1312" applyFont="1" applyFill="1" applyBorder="1" applyAlignment="1">
      <alignment horizontal="center" vertical="center"/>
    </xf>
    <xf numFmtId="0" fontId="20" fillId="0" borderId="0" xfId="1312" applyFont="1" applyBorder="1" applyAlignment="1">
      <alignment horizontal="center" vertical="center"/>
    </xf>
    <xf numFmtId="0" fontId="54" fillId="0" borderId="0" xfId="1312" applyFont="1" applyBorder="1" applyAlignment="1">
      <alignment horizontal="center" vertical="center" wrapText="1"/>
    </xf>
    <xf numFmtId="0" fontId="5" fillId="0" borderId="0" xfId="1312" applyFont="1" applyBorder="1" applyAlignment="1">
      <alignment horizontal="center" vertical="center" wrapText="1"/>
    </xf>
    <xf numFmtId="0" fontId="54" fillId="0" borderId="13" xfId="1312" applyFont="1" applyBorder="1" applyAlignment="1">
      <alignment horizontal="center" vertical="center" wrapText="1"/>
    </xf>
    <xf numFmtId="0" fontId="54" fillId="0" borderId="5" xfId="1312" applyFont="1" applyBorder="1" applyAlignment="1">
      <alignment horizontal="center" vertical="center" wrapText="1"/>
    </xf>
    <xf numFmtId="0" fontId="5" fillId="0" borderId="6" xfId="1312" applyFont="1" applyBorder="1" applyAlignment="1">
      <alignment horizontal="center" vertical="center" wrapText="1"/>
    </xf>
    <xf numFmtId="0" fontId="5" fillId="0" borderId="2" xfId="1312" applyFont="1" applyBorder="1" applyAlignment="1">
      <alignment horizontal="center" vertical="center" wrapText="1"/>
    </xf>
    <xf numFmtId="0" fontId="5" fillId="0" borderId="3" xfId="1312" applyFont="1" applyBorder="1" applyAlignment="1">
      <alignment horizontal="center" vertical="center" wrapText="1"/>
    </xf>
    <xf numFmtId="0" fontId="5" fillId="0" borderId="1" xfId="1312" applyFont="1" applyBorder="1" applyAlignment="1">
      <alignment horizontal="center" vertical="center" wrapText="1"/>
    </xf>
    <xf numFmtId="0" fontId="50" fillId="0" borderId="0" xfId="1312" applyFont="1" applyFill="1" applyBorder="1" applyAlignment="1">
      <alignment vertical="center"/>
    </xf>
    <xf numFmtId="0" fontId="20" fillId="0" borderId="0" xfId="1312" applyFont="1" applyBorder="1">
      <alignment vertical="center"/>
    </xf>
    <xf numFmtId="0" fontId="51" fillId="0" borderId="12" xfId="1313" applyFont="1" applyBorder="1" applyAlignment="1">
      <alignment horizontal="center" vertical="center"/>
    </xf>
    <xf numFmtId="0" fontId="52" fillId="0" borderId="12" xfId="1313" applyFont="1" applyBorder="1" applyAlignment="1">
      <alignment horizontal="center" vertical="center"/>
    </xf>
    <xf numFmtId="0" fontId="54" fillId="0" borderId="1" xfId="1313" applyFont="1" applyBorder="1" applyAlignment="1">
      <alignment horizontal="center" vertical="center"/>
    </xf>
    <xf numFmtId="0" fontId="55" fillId="0" borderId="1" xfId="1313" applyFont="1" applyBorder="1" applyAlignment="1">
      <alignment horizontal="center" vertical="center"/>
    </xf>
    <xf numFmtId="0" fontId="56" fillId="0" borderId="1" xfId="1313" applyFont="1" applyBorder="1" applyAlignment="1">
      <alignment horizontal="center" vertical="center"/>
    </xf>
    <xf numFmtId="0" fontId="5" fillId="0" borderId="1" xfId="1313" applyFont="1" applyBorder="1" applyAlignment="1">
      <alignment horizontal="center" vertical="center"/>
    </xf>
    <xf numFmtId="0" fontId="54" fillId="0" borderId="1" xfId="1313" applyFont="1" applyFill="1" applyBorder="1" applyAlignment="1">
      <alignment horizontal="center" vertical="center"/>
    </xf>
    <xf numFmtId="0" fontId="53" fillId="0" borderId="0" xfId="1312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wrapText="1"/>
    </xf>
    <xf numFmtId="0" fontId="12" fillId="0" borderId="0" xfId="0" applyFont="1" applyFill="1" applyBorder="1" applyAlignment="1"/>
    <xf numFmtId="0" fontId="5" fillId="0" borderId="0" xfId="560" applyFont="1" applyFill="1" applyBorder="1" applyAlignment="1"/>
    <xf numFmtId="0" fontId="13" fillId="0" borderId="0" xfId="0" applyFont="1" applyFill="1" applyBorder="1" applyAlignment="1"/>
    <xf numFmtId="0" fontId="27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29" xfId="0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0" fontId="13" fillId="0" borderId="1" xfId="1738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0" fillId="0" borderId="1" xfId="560" applyFont="1" applyFill="1" applyBorder="1" applyAlignment="1">
      <alignment horizontal="center" vertical="center"/>
    </xf>
    <xf numFmtId="0" fontId="13" fillId="0" borderId="28" xfId="1315" applyFont="1" applyFill="1" applyBorder="1" applyAlignment="1">
      <alignment horizontal="center"/>
    </xf>
    <xf numFmtId="0" fontId="2" fillId="0" borderId="1" xfId="560" applyFont="1" applyFill="1" applyBorder="1" applyAlignment="1">
      <alignment horizontal="left" vertical="center"/>
    </xf>
    <xf numFmtId="0" fontId="13" fillId="0" borderId="1" xfId="560" applyFont="1" applyFill="1" applyBorder="1" applyAlignment="1">
      <alignment horizontal="center" vertical="center"/>
    </xf>
    <xf numFmtId="0" fontId="2" fillId="0" borderId="1" xfId="560" applyFont="1" applyFill="1" applyBorder="1" applyAlignment="1">
      <alignment horizontal="center" vertical="center"/>
    </xf>
    <xf numFmtId="0" fontId="13" fillId="0" borderId="1" xfId="560" applyFont="1" applyFill="1" applyBorder="1" applyAlignment="1">
      <alignment horizontal="left" vertical="center"/>
    </xf>
    <xf numFmtId="0" fontId="9" fillId="0" borderId="28" xfId="560" applyFont="1" applyFill="1" applyBorder="1" applyAlignment="1">
      <alignment horizontal="center" vertical="center" wrapText="1"/>
    </xf>
    <xf numFmtId="0" fontId="9" fillId="0" borderId="1" xfId="560" applyFont="1" applyFill="1" applyBorder="1" applyAlignment="1">
      <alignment horizontal="center" vertical="center" wrapText="1"/>
    </xf>
    <xf numFmtId="0" fontId="12" fillId="0" borderId="1" xfId="560" applyFont="1" applyFill="1" applyBorder="1" applyAlignment="1">
      <alignment horizontal="center"/>
    </xf>
    <xf numFmtId="0" fontId="9" fillId="0" borderId="0" xfId="560" applyFont="1" applyFill="1" applyBorder="1" applyAlignment="1">
      <alignment horizontal="center" vertical="center"/>
    </xf>
    <xf numFmtId="0" fontId="13" fillId="0" borderId="28" xfId="560" applyFont="1" applyFill="1" applyBorder="1" applyAlignment="1">
      <alignment horizontal="center"/>
    </xf>
    <xf numFmtId="0" fontId="10" fillId="0" borderId="0" xfId="560" applyFont="1" applyFill="1" applyBorder="1" applyAlignment="1">
      <alignment horizontal="center" vertical="center"/>
    </xf>
    <xf numFmtId="0" fontId="5" fillId="0" borderId="0" xfId="560" applyFont="1" applyFill="1" applyBorder="1" applyAlignment="1">
      <alignment horizontal="center" wrapText="1"/>
    </xf>
    <xf numFmtId="0" fontId="13" fillId="0" borderId="1" xfId="560" applyFont="1" applyFill="1" applyBorder="1" applyAlignment="1">
      <alignment horizontal="left"/>
    </xf>
    <xf numFmtId="0" fontId="13" fillId="0" borderId="1" xfId="560" applyFont="1" applyFill="1" applyBorder="1" applyAlignment="1"/>
    <xf numFmtId="0" fontId="13" fillId="0" borderId="1" xfId="560" applyFont="1" applyFill="1" applyBorder="1" applyAlignment="1">
      <alignment horizontal="center"/>
    </xf>
    <xf numFmtId="0" fontId="12" fillId="0" borderId="30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51" fillId="0" borderId="0" xfId="0" applyFont="1" applyFill="1"/>
    <xf numFmtId="0" fontId="5" fillId="0" borderId="0" xfId="0" applyFont="1" applyFill="1" applyAlignment="1">
      <alignment horizontal="center" vertical="center"/>
    </xf>
    <xf numFmtId="0" fontId="13" fillId="0" borderId="0" xfId="0" applyFont="1" applyFill="1"/>
    <xf numFmtId="0" fontId="20" fillId="0" borderId="0" xfId="0" applyFont="1" applyFill="1"/>
    <xf numFmtId="0" fontId="2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1" fillId="0" borderId="32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2" fillId="0" borderId="0" xfId="0" applyFont="1" applyFill="1"/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2" fontId="25" fillId="0" borderId="1" xfId="0" applyNumberFormat="1" applyFont="1" applyFill="1" applyBorder="1" applyAlignment="1">
      <alignment horizontal="left" vertical="center"/>
    </xf>
    <xf numFmtId="2" fontId="12" fillId="0" borderId="1" xfId="0" applyNumberFormat="1" applyFont="1" applyFill="1" applyBorder="1" applyAlignment="1">
      <alignment horizontal="center" vertical="center"/>
    </xf>
    <xf numFmtId="2" fontId="28" fillId="0" borderId="1" xfId="1738" applyNumberFormat="1" applyFont="1" applyFill="1" applyBorder="1" applyAlignment="1">
      <alignment horizontal="left" vertical="center"/>
    </xf>
    <xf numFmtId="2" fontId="13" fillId="0" borderId="1" xfId="1738" applyNumberFormat="1" applyFont="1" applyFill="1" applyBorder="1" applyAlignment="1">
      <alignment horizontal="left" vertical="center"/>
    </xf>
    <xf numFmtId="2" fontId="13" fillId="0" borderId="0" xfId="0" applyNumberFormat="1" applyFont="1" applyFill="1"/>
    <xf numFmtId="0" fontId="5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7" fillId="0" borderId="0" xfId="1738" applyFont="1" applyFill="1" applyBorder="1" applyAlignment="1">
      <alignment horizontal="center" vertical="center"/>
    </xf>
    <xf numFmtId="0" fontId="58" fillId="0" borderId="0" xfId="1738" applyFont="1" applyFill="1" applyBorder="1" applyAlignment="1">
      <alignment horizontal="center" vertical="center"/>
    </xf>
    <xf numFmtId="0" fontId="28" fillId="0" borderId="0" xfId="1738" applyFont="1" applyFill="1" applyBorder="1" applyAlignment="1">
      <alignment horizontal="left" vertical="center"/>
    </xf>
    <xf numFmtId="0" fontId="28" fillId="0" borderId="0" xfId="1738" applyFont="1" applyFill="1" applyBorder="1" applyAlignment="1">
      <alignment horizontal="center" vertical="center"/>
    </xf>
    <xf numFmtId="0" fontId="25" fillId="0" borderId="26" xfId="1306" applyFont="1" applyFill="1" applyBorder="1" applyAlignment="1">
      <alignment horizontal="center" vertical="center" wrapText="1"/>
    </xf>
    <xf numFmtId="0" fontId="25" fillId="0" borderId="32" xfId="1306" applyFont="1" applyFill="1" applyBorder="1" applyAlignment="1">
      <alignment horizontal="center" vertical="center" wrapText="1"/>
    </xf>
    <xf numFmtId="0" fontId="2" fillId="0" borderId="32" xfId="1306" applyNumberFormat="1" applyFont="1" applyFill="1" applyBorder="1" applyAlignment="1">
      <alignment horizontal="center" vertical="center" wrapText="1"/>
    </xf>
    <xf numFmtId="0" fontId="13" fillId="0" borderId="32" xfId="1306" applyNumberFormat="1" applyFont="1" applyFill="1" applyBorder="1" applyAlignment="1">
      <alignment horizontal="center" vertical="center" wrapText="1"/>
    </xf>
    <xf numFmtId="0" fontId="25" fillId="0" borderId="28" xfId="1306" applyFont="1" applyFill="1" applyBorder="1" applyAlignment="1">
      <alignment horizontal="center" vertical="center" wrapText="1"/>
    </xf>
    <xf numFmtId="0" fontId="25" fillId="0" borderId="1" xfId="1306" applyFont="1" applyFill="1" applyBorder="1" applyAlignment="1">
      <alignment horizontal="center" vertical="center" wrapText="1"/>
    </xf>
    <xf numFmtId="0" fontId="2" fillId="0" borderId="1" xfId="1306" applyNumberFormat="1" applyFont="1" applyFill="1" applyBorder="1" applyAlignment="1">
      <alignment horizontal="center" vertical="center" wrapText="1"/>
    </xf>
    <xf numFmtId="0" fontId="12" fillId="0" borderId="1" xfId="1306" applyFont="1" applyFill="1" applyBorder="1" applyAlignment="1">
      <alignment horizontal="center" vertical="center" wrapText="1"/>
    </xf>
    <xf numFmtId="0" fontId="13" fillId="0" borderId="1" xfId="1306" applyFont="1" applyFill="1" applyBorder="1" applyAlignment="1">
      <alignment horizontal="center" vertical="center" wrapText="1"/>
    </xf>
    <xf numFmtId="2" fontId="12" fillId="0" borderId="1" xfId="1306" applyNumberFormat="1" applyFont="1" applyFill="1" applyBorder="1" applyAlignment="1">
      <alignment horizontal="center" vertical="center" wrapText="1"/>
    </xf>
    <xf numFmtId="0" fontId="25" fillId="0" borderId="28" xfId="1306" applyNumberFormat="1" applyFont="1" applyFill="1" applyBorder="1" applyAlignment="1">
      <alignment horizontal="center" vertical="center"/>
    </xf>
    <xf numFmtId="0" fontId="25" fillId="0" borderId="1" xfId="787" applyFont="1" applyFill="1" applyBorder="1" applyAlignment="1">
      <alignment horizontal="center" vertical="center"/>
    </xf>
    <xf numFmtId="0" fontId="12" fillId="0" borderId="1" xfId="787" applyFont="1" applyFill="1" applyBorder="1" applyAlignment="1">
      <alignment horizontal="center" vertical="center"/>
    </xf>
    <xf numFmtId="0" fontId="13" fillId="0" borderId="1" xfId="787" applyFont="1" applyFill="1" applyBorder="1" applyAlignment="1">
      <alignment horizontal="center" vertical="center"/>
    </xf>
    <xf numFmtId="0" fontId="28" fillId="0" borderId="28" xfId="787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28" fillId="0" borderId="1" xfId="787" applyFont="1" applyFill="1" applyBorder="1" applyAlignment="1">
      <alignment horizontal="center" vertical="center" wrapText="1"/>
    </xf>
    <xf numFmtId="0" fontId="13" fillId="0" borderId="1" xfId="1160" applyFont="1" applyFill="1" applyBorder="1" applyAlignment="1">
      <alignment horizontal="center" vertical="center"/>
    </xf>
    <xf numFmtId="2" fontId="13" fillId="0" borderId="1" xfId="787" applyNumberFormat="1" applyFont="1" applyFill="1" applyBorder="1" applyAlignment="1">
      <alignment horizontal="center" vertical="center"/>
    </xf>
    <xf numFmtId="2" fontId="13" fillId="0" borderId="1" xfId="1307" applyNumberFormat="1" applyFont="1" applyFill="1" applyBorder="1" applyAlignment="1">
      <alignment horizontal="center" vertical="center"/>
    </xf>
    <xf numFmtId="0" fontId="2" fillId="0" borderId="1" xfId="563" applyNumberFormat="1" applyFont="1" applyFill="1" applyBorder="1" applyAlignment="1">
      <alignment horizontal="left" vertical="center" wrapText="1"/>
    </xf>
    <xf numFmtId="0" fontId="2" fillId="0" borderId="1" xfId="563" applyFont="1" applyFill="1" applyBorder="1" applyAlignment="1">
      <alignment horizontal="center" vertical="center"/>
    </xf>
    <xf numFmtId="0" fontId="13" fillId="0" borderId="1" xfId="563" applyFont="1" applyFill="1" applyBorder="1" applyAlignment="1">
      <alignment horizontal="center" vertical="center"/>
    </xf>
    <xf numFmtId="177" fontId="13" fillId="0" borderId="1" xfId="563" applyNumberFormat="1" applyFont="1" applyFill="1" applyBorder="1" applyAlignment="1">
      <alignment horizontal="center" vertical="center"/>
    </xf>
    <xf numFmtId="0" fontId="2" fillId="0" borderId="1" xfId="563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/>
    </xf>
    <xf numFmtId="1" fontId="28" fillId="0" borderId="1" xfId="0" applyNumberFormat="1" applyFont="1" applyFill="1" applyBorder="1" applyAlignment="1">
      <alignment horizontal="center" vertical="center"/>
    </xf>
    <xf numFmtId="177" fontId="28" fillId="0" borderId="1" xfId="787" applyNumberFormat="1" applyFont="1" applyFill="1" applyBorder="1" applyAlignment="1">
      <alignment horizontal="center" vertical="center"/>
    </xf>
    <xf numFmtId="1" fontId="28" fillId="0" borderId="1" xfId="116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vertical="center"/>
    </xf>
    <xf numFmtId="2" fontId="28" fillId="0" borderId="1" xfId="0" applyNumberFormat="1" applyFont="1" applyFill="1" applyBorder="1" applyAlignment="1">
      <alignment horizontal="center" vertical="center"/>
    </xf>
    <xf numFmtId="180" fontId="28" fillId="0" borderId="1" xfId="1160" applyNumberFormat="1" applyFont="1" applyFill="1" applyBorder="1" applyAlignment="1">
      <alignment horizontal="center" vertical="center"/>
    </xf>
    <xf numFmtId="0" fontId="27" fillId="0" borderId="0" xfId="1738" applyFont="1" applyFill="1" applyBorder="1" applyAlignment="1">
      <alignment horizontal="left" vertical="center"/>
    </xf>
    <xf numFmtId="0" fontId="25" fillId="0" borderId="27" xfId="1306" applyFont="1" applyFill="1" applyBorder="1" applyAlignment="1">
      <alignment horizontal="center" vertical="center" wrapText="1"/>
    </xf>
    <xf numFmtId="0" fontId="25" fillId="0" borderId="29" xfId="1306" applyFont="1" applyFill="1" applyBorder="1" applyAlignment="1">
      <alignment horizontal="center" vertical="center" wrapText="1"/>
    </xf>
    <xf numFmtId="0" fontId="25" fillId="0" borderId="29" xfId="1306" applyFont="1" applyFill="1" applyBorder="1" applyAlignment="1">
      <alignment horizontal="left" vertical="center" wrapText="1"/>
    </xf>
    <xf numFmtId="0" fontId="28" fillId="0" borderId="29" xfId="787" applyFont="1" applyFill="1" applyBorder="1" applyAlignment="1">
      <alignment horizontal="left" vertical="center"/>
    </xf>
    <xf numFmtId="0" fontId="28" fillId="0" borderId="29" xfId="0" applyFont="1" applyFill="1" applyBorder="1" applyAlignment="1">
      <alignment horizontal="left" vertical="center" wrapText="1"/>
    </xf>
    <xf numFmtId="0" fontId="13" fillId="0" borderId="29" xfId="563" applyFont="1" applyFill="1" applyBorder="1" applyAlignment="1">
      <alignment horizontal="center" vertical="center"/>
    </xf>
    <xf numFmtId="0" fontId="2" fillId="0" borderId="29" xfId="563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vertical="center"/>
    </xf>
    <xf numFmtId="0" fontId="28" fillId="0" borderId="35" xfId="787" applyFont="1" applyFill="1" applyBorder="1" applyAlignment="1">
      <alignment horizontal="left" vertical="center" wrapText="1"/>
    </xf>
    <xf numFmtId="0" fontId="28" fillId="0" borderId="35" xfId="787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0" fontId="13" fillId="0" borderId="35" xfId="1160" applyFont="1" applyFill="1" applyBorder="1" applyAlignment="1">
      <alignment horizontal="center" vertical="center"/>
    </xf>
    <xf numFmtId="2" fontId="13" fillId="0" borderId="35" xfId="787" applyNumberFormat="1" applyFont="1" applyFill="1" applyBorder="1" applyAlignment="1">
      <alignment horizontal="center" vertical="center"/>
    </xf>
    <xf numFmtId="0" fontId="11" fillId="0" borderId="28" xfId="563" applyFont="1" applyFill="1" applyBorder="1" applyAlignment="1">
      <alignment horizontal="center" vertical="center"/>
    </xf>
    <xf numFmtId="0" fontId="11" fillId="0" borderId="1" xfId="563" applyNumberFormat="1" applyFont="1" applyFill="1" applyBorder="1" applyAlignment="1">
      <alignment horizontal="left" vertical="center" wrapText="1"/>
    </xf>
    <xf numFmtId="177" fontId="12" fillId="0" borderId="1" xfId="563" applyNumberFormat="1" applyFont="1" applyFill="1" applyBorder="1" applyAlignment="1">
      <alignment horizontal="center" vertical="center"/>
    </xf>
    <xf numFmtId="0" fontId="12" fillId="0" borderId="28" xfId="563" applyFont="1" applyFill="1" applyBorder="1" applyAlignment="1">
      <alignment horizontal="center" vertical="center"/>
    </xf>
    <xf numFmtId="0" fontId="12" fillId="0" borderId="1" xfId="563" applyFont="1" applyFill="1" applyBorder="1" applyAlignment="1">
      <alignment horizontal="center" vertical="center"/>
    </xf>
    <xf numFmtId="0" fontId="13" fillId="0" borderId="28" xfId="563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vertical="center"/>
    </xf>
    <xf numFmtId="0" fontId="28" fillId="0" borderId="1" xfId="787" applyFont="1" applyFill="1" applyBorder="1" applyAlignment="1">
      <alignment horizontal="center" vertical="center"/>
    </xf>
    <xf numFmtId="2" fontId="28" fillId="0" borderId="35" xfId="787" applyNumberFormat="1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vertical="center"/>
    </xf>
    <xf numFmtId="0" fontId="28" fillId="0" borderId="0" xfId="0" applyNumberFormat="1" applyFont="1" applyFill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28" fillId="0" borderId="0" xfId="1738" applyFont="1" applyFill="1" applyBorder="1" applyAlignment="1">
      <alignment horizontal="left" vertical="center" wrapText="1"/>
    </xf>
    <xf numFmtId="0" fontId="11" fillId="0" borderId="1" xfId="563" applyFont="1" applyFill="1" applyBorder="1" applyAlignment="1">
      <alignment horizontal="center" vertical="center"/>
    </xf>
    <xf numFmtId="0" fontId="11" fillId="0" borderId="1" xfId="563" applyFont="1" applyFill="1" applyBorder="1" applyAlignment="1">
      <alignment horizontal="center" vertical="center" wrapText="1"/>
    </xf>
    <xf numFmtId="0" fontId="2" fillId="0" borderId="1" xfId="563" applyFont="1" applyFill="1" applyBorder="1" applyAlignment="1">
      <alignment horizontal="left" vertical="center" wrapText="1"/>
    </xf>
    <xf numFmtId="178" fontId="13" fillId="0" borderId="1" xfId="563" applyNumberFormat="1" applyFont="1" applyFill="1" applyBorder="1" applyAlignment="1">
      <alignment horizontal="center" vertical="center"/>
    </xf>
    <xf numFmtId="0" fontId="2" fillId="0" borderId="1" xfId="563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center" vertical="center" wrapText="1"/>
    </xf>
    <xf numFmtId="0" fontId="30" fillId="0" borderId="1" xfId="1316" applyFont="1" applyFill="1" applyBorder="1" applyAlignment="1">
      <alignment vertical="center" wrapText="1"/>
    </xf>
    <xf numFmtId="178" fontId="29" fillId="0" borderId="1" xfId="1738" applyNumberFormat="1" applyFont="1" applyFill="1" applyBorder="1" applyAlignment="1">
      <alignment horizontal="center" vertical="center" wrapText="1"/>
    </xf>
    <xf numFmtId="181" fontId="32" fillId="0" borderId="1" xfId="1738" applyNumberFormat="1" applyFont="1" applyFill="1" applyBorder="1" applyAlignment="1">
      <alignment horizontal="center" vertical="center" wrapText="1"/>
    </xf>
    <xf numFmtId="0" fontId="2" fillId="0" borderId="1" xfId="563" applyFont="1" applyFill="1" applyBorder="1" applyAlignment="1">
      <alignment vertical="center"/>
    </xf>
    <xf numFmtId="0" fontId="57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1316" applyFont="1" applyFill="1" applyBorder="1" applyAlignment="1">
      <alignment horizontal="center" vertical="center" wrapText="1"/>
    </xf>
    <xf numFmtId="177" fontId="60" fillId="0" borderId="1" xfId="1318" applyNumberFormat="1" applyFont="1" applyFill="1" applyBorder="1" applyAlignment="1">
      <alignment horizontal="left" vertical="center" wrapText="1"/>
    </xf>
    <xf numFmtId="0" fontId="30" fillId="0" borderId="1" xfId="62" applyFont="1" applyFill="1" applyBorder="1" applyAlignment="1">
      <alignment vertical="center" wrapText="1"/>
    </xf>
    <xf numFmtId="0" fontId="26" fillId="0" borderId="1" xfId="62" applyFont="1" applyFill="1" applyBorder="1" applyAlignment="1">
      <alignment horizontal="center" vertical="center" wrapText="1"/>
    </xf>
    <xf numFmtId="0" fontId="29" fillId="0" borderId="1" xfId="1316" applyFont="1" applyFill="1" applyBorder="1" applyAlignment="1">
      <alignment vertical="center" wrapText="1"/>
    </xf>
    <xf numFmtId="177" fontId="29" fillId="0" borderId="1" xfId="1316" applyNumberFormat="1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vertical="center"/>
    </xf>
    <xf numFmtId="0" fontId="57" fillId="0" borderId="1" xfId="0" applyFont="1" applyFill="1" applyBorder="1" applyAlignment="1">
      <alignment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 wrapText="1"/>
    </xf>
    <xf numFmtId="0" fontId="29" fillId="0" borderId="1" xfId="787" applyFont="1" applyFill="1" applyBorder="1" applyAlignment="1">
      <alignment horizontal="left" vertical="center" wrapText="1"/>
    </xf>
    <xf numFmtId="0" fontId="29" fillId="0" borderId="1" xfId="787" applyFont="1" applyFill="1" applyBorder="1" applyAlignment="1">
      <alignment horizontal="center" vertical="center"/>
    </xf>
    <xf numFmtId="0" fontId="29" fillId="0" borderId="1" xfId="1307" applyFont="1" applyFill="1" applyBorder="1" applyAlignment="1">
      <alignment horizontal="center" vertical="center"/>
    </xf>
    <xf numFmtId="0" fontId="11" fillId="0" borderId="1" xfId="563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2" fillId="0" borderId="1" xfId="787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80" fontId="13" fillId="0" borderId="1" xfId="0" applyNumberFormat="1" applyFont="1" applyFill="1" applyBorder="1" applyAlignment="1">
      <alignment horizontal="center" vertical="center" wrapText="1"/>
    </xf>
    <xf numFmtId="0" fontId="2" fillId="0" borderId="1" xfId="563" applyFont="1" applyFill="1" applyBorder="1" applyAlignment="1">
      <alignment horizontal="center" vertical="center" wrapText="1"/>
    </xf>
    <xf numFmtId="0" fontId="33" fillId="0" borderId="0" xfId="1738" applyFont="1" applyFill="1" applyBorder="1" applyAlignment="1">
      <alignment horizontal="left" vertical="center"/>
    </xf>
    <xf numFmtId="0" fontId="12" fillId="0" borderId="1" xfId="563" applyFont="1" applyFill="1" applyBorder="1" applyAlignment="1">
      <alignment horizontal="center" vertical="center" wrapText="1"/>
    </xf>
    <xf numFmtId="0" fontId="13" fillId="0" borderId="1" xfId="563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left" vertical="center" wrapText="1"/>
    </xf>
    <xf numFmtId="177" fontId="61" fillId="0" borderId="1" xfId="0" applyNumberFormat="1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left" vertical="center" wrapText="1"/>
    </xf>
    <xf numFmtId="177" fontId="62" fillId="0" borderId="1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0" fontId="26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/>
    </xf>
    <xf numFmtId="0" fontId="6" fillId="0" borderId="0" xfId="1738" applyFont="1" applyFill="1" applyBorder="1" applyAlignment="1">
      <alignment horizontal="center" vertical="center"/>
    </xf>
    <xf numFmtId="0" fontId="41" fillId="0" borderId="0" xfId="1738" applyFont="1" applyFill="1" applyBorder="1" applyAlignment="1">
      <alignment horizontal="center" vertical="center"/>
    </xf>
    <xf numFmtId="0" fontId="6" fillId="0" borderId="0" xfId="1738" applyFont="1" applyFill="1" applyBorder="1" applyAlignment="1">
      <alignment horizontal="center" vertical="center" wrapText="1"/>
    </xf>
    <xf numFmtId="0" fontId="6" fillId="0" borderId="0" xfId="1738" applyFont="1" applyFill="1" applyAlignment="1">
      <alignment horizontal="center" vertical="center" wrapText="1"/>
    </xf>
    <xf numFmtId="0" fontId="2" fillId="0" borderId="0" xfId="1738" applyFont="1" applyFill="1" applyBorder="1" applyAlignment="1">
      <alignment horizontal="left" vertical="center" wrapText="1"/>
    </xf>
    <xf numFmtId="0" fontId="2" fillId="0" borderId="0" xfId="1738" applyFont="1" applyFill="1" applyBorder="1" applyAlignment="1">
      <alignment horizontal="left" vertical="center"/>
    </xf>
    <xf numFmtId="0" fontId="13" fillId="0" borderId="0" xfId="1738" applyFont="1" applyFill="1" applyBorder="1" applyAlignment="1">
      <alignment horizontal="left" vertical="center"/>
    </xf>
    <xf numFmtId="0" fontId="12" fillId="0" borderId="0" xfId="1738" applyFont="1" applyFill="1" applyBorder="1" applyAlignment="1">
      <alignment horizontal="center" vertical="center"/>
    </xf>
    <xf numFmtId="0" fontId="11" fillId="0" borderId="0" xfId="1738" applyFont="1" applyFill="1" applyBorder="1" applyAlignment="1">
      <alignment horizontal="center" vertical="center" wrapText="1"/>
    </xf>
    <xf numFmtId="0" fontId="11" fillId="0" borderId="0" xfId="1738" applyFont="1" applyFill="1" applyAlignment="1">
      <alignment horizontal="center" vertical="center" wrapText="1"/>
    </xf>
    <xf numFmtId="0" fontId="2" fillId="0" borderId="26" xfId="1738" applyFont="1" applyFill="1" applyBorder="1" applyAlignment="1">
      <alignment horizontal="center" vertical="center"/>
    </xf>
    <xf numFmtId="0" fontId="2" fillId="0" borderId="32" xfId="1738" applyFont="1" applyFill="1" applyBorder="1" applyAlignment="1">
      <alignment horizontal="center" vertical="center" wrapText="1"/>
    </xf>
    <xf numFmtId="0" fontId="2" fillId="0" borderId="32" xfId="1738" applyFont="1" applyFill="1" applyBorder="1" applyAlignment="1">
      <alignment horizontal="center" vertical="center"/>
    </xf>
    <xf numFmtId="0" fontId="2" fillId="0" borderId="27" xfId="1738" applyFont="1" applyFill="1" applyBorder="1" applyAlignment="1">
      <alignment horizontal="center" vertical="center"/>
    </xf>
    <xf numFmtId="0" fontId="2" fillId="0" borderId="0" xfId="1738" applyFont="1" applyFill="1" applyAlignment="1">
      <alignment horizontal="center" vertical="center"/>
    </xf>
    <xf numFmtId="0" fontId="2" fillId="0" borderId="28" xfId="1738" applyFont="1" applyFill="1" applyBorder="1" applyAlignment="1">
      <alignment horizontal="center" vertical="center"/>
    </xf>
    <xf numFmtId="0" fontId="11" fillId="0" borderId="1" xfId="1310" applyFont="1" applyFill="1" applyBorder="1" applyAlignment="1">
      <alignment horizontal="center" vertical="center" wrapText="1"/>
    </xf>
    <xf numFmtId="0" fontId="2" fillId="0" borderId="1" xfId="1738" applyFont="1" applyFill="1" applyBorder="1" applyAlignment="1">
      <alignment horizontal="center" vertical="center"/>
    </xf>
    <xf numFmtId="178" fontId="12" fillId="0" borderId="1" xfId="1738" applyNumberFormat="1" applyFont="1" applyFill="1" applyBorder="1" applyAlignment="1">
      <alignment horizontal="center" vertical="center"/>
    </xf>
    <xf numFmtId="0" fontId="2" fillId="0" borderId="29" xfId="1738" applyFont="1" applyFill="1" applyBorder="1" applyAlignment="1">
      <alignment horizontal="center" vertical="center" wrapText="1"/>
    </xf>
    <xf numFmtId="0" fontId="2" fillId="0" borderId="0" xfId="1738" applyFont="1" applyFill="1" applyAlignment="1">
      <alignment horizontal="center" vertical="center" wrapText="1"/>
    </xf>
    <xf numFmtId="0" fontId="11" fillId="0" borderId="1" xfId="1310" applyFont="1" applyFill="1" applyBorder="1" applyAlignment="1">
      <alignment horizontal="center" vertical="center"/>
    </xf>
    <xf numFmtId="180" fontId="12" fillId="0" borderId="1" xfId="1310" applyNumberFormat="1" applyFont="1" applyFill="1" applyBorder="1" applyAlignment="1">
      <alignment horizontal="center" vertical="center"/>
    </xf>
    <xf numFmtId="0" fontId="12" fillId="0" borderId="1" xfId="1738" applyFont="1" applyFill="1" applyBorder="1" applyAlignment="1">
      <alignment horizontal="center" vertical="center"/>
    </xf>
    <xf numFmtId="0" fontId="11" fillId="0" borderId="29" xfId="1738" applyFont="1" applyFill="1" applyBorder="1" applyAlignment="1">
      <alignment horizontal="center" vertical="center" wrapText="1"/>
    </xf>
    <xf numFmtId="0" fontId="11" fillId="0" borderId="28" xfId="1738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" xfId="1746" applyFont="1" applyFill="1" applyBorder="1" applyAlignment="1">
      <alignment horizontal="center" vertical="center"/>
    </xf>
    <xf numFmtId="178" fontId="12" fillId="0" borderId="1" xfId="1746" applyNumberFormat="1" applyFont="1" applyFill="1" applyBorder="1" applyAlignment="1">
      <alignment horizontal="center" vertical="center"/>
    </xf>
    <xf numFmtId="181" fontId="12" fillId="0" borderId="1" xfId="1746" applyNumberFormat="1" applyFont="1" applyFill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81" fontId="11" fillId="0" borderId="29" xfId="0" applyNumberFormat="1" applyFont="1" applyFill="1" applyBorder="1" applyAlignment="1">
      <alignment horizontal="center" vertical="center" wrapText="1"/>
    </xf>
    <xf numFmtId="181" fontId="11" fillId="0" borderId="0" xfId="0" applyNumberFormat="1" applyFont="1" applyFill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2" fontId="13" fillId="0" borderId="1" xfId="611" applyNumberFormat="1" applyFont="1" applyFill="1" applyBorder="1" applyAlignment="1">
      <alignment horizontal="center" vertical="center" wrapText="1"/>
    </xf>
    <xf numFmtId="179" fontId="13" fillId="0" borderId="1" xfId="0" applyNumberFormat="1" applyFont="1" applyFill="1" applyBorder="1" applyAlignment="1">
      <alignment horizontal="center" vertical="center" wrapText="1"/>
    </xf>
    <xf numFmtId="181" fontId="2" fillId="0" borderId="29" xfId="0" applyNumberFormat="1" applyFont="1" applyFill="1" applyBorder="1" applyAlignment="1">
      <alignment horizontal="center" vertical="center" wrapText="1"/>
    </xf>
    <xf numFmtId="181" fontId="2" fillId="0" borderId="0" xfId="0" applyNumberFormat="1" applyFont="1" applyFill="1" applyAlignment="1">
      <alignment horizontal="center" vertical="center" wrapText="1"/>
    </xf>
    <xf numFmtId="179" fontId="13" fillId="0" borderId="1" xfId="0" applyNumberFormat="1" applyFont="1" applyFill="1" applyBorder="1" applyAlignment="1">
      <alignment horizontal="center" vertical="center"/>
    </xf>
    <xf numFmtId="177" fontId="13" fillId="0" borderId="1" xfId="1738" applyNumberFormat="1" applyFont="1" applyFill="1" applyBorder="1" applyAlignment="1">
      <alignment horizontal="center" vertical="center"/>
    </xf>
    <xf numFmtId="2" fontId="13" fillId="0" borderId="1" xfId="1306" applyNumberFormat="1" applyFont="1" applyFill="1" applyBorder="1" applyAlignment="1">
      <alignment horizontal="center" vertical="center" wrapText="1"/>
    </xf>
    <xf numFmtId="178" fontId="12" fillId="0" borderId="1" xfId="1310" applyNumberFormat="1" applyFont="1" applyFill="1" applyBorder="1" applyAlignment="1">
      <alignment horizontal="center" vertical="center"/>
    </xf>
    <xf numFmtId="177" fontId="12" fillId="0" borderId="1" xfId="1738" applyNumberFormat="1" applyFont="1" applyFill="1" applyBorder="1" applyAlignment="1">
      <alignment horizontal="center" vertical="center"/>
    </xf>
    <xf numFmtId="0" fontId="2" fillId="0" borderId="1" xfId="1306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11" fillId="0" borderId="1" xfId="1306" applyFont="1" applyFill="1" applyBorder="1" applyAlignment="1">
      <alignment vertical="center" wrapText="1"/>
    </xf>
    <xf numFmtId="0" fontId="11" fillId="0" borderId="1" xfId="1306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77" fontId="13" fillId="0" borderId="1" xfId="0" applyNumberFormat="1" applyFont="1" applyFill="1" applyBorder="1" applyAlignment="1">
      <alignment horizontal="center" wrapText="1"/>
    </xf>
    <xf numFmtId="180" fontId="13" fillId="0" borderId="1" xfId="0" applyNumberFormat="1" applyFont="1" applyFill="1" applyBorder="1" applyAlignment="1">
      <alignment horizontal="center" vertical="center"/>
    </xf>
    <xf numFmtId="177" fontId="2" fillId="0" borderId="28" xfId="0" applyNumberFormat="1" applyFont="1" applyFill="1" applyBorder="1" applyAlignment="1">
      <alignment horizontal="center" vertical="center"/>
    </xf>
    <xf numFmtId="0" fontId="2" fillId="0" borderId="1" xfId="1310" applyFont="1" applyFill="1" applyBorder="1" applyAlignment="1">
      <alignment horizontal="left" vertical="center" wrapText="1"/>
    </xf>
    <xf numFmtId="177" fontId="13" fillId="0" borderId="1" xfId="1310" applyNumberFormat="1" applyFont="1" applyFill="1" applyBorder="1" applyAlignment="1">
      <alignment horizontal="center" vertical="center"/>
    </xf>
    <xf numFmtId="0" fontId="11" fillId="0" borderId="1" xfId="1310" applyFont="1" applyFill="1" applyBorder="1" applyAlignment="1">
      <alignment horizontal="left" vertical="center" wrapText="1"/>
    </xf>
    <xf numFmtId="177" fontId="12" fillId="0" borderId="1" xfId="1310" applyNumberFormat="1" applyFont="1" applyFill="1" applyBorder="1" applyAlignment="1">
      <alignment horizontal="center" vertical="center"/>
    </xf>
    <xf numFmtId="177" fontId="12" fillId="0" borderId="1" xfId="1746" applyNumberFormat="1" applyFont="1" applyFill="1" applyBorder="1" applyAlignment="1">
      <alignment horizontal="center" vertical="center"/>
    </xf>
    <xf numFmtId="181" fontId="13" fillId="0" borderId="1" xfId="0" applyNumberFormat="1" applyFont="1" applyFill="1" applyBorder="1" applyAlignment="1">
      <alignment horizontal="center" vertical="center" wrapText="1"/>
    </xf>
    <xf numFmtId="178" fontId="13" fillId="0" borderId="1" xfId="1738" applyNumberFormat="1" applyFont="1" applyFill="1" applyBorder="1" applyAlignment="1">
      <alignment horizontal="center" vertical="center"/>
    </xf>
    <xf numFmtId="0" fontId="2" fillId="0" borderId="1" xfId="131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8" fontId="13" fillId="0" borderId="1" xfId="1310" applyNumberFormat="1" applyFont="1" applyFill="1" applyBorder="1" applyAlignment="1">
      <alignment horizontal="center" vertical="center"/>
    </xf>
    <xf numFmtId="0" fontId="2" fillId="0" borderId="1" xfId="1738" applyFont="1" applyFill="1" applyBorder="1" applyAlignment="1">
      <alignment horizontal="left" vertical="center" wrapText="1"/>
    </xf>
    <xf numFmtId="0" fontId="11" fillId="0" borderId="1" xfId="1738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3" fillId="0" borderId="1" xfId="1312" applyFont="1" applyFill="1" applyBorder="1" applyAlignment="1">
      <alignment horizontal="center" vertical="center"/>
    </xf>
    <xf numFmtId="0" fontId="12" fillId="0" borderId="1" xfId="1738" applyFont="1" applyFill="1" applyBorder="1" applyAlignment="1">
      <alignment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2" fillId="0" borderId="29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1" fillId="0" borderId="1" xfId="1312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/>
    </xf>
    <xf numFmtId="49" fontId="11" fillId="0" borderId="1" xfId="1306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77" fontId="2" fillId="0" borderId="0" xfId="0" applyNumberFormat="1" applyFont="1" applyFill="1"/>
    <xf numFmtId="0" fontId="2" fillId="0" borderId="0" xfId="0" applyFont="1" applyFill="1" applyAlignment="1">
      <alignment horizontal="left"/>
    </xf>
    <xf numFmtId="49" fontId="2" fillId="0" borderId="1" xfId="1306" applyNumberFormat="1" applyFont="1" applyFill="1" applyBorder="1" applyAlignment="1">
      <alignment horizontal="center" vertical="center" wrapText="1"/>
    </xf>
    <xf numFmtId="182" fontId="11" fillId="0" borderId="28" xfId="0" applyNumberFormat="1" applyFont="1" applyFill="1" applyBorder="1" applyAlignment="1">
      <alignment horizontal="center" vertical="center"/>
    </xf>
    <xf numFmtId="182" fontId="2" fillId="0" borderId="28" xfId="0" applyNumberFormat="1" applyFont="1" applyFill="1" applyBorder="1" applyAlignment="1">
      <alignment horizontal="center" vertical="center"/>
    </xf>
    <xf numFmtId="0" fontId="2" fillId="0" borderId="1" xfId="1306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177" fontId="13" fillId="0" borderId="1" xfId="0" applyNumberFormat="1" applyFont="1" applyFill="1" applyBorder="1" applyAlignment="1" applyProtection="1">
      <alignment horizontal="center" vertical="center"/>
    </xf>
    <xf numFmtId="0" fontId="2" fillId="0" borderId="29" xfId="0" applyFont="1" applyFill="1" applyBorder="1"/>
    <xf numFmtId="0" fontId="28" fillId="0" borderId="1" xfId="0" applyFont="1" applyFill="1" applyBorder="1" applyAlignment="1" applyProtection="1">
      <alignment horizontal="left" vertical="center" wrapText="1"/>
    </xf>
    <xf numFmtId="0" fontId="13" fillId="0" borderId="0" xfId="0" applyFont="1" applyFill="1" applyAlignment="1">
      <alignment horizontal="center"/>
    </xf>
    <xf numFmtId="177" fontId="13" fillId="0" borderId="0" xfId="0" applyNumberFormat="1" applyFont="1" applyFill="1"/>
    <xf numFmtId="179" fontId="13" fillId="0" borderId="1" xfId="1306" applyNumberFormat="1" applyFont="1" applyFill="1" applyBorder="1" applyAlignment="1">
      <alignment horizontal="center" vertical="center" wrapText="1"/>
    </xf>
    <xf numFmtId="177" fontId="13" fillId="0" borderId="0" xfId="0" applyNumberFormat="1" applyFont="1" applyFill="1" applyAlignment="1">
      <alignment horizontal="center"/>
    </xf>
    <xf numFmtId="182" fontId="2" fillId="0" borderId="30" xfId="0" applyNumberFormat="1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left" vertical="center"/>
    </xf>
    <xf numFmtId="179" fontId="13" fillId="0" borderId="35" xfId="0" applyNumberFormat="1" applyFont="1" applyFill="1" applyBorder="1" applyAlignment="1">
      <alignment horizontal="center" vertical="center"/>
    </xf>
    <xf numFmtId="0" fontId="2" fillId="0" borderId="31" xfId="0" applyFont="1" applyFill="1" applyBorder="1"/>
    <xf numFmtId="0" fontId="13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0" fontId="13" fillId="0" borderId="0" xfId="0" applyNumberFormat="1" applyFont="1" applyFill="1"/>
    <xf numFmtId="0" fontId="28" fillId="0" borderId="0" xfId="0" applyFont="1" applyFill="1" applyAlignment="1">
      <alignment horizontal="left" vertical="center" wrapText="1"/>
    </xf>
    <xf numFmtId="0" fontId="12" fillId="0" borderId="26" xfId="0" applyNumberFormat="1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12" fillId="0" borderId="32" xfId="0" applyNumberFormat="1" applyFont="1" applyFill="1" applyBorder="1" applyAlignment="1">
      <alignment horizontal="center" vertical="center" wrapText="1"/>
    </xf>
    <xf numFmtId="0" fontId="12" fillId="0" borderId="28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/>
    </xf>
    <xf numFmtId="0" fontId="12" fillId="0" borderId="28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42" fontId="25" fillId="0" borderId="1" xfId="5" applyFont="1" applyFill="1" applyBorder="1" applyAlignment="1">
      <alignment horizontal="left" vertical="center" wrapText="1"/>
    </xf>
    <xf numFmtId="1" fontId="12" fillId="0" borderId="1" xfId="0" applyNumberFormat="1" applyFont="1" applyFill="1" applyBorder="1" applyAlignment="1">
      <alignment horizontal="center" vertical="center"/>
    </xf>
    <xf numFmtId="2" fontId="12" fillId="0" borderId="1" xfId="611" applyNumberFormat="1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left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center" vertical="center" wrapText="1"/>
    </xf>
    <xf numFmtId="0" fontId="63" fillId="0" borderId="1" xfId="0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 wrapText="1"/>
    </xf>
    <xf numFmtId="2" fontId="64" fillId="0" borderId="1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28" fillId="0" borderId="29" xfId="1306" applyFont="1" applyFill="1" applyBorder="1" applyAlignment="1">
      <alignment horizontal="center" vertical="center" wrapText="1"/>
    </xf>
    <xf numFmtId="0" fontId="28" fillId="0" borderId="29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0" fontId="65" fillId="0" borderId="1" xfId="1308" applyFont="1" applyFill="1" applyBorder="1" applyAlignment="1">
      <alignment horizontal="left" vertical="center" wrapText="1"/>
    </xf>
    <xf numFmtId="0" fontId="63" fillId="0" borderId="1" xfId="705" applyFont="1" applyFill="1" applyBorder="1" applyAlignment="1">
      <alignment horizontal="center" vertical="center"/>
    </xf>
    <xf numFmtId="2" fontId="66" fillId="0" borderId="1" xfId="705" applyNumberFormat="1" applyFont="1" applyFill="1" applyBorder="1" applyAlignment="1">
      <alignment horizontal="center" vertical="center"/>
    </xf>
    <xf numFmtId="2" fontId="66" fillId="0" borderId="1" xfId="74" applyNumberFormat="1" applyFont="1" applyFill="1" applyBorder="1" applyAlignment="1">
      <alignment horizontal="center" vertical="center"/>
    </xf>
    <xf numFmtId="2" fontId="67" fillId="0" borderId="1" xfId="0" applyNumberFormat="1" applyFont="1" applyFill="1" applyBorder="1" applyAlignment="1">
      <alignment horizontal="center" vertical="center"/>
    </xf>
    <xf numFmtId="0" fontId="66" fillId="0" borderId="28" xfId="705" applyNumberFormat="1" applyFont="1" applyFill="1" applyBorder="1" applyAlignment="1">
      <alignment horizontal="center" vertical="center"/>
    </xf>
    <xf numFmtId="0" fontId="68" fillId="0" borderId="1" xfId="1304" applyFont="1" applyFill="1" applyBorder="1" applyAlignment="1">
      <alignment vertical="center" wrapText="1"/>
    </xf>
    <xf numFmtId="2" fontId="66" fillId="0" borderId="1" xfId="0" applyNumberFormat="1" applyFont="1" applyFill="1" applyBorder="1" applyAlignment="1">
      <alignment horizontal="center" vertical="center"/>
    </xf>
    <xf numFmtId="0" fontId="63" fillId="0" borderId="1" xfId="1304" applyFont="1" applyFill="1" applyBorder="1" applyAlignment="1">
      <alignment vertical="center" wrapText="1"/>
    </xf>
    <xf numFmtId="0" fontId="68" fillId="0" borderId="1" xfId="705" applyFont="1" applyFill="1" applyBorder="1" applyAlignment="1">
      <alignment horizontal="center" vertical="center"/>
    </xf>
    <xf numFmtId="0" fontId="69" fillId="0" borderId="28" xfId="0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left" vertical="center"/>
    </xf>
    <xf numFmtId="0" fontId="26" fillId="0" borderId="1" xfId="0" applyFont="1" applyFill="1" applyBorder="1"/>
    <xf numFmtId="0" fontId="63" fillId="0" borderId="1" xfId="0" applyFont="1" applyFill="1" applyBorder="1" applyAlignment="1">
      <alignment horizontal="center" vertical="center"/>
    </xf>
    <xf numFmtId="0" fontId="46" fillId="0" borderId="28" xfId="0" applyNumberFormat="1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left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42" fontId="25" fillId="0" borderId="1" xfId="5" applyFont="1" applyFill="1" applyBorder="1" applyAlignment="1">
      <alignment horizontal="center" vertical="center" wrapText="1"/>
    </xf>
    <xf numFmtId="2" fontId="12" fillId="0" borderId="1" xfId="5" applyNumberFormat="1" applyFont="1" applyFill="1" applyBorder="1" applyAlignment="1">
      <alignment horizontal="center" vertical="center" wrapText="1"/>
    </xf>
    <xf numFmtId="0" fontId="28" fillId="0" borderId="1" xfId="1306" applyFont="1" applyFill="1" applyBorder="1" applyAlignment="1">
      <alignment horizontal="center" vertical="center" wrapText="1"/>
    </xf>
    <xf numFmtId="0" fontId="25" fillId="0" borderId="29" xfId="1306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0" fontId="28" fillId="0" borderId="1" xfId="62" applyFont="1" applyFill="1" applyBorder="1" applyAlignment="1">
      <alignment vertical="center" wrapText="1"/>
    </xf>
    <xf numFmtId="0" fontId="33" fillId="0" borderId="1" xfId="62" applyFont="1" applyFill="1" applyBorder="1" applyAlignment="1">
      <alignment horizontal="center" vertical="center" wrapText="1"/>
    </xf>
    <xf numFmtId="0" fontId="28" fillId="0" borderId="1" xfId="62" applyFont="1" applyFill="1" applyBorder="1" applyAlignment="1">
      <alignment horizontal="center" vertical="center"/>
    </xf>
    <xf numFmtId="2" fontId="13" fillId="0" borderId="1" xfId="62" applyNumberFormat="1" applyFont="1" applyFill="1" applyBorder="1" applyAlignment="1">
      <alignment horizontal="center" vertical="center"/>
    </xf>
    <xf numFmtId="2" fontId="13" fillId="0" borderId="1" xfId="62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vertical="center" wrapText="1"/>
    </xf>
    <xf numFmtId="0" fontId="70" fillId="0" borderId="1" xfId="62" applyFont="1" applyFill="1" applyBorder="1" applyAlignment="1">
      <alignment horizontal="center" vertical="center" wrapText="1"/>
    </xf>
    <xf numFmtId="0" fontId="71" fillId="0" borderId="28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/>
    </xf>
    <xf numFmtId="0" fontId="51" fillId="0" borderId="28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/>
    </xf>
    <xf numFmtId="0" fontId="13" fillId="0" borderId="28" xfId="0" applyNumberFormat="1" applyFont="1" applyFill="1" applyBorder="1" applyAlignment="1">
      <alignment horizontal="center" vertical="center"/>
    </xf>
    <xf numFmtId="0" fontId="28" fillId="0" borderId="1" xfId="1738" applyFont="1" applyFill="1" applyBorder="1" applyAlignment="1">
      <alignment horizontal="left" vertical="center" wrapText="1"/>
    </xf>
    <xf numFmtId="0" fontId="28" fillId="0" borderId="1" xfId="1310" applyFont="1" applyFill="1" applyBorder="1" applyAlignment="1">
      <alignment horizontal="center" vertical="center"/>
    </xf>
    <xf numFmtId="2" fontId="13" fillId="0" borderId="1" xfId="1738" applyNumberFormat="1" applyFont="1" applyFill="1" applyBorder="1" applyAlignment="1">
      <alignment horizontal="center" vertical="center"/>
    </xf>
    <xf numFmtId="0" fontId="28" fillId="0" borderId="29" xfId="1306" applyFont="1" applyFill="1" applyBorder="1" applyAlignment="1">
      <alignment horizontal="center" vertical="center"/>
    </xf>
    <xf numFmtId="0" fontId="26" fillId="0" borderId="0" xfId="0" applyNumberFormat="1" applyFont="1" applyFill="1"/>
    <xf numFmtId="2" fontId="12" fillId="0" borderId="1" xfId="0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/>
    </xf>
    <xf numFmtId="2" fontId="12" fillId="0" borderId="1" xfId="0" applyNumberFormat="1" applyFont="1" applyFill="1" applyBorder="1" applyAlignment="1">
      <alignment vertical="center"/>
    </xf>
    <xf numFmtId="0" fontId="28" fillId="0" borderId="29" xfId="0" applyFont="1" applyFill="1" applyBorder="1"/>
    <xf numFmtId="0" fontId="12" fillId="0" borderId="28" xfId="0" applyNumberFormat="1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2" fontId="25" fillId="0" borderId="1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9" fillId="0" borderId="0" xfId="639" applyFont="1" applyProtection="1">
      <alignment vertical="center"/>
    </xf>
    <xf numFmtId="0" fontId="73" fillId="0" borderId="0" xfId="639" applyFont="1" applyProtection="1">
      <alignment vertical="center"/>
    </xf>
    <xf numFmtId="0" fontId="74" fillId="0" borderId="0" xfId="639" applyFont="1" applyProtection="1">
      <alignment vertical="center"/>
    </xf>
    <xf numFmtId="0" fontId="0" fillId="0" borderId="0" xfId="639" applyFont="1" applyFill="1" applyProtection="1">
      <alignment vertical="center"/>
    </xf>
    <xf numFmtId="0" fontId="5" fillId="0" borderId="0" xfId="639" applyFont="1" applyFill="1" applyProtection="1">
      <alignment vertical="center"/>
    </xf>
    <xf numFmtId="0" fontId="5" fillId="0" borderId="0" xfId="639" applyFont="1" applyFill="1" applyAlignment="1" applyProtection="1">
      <alignment horizontal="center" vertical="center"/>
    </xf>
    <xf numFmtId="0" fontId="0" fillId="0" borderId="0" xfId="639" applyFont="1" applyProtection="1">
      <alignment vertical="center"/>
    </xf>
    <xf numFmtId="0" fontId="6" fillId="0" borderId="0" xfId="639" applyFont="1" applyFill="1" applyAlignment="1" applyProtection="1">
      <alignment horizontal="center" vertical="center" wrapText="1"/>
    </xf>
    <xf numFmtId="0" fontId="41" fillId="0" borderId="0" xfId="639" applyFont="1" applyFill="1" applyAlignment="1" applyProtection="1">
      <alignment horizontal="center" vertical="center" wrapText="1"/>
    </xf>
    <xf numFmtId="0" fontId="2" fillId="0" borderId="0" xfId="1738" applyFont="1" applyFill="1" applyBorder="1" applyAlignment="1">
      <alignment vertical="center"/>
    </xf>
    <xf numFmtId="0" fontId="13" fillId="0" borderId="0" xfId="1738" applyFont="1" applyFill="1" applyBorder="1" applyAlignment="1">
      <alignment horizontal="center" vertical="center"/>
    </xf>
    <xf numFmtId="0" fontId="13" fillId="0" borderId="0" xfId="1738" applyFont="1" applyFill="1" applyBorder="1" applyAlignment="1">
      <alignment vertical="center"/>
    </xf>
    <xf numFmtId="0" fontId="12" fillId="0" borderId="1" xfId="639" applyFont="1" applyFill="1" applyBorder="1" applyAlignment="1" applyProtection="1">
      <alignment horizontal="center" vertical="center" wrapText="1"/>
    </xf>
    <xf numFmtId="2" fontId="12" fillId="0" borderId="1" xfId="639" applyNumberFormat="1" applyFont="1" applyFill="1" applyBorder="1" applyAlignment="1" applyProtection="1">
      <alignment horizontal="center" vertical="center"/>
    </xf>
    <xf numFmtId="2" fontId="12" fillId="0" borderId="1" xfId="639" applyNumberFormat="1" applyFont="1" applyFill="1" applyBorder="1" applyAlignment="1" applyProtection="1">
      <alignment horizontal="center" vertical="center" wrapText="1"/>
    </xf>
    <xf numFmtId="0" fontId="13" fillId="0" borderId="1" xfId="639" applyFont="1" applyFill="1" applyBorder="1" applyAlignment="1" applyProtection="1">
      <alignment horizontal="center" vertical="center" wrapText="1"/>
    </xf>
    <xf numFmtId="0" fontId="13" fillId="0" borderId="1" xfId="639" applyFont="1" applyFill="1" applyBorder="1" applyAlignment="1" applyProtection="1">
      <alignment horizontal="left" vertical="center" wrapText="1"/>
    </xf>
    <xf numFmtId="2" fontId="13" fillId="0" borderId="1" xfId="639" applyNumberFormat="1" applyFont="1" applyFill="1" applyBorder="1" applyAlignment="1" applyProtection="1">
      <alignment horizontal="center" vertical="center"/>
    </xf>
    <xf numFmtId="2" fontId="13" fillId="0" borderId="1" xfId="639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183" fontId="11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177" fontId="25" fillId="0" borderId="1" xfId="0" applyNumberFormat="1" applyFont="1" applyBorder="1" applyAlignment="1">
      <alignment horizontal="center" vertical="center"/>
    </xf>
    <xf numFmtId="177" fontId="25" fillId="0" borderId="0" xfId="0" applyNumberFormat="1" applyFont="1" applyAlignment="1">
      <alignment horizontal="center" vertical="center"/>
    </xf>
    <xf numFmtId="177" fontId="28" fillId="0" borderId="1" xfId="0" applyNumberFormat="1" applyFont="1" applyBorder="1" applyAlignment="1">
      <alignment horizontal="center" vertical="center"/>
    </xf>
    <xf numFmtId="177" fontId="28" fillId="0" borderId="0" xfId="0" applyNumberFormat="1" applyFont="1" applyAlignment="1">
      <alignment horizontal="center" vertical="center"/>
    </xf>
    <xf numFmtId="181" fontId="2" fillId="0" borderId="1" xfId="0" applyNumberFormat="1" applyFont="1" applyFill="1" applyBorder="1" applyAlignment="1">
      <alignment horizontal="center" vertical="center"/>
    </xf>
    <xf numFmtId="177" fontId="28" fillId="0" borderId="1" xfId="0" applyNumberFormat="1" applyFont="1" applyFill="1" applyBorder="1" applyAlignment="1">
      <alignment horizontal="center" vertical="center"/>
    </xf>
    <xf numFmtId="177" fontId="28" fillId="0" borderId="0" xfId="0" applyNumberFormat="1" applyFont="1" applyFill="1" applyAlignment="1">
      <alignment horizontal="center" vertical="center"/>
    </xf>
    <xf numFmtId="181" fontId="11" fillId="0" borderId="1" xfId="0" applyNumberFormat="1" applyFont="1" applyFill="1" applyBorder="1" applyAlignment="1">
      <alignment horizontal="center" vertical="center"/>
    </xf>
    <xf numFmtId="183" fontId="11" fillId="0" borderId="1" xfId="0" applyNumberFormat="1" applyFont="1" applyFill="1" applyBorder="1" applyAlignment="1">
      <alignment horizontal="center" vertical="center"/>
    </xf>
    <xf numFmtId="0" fontId="11" fillId="0" borderId="1" xfId="72" applyFont="1" applyFill="1" applyBorder="1" applyAlignment="1">
      <alignment horizontal="center" vertical="center"/>
    </xf>
    <xf numFmtId="179" fontId="12" fillId="0" borderId="1" xfId="72" applyNumberFormat="1" applyFont="1" applyFill="1" applyBorder="1" applyAlignment="1">
      <alignment horizontal="center" vertical="center"/>
    </xf>
    <xf numFmtId="179" fontId="12" fillId="0" borderId="1" xfId="0" applyNumberFormat="1" applyFont="1" applyBorder="1" applyAlignment="1">
      <alignment horizontal="center" vertical="center"/>
    </xf>
    <xf numFmtId="0" fontId="2" fillId="0" borderId="1" xfId="1314" applyFont="1" applyFill="1" applyBorder="1" applyAlignment="1">
      <alignment horizontal="center" vertical="center"/>
    </xf>
    <xf numFmtId="179" fontId="13" fillId="0" borderId="1" xfId="72" applyNumberFormat="1" applyFont="1" applyFill="1" applyBorder="1" applyAlignment="1">
      <alignment horizontal="center" vertical="center"/>
    </xf>
    <xf numFmtId="2" fontId="13" fillId="0" borderId="1" xfId="643" applyNumberFormat="1" applyFont="1" applyBorder="1" applyAlignment="1">
      <alignment horizontal="center" vertical="center" wrapText="1"/>
    </xf>
    <xf numFmtId="2" fontId="13" fillId="0" borderId="1" xfId="643" applyNumberFormat="1" applyFont="1" applyFill="1" applyBorder="1" applyAlignment="1">
      <alignment horizontal="center" vertical="center" wrapText="1"/>
    </xf>
    <xf numFmtId="0" fontId="57" fillId="0" borderId="1" xfId="0" applyNumberFormat="1" applyFont="1" applyFill="1" applyBorder="1" applyAlignment="1" applyProtection="1">
      <alignment horizontal="left" vertical="center" wrapText="1"/>
    </xf>
    <xf numFmtId="0" fontId="28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75" fillId="0" borderId="1" xfId="0" applyFont="1" applyBorder="1" applyAlignment="1">
      <alignment horizontal="center"/>
    </xf>
    <xf numFmtId="0" fontId="76" fillId="0" borderId="1" xfId="0" applyFont="1" applyBorder="1" applyAlignment="1">
      <alignment horizontal="left"/>
    </xf>
    <xf numFmtId="0" fontId="76" fillId="0" borderId="1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62" applyFont="1" applyFill="1" applyAlignment="1">
      <alignment horizontal="center" vertical="center"/>
    </xf>
    <xf numFmtId="0" fontId="26" fillId="0" borderId="0" xfId="62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47" fillId="0" borderId="43" xfId="0" applyFont="1" applyBorder="1" applyAlignment="1">
      <alignment horizontal="center" wrapText="1"/>
    </xf>
    <xf numFmtId="0" fontId="47" fillId="0" borderId="44" xfId="0" applyFont="1" applyBorder="1" applyAlignment="1">
      <alignment horizontal="center" wrapText="1"/>
    </xf>
    <xf numFmtId="0" fontId="47" fillId="0" borderId="45" xfId="0" applyFont="1" applyBorder="1" applyAlignment="1">
      <alignment horizontal="center" wrapText="1"/>
    </xf>
    <xf numFmtId="0" fontId="47" fillId="0" borderId="38" xfId="0" applyFont="1" applyBorder="1" applyAlignment="1">
      <alignment horizontal="center" wrapText="1"/>
    </xf>
    <xf numFmtId="0" fontId="47" fillId="0" borderId="46" xfId="0" applyFont="1" applyBorder="1" applyAlignment="1">
      <alignment horizontal="center" wrapText="1"/>
    </xf>
    <xf numFmtId="177" fontId="13" fillId="0" borderId="38" xfId="0" applyNumberFormat="1" applyFont="1" applyBorder="1" applyAlignment="1">
      <alignment horizontal="center" wrapText="1"/>
    </xf>
    <xf numFmtId="177" fontId="47" fillId="0" borderId="38" xfId="0" applyNumberFormat="1" applyFont="1" applyBorder="1" applyAlignment="1">
      <alignment horizontal="center" wrapText="1"/>
    </xf>
    <xf numFmtId="177" fontId="13" fillId="0" borderId="47" xfId="0" applyNumberFormat="1" applyFont="1" applyBorder="1" applyAlignment="1">
      <alignment horizontal="center" wrapText="1"/>
    </xf>
    <xf numFmtId="0" fontId="13" fillId="0" borderId="46" xfId="0" applyFont="1" applyBorder="1" applyAlignment="1">
      <alignment horizontal="center" wrapText="1"/>
    </xf>
    <xf numFmtId="177" fontId="47" fillId="0" borderId="47" xfId="0" applyNumberFormat="1" applyFont="1" applyBorder="1" applyAlignment="1">
      <alignment horizontal="center" wrapText="1"/>
    </xf>
    <xf numFmtId="0" fontId="47" fillId="0" borderId="48" xfId="0" applyFont="1" applyBorder="1" applyAlignment="1">
      <alignment horizontal="center" wrapText="1"/>
    </xf>
    <xf numFmtId="0" fontId="47" fillId="0" borderId="49" xfId="0" applyFont="1" applyBorder="1" applyAlignment="1">
      <alignment horizontal="center" wrapText="1"/>
    </xf>
    <xf numFmtId="177" fontId="47" fillId="0" borderId="49" xfId="0" applyNumberFormat="1" applyFont="1" applyBorder="1" applyAlignment="1">
      <alignment horizontal="center" wrapText="1"/>
    </xf>
    <xf numFmtId="177" fontId="13" fillId="0" borderId="50" xfId="0" applyNumberFormat="1" applyFont="1" applyBorder="1" applyAlignment="1">
      <alignment horizontal="center" wrapText="1"/>
    </xf>
    <xf numFmtId="0" fontId="47" fillId="0" borderId="51" xfId="0" applyFont="1" applyBorder="1" applyAlignment="1">
      <alignment horizontal="center" wrapText="1"/>
    </xf>
    <xf numFmtId="0" fontId="47" fillId="0" borderId="52" xfId="0" applyFont="1" applyBorder="1" applyAlignment="1">
      <alignment horizontal="center" wrapText="1"/>
    </xf>
    <xf numFmtId="0" fontId="47" fillId="0" borderId="53" xfId="0" applyFont="1" applyBorder="1" applyAlignment="1">
      <alignment horizontal="center" wrapText="1"/>
    </xf>
    <xf numFmtId="0" fontId="47" fillId="0" borderId="54" xfId="0" applyFont="1" applyBorder="1" applyAlignment="1">
      <alignment horizontal="center" wrapText="1"/>
    </xf>
    <xf numFmtId="0" fontId="47" fillId="0" borderId="55" xfId="0" applyFont="1" applyBorder="1" applyAlignment="1">
      <alignment horizontal="center" wrapText="1"/>
    </xf>
    <xf numFmtId="0" fontId="47" fillId="0" borderId="56" xfId="0" applyFont="1" applyBorder="1" applyAlignment="1">
      <alignment horizontal="center" wrapText="1"/>
    </xf>
    <xf numFmtId="0" fontId="47" fillId="0" borderId="57" xfId="0" applyFont="1" applyBorder="1" applyAlignment="1">
      <alignment horizontal="center" wrapText="1"/>
    </xf>
    <xf numFmtId="0" fontId="47" fillId="0" borderId="58" xfId="0" applyFont="1" applyBorder="1" applyAlignment="1">
      <alignment horizontal="center" wrapText="1"/>
    </xf>
    <xf numFmtId="0" fontId="13" fillId="0" borderId="58" xfId="0" applyFont="1" applyBorder="1" applyAlignment="1">
      <alignment horizontal="center" wrapText="1"/>
    </xf>
    <xf numFmtId="0" fontId="13" fillId="0" borderId="59" xfId="0" applyFont="1" applyBorder="1" applyAlignment="1">
      <alignment horizontal="center" wrapText="1"/>
    </xf>
    <xf numFmtId="177" fontId="13" fillId="0" borderId="59" xfId="0" applyNumberFormat="1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9" fontId="13" fillId="0" borderId="58" xfId="0" applyNumberFormat="1" applyFont="1" applyBorder="1" applyAlignment="1">
      <alignment horizontal="center" wrapText="1"/>
    </xf>
    <xf numFmtId="10" fontId="13" fillId="0" borderId="58" xfId="0" applyNumberFormat="1" applyFont="1" applyBorder="1" applyAlignment="1">
      <alignment horizontal="center" wrapText="1"/>
    </xf>
    <xf numFmtId="0" fontId="13" fillId="0" borderId="60" xfId="0" applyFont="1" applyBorder="1" applyAlignment="1">
      <alignment horizontal="center" wrapText="1"/>
    </xf>
    <xf numFmtId="0" fontId="47" fillId="0" borderId="61" xfId="0" applyFont="1" applyBorder="1" applyAlignment="1">
      <alignment horizontal="center" wrapText="1"/>
    </xf>
    <xf numFmtId="0" fontId="13" fillId="0" borderId="61" xfId="0" applyFont="1" applyBorder="1" applyAlignment="1">
      <alignment horizontal="center" wrapText="1"/>
    </xf>
    <xf numFmtId="177" fontId="13" fillId="0" borderId="62" xfId="0" applyNumberFormat="1" applyFont="1" applyBorder="1" applyAlignment="1">
      <alignment horizontal="center" wrapText="1"/>
    </xf>
    <xf numFmtId="0" fontId="47" fillId="0" borderId="63" xfId="0" applyFont="1" applyBorder="1" applyAlignment="1">
      <alignment horizontal="center"/>
    </xf>
    <xf numFmtId="0" fontId="47" fillId="0" borderId="64" xfId="0" applyFont="1" applyBorder="1" applyAlignment="1">
      <alignment horizontal="center" wrapText="1"/>
    </xf>
    <xf numFmtId="0" fontId="47" fillId="0" borderId="65" xfId="0" applyFont="1" applyBorder="1" applyAlignment="1">
      <alignment horizontal="center" wrapText="1"/>
    </xf>
    <xf numFmtId="0" fontId="47" fillId="0" borderId="66" xfId="0" applyFont="1" applyBorder="1" applyAlignment="1">
      <alignment horizontal="center"/>
    </xf>
    <xf numFmtId="0" fontId="47" fillId="0" borderId="67" xfId="0" applyFont="1" applyBorder="1" applyAlignment="1">
      <alignment horizontal="center" wrapText="1"/>
    </xf>
    <xf numFmtId="0" fontId="13" fillId="0" borderId="67" xfId="0" applyFont="1" applyBorder="1" applyAlignment="1">
      <alignment horizontal="center" wrapText="1"/>
    </xf>
    <xf numFmtId="177" fontId="13" fillId="0" borderId="67" xfId="0" applyNumberFormat="1" applyFont="1" applyBorder="1" applyAlignment="1">
      <alignment horizontal="center" wrapText="1"/>
    </xf>
    <xf numFmtId="177" fontId="13" fillId="0" borderId="68" xfId="0" applyNumberFormat="1" applyFont="1" applyBorder="1" applyAlignment="1">
      <alignment horizontal="center" wrapText="1"/>
    </xf>
    <xf numFmtId="0" fontId="13" fillId="0" borderId="64" xfId="0" applyFont="1" applyBorder="1" applyAlignment="1">
      <alignment horizontal="center" wrapText="1"/>
    </xf>
    <xf numFmtId="0" fontId="47" fillId="0" borderId="67" xfId="0" applyFont="1" applyBorder="1" applyAlignment="1">
      <alignment horizontal="center"/>
    </xf>
    <xf numFmtId="10" fontId="13" fillId="0" borderId="67" xfId="0" applyNumberFormat="1" applyFont="1" applyBorder="1" applyAlignment="1">
      <alignment horizontal="center"/>
    </xf>
    <xf numFmtId="0" fontId="47" fillId="0" borderId="69" xfId="0" applyFont="1" applyBorder="1" applyAlignment="1">
      <alignment horizontal="center" wrapText="1"/>
    </xf>
    <xf numFmtId="0" fontId="47" fillId="0" borderId="70" xfId="0" applyFont="1" applyBorder="1" applyAlignment="1">
      <alignment horizontal="center" wrapText="1"/>
    </xf>
    <xf numFmtId="0" fontId="13" fillId="0" borderId="70" xfId="0" applyFont="1" applyBorder="1" applyAlignment="1">
      <alignment horizontal="center" wrapText="1"/>
    </xf>
    <xf numFmtId="177" fontId="13" fillId="0" borderId="71" xfId="0" applyNumberFormat="1" applyFont="1" applyBorder="1" applyAlignment="1">
      <alignment horizontal="center" wrapText="1"/>
    </xf>
    <xf numFmtId="0" fontId="0" fillId="0" borderId="0" xfId="0"/>
    <xf numFmtId="0" fontId="19" fillId="0" borderId="0" xfId="0" applyFont="1" applyAlignment="1">
      <alignment horizontal="center" wrapText="1"/>
    </xf>
    <xf numFmtId="0" fontId="14" fillId="0" borderId="0" xfId="0" applyFont="1" applyBorder="1" applyAlignment="1">
      <alignment horizontal="justify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14" fillId="0" borderId="5" xfId="0" applyFont="1" applyBorder="1" applyAlignment="1">
      <alignment horizontal="center" vertical="center" wrapText="1"/>
    </xf>
    <xf numFmtId="177" fontId="13" fillId="0" borderId="1" xfId="0" applyNumberFormat="1" applyFont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/>
    </xf>
    <xf numFmtId="0" fontId="0" fillId="0" borderId="0" xfId="560" applyFill="1" applyAlignment="1">
      <alignment horizontal="left" vertical="center"/>
    </xf>
    <xf numFmtId="0" fontId="0" fillId="0" borderId="0" xfId="560" applyFill="1" applyAlignment="1">
      <alignment vertical="center"/>
    </xf>
    <xf numFmtId="0" fontId="18" fillId="0" borderId="0" xfId="560" applyFont="1" applyFill="1" applyAlignment="1">
      <alignment horizontal="center" vertical="center"/>
    </xf>
    <xf numFmtId="0" fontId="0" fillId="0" borderId="72" xfId="560" applyFont="1" applyFill="1" applyBorder="1" applyAlignment="1">
      <alignment horizontal="left" vertical="center" wrapText="1"/>
    </xf>
    <xf numFmtId="0" fontId="0" fillId="0" borderId="1" xfId="560" applyFill="1" applyBorder="1" applyAlignment="1">
      <alignment horizontal="center" vertical="center"/>
    </xf>
    <xf numFmtId="0" fontId="19" fillId="0" borderId="1" xfId="560" applyFont="1" applyFill="1" applyBorder="1" applyAlignment="1">
      <alignment horizontal="left" vertical="center"/>
    </xf>
    <xf numFmtId="0" fontId="19" fillId="0" borderId="1" xfId="560" applyFont="1" applyFill="1" applyBorder="1" applyAlignment="1">
      <alignment horizontal="center" vertical="center"/>
    </xf>
    <xf numFmtId="0" fontId="0" fillId="0" borderId="1" xfId="560" applyFill="1" applyBorder="1" applyAlignment="1">
      <alignment horizontal="left" vertical="center"/>
    </xf>
    <xf numFmtId="10" fontId="0" fillId="0" borderId="1" xfId="560" applyNumberForma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0" fontId="0" fillId="0" borderId="0" xfId="1192" applyFill="1"/>
    <xf numFmtId="0" fontId="6" fillId="0" borderId="12" xfId="1192" applyFont="1" applyFill="1" applyBorder="1" applyAlignment="1">
      <alignment horizontal="left" vertical="center"/>
    </xf>
    <xf numFmtId="0" fontId="14" fillId="0" borderId="1" xfId="1192" applyFont="1" applyFill="1" applyBorder="1" applyAlignment="1">
      <alignment horizontal="center" vertical="center" wrapText="1"/>
    </xf>
    <xf numFmtId="0" fontId="14" fillId="0" borderId="1" xfId="1192" applyFont="1" applyFill="1" applyBorder="1" applyAlignment="1">
      <alignment horizontal="center" vertical="center"/>
    </xf>
    <xf numFmtId="0" fontId="14" fillId="0" borderId="1" xfId="1192" applyFont="1" applyFill="1" applyBorder="1" applyAlignment="1">
      <alignment horizontal="left" vertical="center"/>
    </xf>
    <xf numFmtId="0" fontId="46" fillId="0" borderId="1" xfId="1192" applyFont="1" applyFill="1" applyBorder="1" applyAlignment="1">
      <alignment horizontal="center" vertical="center"/>
    </xf>
    <xf numFmtId="0" fontId="46" fillId="0" borderId="1" xfId="1192" applyFont="1" applyFill="1" applyBorder="1" applyAlignment="1">
      <alignment horizontal="left" vertical="center"/>
    </xf>
    <xf numFmtId="0" fontId="2" fillId="0" borderId="1" xfId="1192" applyFont="1" applyFill="1" applyBorder="1" applyAlignment="1">
      <alignment horizontal="center" vertical="center"/>
    </xf>
    <xf numFmtId="0" fontId="13" fillId="0" borderId="1" xfId="1192" applyFont="1" applyFill="1" applyBorder="1" applyAlignment="1">
      <alignment horizontal="center" vertical="center"/>
    </xf>
    <xf numFmtId="1" fontId="46" fillId="0" borderId="1" xfId="1192" applyNumberFormat="1" applyFont="1" applyFill="1" applyBorder="1" applyAlignment="1">
      <alignment horizontal="center" vertical="center"/>
    </xf>
    <xf numFmtId="0" fontId="2" fillId="0" borderId="1" xfId="1192" applyFont="1" applyFill="1" applyBorder="1" applyAlignment="1">
      <alignment horizontal="left" vertical="center"/>
    </xf>
    <xf numFmtId="2" fontId="46" fillId="0" borderId="1" xfId="1192" applyNumberFormat="1" applyFont="1" applyFill="1" applyBorder="1" applyAlignment="1">
      <alignment horizontal="center" vertical="center"/>
    </xf>
    <xf numFmtId="0" fontId="13" fillId="0" borderId="1" xfId="1192" applyFont="1" applyFill="1" applyBorder="1" applyAlignment="1">
      <alignment horizontal="left" vertical="center"/>
    </xf>
    <xf numFmtId="0" fontId="2" fillId="0" borderId="1" xfId="1192" applyFont="1" applyFill="1" applyBorder="1" applyAlignment="1">
      <alignment horizontal="center" vertical="center" wrapText="1"/>
    </xf>
    <xf numFmtId="0" fontId="13" fillId="0" borderId="0" xfId="0" applyNumberFormat="1" applyFont="1"/>
    <xf numFmtId="0" fontId="27" fillId="0" borderId="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13" fillId="0" borderId="32" xfId="0" applyNumberFormat="1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72" fillId="0" borderId="29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justify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2" fontId="78" fillId="0" borderId="1" xfId="0" applyNumberFormat="1" applyFont="1" applyBorder="1" applyAlignment="1">
      <alignment horizontal="center" vertical="center" wrapText="1"/>
    </xf>
    <xf numFmtId="0" fontId="77" fillId="0" borderId="29" xfId="0" applyFont="1" applyBorder="1" applyAlignment="1">
      <alignment horizontal="center" vertical="center" wrapText="1"/>
    </xf>
    <xf numFmtId="0" fontId="78" fillId="0" borderId="1" xfId="0" applyNumberFormat="1" applyFont="1" applyBorder="1" applyAlignment="1">
      <alignment horizontal="center" vertical="center" wrapText="1"/>
    </xf>
    <xf numFmtId="0" fontId="79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left" vertical="center" wrapText="1"/>
    </xf>
    <xf numFmtId="0" fontId="30" fillId="0" borderId="35" xfId="0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0" fontId="30" fillId="0" borderId="31" xfId="0" applyFont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0" xfId="0" applyFont="1" applyBorder="1" applyAlignment="1">
      <alignment horizontal="center" wrapText="1"/>
    </xf>
    <xf numFmtId="0" fontId="47" fillId="0" borderId="5" xfId="0" applyFont="1" applyBorder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/>
    </xf>
    <xf numFmtId="0" fontId="47" fillId="0" borderId="2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47" fillId="0" borderId="3" xfId="0" applyFont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/>
    </xf>
    <xf numFmtId="0" fontId="47" fillId="0" borderId="1" xfId="1303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 wrapText="1"/>
    </xf>
    <xf numFmtId="0" fontId="13" fillId="0" borderId="1" xfId="1303" applyFont="1" applyFill="1" applyBorder="1" applyAlignment="1">
      <alignment horizontal="center" vertical="center"/>
    </xf>
    <xf numFmtId="0" fontId="20" fillId="0" borderId="0" xfId="0" applyFont="1" applyBorder="1"/>
    <xf numFmtId="0" fontId="0" fillId="0" borderId="0" xfId="1298"/>
    <xf numFmtId="0" fontId="81" fillId="0" borderId="12" xfId="1298" applyFont="1" applyBorder="1" applyAlignment="1">
      <alignment horizontal="center"/>
    </xf>
    <xf numFmtId="0" fontId="82" fillId="0" borderId="1" xfId="1298" applyFont="1" applyBorder="1" applyAlignment="1">
      <alignment horizontal="center" vertical="center"/>
    </xf>
    <xf numFmtId="49" fontId="82" fillId="0" borderId="1" xfId="1298" applyNumberFormat="1" applyFont="1" applyBorder="1" applyAlignment="1">
      <alignment horizontal="center" vertical="center"/>
    </xf>
    <xf numFmtId="0" fontId="83" fillId="0" borderId="0" xfId="1298" applyFont="1" applyAlignment="1">
      <alignment horizontal="center" vertical="center"/>
    </xf>
    <xf numFmtId="49" fontId="0" fillId="0" borderId="0" xfId="1298" applyNumberFormat="1"/>
  </cellXfs>
  <cellStyles count="17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Accent4 4" xfId="49"/>
    <cellStyle name="_ET_STYLE_NoName_00__表2-3" xfId="50"/>
    <cellStyle name="60% - Accent2 4" xfId="51"/>
    <cellStyle name="args.style" xfId="52"/>
    <cellStyle name="Accent1 5" xfId="53"/>
    <cellStyle name="Accent2 - 20% 2" xfId="54"/>
    <cellStyle name="_Book1_2 2" xfId="55"/>
    <cellStyle name="Accent2 - 40%" xfId="56"/>
    <cellStyle name="Input 2" xfId="57"/>
    <cellStyle name="Accent6 4" xfId="58"/>
    <cellStyle name="Accent2 - 60%" xfId="59"/>
    <cellStyle name="Accent2 - 20% 3" xfId="60"/>
    <cellStyle name="_Book1_2 3" xfId="61"/>
    <cellStyle name="常规 2 2 2_ 竣工验收费预算表" xfId="62"/>
    <cellStyle name="差_Book1 2" xfId="63"/>
    <cellStyle name="Accent4 5" xfId="64"/>
    <cellStyle name="60% - 强调文字颜色 2 3" xfId="65"/>
    <cellStyle name="20% - Accent4 4" xfId="66"/>
    <cellStyle name="20% - 强调文字颜色 4 5" xfId="67"/>
    <cellStyle name="好_贺兰金贵镇2013年高标准估算表9.7 3" xfId="68"/>
    <cellStyle name="_ET_STYLE_NoName_00__Sheet3" xfId="69"/>
    <cellStyle name="Accent6 3" xfId="70"/>
    <cellStyle name="百分比 7" xfId="71"/>
    <cellStyle name="0,0_x005f_x005f_x005f_x000d__x000a_NA_x005f_x005f_x005f_x000d__x000a__02 陈阳川水库工程概算核定（马微核量，朱清核价2011.8.26）" xfId="72"/>
    <cellStyle name="好_宁夏农垦农业综合开发十二五规划3.15 4" xfId="73"/>
    <cellStyle name="常规 6 5" xfId="74"/>
    <cellStyle name="Explanatory Text 3" xfId="75"/>
    <cellStyle name="好_宁夏农垦农业综合开发十二五规划3.15" xfId="76"/>
    <cellStyle name="好_2011年南梁农场利用政策性贷款实施农业综合开发项目预算表_贺兰北庙9-8" xfId="77"/>
    <cellStyle name="百分比 4" xfId="78"/>
    <cellStyle name="百分比 5" xfId="79"/>
    <cellStyle name="好_农发仪器设备1_渠口农场水库移民项目 2" xfId="80"/>
    <cellStyle name="0,0_x000d__x000a_NA_x000d__x000a_" xfId="81"/>
    <cellStyle name="好_宁夏农垦农业综合开发十二五规划3.15 2" xfId="82"/>
    <cellStyle name="Accent6 2" xfId="83"/>
    <cellStyle name="Accent1_Book1" xfId="84"/>
    <cellStyle name="百分比 6" xfId="85"/>
    <cellStyle name="好_宁夏农垦农业综合开发十二五规划3.15 3" xfId="86"/>
    <cellStyle name="Accent6 5" xfId="87"/>
    <cellStyle name="_彭堡水库概算" xfId="88"/>
    <cellStyle name="好_13标预算_贺兰金贵镇2013年高标准估算表8.27 4" xfId="89"/>
    <cellStyle name="40% - Accent1 4" xfId="90"/>
    <cellStyle name="Input" xfId="91"/>
    <cellStyle name="40% - 强调文字颜色 4 2" xfId="92"/>
    <cellStyle name="常规 13 5" xfId="93"/>
    <cellStyle name="常规 2 2 2 5" xfId="94"/>
    <cellStyle name="Calculation 4" xfId="95"/>
    <cellStyle name="好_农发仪器设备1_Book1 2" xfId="96"/>
    <cellStyle name="好_2012年巴浪湖农业综合开发预算(2)_中宁高山寺投资估算11.8终 4" xfId="97"/>
    <cellStyle name="Neutral 3" xfId="98"/>
    <cellStyle name="差_中宁高山寺投资估算11.8终 4" xfId="99"/>
    <cellStyle name="40% - 强调文字颜色 6 5" xfId="100"/>
    <cellStyle name="差_Book1_2_贺兰金贵镇2013年高标准估算表8.27" xfId="101"/>
    <cellStyle name="Heading 3" xfId="102"/>
    <cellStyle name="常规 3 2 6" xfId="103"/>
    <cellStyle name="20% - Accent3 2" xfId="104"/>
    <cellStyle name="20% - 强调文字颜色 3 3" xfId="105"/>
    <cellStyle name="常规 2 2 2 4" xfId="106"/>
    <cellStyle name="好_Book1_1_贺兰金贵镇2013年高标准估算表8.27" xfId="107"/>
    <cellStyle name="Accent2 - 40% 2" xfId="108"/>
    <cellStyle name="常规 2 2 2 6" xfId="109"/>
    <cellStyle name="PSChar" xfId="110"/>
    <cellStyle name="Accent2 - 40% 3" xfId="111"/>
    <cellStyle name="0,0_x005f_x000d__x000a_NA_x005f_x000d__x000a_" xfId="112"/>
    <cellStyle name="常规 2 2 2 7" xfId="113"/>
    <cellStyle name="差_2012估算李 2" xfId="114"/>
    <cellStyle name="Input 3" xfId="115"/>
    <cellStyle name="Accent2 - 40% 4" xfId="116"/>
    <cellStyle name="常规 2 2 2 8" xfId="117"/>
    <cellStyle name="差_2012估算李 3" xfId="118"/>
    <cellStyle name="Input 4" xfId="119"/>
    <cellStyle name="好_2012估算" xfId="120"/>
    <cellStyle name="Accent6 6" xfId="121"/>
    <cellStyle name="好_灌水率及渠道流量计算 2" xfId="122"/>
    <cellStyle name="常规 2 2 2 9" xfId="123"/>
    <cellStyle name="差_2012估算李 4" xfId="124"/>
    <cellStyle name="Input 5" xfId="125"/>
    <cellStyle name="_弱电系统设备配置报价清单" xfId="126"/>
    <cellStyle name="Heading 3 2" xfId="127"/>
    <cellStyle name="好_灌水率及渠道流量计算 3" xfId="128"/>
    <cellStyle name="强调 1 4" xfId="129"/>
    <cellStyle name="_ET_STYLE_NoName_00__Book1" xfId="130"/>
    <cellStyle name="好_渠口预算_建材厂预算 3" xfId="131"/>
    <cellStyle name="_ET_STYLE_NoName_00_" xfId="132"/>
    <cellStyle name="Heading 3 4" xfId="133"/>
    <cellStyle name="_Book1_1" xfId="134"/>
    <cellStyle name="好_2012估算chen2_建材厂预算 4" xfId="135"/>
    <cellStyle name="_20100326高清市院遂宁检察院1080P配置清单26日改" xfId="136"/>
    <cellStyle name="60% - Accent1" xfId="137"/>
    <cellStyle name="_大战场预算" xfId="138"/>
    <cellStyle name="常规 2 7 2" xfId="139"/>
    <cellStyle name="_Book1" xfId="140"/>
    <cellStyle name="_1泉眼山110kV变电站工程" xfId="141"/>
    <cellStyle name="Accent5 4" xfId="142"/>
    <cellStyle name="_2010年第一批自来水入户工程量清单(发）xls" xfId="143"/>
    <cellStyle name="常规 3 2 3" xfId="144"/>
    <cellStyle name="Accent2 - 20%" xfId="145"/>
    <cellStyle name="_Book1_2" xfId="146"/>
    <cellStyle name="Accent2 - 20% 4" xfId="147"/>
    <cellStyle name="_Book1_2 4" xfId="148"/>
    <cellStyle name="Accent5 - 60% 3" xfId="149"/>
    <cellStyle name="_ET_STYLE_NoName_00__Book1_1" xfId="150"/>
    <cellStyle name="差_灵武泵站总预算表 3" xfId="151"/>
    <cellStyle name="Accent1 - 60%" xfId="152"/>
    <cellStyle name="_ET_STYLE_NoName_00__表1" xfId="153"/>
    <cellStyle name="Accent3 - 40% 2" xfId="154"/>
    <cellStyle name="_红三干27支排水沟工程" xfId="155"/>
    <cellStyle name="_汇总表" xfId="156"/>
    <cellStyle name="Heading 2 4" xfId="157"/>
    <cellStyle name="_节灌工程量清单" xfId="158"/>
    <cellStyle name="_宽口井生态移民工程预算表" xfId="159"/>
    <cellStyle name="常规 4_2010年第一批自来水入户工程量清单(发）xls" xfId="160"/>
    <cellStyle name="20% - Accent2 4" xfId="161"/>
    <cellStyle name="20% - 强调文字颜色 2 5" xfId="162"/>
    <cellStyle name="_彭堡水库控制价（方案一自拌砼）" xfId="163"/>
    <cellStyle name="20% - Accent4 2" xfId="164"/>
    <cellStyle name="20% - 强调文字颜色 4 3" xfId="165"/>
    <cellStyle name="_吴忠市五里坡移民项目骨干工程2010.10.20-2" xfId="166"/>
    <cellStyle name="_原州区设施农业10万方蓄水池配套工程222万元" xfId="167"/>
    <cellStyle name="PSDate" xfId="168"/>
    <cellStyle name="Accent1 - 40% 4" xfId="169"/>
    <cellStyle name="_中宁人饮工程量分段2010(1).3.11" xfId="170"/>
    <cellStyle name="标题 8" xfId="171"/>
    <cellStyle name="常规 10 2" xfId="172"/>
    <cellStyle name="Good 2" xfId="173"/>
    <cellStyle name="_中宁县宽口井概算审核" xfId="174"/>
    <cellStyle name="差_渠口预算" xfId="175"/>
    <cellStyle name="20% - Accent1" xfId="176"/>
    <cellStyle name="Accent1 - 20%" xfId="177"/>
    <cellStyle name="差_渠口预算 2" xfId="178"/>
    <cellStyle name="20% - Accent1 2" xfId="179"/>
    <cellStyle name="20% - 强调文字颜色 1 3" xfId="180"/>
    <cellStyle name="Accent1 - 20% 2" xfId="181"/>
    <cellStyle name="差_渠口预算 3" xfId="182"/>
    <cellStyle name="20% - Accent1 3" xfId="183"/>
    <cellStyle name="20% - 强调文字颜色 1 4" xfId="184"/>
    <cellStyle name="Accent1 - 20% 3" xfId="185"/>
    <cellStyle name="差_渠口预算 4" xfId="186"/>
    <cellStyle name="20% - Accent1 4" xfId="187"/>
    <cellStyle name="20% - 强调文字颜色 1 5" xfId="188"/>
    <cellStyle name="Accent1 - 20% 4" xfId="189"/>
    <cellStyle name="20% - Accent2" xfId="190"/>
    <cellStyle name="好_Book1_1_贺兰金贵镇2013年高标准估算表8.27 3" xfId="191"/>
    <cellStyle name="20% - Accent2 2" xfId="192"/>
    <cellStyle name="20% - 强调文字颜色 2 3" xfId="193"/>
    <cellStyle name="好_Book1_1_贺兰金贵镇2013年高标准估算表8.27 4" xfId="194"/>
    <cellStyle name="20% - Accent2 3" xfId="195"/>
    <cellStyle name="20% - 强调文字颜色 2 4" xfId="196"/>
    <cellStyle name="20% - Accent3" xfId="197"/>
    <cellStyle name="Heading 4" xfId="198"/>
    <cellStyle name="60% - 强调文字颜色 1 2" xfId="199"/>
    <cellStyle name="常规 3 2 7" xfId="200"/>
    <cellStyle name="20% - Accent3 3" xfId="201"/>
    <cellStyle name="20% - 强调文字颜色 3 4" xfId="202"/>
    <cellStyle name="60% - 强调文字颜色 1 3" xfId="203"/>
    <cellStyle name="常规 3 2 8" xfId="204"/>
    <cellStyle name="20% - Accent3 4" xfId="205"/>
    <cellStyle name="20% - 强调文字颜色 3 5" xfId="206"/>
    <cellStyle name="Accent6 - 60% 2" xfId="207"/>
    <cellStyle name="20% - Accent4" xfId="208"/>
    <cellStyle name="60% - 强调文字颜色 2 2" xfId="209"/>
    <cellStyle name="20% - Accent4 3" xfId="210"/>
    <cellStyle name="20% - 强调文字颜色 4 4" xfId="211"/>
    <cellStyle name="Accent6 - 60% 3" xfId="212"/>
    <cellStyle name="20% - Accent5" xfId="213"/>
    <cellStyle name="20% - Accent5 2" xfId="214"/>
    <cellStyle name="20% - 强调文字颜色 5 3" xfId="215"/>
    <cellStyle name="60% - 强调文字颜色 3 2" xfId="216"/>
    <cellStyle name="20% - Accent5 3" xfId="217"/>
    <cellStyle name="20% - 强调文字颜色 5 4" xfId="218"/>
    <cellStyle name="Accent5 - 40% 2" xfId="219"/>
    <cellStyle name="60% - 强调文字颜色 3 3" xfId="220"/>
    <cellStyle name="20% - Accent5 4" xfId="221"/>
    <cellStyle name="20% - 强调文字颜色 5 5" xfId="222"/>
    <cellStyle name="Accent6 - 60% 4" xfId="223"/>
    <cellStyle name="20% - Accent6" xfId="224"/>
    <cellStyle name="20% - Accent6 2" xfId="225"/>
    <cellStyle name="20% - 强调文字颜色 6 3" xfId="226"/>
    <cellStyle name="Neutral" xfId="227"/>
    <cellStyle name="差_2012年巴浪湖农业综合开发预算(2)_中宁高山寺投资估算11.8终 4" xfId="228"/>
    <cellStyle name="Accent6_Book1" xfId="229"/>
    <cellStyle name="60% - 强调文字颜色 4 2" xfId="230"/>
    <cellStyle name="20% - Accent6 3" xfId="231"/>
    <cellStyle name="20% - 强调文字颜色 6 4" xfId="232"/>
    <cellStyle name="60% - 强调文字颜色 4 3" xfId="233"/>
    <cellStyle name="20% - Accent6 4" xfId="234"/>
    <cellStyle name="20% - 强调文字颜色 6 5" xfId="235"/>
    <cellStyle name="20% - 强调文字颜色 1 2" xfId="236"/>
    <cellStyle name="好_Book1_1_贺兰金贵镇2013年高标准估算表8.27 2" xfId="237"/>
    <cellStyle name="20% - 强调文字颜色 2 2" xfId="238"/>
    <cellStyle name="Heading 2" xfId="239"/>
    <cellStyle name="常规 3 2 5" xfId="240"/>
    <cellStyle name="20% - 强调文字颜色 3 2" xfId="241"/>
    <cellStyle name="好_农发仪器设备1_Book1_贺兰金贵镇2013年高标准估算表8.27" xfId="242"/>
    <cellStyle name="Mon閠aire_!!!GO" xfId="243"/>
    <cellStyle name="20% - 强调文字颜色 4 2" xfId="244"/>
    <cellStyle name="20% - 强调文字颜色 5 2" xfId="245"/>
    <cellStyle name="20% - 强调文字颜色 6 2" xfId="246"/>
    <cellStyle name="好_13标预算_贺兰金贵镇2013年高标准估算表8.27" xfId="247"/>
    <cellStyle name="40% - Accent1" xfId="248"/>
    <cellStyle name="好_2011年南梁农场利用政策性贷款实施农业综合开发项目预算表_Book1_1 4" xfId="249"/>
    <cellStyle name="好_13标预算_贺兰金贵镇2013年高标准估算表8.27 2" xfId="250"/>
    <cellStyle name="40% - Accent1 2" xfId="251"/>
    <cellStyle name="标题1" xfId="252"/>
    <cellStyle name="好_13标预算_贺兰金贵镇2013年高标准估算表8.27 3" xfId="253"/>
    <cellStyle name="40% - Accent1 3" xfId="254"/>
    <cellStyle name="好_农发仪器设备1_北庙灌水率及渠道流量计算 2" xfId="255"/>
    <cellStyle name="40% - Accent2" xfId="256"/>
    <cellStyle name="40% - Accent2 2" xfId="257"/>
    <cellStyle name="好_连湖预算_建材厂预算" xfId="258"/>
    <cellStyle name="40% - Accent2 3" xfId="259"/>
    <cellStyle name="40% - Accent2 4" xfId="260"/>
    <cellStyle name="好_农发仪器设备1_北庙灌水率及渠道流量计算 3" xfId="261"/>
    <cellStyle name="差_农发仪器设备1_Book1 2" xfId="262"/>
    <cellStyle name="40% - Accent3" xfId="263"/>
    <cellStyle name="40% - Accent3 2" xfId="264"/>
    <cellStyle name="40% - Accent3 3" xfId="265"/>
    <cellStyle name="40% - Accent3 4" xfId="266"/>
    <cellStyle name="好_农发仪器设备1_北庙灌水率及渠道流量计算 4" xfId="267"/>
    <cellStyle name="差_农发仪器设备1_Book1 3" xfId="268"/>
    <cellStyle name="40% - Accent4" xfId="269"/>
    <cellStyle name="Normal - Style1" xfId="270"/>
    <cellStyle name="40% - Accent4 2" xfId="271"/>
    <cellStyle name="好_Book1_北庙灌水率及渠道流量计算 4" xfId="272"/>
    <cellStyle name="差_2012估算李_建材厂预算 2" xfId="273"/>
    <cellStyle name="Currency_!!!GO" xfId="274"/>
    <cellStyle name="40% - Accent4 3" xfId="275"/>
    <cellStyle name="警告文本 2" xfId="276"/>
    <cellStyle name="差_农发仪器设备1_Book1 4" xfId="277"/>
    <cellStyle name="40% - Accent5" xfId="278"/>
    <cellStyle name="好_13标预算_贺兰山东麓泵站工程预算 3" xfId="279"/>
    <cellStyle name="60% - 强调文字颜色 1 5" xfId="280"/>
    <cellStyle name="40% - Accent5 2" xfId="281"/>
    <cellStyle name="40% - Accent5 3" xfId="282"/>
    <cellStyle name="千分位_bj22" xfId="283"/>
    <cellStyle name="40% - Accent5 4" xfId="284"/>
    <cellStyle name="警告文本 3" xfId="285"/>
    <cellStyle name="40% - Accent6" xfId="286"/>
    <cellStyle name="60% - 强调文字颜色 2 5" xfId="287"/>
    <cellStyle name="40% - Accent6 2" xfId="288"/>
    <cellStyle name="40% - Accent6 3" xfId="289"/>
    <cellStyle name="40% - Accent6 4" xfId="290"/>
    <cellStyle name="40% - 强调文字颜色 1 2" xfId="291"/>
    <cellStyle name="Accent1" xfId="292"/>
    <cellStyle name="常规 9 2" xfId="293"/>
    <cellStyle name="40% - 强调文字颜色 1 3" xfId="294"/>
    <cellStyle name="Accent2" xfId="295"/>
    <cellStyle name="常规 9 3" xfId="296"/>
    <cellStyle name="40% - 强调文字颜色 1 4" xfId="297"/>
    <cellStyle name="Accent3" xfId="298"/>
    <cellStyle name="常规 9 4" xfId="299"/>
    <cellStyle name="40% - 强调文字颜色 1 5" xfId="300"/>
    <cellStyle name="Bad 4" xfId="301"/>
    <cellStyle name="差_灌水率及渠道流量计算_中宁县恩和镇可研预算9.9" xfId="302"/>
    <cellStyle name="40% - 强调文字颜色 2 2" xfId="303"/>
    <cellStyle name="差_建筑安装工程 2" xfId="304"/>
    <cellStyle name="40% - 强调文字颜色 2 3" xfId="305"/>
    <cellStyle name="好_农垦局2011年农发土地项目计划投资明细表(打印)" xfId="306"/>
    <cellStyle name="差_建筑安装工程 3" xfId="307"/>
    <cellStyle name="40% - 强调文字颜色 2 4" xfId="308"/>
    <cellStyle name="差_建筑安装工程 4" xfId="309"/>
    <cellStyle name="40% - 强调文字颜色 2 5" xfId="310"/>
    <cellStyle name="好_贺兰北庙9-8" xfId="311"/>
    <cellStyle name="40% - 强调文字颜色 3 2" xfId="312"/>
    <cellStyle name="好_建材厂预算 2" xfId="313"/>
    <cellStyle name="40% - 强调文字颜色 3 3" xfId="314"/>
    <cellStyle name="好_建材厂预算 3" xfId="315"/>
    <cellStyle name="40% - 强调文字颜色 3 4" xfId="316"/>
    <cellStyle name="好_建材厂预算 4" xfId="317"/>
    <cellStyle name="40% - 强调文字颜色 3 5" xfId="318"/>
    <cellStyle name="Accent6 - 20% 2" xfId="319"/>
    <cellStyle name="40% - 强调文字颜色 4 3" xfId="320"/>
    <cellStyle name="好_农发仪器设备1_贺兰山东麓泵站工程预算" xfId="321"/>
    <cellStyle name="Accent6 - 20% 3" xfId="322"/>
    <cellStyle name="40% - 强调文字颜色 4 4" xfId="323"/>
    <cellStyle name="Accent6 - 20% 4" xfId="324"/>
    <cellStyle name="好_13标预算_北庙灌水率及渠道流量计算9-6 3" xfId="325"/>
    <cellStyle name="Accent4 - 60% 2" xfId="326"/>
    <cellStyle name="好_宁夏农垦农业综合开发十二五规划3.15_贺兰金贵镇2013年高标准估算表8.27 2" xfId="327"/>
    <cellStyle name="40% - 强调文字颜色 4 5" xfId="328"/>
    <cellStyle name="好_2012估算 2" xfId="329"/>
    <cellStyle name="好 2 3" xfId="330"/>
    <cellStyle name="40% - 强调文字颜色 5 2" xfId="331"/>
    <cellStyle name="好_Book1_1_贺兰北庙9-8" xfId="332"/>
    <cellStyle name="好_2012估算 3" xfId="333"/>
    <cellStyle name="好 2 4" xfId="334"/>
    <cellStyle name="40% - 强调文字颜色 5 3" xfId="335"/>
    <cellStyle name="好_2012估算 4" xfId="336"/>
    <cellStyle name="40% - 强调文字颜色 5 4" xfId="337"/>
    <cellStyle name="no dec" xfId="338"/>
    <cellStyle name="Calculation 2" xfId="339"/>
    <cellStyle name="40% - 强调文字颜色 5 5" xfId="340"/>
    <cellStyle name="40% - 强调文字颜色 6 2" xfId="341"/>
    <cellStyle name="差_中宁高山寺投资估算11.8终 2" xfId="342"/>
    <cellStyle name="40% - 强调文字颜色 6 3" xfId="343"/>
    <cellStyle name="好_2012年巴浪湖农业综合开发预算(2)_中宁高山寺投资估算11.8终 3" xfId="344"/>
    <cellStyle name="Neutral 2" xfId="345"/>
    <cellStyle name="差_中宁高山寺投资估算11.8终 3" xfId="346"/>
    <cellStyle name="40% - 强调文字颜色 6 4" xfId="347"/>
    <cellStyle name="Accent4 - 20% 3" xfId="348"/>
    <cellStyle name="60% - Accent1 2" xfId="349"/>
    <cellStyle name="超链接 2" xfId="350"/>
    <cellStyle name="Accent4 - 20% 4" xfId="351"/>
    <cellStyle name="Accent2 - 60% 2" xfId="352"/>
    <cellStyle name="60% - Accent1 3" xfId="353"/>
    <cellStyle name="Accent2 - 60% 3" xfId="354"/>
    <cellStyle name="好_Book1_2_贺兰金贵镇2013年高标准估算表9.7" xfId="355"/>
    <cellStyle name="60% - Accent1 4" xfId="356"/>
    <cellStyle name="Title 2" xfId="357"/>
    <cellStyle name="60% - Accent2" xfId="358"/>
    <cellStyle name="60% - Accent2 2" xfId="359"/>
    <cellStyle name="60% - Accent2 3" xfId="360"/>
    <cellStyle name="Title 3" xfId="361"/>
    <cellStyle name="差_13标预算_贺兰山东麓泵站工程预算" xfId="362"/>
    <cellStyle name="Accent4_Book1" xfId="363"/>
    <cellStyle name="60% - Accent3" xfId="364"/>
    <cellStyle name="Bad" xfId="365"/>
    <cellStyle name="60% - Accent3 2" xfId="366"/>
    <cellStyle name="60% - Accent3 3" xfId="367"/>
    <cellStyle name="常规 2 3 4" xfId="368"/>
    <cellStyle name="t_HVAC Equipment (3)" xfId="369"/>
    <cellStyle name="60% - Accent3 4" xfId="370"/>
    <cellStyle name="Percent [2] 2" xfId="371"/>
    <cellStyle name="Title 4" xfId="372"/>
    <cellStyle name="PSInt" xfId="373"/>
    <cellStyle name="60% - Accent4" xfId="374"/>
    <cellStyle name="per.style" xfId="375"/>
    <cellStyle name="PSInt 2" xfId="376"/>
    <cellStyle name="差_2011年南梁农场利用政策性贷款实施农业综合开发项目预算表_Book1_1" xfId="377"/>
    <cellStyle name="60% - Accent4 2" xfId="378"/>
    <cellStyle name="PSInt 3" xfId="379"/>
    <cellStyle name="60% - Accent4 3" xfId="380"/>
    <cellStyle name="PSInt 4" xfId="381"/>
    <cellStyle name="60% - Accent4 4" xfId="382"/>
    <cellStyle name="PSChar 2" xfId="383"/>
    <cellStyle name="强调文字颜色 4 2" xfId="384"/>
    <cellStyle name="60% - Accent5" xfId="385"/>
    <cellStyle name="60% - Accent5 2" xfId="386"/>
    <cellStyle name="60% - Accent5 3" xfId="387"/>
    <cellStyle name="Input_于祥灌水率及渠道流量计算1" xfId="388"/>
    <cellStyle name="60% - Accent5 4" xfId="389"/>
    <cellStyle name="PSChar 3" xfId="390"/>
    <cellStyle name="t" xfId="391"/>
    <cellStyle name="强调文字颜色 4 3" xfId="392"/>
    <cellStyle name="60% - Accent6" xfId="393"/>
    <cellStyle name="60% - Accent6 2" xfId="394"/>
    <cellStyle name="差_宁夏农垦农业综合开发十二五规划3.15_灌水率及渠道流量计算 4" xfId="395"/>
    <cellStyle name="RowLevel_0" xfId="396"/>
    <cellStyle name="60% - Accent6 3" xfId="397"/>
    <cellStyle name="60% - Accent6 4" xfId="398"/>
    <cellStyle name="Explanatory Text" xfId="399"/>
    <cellStyle name="好_13标预算_贺兰山东麓泵站工程预算 2" xfId="400"/>
    <cellStyle name="60% - 强调文字颜色 1 4" xfId="401"/>
    <cellStyle name="60% - 强调文字颜色 2 4" xfId="402"/>
    <cellStyle name="Accent5 - 40% 3" xfId="403"/>
    <cellStyle name="60% - 强调文字颜色 3 4" xfId="404"/>
    <cellStyle name="Accent5 - 40% 4" xfId="405"/>
    <cellStyle name="60% - 强调文字颜色 3 5" xfId="406"/>
    <cellStyle name="60% - 强调文字颜色 4 4" xfId="407"/>
    <cellStyle name="60% - 强调文字颜色 4 5" xfId="408"/>
    <cellStyle name="60% - 强调文字颜色 5 2" xfId="409"/>
    <cellStyle name="差_13标预算_Book1_贺兰金贵镇2013年高标准估算表8.27" xfId="410"/>
    <cellStyle name="60% - 强调文字颜色 5 3" xfId="411"/>
    <cellStyle name="60% - 强调文字颜色 5 4" xfId="412"/>
    <cellStyle name="60% - 强调文字颜色 5 5" xfId="413"/>
    <cellStyle name="60% - 强调文字颜色 6 2" xfId="414"/>
    <cellStyle name="60% - 强调文字颜色 6 3" xfId="415"/>
    <cellStyle name="60% - 强调文字颜色 6 4" xfId="416"/>
    <cellStyle name="60% - 强调文字颜色 6 5" xfId="417"/>
    <cellStyle name="6mal" xfId="418"/>
    <cellStyle name="好_连湖预算_建材厂预算 4" xfId="419"/>
    <cellStyle name="Accent1 - 40%" xfId="420"/>
    <cellStyle name="e鯪9Y_x005f_x000b_" xfId="421"/>
    <cellStyle name="Accent1 - 40% 2" xfId="422"/>
    <cellStyle name="Accent1 - 40% 3" xfId="423"/>
    <cellStyle name="标题 1 5" xfId="424"/>
    <cellStyle name="Accent3 - 20% 4" xfId="425"/>
    <cellStyle name="Accent1 - 60% 2" xfId="426"/>
    <cellStyle name="好_平吉堡晒场及凉棚00000" xfId="427"/>
    <cellStyle name="Accent1 - 60% 3" xfId="428"/>
    <cellStyle name="差_2011年南梁农场利用政策性贷款实施农业综合开发项目预算表 2" xfId="429"/>
    <cellStyle name="Accent1 - 60% 4" xfId="430"/>
    <cellStyle name="Accent1 2" xfId="431"/>
    <cellStyle name="Accent1 3" xfId="432"/>
    <cellStyle name="Accent1 4" xfId="433"/>
    <cellStyle name="sstot" xfId="434"/>
    <cellStyle name="常规 2 2 3 2" xfId="435"/>
    <cellStyle name="Accent1 6" xfId="436"/>
    <cellStyle name="Accent2 - 60% 4" xfId="437"/>
    <cellStyle name="Accent2 2" xfId="438"/>
    <cellStyle name="Accent2 3" xfId="439"/>
    <cellStyle name="Accent2 4" xfId="440"/>
    <cellStyle name="Accent2 5" xfId="441"/>
    <cellStyle name="Date" xfId="442"/>
    <cellStyle name="Accent2 6" xfId="443"/>
    <cellStyle name="Accent2_Book1" xfId="444"/>
    <cellStyle name="Milliers_!!!GO" xfId="445"/>
    <cellStyle name="Accent5 2" xfId="446"/>
    <cellStyle name="Accent3 - 20%" xfId="447"/>
    <cellStyle name="标题 1 3" xfId="448"/>
    <cellStyle name="Accent3 - 20% 2" xfId="449"/>
    <cellStyle name="标题 1 4" xfId="450"/>
    <cellStyle name="Accent3 - 20% 3" xfId="451"/>
    <cellStyle name="Mon閠aire [0]_!!!GO" xfId="452"/>
    <cellStyle name="Accent3 - 40%" xfId="453"/>
    <cellStyle name="Accent4 - 60%" xfId="454"/>
    <cellStyle name="捠壿 [0.00]_Region Orders (2)" xfId="455"/>
    <cellStyle name="Accent3 - 40% 3" xfId="456"/>
    <cellStyle name="好_宁夏农垦农业综合开发十二五规划3.15_贺兰山东麓泵站工程预算 2" xfId="457"/>
    <cellStyle name="PSHeading" xfId="458"/>
    <cellStyle name="Calculation" xfId="459"/>
    <cellStyle name="Accent3 - 40% 4" xfId="460"/>
    <cellStyle name="Accent3 - 60%" xfId="461"/>
    <cellStyle name="Accent5 - 20% 4" xfId="462"/>
    <cellStyle name="Accent3 - 60% 2" xfId="463"/>
    <cellStyle name="Accent3 - 60% 3" xfId="464"/>
    <cellStyle name="Accent3 - 60% 4" xfId="465"/>
    <cellStyle name="Warning Text 4" xfId="466"/>
    <cellStyle name="Accent3 2" xfId="467"/>
    <cellStyle name="Total" xfId="468"/>
    <cellStyle name="Accent3 3" xfId="469"/>
    <cellStyle name="Accent3 4" xfId="470"/>
    <cellStyle name="Accent3 5" xfId="471"/>
    <cellStyle name="Moneda_96 Risk" xfId="472"/>
    <cellStyle name="Accent3 6" xfId="473"/>
    <cellStyle name="常规 13 4" xfId="474"/>
    <cellStyle name="Accent3_Book1" xfId="475"/>
    <cellStyle name="Accent4" xfId="476"/>
    <cellStyle name="Accent4 - 20%" xfId="477"/>
    <cellStyle name="Accent4 - 20% 2" xfId="478"/>
    <cellStyle name="差_特性表 3" xfId="479"/>
    <cellStyle name="PSSpacer 3" xfId="480"/>
    <cellStyle name="差_宁夏农垦农业综合开发十二五规划3.15_渠口农场水库移民项目 2" xfId="481"/>
    <cellStyle name="Accent4 - 40%" xfId="482"/>
    <cellStyle name="Accent6 - 40%" xfId="483"/>
    <cellStyle name="差_立岗镇建筑物统计表" xfId="484"/>
    <cellStyle name="Accent4 - 40% 2" xfId="485"/>
    <cellStyle name="Accent4 - 40% 3" xfId="486"/>
    <cellStyle name="Accent4 - 40% 4" xfId="487"/>
    <cellStyle name="好_13标预算_北庙灌水率及渠道流量计算9-6 4" xfId="488"/>
    <cellStyle name="差_特性表" xfId="489"/>
    <cellStyle name="Accent4 - 60% 3" xfId="490"/>
    <cellStyle name="PSSpacer" xfId="491"/>
    <cellStyle name="Accent4 - 60% 4" xfId="492"/>
    <cellStyle name="Accent6" xfId="493"/>
    <cellStyle name="Accent4 2" xfId="494"/>
    <cellStyle name="New Times Roman" xfId="495"/>
    <cellStyle name="Accent4 3" xfId="496"/>
    <cellStyle name="Accent4 4" xfId="497"/>
    <cellStyle name="差_Book1 3" xfId="498"/>
    <cellStyle name="Accent4 6" xfId="499"/>
    <cellStyle name="Accent5" xfId="500"/>
    <cellStyle name="Accent5 - 60% 4" xfId="501"/>
    <cellStyle name="Accent5 - 20%" xfId="502"/>
    <cellStyle name="Accent5 - 20% 2" xfId="503"/>
    <cellStyle name="好_宁夏农垦农业综合开发十二五规划3.15_北庙灌水率及渠道流量计算9-6" xfId="504"/>
    <cellStyle name="Accent5 - 20% 3" xfId="505"/>
    <cellStyle name="Accent5 - 40%" xfId="506"/>
    <cellStyle name="常规 12" xfId="507"/>
    <cellStyle name="PSDec 4" xfId="508"/>
    <cellStyle name="Accent5 - 60%" xfId="509"/>
    <cellStyle name="Accent5 - 60% 2" xfId="510"/>
    <cellStyle name="Accent5 3" xfId="511"/>
    <cellStyle name="汇总 2" xfId="512"/>
    <cellStyle name="Accent5 5" xfId="513"/>
    <cellStyle name="汇总 3" xfId="514"/>
    <cellStyle name="好_13标预算_Book1" xfId="515"/>
    <cellStyle name="Accent5 6" xfId="516"/>
    <cellStyle name="Accent5_Book1" xfId="517"/>
    <cellStyle name="Accent6 - 20%" xfId="518"/>
    <cellStyle name="Heading 4 4" xfId="519"/>
    <cellStyle name="Accent6 - 40% 2" xfId="520"/>
    <cellStyle name="差_2012估算chen2 4" xfId="521"/>
    <cellStyle name="ColLevel_0" xfId="522"/>
    <cellStyle name="Accent6 - 40% 3" xfId="523"/>
    <cellStyle name="常规 3 3 4" xfId="524"/>
    <cellStyle name="Title" xfId="525"/>
    <cellStyle name="Accent6 - 40% 4" xfId="526"/>
    <cellStyle name="Explanatory Text 4" xfId="527"/>
    <cellStyle name="Accent6 - 60%" xfId="528"/>
    <cellStyle name="常规 11 3" xfId="529"/>
    <cellStyle name="Bad 2" xfId="530"/>
    <cellStyle name="Note" xfId="531"/>
    <cellStyle name="常规 11 4" xfId="532"/>
    <cellStyle name="Bad 3" xfId="533"/>
    <cellStyle name="Calculation 3" xfId="534"/>
    <cellStyle name="Check Cell" xfId="535"/>
    <cellStyle name="好_13标预算_北庙灌水率及渠道流量计算 3" xfId="536"/>
    <cellStyle name="Check Cell 2" xfId="537"/>
    <cellStyle name="好_13标预算_北庙灌水率及渠道流量计算 4" xfId="538"/>
    <cellStyle name="Check Cell 3" xfId="539"/>
    <cellStyle name="Check Cell 4" xfId="540"/>
    <cellStyle name="标题 3 3" xfId="541"/>
    <cellStyle name="Comma [0]_!!!GO" xfId="542"/>
    <cellStyle name="comma zerodec" xfId="543"/>
    <cellStyle name="差_特性表 4" xfId="544"/>
    <cellStyle name="差_贺兰金贵镇2013年高标准估算表8.27" xfId="545"/>
    <cellStyle name="PSSpacer 4" xfId="546"/>
    <cellStyle name="Comma_!!!GO" xfId="547"/>
    <cellStyle name="Currency [0]_!!!GO" xfId="548"/>
    <cellStyle name="好_2011年南梁农场利用政策性贷款实施农业综合开发项目预算表_贺兰金贵镇2013年高标准估算表9.7 2" xfId="549"/>
    <cellStyle name="Currency1" xfId="550"/>
    <cellStyle name="Dollar (zero dec)" xfId="551"/>
    <cellStyle name="Euro" xfId="552"/>
    <cellStyle name="标题 2 4" xfId="553"/>
    <cellStyle name="Euro 2" xfId="554"/>
    <cellStyle name="标题 2 5" xfId="555"/>
    <cellStyle name="差_农发仪器设备1_中宁高山寺投资估算11.8终" xfId="556"/>
    <cellStyle name="Euro 3" xfId="557"/>
    <cellStyle name="Euro 4" xfId="558"/>
    <cellStyle name="Explanatory Text 2" xfId="559"/>
    <cellStyle name="常规 10" xfId="560"/>
    <cellStyle name="Good" xfId="561"/>
    <cellStyle name="PSDec 2" xfId="562"/>
    <cellStyle name="常规 10 3" xfId="563"/>
    <cellStyle name="差_Book1_水利骨干工程概算表" xfId="564"/>
    <cellStyle name="Good 3" xfId="565"/>
    <cellStyle name="常规 10 4" xfId="566"/>
    <cellStyle name="Good 4" xfId="567"/>
    <cellStyle name="差_农发仪器设备1_Book1_贺兰金贵镇2013年高标准估算表9.7" xfId="568"/>
    <cellStyle name="标题 2 2" xfId="569"/>
    <cellStyle name="Percent [2] 4" xfId="570"/>
    <cellStyle name="Grey" xfId="571"/>
    <cellStyle name="差_13标预算_贺兰北庙9-8" xfId="572"/>
    <cellStyle name="Header1" xfId="573"/>
    <cellStyle name="差_农发仪器设备1_灌水率及渠道流量计算_中宁县恩和镇可研预算9.9" xfId="574"/>
    <cellStyle name="差_13标预算_建材厂预算 2" xfId="575"/>
    <cellStyle name="Header2" xfId="576"/>
    <cellStyle name="Heading 1" xfId="577"/>
    <cellStyle name="Heading 1 2" xfId="578"/>
    <cellStyle name="Heading 1 3" xfId="579"/>
    <cellStyle name="Heading 1 4" xfId="580"/>
    <cellStyle name="Heading 2 2" xfId="581"/>
    <cellStyle name="Heading 2 3" xfId="582"/>
    <cellStyle name="Input 6" xfId="583"/>
    <cellStyle name="Heading 3 3" xfId="584"/>
    <cellStyle name="Heading 4 2" xfId="585"/>
    <cellStyle name="差_宁夏农垦农业综合开发十二五规划3.15_灌水率及渠道流量计算" xfId="586"/>
    <cellStyle name="Heading 4 3" xfId="587"/>
    <cellStyle name="千位分隔 2 4" xfId="588"/>
    <cellStyle name="差_Book1_2 2" xfId="589"/>
    <cellStyle name="Input [yellow]" xfId="590"/>
    <cellStyle name="差_2012估算chen2_建材厂预算" xfId="591"/>
    <cellStyle name="Output 2" xfId="592"/>
    <cellStyle name="Input Cells" xfId="593"/>
    <cellStyle name="标题 4 4" xfId="594"/>
    <cellStyle name="Linked Cell" xfId="595"/>
    <cellStyle name="Linked Cell 2" xfId="596"/>
    <cellStyle name="Linked Cell 3" xfId="597"/>
    <cellStyle name="Linked Cell 4" xfId="598"/>
    <cellStyle name="Linked Cells" xfId="599"/>
    <cellStyle name="差_宁夏农垦农业综合开发十二五规划3.15_中宁高山寺投资估算11.8终 4" xfId="600"/>
    <cellStyle name="Millares [0]_96 Risk" xfId="601"/>
    <cellStyle name="好_农发仪器设备1_灌水率及渠道流量计算 4" xfId="602"/>
    <cellStyle name="常规 2 2 2 2" xfId="603"/>
    <cellStyle name="Millares_96 Risk" xfId="604"/>
    <cellStyle name="Milliers [0]_!!!GO" xfId="605"/>
    <cellStyle name="Moneda [0]_96 Risk" xfId="606"/>
    <cellStyle name="好_农发仪器设备1_Book1 3" xfId="607"/>
    <cellStyle name="Neutral 4" xfId="608"/>
    <cellStyle name="好_农发仪器设备1 4" xfId="609"/>
    <cellStyle name="Normal_!!!GO" xfId="610"/>
    <cellStyle name="Normal_Equipment list(CNqiu01)_CHINA Price List - Jan2002" xfId="611"/>
    <cellStyle name="标题 5" xfId="612"/>
    <cellStyle name="常规 5 2 5" xfId="613"/>
    <cellStyle name="Note 2" xfId="614"/>
    <cellStyle name="Pourcentage_pldt" xfId="615"/>
    <cellStyle name="差_立岗镇建筑物统计表_Book1" xfId="616"/>
    <cellStyle name="标题 6" xfId="617"/>
    <cellStyle name="Note 3" xfId="618"/>
    <cellStyle name="标题 7" xfId="619"/>
    <cellStyle name="Note 4" xfId="620"/>
    <cellStyle name="Output" xfId="621"/>
    <cellStyle name="Output 3" xfId="622"/>
    <cellStyle name="Output 4" xfId="623"/>
    <cellStyle name="Percent [2]" xfId="624"/>
    <cellStyle name="Percent [2] 3" xfId="625"/>
    <cellStyle name="好_宁夏农垦农业综合开发十二五规划3.15_渠口农场水库移民项目 4" xfId="626"/>
    <cellStyle name="Percent_!!!GO" xfId="627"/>
    <cellStyle name="PSChar 4" xfId="628"/>
    <cellStyle name="PSDate 2" xfId="629"/>
    <cellStyle name="百分比 2 2" xfId="630"/>
    <cellStyle name="PSDate 3" xfId="631"/>
    <cellStyle name="百分比 2 3" xfId="632"/>
    <cellStyle name="PSDate 4" xfId="633"/>
    <cellStyle name="PSDec" xfId="634"/>
    <cellStyle name="常规 11" xfId="635"/>
    <cellStyle name="PSDec 3" xfId="636"/>
    <cellStyle name="差_特性表 2" xfId="637"/>
    <cellStyle name="PSSpacer 2" xfId="638"/>
    <cellStyle name="常规_曹洼高效节灌投资概算核2014.10.15 2" xfId="639"/>
    <cellStyle name="Standard_AREAS" xfId="640"/>
    <cellStyle name="表标题 3" xfId="641"/>
    <cellStyle name="Total 2" xfId="642"/>
    <cellStyle name="常规_永宁生态移民预算表" xfId="643"/>
    <cellStyle name="表标题 4" xfId="644"/>
    <cellStyle name="Total 3" xfId="645"/>
    <cellStyle name="Total 4" xfId="646"/>
    <cellStyle name="Warning Text" xfId="647"/>
    <cellStyle name="Warning Text 2" xfId="648"/>
    <cellStyle name="Warning Text 3" xfId="649"/>
    <cellStyle name="百分比 2" xfId="650"/>
    <cellStyle name="百分比 2 4" xfId="651"/>
    <cellStyle name="好_渠口农场水库移民项目" xfId="652"/>
    <cellStyle name="百分比 3" xfId="653"/>
    <cellStyle name="好_渠口农场水库移民项目 2" xfId="654"/>
    <cellStyle name="百分比 3 2" xfId="655"/>
    <cellStyle name="好_渠口农场水库移民项目 3" xfId="656"/>
    <cellStyle name="百分比 3 3" xfId="657"/>
    <cellStyle name="好_渠口农场水库移民项目 4" xfId="658"/>
    <cellStyle name="百分比 3 4" xfId="659"/>
    <cellStyle name="捠壿_Region Orders (2)" xfId="660"/>
    <cellStyle name="编号" xfId="661"/>
    <cellStyle name="标题 1 2" xfId="662"/>
    <cellStyle name="标题 2 3" xfId="663"/>
    <cellStyle name="标题 3 2" xfId="664"/>
    <cellStyle name="标题 3 4" xfId="665"/>
    <cellStyle name="标题 3 5" xfId="666"/>
    <cellStyle name="标题 4 2" xfId="667"/>
    <cellStyle name="标题 4 3" xfId="668"/>
    <cellStyle name="标题 4 5" xfId="669"/>
    <cellStyle name="表标题" xfId="670"/>
    <cellStyle name="表标题 2" xfId="671"/>
    <cellStyle name="部门" xfId="672"/>
    <cellStyle name="解释性文本 5" xfId="673"/>
    <cellStyle name="差 2" xfId="674"/>
    <cellStyle name="差_南梁农场建设内容" xfId="675"/>
    <cellStyle name="差 3" xfId="676"/>
    <cellStyle name="差 4" xfId="677"/>
    <cellStyle name="差 5" xfId="678"/>
    <cellStyle name="差_ 竣工验收费预算表" xfId="679"/>
    <cellStyle name="差_1" xfId="680"/>
    <cellStyle name="差_1 2" xfId="681"/>
    <cellStyle name="差_1 3" xfId="682"/>
    <cellStyle name="差_1 4" xfId="683"/>
    <cellStyle name="差_13标预算" xfId="684"/>
    <cellStyle name="好_农发仪器设备1" xfId="685"/>
    <cellStyle name="差_13标预算 2" xfId="686"/>
    <cellStyle name="差_13标预算 3" xfId="687"/>
    <cellStyle name="差_13标预算 4" xfId="688"/>
    <cellStyle name="差_13标预算_Book1" xfId="689"/>
    <cellStyle name="差_13标预算_Book1 2" xfId="690"/>
    <cellStyle name="差_13标预算_Book1 3" xfId="691"/>
    <cellStyle name="差_13标预算_Book1 4" xfId="692"/>
    <cellStyle name="差_13标预算_Book1_贺兰北庙9-8" xfId="693"/>
    <cellStyle name="差_13标预算_Book1_贺兰金贵镇2013年高标准估算表8.27 2" xfId="694"/>
    <cellStyle name="差_13标预算_Book1_贺兰金贵镇2013年高标准估算表8.27 3" xfId="695"/>
    <cellStyle name="差_13标预算_Book1_贺兰金贵镇2013年高标准估算表8.27 4" xfId="696"/>
    <cellStyle name="差_13标预算_Book1_贺兰金贵镇2013年高标准估算表9.7" xfId="697"/>
    <cellStyle name="差_13标预算_北庙灌水率及渠道流量计算 4" xfId="698"/>
    <cellStyle name="差_13标预算_Book1_贺兰金贵镇2013年高标准估算表9.7 2" xfId="699"/>
    <cellStyle name="差_13标预算_Book1_贺兰金贵镇2013年高标准估算表9.7 3" xfId="700"/>
    <cellStyle name="差_13标预算_Book1_贺兰金贵镇2013年高标准估算表9.7 4" xfId="701"/>
    <cellStyle name="差_13标预算_Book1_中宁县恩和镇可研预算9.9" xfId="702"/>
    <cellStyle name="差_13标预算_北庙灌水率及渠道流量计算" xfId="703"/>
    <cellStyle name="差_13标预算_北庙灌水率及渠道流量计算 2" xfId="704"/>
    <cellStyle name="常规 27" xfId="705"/>
    <cellStyle name="差_13标预算_北庙灌水率及渠道流量计算 3" xfId="706"/>
    <cellStyle name="差_Book1_1_Book1 2" xfId="707"/>
    <cellStyle name="差_13标预算_北庙灌水率及渠道流量计算9-6" xfId="708"/>
    <cellStyle name="好_南梁农场建设内容" xfId="709"/>
    <cellStyle name="差_13标预算_北庙灌水率及渠道流量计算9-6 2" xfId="710"/>
    <cellStyle name="差_立岗镇建筑物统计表_Book1_1" xfId="711"/>
    <cellStyle name="差_13标预算_北庙灌水率及渠道流量计算9-6 3" xfId="712"/>
    <cellStyle name="差_13标预算_北庙灌水率及渠道流量计算9-6 4" xfId="713"/>
    <cellStyle name="差_13标预算_灌水率及渠道流量计算" xfId="714"/>
    <cellStyle name="差_13标预算_灌水率及渠道流量计算 2" xfId="715"/>
    <cellStyle name="差_13标预算_灌水率及渠道流量计算 3" xfId="716"/>
    <cellStyle name="差_13标预算_灌水率及渠道流量计算 4" xfId="717"/>
    <cellStyle name="常规 5 4 3" xfId="718"/>
    <cellStyle name="差_13标预算_灌水率及渠道流量计算_中宁县恩和镇可研预算9.9" xfId="719"/>
    <cellStyle name="差_13标预算_贺兰金贵镇2013年高标准估算表8.27" xfId="720"/>
    <cellStyle name="差_13标预算_贺兰金贵镇2013年高标准估算表8.27 2" xfId="721"/>
    <cellStyle name="差_13标预算_贺兰金贵镇2013年高标准估算表8.27 3" xfId="722"/>
    <cellStyle name="差_13标预算_贺兰金贵镇2013年高标准估算表8.27 4" xfId="723"/>
    <cellStyle name="差_13标预算_贺兰金贵镇2013年高标准估算表9.7" xfId="724"/>
    <cellStyle name="差_13标预算_贺兰金贵镇2013年高标准估算表9.7 2" xfId="725"/>
    <cellStyle name="差_13标预算_贺兰金贵镇2013年高标准估算表9.7 3" xfId="726"/>
    <cellStyle name="常规_材差" xfId="727"/>
    <cellStyle name="差_13标预算_贺兰金贵镇2013年高标准估算表9.7 4" xfId="728"/>
    <cellStyle name="差_13标预算_贺兰山东麓泵站工程预算 2" xfId="729"/>
    <cellStyle name="差_13标预算_贺兰山东麓泵站工程预算 3" xfId="730"/>
    <cellStyle name="差_13标预算_贺兰山东麓泵站工程预算 4" xfId="731"/>
    <cellStyle name="差_13标预算_建材厂预算" xfId="732"/>
    <cellStyle name="差_13标预算_建材厂预算 3" xfId="733"/>
    <cellStyle name="差_13标预算_建材厂预算 4" xfId="734"/>
    <cellStyle name="差_13标预算_渠口农场水库移民项目" xfId="735"/>
    <cellStyle name="差_13标预算_渠口农场水库移民项目 2" xfId="736"/>
    <cellStyle name="差_13标预算_渠口农场水库移民项目 3" xfId="737"/>
    <cellStyle name="差_13标预算_渠口农场水库移民项目 4" xfId="738"/>
    <cellStyle name="常规 3 2 2" xfId="739"/>
    <cellStyle name="差_13标预算_中宁高山寺投资估算11.8终" xfId="740"/>
    <cellStyle name="差_13标预算_中宁高山寺投资估算11.8终 2" xfId="741"/>
    <cellStyle name="差_13标预算_中宁高山寺投资估算11.8终 3" xfId="742"/>
    <cellStyle name="差_13标预算_中宁高山寺投资估算11.8终 4" xfId="743"/>
    <cellStyle name="差_2011年南梁农场利用政策性贷款实施农业综合开发项目预算表" xfId="744"/>
    <cellStyle name="差_2011年南梁农场利用政策性贷款实施农业综合开发项目预算表 3" xfId="745"/>
    <cellStyle name="差_2011年南梁农场利用政策性贷款实施农业综合开发项目预算表 4" xfId="746"/>
    <cellStyle name="差_2011年南梁农场利用政策性贷款实施农业综合开发项目预算表_Book1" xfId="747"/>
    <cellStyle name="差_2011年南梁农场利用政策性贷款实施农业综合开发项目预算表_Book1 2" xfId="748"/>
    <cellStyle name="差_2011年南梁农场利用政策性贷款实施农业综合开发项目预算表_Book1 3" xfId="749"/>
    <cellStyle name="好_农发仪器设备1_贺兰金贵镇2013年高标准估算表8.27" xfId="750"/>
    <cellStyle name="差_2011年南梁农场利用政策性贷款实施农业综合开发项目预算表_Book1 4" xfId="751"/>
    <cellStyle name="差_2011年南梁农场利用政策性贷款实施农业综合开发项目预算表_Book1_1 2" xfId="752"/>
    <cellStyle name="差_2011年南梁农场利用政策性贷款实施农业综合开发项目预算表_Book1_1 3" xfId="753"/>
    <cellStyle name="差_Book1_1_北庙灌水率及渠道流量计算" xfId="754"/>
    <cellStyle name="差_2011年南梁农场利用政策性贷款实施农业综合开发项目预算表_Book1_1 4" xfId="755"/>
    <cellStyle name="常规 11 2" xfId="756"/>
    <cellStyle name="差_2011年南梁农场利用政策性贷款实施农业综合开发项目预算表_贺兰北庙9-8" xfId="757"/>
    <cellStyle name="差_2011年南梁农场利用政策性贷款实施农业综合开发项目预算表_贺兰金贵镇2013年高标准估算表8.27" xfId="758"/>
    <cellStyle name="差_农发仪器设备1_Book1_贺兰金贵镇2013年高标准估算表9.7 3" xfId="759"/>
    <cellStyle name="差_2011年南梁农场利用政策性贷款实施农业综合开发项目预算表_贺兰金贵镇2013年高标准估算表8.27 2" xfId="760"/>
    <cellStyle name="差_农发仪器设备1_Book1_贺兰金贵镇2013年高标准估算表9.7 4" xfId="761"/>
    <cellStyle name="差_2011年南梁农场利用政策性贷款实施农业综合开发项目预算表_贺兰金贵镇2013年高标准估算表8.27 3" xfId="762"/>
    <cellStyle name="好_2012年巴浪湖农业综合开发预算(2)_中宁高山寺投资估算11.8终 2" xfId="763"/>
    <cellStyle name="差_2011年南梁农场利用政策性贷款实施农业综合开发项目预算表_贺兰金贵镇2013年高标准估算表8.27 4" xfId="764"/>
    <cellStyle name="差_2011年南梁农场利用政策性贷款实施农业综合开发项目预算表_贺兰金贵镇2013年高标准估算表9.7" xfId="765"/>
    <cellStyle name="差_2011年南梁农场利用政策性贷款实施农业综合开发项目预算表_贺兰金贵镇2013年高标准估算表9.7 2" xfId="766"/>
    <cellStyle name="差_2011年南梁农场利用政策性贷款实施农业综合开发项目预算表_贺兰金贵镇2013年高标准估算表9.7 3" xfId="767"/>
    <cellStyle name="差_2011年南梁农场利用政策性贷款实施农业综合开发项目预算表_贺兰金贵镇2013年高标准估算表9.7 4" xfId="768"/>
    <cellStyle name="差_2012估算" xfId="769"/>
    <cellStyle name="好_农发仪器设备1_渠口农场水库移民项目 4" xfId="770"/>
    <cellStyle name="差_2012估算 2" xfId="771"/>
    <cellStyle name="差_2012估算 3" xfId="772"/>
    <cellStyle name="差_2012估算 4" xfId="773"/>
    <cellStyle name="差_2012估算_建材厂预算" xfId="774"/>
    <cellStyle name="差_2012估算_建材厂预算 2" xfId="775"/>
    <cellStyle name="好_灌水率及渠道流量计算_中宁县恩和镇可研预算9.9" xfId="776"/>
    <cellStyle name="差_2012估算_建材厂预算 3" xfId="777"/>
    <cellStyle name="差_2012估算_建材厂预算 4" xfId="778"/>
    <cellStyle name="好_宁夏农垦农业综合开发十二五规划3.15_贺兰金贵镇2013年高标准估算表8.27 3" xfId="779"/>
    <cellStyle name="差_2012估算_中宁高山寺投资估算11.8终" xfId="780"/>
    <cellStyle name="差_2012估算_中宁高山寺投资估算11.8终 2" xfId="781"/>
    <cellStyle name="差_2012估算_中宁高山寺投资估算11.8终 3" xfId="782"/>
    <cellStyle name="差_2012估算_中宁高山寺投资估算11.8终 4" xfId="783"/>
    <cellStyle name="差_2012估算chen2" xfId="784"/>
    <cellStyle name="差_2012估算chen2 2" xfId="785"/>
    <cellStyle name="差_2012估算chen2 3" xfId="786"/>
    <cellStyle name="常规 14" xfId="787"/>
    <cellStyle name="差_2012估算chen2_建材厂预算 2" xfId="788"/>
    <cellStyle name="常规 15" xfId="789"/>
    <cellStyle name="差_2012估算chen2_建材厂预算 3" xfId="790"/>
    <cellStyle name="常规 16" xfId="791"/>
    <cellStyle name="差_2012估算chen2_建材厂预算 4" xfId="792"/>
    <cellStyle name="差_2012估算李" xfId="793"/>
    <cellStyle name="常规 7 2 4" xfId="794"/>
    <cellStyle name="差_2012估算李_建材厂预算" xfId="795"/>
    <cellStyle name="差_2012估算李_建材厂预算 3" xfId="796"/>
    <cellStyle name="差_2012估算李_建材厂预算 4" xfId="797"/>
    <cellStyle name="差_2012年巴浪湖农业综合开发预算(2)" xfId="798"/>
    <cellStyle name="差_2012年巴浪湖农业综合开发预算(2) 2" xfId="799"/>
    <cellStyle name="差_2012年巴浪湖农业综合开发预算(2) 3" xfId="800"/>
    <cellStyle name="差_2012年巴浪湖农业综合开发预算(2) 4" xfId="801"/>
    <cellStyle name="差_2012年巴浪湖农业综合开发预算(2)_中宁高山寺投资估算11.8终" xfId="802"/>
    <cellStyle name="差_2012年巴浪湖农业综合开发预算(2)_中宁高山寺投资估算11.8终 2" xfId="803"/>
    <cellStyle name="差_2012年巴浪湖农业综合开发预算(2)_中宁高山寺投资估算11.8终 3" xfId="804"/>
    <cellStyle name="差_23-宁夏" xfId="805"/>
    <cellStyle name="差_23-宁夏 2" xfId="806"/>
    <cellStyle name="差_23-宁夏 3" xfId="807"/>
    <cellStyle name="差_23-宁夏 4" xfId="808"/>
    <cellStyle name="常规 5 2_ 竣工验收费预算表" xfId="809"/>
    <cellStyle name="差_23-宁夏 5" xfId="810"/>
    <cellStyle name="差_Book1" xfId="811"/>
    <cellStyle name="差_Book1 4" xfId="812"/>
    <cellStyle name="差_Book1_1" xfId="813"/>
    <cellStyle name="常规_简泉农场建筑物统计表_南梁农场建设内容_贺兰金贵镇2013年高标准估算表9.7" xfId="814"/>
    <cellStyle name="差_Book1_1 2" xfId="815"/>
    <cellStyle name="差_立岗镇建筑物统计表 2" xfId="816"/>
    <cellStyle name="差_Book1_1 3" xfId="817"/>
    <cellStyle name="差_立岗镇建筑物统计表 3" xfId="818"/>
    <cellStyle name="差_Book1_1 4" xfId="819"/>
    <cellStyle name="差_Book1_1_Book1" xfId="820"/>
    <cellStyle name="差_Book1_1_Book1 3" xfId="821"/>
    <cellStyle name="差_Book1_1_Book1 4" xfId="822"/>
    <cellStyle name="常规 3 2 9" xfId="823"/>
    <cellStyle name="差_Book1_1_北庙灌水率及渠道流量计算 2" xfId="824"/>
    <cellStyle name="差_Book1_1_北庙灌水率及渠道流量计算 3" xfId="825"/>
    <cellStyle name="差_Book1_1_北庙灌水率及渠道流量计算 4" xfId="826"/>
    <cellStyle name="差_Book1_1_北庙灌水率及渠道流量计算9-6" xfId="827"/>
    <cellStyle name="差_Book1_1_北庙灌水率及渠道流量计算9-6 2" xfId="828"/>
    <cellStyle name="差_Book1_1_北庙灌水率及渠道流量计算9-6 3" xfId="829"/>
    <cellStyle name="差_Book1_1_北庙灌水率及渠道流量计算9-6 4" xfId="830"/>
    <cellStyle name="差_Book1_1_灌水率及渠道流量计算" xfId="831"/>
    <cellStyle name="好_13标预算_中宁高山寺投资估算11.8终" xfId="832"/>
    <cellStyle name="差_Book1_1_灌水率及渠道流量计算 2" xfId="833"/>
    <cellStyle name="差_Book1_1_灌水率及渠道流量计算 3" xfId="834"/>
    <cellStyle name="千位分隔 2" xfId="835"/>
    <cellStyle name="差_Book1_1_灌水率及渠道流量计算 4" xfId="836"/>
    <cellStyle name="差_Book1_1_灌水率及渠道流量计算_中宁县恩和镇可研预算9.9" xfId="837"/>
    <cellStyle name="差_Book1_1_贺兰北庙9-8" xfId="838"/>
    <cellStyle name="差_Book1_1_贺兰金贵镇2013年高标准估算表8.27" xfId="839"/>
    <cellStyle name="差_Book1_1_贺兰金贵镇2013年高标准估算表8.27 2" xfId="840"/>
    <cellStyle name="差_Book1_1_贺兰金贵镇2013年高标准估算表8.27 3" xfId="841"/>
    <cellStyle name="差_Book1_1_贺兰金贵镇2013年高标准估算表8.27 4" xfId="842"/>
    <cellStyle name="差_Book1_1_贺兰金贵镇2013年高标准估算表9.7" xfId="843"/>
    <cellStyle name="差_Book1_1_贺兰金贵镇2013年高标准估算表9.7 2" xfId="844"/>
    <cellStyle name="差_Book1_1_贺兰金贵镇2013年高标准估算表9.7 3" xfId="845"/>
    <cellStyle name="差_Book1_1_贺兰金贵镇2013年高标准估算表9.7 4" xfId="846"/>
    <cellStyle name="常规_简泉农场建筑物统计表_南梁农场建设内容" xfId="847"/>
    <cellStyle name="差_Book1_1_中宁高山寺投资估算11.8终" xfId="848"/>
    <cellStyle name="差_Book1_1_中宁高山寺投资估算11.8终 2" xfId="849"/>
    <cellStyle name="差_Book1_1_中宁高山寺投资估算11.8终 3" xfId="850"/>
    <cellStyle name="差_Book1_1_中宁高山寺投资估算11.8终 4" xfId="851"/>
    <cellStyle name="差_Book1_2" xfId="852"/>
    <cellStyle name="差_Book1_2 3" xfId="853"/>
    <cellStyle name="差_Book1_2 4" xfId="854"/>
    <cellStyle name="差_Book1_2_Book1" xfId="855"/>
    <cellStyle name="差_Book1_2_Book1 2" xfId="856"/>
    <cellStyle name="差_Book1_2_Book1 3" xfId="857"/>
    <cellStyle name="差_Book1_2_Book1 4" xfId="858"/>
    <cellStyle name="差_Book1_2_贺兰北庙9-8" xfId="859"/>
    <cellStyle name="好 2" xfId="860"/>
    <cellStyle name="差_Book1_2_贺兰金贵镇2013年高标准估算表8.27 2" xfId="861"/>
    <cellStyle name="好 3" xfId="862"/>
    <cellStyle name="差_Book1_2_贺兰金贵镇2013年高标准估算表8.27 3" xfId="863"/>
    <cellStyle name="好 4" xfId="864"/>
    <cellStyle name="差_Book1_2_贺兰金贵镇2013年高标准估算表8.27 4" xfId="865"/>
    <cellStyle name="差_Book1_2_贺兰金贵镇2013年高标准估算表9.7" xfId="866"/>
    <cellStyle name="差_Book1_2_贺兰金贵镇2013年高标准估算表9.7 2" xfId="867"/>
    <cellStyle name="差_Book1_2_贺兰金贵镇2013年高标准估算表9.7 3" xfId="868"/>
    <cellStyle name="差_农发仪器设备1_贺兰金贵镇2013年高标准估算表9.7" xfId="869"/>
    <cellStyle name="差_Book1_2_贺兰金贵镇2013年高标准估算表9.7 4" xfId="870"/>
    <cellStyle name="差_Book1_2_中宁县恩和镇可研预算9.9" xfId="871"/>
    <cellStyle name="差_Book1_3" xfId="872"/>
    <cellStyle name="差_Book1_3 2" xfId="873"/>
    <cellStyle name="差_Book1_3 3" xfId="874"/>
    <cellStyle name="差_Book1_3 4" xfId="875"/>
    <cellStyle name="差_Book1_Book1" xfId="876"/>
    <cellStyle name="好_13标预算 4" xfId="877"/>
    <cellStyle name="差_Book1_Book1 2" xfId="878"/>
    <cellStyle name="差_Book1_Book1 3" xfId="879"/>
    <cellStyle name="差_Book1_Book1 4" xfId="880"/>
    <cellStyle name="差_Book1_北庙灌水率及渠道流量计算" xfId="881"/>
    <cellStyle name="差_Book1_北庙灌水率及渠道流量计算 2" xfId="882"/>
    <cellStyle name="差_Book1_北庙灌水率及渠道流量计算 3" xfId="883"/>
    <cellStyle name="常规 2 3 2_111111111永宁县2013年高标准预算9.25可研估算分片区" xfId="884"/>
    <cellStyle name="差_Book1_北庙灌水率及渠道流量计算 4" xfId="885"/>
    <cellStyle name="差_Book1_北庙灌水率及渠道流量计算9-6" xfId="886"/>
    <cellStyle name="差_Book1_北庙灌水率及渠道流量计算9-6 2" xfId="887"/>
    <cellStyle name="差_Book1_北庙灌水率及渠道流量计算9-6 3" xfId="888"/>
    <cellStyle name="差_Book1_北庙灌水率及渠道流量计算9-6 4" xfId="889"/>
    <cellStyle name="差_Book1_灌水率及渠道流量计算" xfId="890"/>
    <cellStyle name="差_Book1_灌水率及渠道流量计算 2" xfId="891"/>
    <cellStyle name="差_Book1_灌水率及渠道流量计算 3" xfId="892"/>
    <cellStyle name="差_Book1_灌水率及渠道流量计算 4" xfId="893"/>
    <cellStyle name="差_Book1_田间工程概算表" xfId="894"/>
    <cellStyle name="差_Book1_于祥灌水率及渠道流量计算1" xfId="895"/>
    <cellStyle name="差_Book1_中宁高山寺投资估算11.8终" xfId="896"/>
    <cellStyle name="差_Book1_中宁高山寺投资估算11.8终 2" xfId="897"/>
    <cellStyle name="差_Book1_中宁高山寺投资估算11.8终 3" xfId="898"/>
    <cellStyle name="差_Book1_中宁高山寺投资估算11.8终 4" xfId="899"/>
    <cellStyle name="差_Book1_中宁县恩和镇可研预算9.9" xfId="900"/>
    <cellStyle name="差_北庙灌水率及渠道流量计算" xfId="901"/>
    <cellStyle name="差_北庙灌水率及渠道流量计算 2" xfId="902"/>
    <cellStyle name="差_北庙灌水率及渠道流量计算 3" xfId="903"/>
    <cellStyle name="差_北庙灌水率及渠道流量计算 4" xfId="904"/>
    <cellStyle name="差_北庙灌水率及渠道流量计算9-6" xfId="905"/>
    <cellStyle name="差_北庙灌水率及渠道流量计算9-6 2" xfId="906"/>
    <cellStyle name="差_北庙灌水率及渠道流量计算9-6 3" xfId="907"/>
    <cellStyle name="差_北庙灌水率及渠道流量计算9-6 4" xfId="908"/>
    <cellStyle name="差_灌水率" xfId="909"/>
    <cellStyle name="差_灌水率 2" xfId="910"/>
    <cellStyle name="差_灌水率 3" xfId="911"/>
    <cellStyle name="差_农垦局2011年政策性贷款土地项目计划投资明细表 2" xfId="912"/>
    <cellStyle name="差_灌水率 4" xfId="913"/>
    <cellStyle name="差_灌水率及渠道流量计算" xfId="914"/>
    <cellStyle name="差_灌水率及渠道流量计算 2" xfId="915"/>
    <cellStyle name="好_2012估算李_建材厂预算" xfId="916"/>
    <cellStyle name="差_灌水率及渠道流量计算 3" xfId="917"/>
    <cellStyle name="差_灌水率及渠道流量计算 4" xfId="918"/>
    <cellStyle name="差_贺兰北庙9-8" xfId="919"/>
    <cellStyle name="差_贺兰金贵镇2013年高标准估算表8.2 79-8" xfId="920"/>
    <cellStyle name="差_贺兰金贵镇2013年高标准估算表8.27 2" xfId="921"/>
    <cellStyle name="差_贺兰金贵镇2013年高标准估算表8.27 3" xfId="922"/>
    <cellStyle name="差_贺兰金贵镇2013年高标准估算表8.27 4" xfId="923"/>
    <cellStyle name="差_贺兰金贵镇2013年高标准估算表9.7" xfId="924"/>
    <cellStyle name="差_贺兰金贵镇2013年高标准估算表9.7 2" xfId="925"/>
    <cellStyle name="差_贺兰金贵镇2013年高标准估算表9.7 3" xfId="926"/>
    <cellStyle name="差_贺兰金贵镇2013年高标准估算表9.7 4" xfId="927"/>
    <cellStyle name="差_贺兰山东麓泵站工程预算" xfId="928"/>
    <cellStyle name="差_贺兰山东麓泵站工程预算 2" xfId="929"/>
    <cellStyle name="差_贺兰山东麓泵站工程预算 3" xfId="930"/>
    <cellStyle name="差_贺兰山东麓泵站工程预算 4" xfId="931"/>
    <cellStyle name="差_黄羊滩农场预算（可研）" xfId="932"/>
    <cellStyle name="好_贺兰金贵镇2013年高标准估算表9.7" xfId="933"/>
    <cellStyle name="差_黄羊滩农场预算（可研） 2" xfId="934"/>
    <cellStyle name="差_黄羊滩农场预算（可研） 3" xfId="935"/>
    <cellStyle name="好_Book1_1_北庙灌水率及渠道流量计算9-6 2" xfId="936"/>
    <cellStyle name="差_黄羊滩农场预算（可研） 4" xfId="937"/>
    <cellStyle name="差_黄羊滩农场预算（可研）111" xfId="938"/>
    <cellStyle name="差_黄羊滩农场预算（可研）111 2" xfId="939"/>
    <cellStyle name="差_黄羊滩农场预算（可研）111 3" xfId="940"/>
    <cellStyle name="差_灵武泵站总预算表" xfId="941"/>
    <cellStyle name="差_黄羊滩农场预算（可研）111 4" xfId="942"/>
    <cellStyle name="差_建材厂预算" xfId="943"/>
    <cellStyle name="差_建材厂预算 2" xfId="944"/>
    <cellStyle name="差_建材厂预算 3" xfId="945"/>
    <cellStyle name="好_2012估算_建材厂预算 2" xfId="946"/>
    <cellStyle name="差_建材厂预算 4" xfId="947"/>
    <cellStyle name="差_建筑安装工程" xfId="948"/>
    <cellStyle name="差_建筑物" xfId="949"/>
    <cellStyle name="链接单元格 4" xfId="950"/>
    <cellStyle name="差_建筑物 2" xfId="951"/>
    <cellStyle name="链接单元格 5" xfId="952"/>
    <cellStyle name="差_建筑物 3" xfId="953"/>
    <cellStyle name="差_建筑物 4" xfId="954"/>
    <cellStyle name="差_立岗镇建筑物统计表 4" xfId="955"/>
    <cellStyle name="差_立岗镇建筑物统计表_Book1 2" xfId="956"/>
    <cellStyle name="差_立岗镇建筑物统计表_Book1 3" xfId="957"/>
    <cellStyle name="差_立岗镇建筑物统计表_Book1 4" xfId="958"/>
    <cellStyle name="差_立岗镇建筑物统计表_Book1_1 2" xfId="959"/>
    <cellStyle name="差_立岗镇建筑物统计表_Book1_1 3" xfId="960"/>
    <cellStyle name="差_立岗镇建筑物统计表_Book1_1 4" xfId="961"/>
    <cellStyle name="差_立岗镇建筑物统计表_贺兰北庙9-8" xfId="962"/>
    <cellStyle name="差_立岗镇建筑物统计表_贺兰金贵镇2013年高标准估算表8.27" xfId="963"/>
    <cellStyle name="好_南梁预算" xfId="964"/>
    <cellStyle name="差_立岗镇建筑物统计表_贺兰金贵镇2013年高标准估算表8.27 2" xfId="965"/>
    <cellStyle name="差_立岗镇建筑物统计表_贺兰金贵镇2013年高标准估算表8.27 3" xfId="966"/>
    <cellStyle name="差_立岗镇建筑物统计表_贺兰金贵镇2013年高标准估算表8.27 4" xfId="967"/>
    <cellStyle name="差_立岗镇建筑物统计表_贺兰金贵镇2013年高标准估算表9.7" xfId="968"/>
    <cellStyle name="差_立岗镇建筑物统计表_贺兰金贵镇2013年高标准估算表9.7 2" xfId="969"/>
    <cellStyle name="差_立岗镇建筑物统计表_贺兰金贵镇2013年高标准估算表9.7 3" xfId="970"/>
    <cellStyle name="差_立岗镇建筑物统计表_贺兰金贵镇2013年高标准估算表9.7 4" xfId="971"/>
    <cellStyle name="好_1 3" xfId="972"/>
    <cellStyle name="差_连湖预算" xfId="973"/>
    <cellStyle name="差_前期工作费预算表" xfId="974"/>
    <cellStyle name="差_连湖预算 2" xfId="975"/>
    <cellStyle name="差_连湖预算 3" xfId="976"/>
    <cellStyle name="差_连湖预算 4" xfId="977"/>
    <cellStyle name="好_黄羊滩农场预算（可研） 2" xfId="978"/>
    <cellStyle name="差_连湖预算_建材厂预算" xfId="979"/>
    <cellStyle name="差_连湖预算_建材厂预算 2" xfId="980"/>
    <cellStyle name="好_Book1_1_灌水率及渠道流量计算_中宁县恩和镇可研预算9.9" xfId="981"/>
    <cellStyle name="差_连湖预算_建材厂预算 3" xfId="982"/>
    <cellStyle name="差_连湖预算_建材厂预算 4" xfId="983"/>
    <cellStyle name="差_灵武泵站总预算表 2" xfId="984"/>
    <cellStyle name="差_灵武泵站总预算表 4" xfId="985"/>
    <cellStyle name="差_茂盛草业预算" xfId="986"/>
    <cellStyle name="差_茂盛草业预算 2" xfId="987"/>
    <cellStyle name="差_茂盛草业预算 3" xfId="988"/>
    <cellStyle name="差_茂盛草业预算 4" xfId="989"/>
    <cellStyle name="差_南梁农场U型渠道工程量清单(政策性）12月(修改）" xfId="990"/>
    <cellStyle name="差_南梁农场建设内容 2" xfId="991"/>
    <cellStyle name="差_南梁农场建设内容 3" xfId="992"/>
    <cellStyle name="差_南梁农场建设内容 4" xfId="993"/>
    <cellStyle name="常规 2 6" xfId="994"/>
    <cellStyle name="差_南梁预算" xfId="995"/>
    <cellStyle name="常规 2 6 2" xfId="996"/>
    <cellStyle name="差_南梁预算 2" xfId="997"/>
    <cellStyle name="常规 2 6 3" xfId="998"/>
    <cellStyle name="差_南梁预算 3" xfId="999"/>
    <cellStyle name="常规 2 6 4" xfId="1000"/>
    <cellStyle name="差_南梁预算 4" xfId="1001"/>
    <cellStyle name="差_宁夏农垦农业综合开发十二五规划3.15" xfId="1002"/>
    <cellStyle name="好_宁夏农垦农业综合开发十二五规划3.15_北庙灌水率及渠道流量计算 4" xfId="1003"/>
    <cellStyle name="差_宁夏农垦农业综合开发十二五规划3.15 2" xfId="1004"/>
    <cellStyle name="差_宁夏农垦农业综合开发十二五规划3.15 3" xfId="1005"/>
    <cellStyle name="差_宁夏农垦农业综合开发十二五规划3.15 4" xfId="1006"/>
    <cellStyle name="差_宁夏农垦农业综合开发十二五规划3.15_Book1" xfId="1007"/>
    <cellStyle name="差_宁夏农垦农业综合开发十二五规划3.15_Book1 2" xfId="1008"/>
    <cellStyle name="差_宁夏农垦农业综合开发十二五规划3.15_Book1 3" xfId="1009"/>
    <cellStyle name="差_宁夏农垦农业综合开发十二五规划3.15_Book1 4" xfId="1010"/>
    <cellStyle name="差_宁夏农垦农业综合开发十二五规划3.15_Book1_贺兰北庙9-8" xfId="1011"/>
    <cellStyle name="差_宁夏农垦农业综合开发十二五规划3.15_Book1_贺兰金贵镇2013年高标准估算表8.27" xfId="1012"/>
    <cellStyle name="差_宁夏农垦农业综合开发十二五规划3.15_Book1_贺兰金贵镇2013年高标准估算表8.27 2" xfId="1013"/>
    <cellStyle name="差_宁夏农垦农业综合开发十二五规划3.15_Book1_贺兰金贵镇2013年高标准估算表8.27 3" xfId="1014"/>
    <cellStyle name="差_宁夏农垦农业综合开发十二五规划3.15_Book1_贺兰金贵镇2013年高标准估算表8.27 4" xfId="1015"/>
    <cellStyle name="差_宁夏农垦农业综合开发十二五规划3.15_Book1_贺兰金贵镇2013年高标准估算表9.7" xfId="1016"/>
    <cellStyle name="差_宁夏农垦农业综合开发十二五规划3.15_Book1_贺兰金贵镇2013年高标准估算表9.7 2" xfId="1017"/>
    <cellStyle name="差_宁夏农垦农业综合开发十二五规划3.15_Book1_贺兰金贵镇2013年高标准估算表9.7 3" xfId="1018"/>
    <cellStyle name="差_宁夏农垦农业综合开发十二五规划3.15_Book1_贺兰金贵镇2013年高标准估算表9.7 4" xfId="1019"/>
    <cellStyle name="差_宁夏农垦农业综合开发十二五规划3.15_Book1_中宁县恩和镇可研预算9.9" xfId="1020"/>
    <cellStyle name="好_茂盛草业预算" xfId="1021"/>
    <cellStyle name="差_宁夏农垦农业综合开发十二五规划3.15_北庙灌水率及渠道流量计算" xfId="1022"/>
    <cellStyle name="输入 5" xfId="1023"/>
    <cellStyle name="好_茂盛草业预算 2" xfId="1024"/>
    <cellStyle name="差_宁夏农垦农业综合开发十二五规划3.15_北庙灌水率及渠道流量计算 2" xfId="1025"/>
    <cellStyle name="好_茂盛草业预算 3" xfId="1026"/>
    <cellStyle name="差_宁夏农垦农业综合开发十二五规划3.15_北庙灌水率及渠道流量计算 3" xfId="1027"/>
    <cellStyle name="好_茂盛草业预算 4" xfId="1028"/>
    <cellStyle name="差_宁夏农垦农业综合开发十二五规划3.15_北庙灌水率及渠道流量计算 4" xfId="1029"/>
    <cellStyle name="差_宁夏农垦农业综合开发十二五规划3.15_北庙灌水率及渠道流量计算9-6" xfId="1030"/>
    <cellStyle name="差_宁夏农垦农业综合开发十二五规划3.15_北庙灌水率及渠道流量计算9-6 2" xfId="1031"/>
    <cellStyle name="好_Book1_1_中宁高山寺投资估算11.8终 2" xfId="1032"/>
    <cellStyle name="差_宁夏农垦农业综合开发十二五规划3.15_北庙灌水率及渠道流量计算9-6 3" xfId="1033"/>
    <cellStyle name="好_Book1_1_中宁高山寺投资估算11.8终 3" xfId="1034"/>
    <cellStyle name="差_宁夏农垦农业综合开发十二五规划3.15_北庙灌水率及渠道流量计算9-6 4" xfId="1035"/>
    <cellStyle name="差_宁夏农垦农业综合开发十二五规划3.15_灌水率及渠道流量计算 2" xfId="1036"/>
    <cellStyle name="差_宁夏农垦农业综合开发十二五规划3.15_灌水率及渠道流量计算 3" xfId="1037"/>
    <cellStyle name="差_宁夏农垦农业综合开发十二五规划3.15_灌水率及渠道流量计算_中宁县恩和镇可研预算9.9" xfId="1038"/>
    <cellStyle name="差_宁夏农垦农业综合开发十二五规划3.15_贺兰北庙9-8" xfId="1039"/>
    <cellStyle name="差_宁夏农垦农业综合开发十二五规划3.15_贺兰金贵镇2013年高标准估算表8.27" xfId="1040"/>
    <cellStyle name="差_宁夏农垦农业综合开发十二五规划3.15_贺兰金贵镇2013年高标准估算表8.27 2" xfId="1041"/>
    <cellStyle name="差_宁夏农垦农业综合开发十二五规划3.15_贺兰金贵镇2013年高标准估算表8.27 3" xfId="1042"/>
    <cellStyle name="好_Book1_2 2" xfId="1043"/>
    <cellStyle name="差_宁夏农垦农业综合开发十二五规划3.15_贺兰金贵镇2013年高标准估算表8.27 4" xfId="1044"/>
    <cellStyle name="差_宁夏农垦农业综合开发十二五规划3.15_贺兰金贵镇2013年高标准估算表9.7" xfId="1045"/>
    <cellStyle name="差_宁夏农垦农业综合开发十二五规划3.15_贺兰金贵镇2013年高标准估算表9.7 2" xfId="1046"/>
    <cellStyle name="差_宁夏农垦农业综合开发十二五规划3.15_贺兰金贵镇2013年高标准估算表9.7 3" xfId="1047"/>
    <cellStyle name="差_宁夏农垦农业综合开发十二五规划3.15_贺兰金贵镇2013年高标准估算表9.7 4" xfId="1048"/>
    <cellStyle name="差_宁夏农垦农业综合开发十二五规划3.15_贺兰山东麓泵站工程预算" xfId="1049"/>
    <cellStyle name="差_宁夏农垦农业综合开发十二五规划3.15_贺兰山东麓泵站工程预算 2" xfId="1050"/>
    <cellStyle name="差_宁夏农垦农业综合开发十二五规划3.15_贺兰山东麓泵站工程预算 3" xfId="1051"/>
    <cellStyle name="差_宁夏农垦农业综合开发十二五规划3.15_贺兰山东麓泵站工程预算 4" xfId="1052"/>
    <cellStyle name="差_宁夏农垦农业综合开发十二五规划3.15_建材厂预算" xfId="1053"/>
    <cellStyle name="差_宁夏农垦农业综合开发十二五规划3.15_建材厂预算 2" xfId="1054"/>
    <cellStyle name="差_宁夏农垦农业综合开发十二五规划3.15_建材厂预算 3" xfId="1055"/>
    <cellStyle name="差_宁夏农垦农业综合开发十二五规划3.15_建材厂预算 4" xfId="1056"/>
    <cellStyle name="差_宁夏农垦农业综合开发十二五规划3.15_渠口农场水库移民项目" xfId="1057"/>
    <cellStyle name="差_宁夏农垦农业综合开发十二五规划3.15_渠口农场水库移民项目 3" xfId="1058"/>
    <cellStyle name="差_宁夏农垦农业综合开发十二五规划3.15_渠口农场水库移民项目 4" xfId="1059"/>
    <cellStyle name="差_宁夏农垦农业综合开发十二五规划3.15_中宁高山寺投资估算11.8终" xfId="1060"/>
    <cellStyle name="差_宁夏农垦农业综合开发十二五规划3.15_中宁高山寺投资估算11.8终 2" xfId="1061"/>
    <cellStyle name="差_宁夏农垦农业综合开发十二五规划3.15_中宁高山寺投资估算11.8终 3" xfId="1062"/>
    <cellStyle name="好_立岗镇建筑物统计表_贺兰金贵镇2013年高标准估算表9.7 3" xfId="1063"/>
    <cellStyle name="差_农发仪器设备1" xfId="1064"/>
    <cellStyle name="差_农发仪器设备1 2" xfId="1065"/>
    <cellStyle name="差_农发仪器设备1 3" xfId="1066"/>
    <cellStyle name="差_农发仪器设备1 4" xfId="1067"/>
    <cellStyle name="差_农发仪器设备1_Book1" xfId="1068"/>
    <cellStyle name="差_农发仪器设备1_Book1_贺兰北庙9-8" xfId="1069"/>
    <cellStyle name="差_农发仪器设备1_Book1_贺兰金贵镇2013年高标准估算表8.27" xfId="1070"/>
    <cellStyle name="差_农发仪器设备1_Book1_贺兰金贵镇2013年高标准估算表8.27 2" xfId="1071"/>
    <cellStyle name="差_农发仪器设备1_Book1_贺兰金贵镇2013年高标准估算表8.27 3" xfId="1072"/>
    <cellStyle name="差_农发仪器设备1_Book1_贺兰金贵镇2013年高标准估算表8.27 4" xfId="1073"/>
    <cellStyle name="差_农发仪器设备1_Book1_贺兰金贵镇2013年高标准估算表9.7 2" xfId="1074"/>
    <cellStyle name="差_农发仪器设备1_Book1_中宁县恩和镇可研预算9.9" xfId="1075"/>
    <cellStyle name="差_农发仪器设备1_北庙灌水率及渠道流量计算" xfId="1076"/>
    <cellStyle name="差_农发仪器设备1_北庙灌水率及渠道流量计算 2" xfId="1077"/>
    <cellStyle name="差_农发仪器设备1_北庙灌水率及渠道流量计算 3" xfId="1078"/>
    <cellStyle name="差_农发仪器设备1_北庙灌水率及渠道流量计算 4" xfId="1079"/>
    <cellStyle name="差_农发仪器设备1_北庙灌水率及渠道流量计算9-6" xfId="1080"/>
    <cellStyle name="差_农发仪器设备1_北庙灌水率及渠道流量计算9-6 2" xfId="1081"/>
    <cellStyle name="差_农发仪器设备1_北庙灌水率及渠道流量计算9-6 3" xfId="1082"/>
    <cellStyle name="差_农发仪器设备1_北庙灌水率及渠道流量计算9-6 4" xfId="1083"/>
    <cellStyle name="差_农发仪器设备1_灌水率及渠道流量计算" xfId="1084"/>
    <cellStyle name="差_农发仪器设备1_灌水率及渠道流量计算 2" xfId="1085"/>
    <cellStyle name="差_农发仪器设备1_灌水率及渠道流量计算 3" xfId="1086"/>
    <cellStyle name="差_农发仪器设备1_灌水率及渠道流量计算 4" xfId="1087"/>
    <cellStyle name="差_农发仪器设备1_贺兰北庙9-8" xfId="1088"/>
    <cellStyle name="好_连湖预算 2" xfId="1089"/>
    <cellStyle name="好_2011年南梁农场利用政策性贷款实施农业综合开发项目预算表_Book1 2" xfId="1090"/>
    <cellStyle name="常规 2 7 4" xfId="1091"/>
    <cellStyle name="差_农发仪器设备1_贺兰金贵镇2013年高标准估算表8.27" xfId="1092"/>
    <cellStyle name="差_农发仪器设备1_贺兰金贵镇2013年高标准估算表8.27 2" xfId="1093"/>
    <cellStyle name="差_农发仪器设备1_贺兰金贵镇2013年高标准估算表8.27 3" xfId="1094"/>
    <cellStyle name="差_农发仪器设备1_贺兰金贵镇2013年高标准估算表8.27 4" xfId="1095"/>
    <cellStyle name="差_农发仪器设备1_贺兰金贵镇2013年高标准估算表9.7 2" xfId="1096"/>
    <cellStyle name="好_13标预算_灌水率及渠道流量计算 2" xfId="1097"/>
    <cellStyle name="差_农发仪器设备1_贺兰金贵镇2013年高标准估算表9.7 3" xfId="1098"/>
    <cellStyle name="好_13标预算_灌水率及渠道流量计算 3" xfId="1099"/>
    <cellStyle name="差_农发仪器设备1_贺兰金贵镇2013年高标准估算表9.7 4" xfId="1100"/>
    <cellStyle name="差_农发仪器设备1_贺兰山东麓泵站工程预算" xfId="1101"/>
    <cellStyle name="差_农垦局2011年政策性贷款土地项目计划投资明细表 4" xfId="1102"/>
    <cellStyle name="差_农发仪器设备1_贺兰山东麓泵站工程预算 2" xfId="1103"/>
    <cellStyle name="差_农发仪器设备1_贺兰山东麓泵站工程预算 3" xfId="1104"/>
    <cellStyle name="差_农发仪器设备1_贺兰山东麓泵站工程预算 4" xfId="1105"/>
    <cellStyle name="好_农发仪器设备1_Book1_贺兰金贵镇2013年高标准估算表9.7 2" xfId="1106"/>
    <cellStyle name="差_农发仪器设备1_建材厂预算" xfId="1107"/>
    <cellStyle name="差_农发仪器设备1_建材厂预算 2" xfId="1108"/>
    <cellStyle name="差_农发仪器设备1_建材厂预算 3" xfId="1109"/>
    <cellStyle name="差_农发仪器设备1_建材厂预算 4" xfId="1110"/>
    <cellStyle name="好_13标预算_建材厂预算 4" xfId="1111"/>
    <cellStyle name="差_农发仪器设备1_渠口农场水库移民项目" xfId="1112"/>
    <cellStyle name="差_农发仪器设备1_渠口农场水库移民项目 2" xfId="1113"/>
    <cellStyle name="差_农发仪器设备1_渠口农场水库移民项目 3" xfId="1114"/>
    <cellStyle name="差_农发仪器设备1_渠口农场水库移民项目 4" xfId="1115"/>
    <cellStyle name="差_农发仪器设备1_中宁高山寺投资估算11.8终 2" xfId="1116"/>
    <cellStyle name="差_农发仪器设备1_中宁高山寺投资估算11.8终 3" xfId="1117"/>
    <cellStyle name="差_农发仪器设备1_中宁高山寺投资估算11.8终 4" xfId="1118"/>
    <cellStyle name="差_农垦局2011年农发土地项目计划投资明细表(打印)" xfId="1119"/>
    <cellStyle name="差_农垦局2011年农发土地项目计划投资明细表(打印) 2" xfId="1120"/>
    <cellStyle name="差_农垦局2011年农发土地项目计划投资明细表(打印) 3" xfId="1121"/>
    <cellStyle name="差_农垦局2011年农发土地项目计划投资明细表(打印) 4" xfId="1122"/>
    <cellStyle name="差_农垦局2011年政策性贷款土地项目计划投资明细表" xfId="1123"/>
    <cellStyle name="差_农垦局2011年政策性贷款土地项目计划投资明细表 3" xfId="1124"/>
    <cellStyle name="好_建筑安装工程 2" xfId="1125"/>
    <cellStyle name="差_平吉堡晒场及凉棚00000" xfId="1126"/>
    <cellStyle name="差_渠口农场水库移民项目" xfId="1127"/>
    <cellStyle name="好_宁夏农垦农业综合开发十二五规划3.15_灌水率及渠道流量计算 4" xfId="1128"/>
    <cellStyle name="好_贺兰金贵镇2013年高标准估算表8.2 79-8" xfId="1129"/>
    <cellStyle name="差_渠口农场水库移民项目 2" xfId="1130"/>
    <cellStyle name="差_渠口农场水库移民项目 3" xfId="1131"/>
    <cellStyle name="差_渠口农场水库移民项目 4" xfId="1132"/>
    <cellStyle name="千分位[0]_bj22" xfId="1133"/>
    <cellStyle name="差_渠口预算_建材厂预算" xfId="1134"/>
    <cellStyle name="差_渠口预算_建材厂预算 2" xfId="1135"/>
    <cellStyle name="差_渠口预算_建材厂预算 3" xfId="1136"/>
    <cellStyle name="差_渠口预算_建材厂预算 4" xfId="1137"/>
    <cellStyle name="差_银川林场预算" xfId="1138"/>
    <cellStyle name="差_银川林场预算 2" xfId="1139"/>
    <cellStyle name="差_银川林场预算 3" xfId="1140"/>
    <cellStyle name="常规 3_ 竣工验收费预算表" xfId="1141"/>
    <cellStyle name="差_银川林场预算 4" xfId="1142"/>
    <cellStyle name="差_中宁高山寺投资估算11.8终" xfId="1143"/>
    <cellStyle name="好_2011年南梁农场利用政策性贷款实施农业综合开发项目预算表_Book1_1 3" xfId="1144"/>
    <cellStyle name="差_中卫市南山台泵站1" xfId="1145"/>
    <cellStyle name="差_中卫市南山台泵站1 2" xfId="1146"/>
    <cellStyle name="差_中卫市南山台泵站1 3" xfId="1147"/>
    <cellStyle name="差_中卫市南山台泵站1 4" xfId="1148"/>
    <cellStyle name="差_中卫市南山台泵站1 5" xfId="1149"/>
    <cellStyle name="常规 10 4 2" xfId="1150"/>
    <cellStyle name="好_宁夏农垦农业综合开发十二五规划3.15_北庙灌水率及渠道流量计算9-6 3" xfId="1151"/>
    <cellStyle name="常规 12 2" xfId="1152"/>
    <cellStyle name="好_宁夏农垦农业综合开发十二五规划3.15_北庙灌水率及渠道流量计算9-6 4" xfId="1153"/>
    <cellStyle name="常规 12 3" xfId="1154"/>
    <cellStyle name="常规 12 4" xfId="1155"/>
    <cellStyle name="常规 13" xfId="1156"/>
    <cellStyle name="常规 13 2" xfId="1157"/>
    <cellStyle name="常规 13 3" xfId="1158"/>
    <cellStyle name="常规 14 2" xfId="1159"/>
    <cellStyle name="常规 14 2 2" xfId="1160"/>
    <cellStyle name="常规 14 3" xfId="1161"/>
    <cellStyle name="常规 14 4" xfId="1162"/>
    <cellStyle name="常规 17" xfId="1163"/>
    <cellStyle name="常规 2" xfId="1164"/>
    <cellStyle name="强调文字颜色 3 3" xfId="1165"/>
    <cellStyle name="常规 2 10" xfId="1166"/>
    <cellStyle name="强调文字颜色 3 4" xfId="1167"/>
    <cellStyle name="常规 2 11" xfId="1168"/>
    <cellStyle name="常规 2 2" xfId="1169"/>
    <cellStyle name="常规 2 2 2" xfId="1170"/>
    <cellStyle name="常规 2 2 2 3" xfId="1171"/>
    <cellStyle name="常规 2 2 3" xfId="1172"/>
    <cellStyle name="常规 2 2 3 3" xfId="1173"/>
    <cellStyle name="常规 2 2 3 4" xfId="1174"/>
    <cellStyle name="常规 2 2 4" xfId="1175"/>
    <cellStyle name="常规 2 2 5" xfId="1176"/>
    <cellStyle name="常规 2 2 6" xfId="1177"/>
    <cellStyle name="常规 2 2 7" xfId="1178"/>
    <cellStyle name="常规 2 2 8" xfId="1179"/>
    <cellStyle name="常规 2 2 9" xfId="1180"/>
    <cellStyle name="常规 2 2_ 竣工验收费预算表" xfId="1181"/>
    <cellStyle name="常规 2 3" xfId="1182"/>
    <cellStyle name="好_2011年南梁农场利用政策性贷款实施农业综合开发项目预算表 3" xfId="1183"/>
    <cellStyle name="常规 2 3 2" xfId="1184"/>
    <cellStyle name="常规 2 3 2 2" xfId="1185"/>
    <cellStyle name="常规 2 3 2 2 2" xfId="1186"/>
    <cellStyle name="常规 2 3 2 2 3" xfId="1187"/>
    <cellStyle name="常规 2 3 2 2 4" xfId="1188"/>
    <cellStyle name="常规 2 3 2 3" xfId="1189"/>
    <cellStyle name="常规 2 3 2 4" xfId="1190"/>
    <cellStyle name="常规 2 3 2 5" xfId="1191"/>
    <cellStyle name="常规 2 3 2_Book1" xfId="1192"/>
    <cellStyle name="好_2011年南梁农场利用政策性贷款实施农业综合开发项目预算表 4" xfId="1193"/>
    <cellStyle name="常规 2 3 3" xfId="1194"/>
    <cellStyle name="常规 2 3 5" xfId="1195"/>
    <cellStyle name="常规 2 3_ 竣工验收费预算表" xfId="1196"/>
    <cellStyle name="常规 2 4" xfId="1197"/>
    <cellStyle name="常规 2 4 2" xfId="1198"/>
    <cellStyle name="常规 2 4 3" xfId="1199"/>
    <cellStyle name="常规 2 4 4" xfId="1200"/>
    <cellStyle name="常规 2 5" xfId="1201"/>
    <cellStyle name="常规 2 5 2" xfId="1202"/>
    <cellStyle name="检查单元格 6" xfId="1203"/>
    <cellStyle name="常规 2 5 2 2" xfId="1204"/>
    <cellStyle name="常规 2 5 2 3" xfId="1205"/>
    <cellStyle name="常规 2 5 2 4" xfId="1206"/>
    <cellStyle name="常规 2 5 3" xfId="1207"/>
    <cellStyle name="常规 2 5 4" xfId="1208"/>
    <cellStyle name="好_Book1_1" xfId="1209"/>
    <cellStyle name="常规 2 5 5" xfId="1210"/>
    <cellStyle name="常规 2 5_ 竣工验收费预算表" xfId="1211"/>
    <cellStyle name="常规 2 7" xfId="1212"/>
    <cellStyle name="常规 2 7 3" xfId="1213"/>
    <cellStyle name="输入 2" xfId="1214"/>
    <cellStyle name="常规 2 8" xfId="1215"/>
    <cellStyle name="输入 3" xfId="1216"/>
    <cellStyle name="常规 2 9" xfId="1217"/>
    <cellStyle name="常规 2_ 竣工验收费预算表" xfId="1218"/>
    <cellStyle name="常规 3" xfId="1219"/>
    <cellStyle name="常规 3 2" xfId="1220"/>
    <cellStyle name="常规 3 2 4" xfId="1221"/>
    <cellStyle name="常规 3 2_ 竣工验收费预算表" xfId="1222"/>
    <cellStyle name="常规 3 3" xfId="1223"/>
    <cellStyle name="常规 3 3 2" xfId="1224"/>
    <cellStyle name="常规 3 3 3" xfId="1225"/>
    <cellStyle name="好_立岗镇建筑物统计表 2" xfId="1226"/>
    <cellStyle name="常规 3 4" xfId="1227"/>
    <cellStyle name="好_立岗镇建筑物统计表 3" xfId="1228"/>
    <cellStyle name="常规 3 5" xfId="1229"/>
    <cellStyle name="好_立岗镇建筑物统计表 4" xfId="1230"/>
    <cellStyle name="常规 3 6" xfId="1231"/>
    <cellStyle name="常规 3 7" xfId="1232"/>
    <cellStyle name="常规 3 8" xfId="1233"/>
    <cellStyle name="常规 3 9" xfId="1234"/>
    <cellStyle name="常规 4" xfId="1235"/>
    <cellStyle name="常规 4 2" xfId="1236"/>
    <cellStyle name="常规 4 4" xfId="1237"/>
    <cellStyle name="常规 4 2 2" xfId="1238"/>
    <cellStyle name="常规 4 5" xfId="1239"/>
    <cellStyle name="常规 4 2 3" xfId="1240"/>
    <cellStyle name="好_北庙灌水率及渠道流量计算 2" xfId="1241"/>
    <cellStyle name="常规 4 6" xfId="1242"/>
    <cellStyle name="常规 4 2 4" xfId="1243"/>
    <cellStyle name="常规 4 3" xfId="1244"/>
    <cellStyle name="好_北庙灌水率及渠道流量计算 3" xfId="1245"/>
    <cellStyle name="常规 4 7" xfId="1246"/>
    <cellStyle name="好_北庙灌水率及渠道流量计算 4" xfId="1247"/>
    <cellStyle name="常规 4 8" xfId="1248"/>
    <cellStyle name="常规 4 9" xfId="1249"/>
    <cellStyle name="常规 4_南梁农场建设内容" xfId="1250"/>
    <cellStyle name="常规 5" xfId="1251"/>
    <cellStyle name="常规 5 10" xfId="1252"/>
    <cellStyle name="常规 5 2" xfId="1253"/>
    <cellStyle name="常规 5 2 2" xfId="1254"/>
    <cellStyle name="常规 5 2 2 2" xfId="1255"/>
    <cellStyle name="常规 5 2 2 3" xfId="1256"/>
    <cellStyle name="常规 5 2 2 4" xfId="1257"/>
    <cellStyle name="常规 5 2 3" xfId="1258"/>
    <cellStyle name="常规 5 2 4" xfId="1259"/>
    <cellStyle name="常规 5 3" xfId="1260"/>
    <cellStyle name="常规 5 3 2" xfId="1261"/>
    <cellStyle name="常规 5 3 3" xfId="1262"/>
    <cellStyle name="常规 5 3 4" xfId="1263"/>
    <cellStyle name="常规 5 4" xfId="1264"/>
    <cellStyle name="常规 5 4 2" xfId="1265"/>
    <cellStyle name="好_南梁预算 2" xfId="1266"/>
    <cellStyle name="常规 5 4 4" xfId="1267"/>
    <cellStyle name="常规 5 5" xfId="1268"/>
    <cellStyle name="常规 5 6" xfId="1269"/>
    <cellStyle name="常规 5 7" xfId="1270"/>
    <cellStyle name="常规 5 8" xfId="1271"/>
    <cellStyle name="常规 5 9" xfId="1272"/>
    <cellStyle name="好_2012估算李" xfId="1273"/>
    <cellStyle name="常规 5_ 竣工验收费预算表" xfId="1274"/>
    <cellStyle name="常规 6" xfId="1275"/>
    <cellStyle name="常规 6 2" xfId="1276"/>
    <cellStyle name="常规 6 2 2" xfId="1277"/>
    <cellStyle name="常规 6 2 3" xfId="1278"/>
    <cellStyle name="常规 6 2 4" xfId="1279"/>
    <cellStyle name="常规 6 3" xfId="1280"/>
    <cellStyle name="常规 6 4" xfId="1281"/>
    <cellStyle name="常规 6 6" xfId="1282"/>
    <cellStyle name="常规 6 7" xfId="1283"/>
    <cellStyle name="常规 6 8" xfId="1284"/>
    <cellStyle name="常规 6 9" xfId="1285"/>
    <cellStyle name="常规 6_ 竣工验收费预算表" xfId="1286"/>
    <cellStyle name="好_Book1_2_中宁县恩和镇可研预算9.9" xfId="1287"/>
    <cellStyle name="常规 7" xfId="1288"/>
    <cellStyle name="常规 7 2" xfId="1289"/>
    <cellStyle name="常规 7 2 2" xfId="1290"/>
    <cellStyle name="常规 7 2 3" xfId="1291"/>
    <cellStyle name="常规 7 3" xfId="1292"/>
    <cellStyle name="常规 7 4" xfId="1293"/>
    <cellStyle name="计算 4" xfId="1294"/>
    <cellStyle name="好_13标预算_中宁高山寺投资估算11.8终 2" xfId="1295"/>
    <cellStyle name="常规 7_ 竣工验收费预算表" xfId="1296"/>
    <cellStyle name="常规 8" xfId="1297"/>
    <cellStyle name="常规 8 2" xfId="1298"/>
    <cellStyle name="常规 8 3" xfId="1299"/>
    <cellStyle name="常规 8 4" xfId="1300"/>
    <cellStyle name="常规 8 5" xfId="1301"/>
    <cellStyle name="常规 9" xfId="1302"/>
    <cellStyle name="常规_2013年土地治理项目农业及科技措表（规划）（20120827）-2" xfId="1303"/>
    <cellStyle name="常规_初设概算表 2 2" xfId="1304"/>
    <cellStyle name="常规_管材及取费" xfId="1305"/>
    <cellStyle name="常规_黄羊滩农场预算（可研）111" xfId="1306"/>
    <cellStyle name="常规_黄羊滩农场预算（可研）111 2" xfId="1307"/>
    <cellStyle name="常规_黄羊滩农场预算（可研）111 3" xfId="1308"/>
    <cellStyle name="常规_建筑物统计表空_南梁农场建设内容" xfId="1309"/>
    <cellStyle name="常规_菊花台节灌工程预算滴灌2010114" xfId="1310"/>
    <cellStyle name="强调文字颜色 2 5" xfId="1311"/>
    <cellStyle name="常规_林业预算（定稿）_贺兰北庙9-8" xfId="1312"/>
    <cellStyle name="常规_林业预算（定稿）_贺兰金贵镇2013年高标准估算表9.7" xfId="1313"/>
    <cellStyle name="常规_青铜峡市叶盛镇幸福新村人饮工程  2" xfId="1314"/>
    <cellStyle name="常规_水利工程概算表（水塔方案）17" xfId="1315"/>
    <cellStyle name="常规_四个泵站的电气工程量预算" xfId="1316"/>
    <cellStyle name="常规_脱烈概算表.xls" xfId="1317"/>
    <cellStyle name="常规_永宁县南部农村饮水安全工程概算-厅计划处" xfId="1318"/>
    <cellStyle name="超链接 3" xfId="1319"/>
    <cellStyle name="超链接 4" xfId="1320"/>
    <cellStyle name="超链接 5" xfId="1321"/>
    <cellStyle name="分级显示行_1_Book1" xfId="1322"/>
    <cellStyle name="分级显示列_1_Book1" xfId="1323"/>
    <cellStyle name="好 2 2" xfId="1324"/>
    <cellStyle name="好 5" xfId="1325"/>
    <cellStyle name="好 6" xfId="1326"/>
    <cellStyle name="好_宁夏农垦农业综合开发十二五规划3.15_北庙灌水率及渠道流量计算" xfId="1327"/>
    <cellStyle name="好_ 竣工验收费预算表" xfId="1328"/>
    <cellStyle name="好_1" xfId="1329"/>
    <cellStyle name="好_1 2" xfId="1330"/>
    <cellStyle name="好_1 4" xfId="1331"/>
    <cellStyle name="好_13标预算" xfId="1332"/>
    <cellStyle name="好_13标预算 2" xfId="1333"/>
    <cellStyle name="好_13标预算 3" xfId="1334"/>
    <cellStyle name="好_13标预算_Book1 2" xfId="1335"/>
    <cellStyle name="好_13标预算_Book1 3" xfId="1336"/>
    <cellStyle name="好_13标预算_Book1 4" xfId="1337"/>
    <cellStyle name="好_13标预算_Book1_贺兰北庙9-8" xfId="1338"/>
    <cellStyle name="好_13标预算_Book1_贺兰金贵镇2013年高标准估算表8.27" xfId="1339"/>
    <cellStyle name="好_Book1_1_贺兰金贵镇2013年高标准估算表9.7" xfId="1340"/>
    <cellStyle name="好_13标预算_Book1_贺兰金贵镇2013年高标准估算表8.27 2" xfId="1341"/>
    <cellStyle name="好_13标预算_Book1_贺兰金贵镇2013年高标准估算表8.27 3" xfId="1342"/>
    <cellStyle name="好_13标预算_Book1_贺兰金贵镇2013年高标准估算表8.27 4" xfId="1343"/>
    <cellStyle name="好_13标预算_Book1_贺兰金贵镇2013年高标准估算表9.7" xfId="1344"/>
    <cellStyle name="好_13标预算_Book1_贺兰金贵镇2013年高标准估算表9.7 2" xfId="1345"/>
    <cellStyle name="好_13标预算_Book1_贺兰金贵镇2013年高标准估算表9.7 3" xfId="1346"/>
    <cellStyle name="好_Book1_于祥灌水率及渠道流量计算1" xfId="1347"/>
    <cellStyle name="好_13标预算_Book1_贺兰金贵镇2013年高标准估算表9.7 4" xfId="1348"/>
    <cellStyle name="好_13标预算_Book1_中宁县恩和镇可研预算9.9" xfId="1349"/>
    <cellStyle name="好_13标预算_北庙灌水率及渠道流量计算" xfId="1350"/>
    <cellStyle name="好_立岗镇建筑物统计表_贺兰金贵镇2013年高标准估算表9.7 4" xfId="1351"/>
    <cellStyle name="好_13标预算_北庙灌水率及渠道流量计算 2" xfId="1352"/>
    <cellStyle name="好_13标预算_北庙灌水率及渠道流量计算9-6" xfId="1353"/>
    <cellStyle name="好_13标预算_北庙灌水率及渠道流量计算9-6 2" xfId="1354"/>
    <cellStyle name="好_13标预算_灌水率及渠道流量计算" xfId="1355"/>
    <cellStyle name="好_13标预算_灌水率及渠道流量计算 4" xfId="1356"/>
    <cellStyle name="好_13标预算_灌水率及渠道流量计算_中宁县恩和镇可研预算9.9" xfId="1357"/>
    <cellStyle name="好_13标预算_贺兰北庙9-8" xfId="1358"/>
    <cellStyle name="好_13标预算_贺兰金贵镇2013年高标准估算表9.7" xfId="1359"/>
    <cellStyle name="好_13标预算_贺兰金贵镇2013年高标准估算表9.7 2" xfId="1360"/>
    <cellStyle name="好_13标预算_贺兰金贵镇2013年高标准估算表9.7 3" xfId="1361"/>
    <cellStyle name="好_13标预算_贺兰金贵镇2013年高标准估算表9.7 4" xfId="1362"/>
    <cellStyle name="好_13标预算_贺兰山东麓泵站工程预算" xfId="1363"/>
    <cellStyle name="好_13标预算_贺兰山东麓泵站工程预算 4" xfId="1364"/>
    <cellStyle name="好_13标预算_建材厂预算" xfId="1365"/>
    <cellStyle name="好_13标预算_建材厂预算 2" xfId="1366"/>
    <cellStyle name="好_13标预算_建材厂预算 3" xfId="1367"/>
    <cellStyle name="好_13标预算_渠口农场水库移民项目" xfId="1368"/>
    <cellStyle name="好_13标预算_渠口农场水库移民项目 2" xfId="1369"/>
    <cellStyle name="好_13标预算_渠口农场水库移民项目 3" xfId="1370"/>
    <cellStyle name="好_13标预算_渠口农场水库移民项目 4" xfId="1371"/>
    <cellStyle name="计算 5" xfId="1372"/>
    <cellStyle name="好_13标预算_中宁高山寺投资估算11.8终 3" xfId="1373"/>
    <cellStyle name="好_2011年南梁农场利用政策性贷款实施农业综合开发项目预算表_贺兰金贵镇2013年高标准估算表9.7" xfId="1374"/>
    <cellStyle name="好_13标预算_中宁高山寺投资估算11.8终 4" xfId="1375"/>
    <cellStyle name="好_2011年南梁农场利用政策性贷款实施农业综合开发项目预算表" xfId="1376"/>
    <cellStyle name="好_2011年南梁农场利用政策性贷款实施农业综合开发项目预算表 2" xfId="1377"/>
    <cellStyle name="好_连湖预算" xfId="1378"/>
    <cellStyle name="好_2011年南梁农场利用政策性贷款实施农业综合开发项目预算表_Book1" xfId="1379"/>
    <cellStyle name="好_连湖预算 3" xfId="1380"/>
    <cellStyle name="好_2011年南梁农场利用政策性贷款实施农业综合开发项目预算表_Book1 3" xfId="1381"/>
    <cellStyle name="好_连湖预算 4" xfId="1382"/>
    <cellStyle name="好_2011年南梁农场利用政策性贷款实施农业综合开发项目预算表_Book1 4" xfId="1383"/>
    <cellStyle name="好_2011年南梁农场利用政策性贷款实施农业综合开发项目预算表_Book1_1" xfId="1384"/>
    <cellStyle name="好_2011年南梁农场利用政策性贷款实施农业综合开发项目预算表_Book1_1 2" xfId="1385"/>
    <cellStyle name="好_2011年南梁农场利用政策性贷款实施农业综合开发项目预算表_贺兰金贵镇2013年高标准估算表8.27" xfId="1386"/>
    <cellStyle name="好_2011年南梁农场利用政策性贷款实施农业综合开发项目预算表_贺兰金贵镇2013年高标准估算表8.27 2" xfId="1387"/>
    <cellStyle name="好_2011年南梁农场利用政策性贷款实施农业综合开发项目预算表_贺兰金贵镇2013年高标准估算表8.27 3" xfId="1388"/>
    <cellStyle name="好_2011年南梁农场利用政策性贷款实施农业综合开发项目预算表_贺兰金贵镇2013年高标准估算表8.27 4" xfId="1389"/>
    <cellStyle name="好_2011年南梁农场利用政策性贷款实施农业综合开发项目预算表_贺兰金贵镇2013年高标准估算表9.7 3" xfId="1390"/>
    <cellStyle name="好_2011年南梁农场利用政策性贷款实施农业综合开发项目预算表_贺兰金贵镇2013年高标准估算表9.7 4" xfId="1391"/>
    <cellStyle name="好_2012估算_建材厂预算" xfId="1392"/>
    <cellStyle name="好_2012估算_建材厂预算 3" xfId="1393"/>
    <cellStyle name="好_2012估算_建材厂预算 4" xfId="1394"/>
    <cellStyle name="好_2012估算_中宁高山寺投资估算11.8终" xfId="1395"/>
    <cellStyle name="好_2012估算_中宁高山寺投资估算11.8终 2" xfId="1396"/>
    <cellStyle name="好_2012估算_中宁高山寺投资估算11.8终 3" xfId="1397"/>
    <cellStyle name="好_2012估算_中宁高山寺投资估算11.8终 4" xfId="1398"/>
    <cellStyle name="好_2012估算chen2" xfId="1399"/>
    <cellStyle name="好_2012估算chen2 2" xfId="1400"/>
    <cellStyle name="好_Book1_灌水率及渠道流量计算" xfId="1401"/>
    <cellStyle name="好_2012估算chen2 3" xfId="1402"/>
    <cellStyle name="好_2012估算chen2 4" xfId="1403"/>
    <cellStyle name="好_2012估算chen2_建材厂预算" xfId="1404"/>
    <cellStyle name="好_2012估算chen2_建材厂预算 2" xfId="1405"/>
    <cellStyle name="好_2012估算chen2_建材厂预算 3" xfId="1406"/>
    <cellStyle name="好_2012估算李 2" xfId="1407"/>
    <cellStyle name="好_2012估算李 3" xfId="1408"/>
    <cellStyle name="好_2012估算李 4" xfId="1409"/>
    <cellStyle name="好_2012估算李_建材厂预算 2" xfId="1410"/>
    <cellStyle name="好_2012估算李_建材厂预算 3" xfId="1411"/>
    <cellStyle name="好_2012估算李_建材厂预算 4" xfId="1412"/>
    <cellStyle name="好_2012年巴浪湖农业综合开发预算(2)" xfId="1413"/>
    <cellStyle name="好_2012年巴浪湖农业综合开发预算(2) 2" xfId="1414"/>
    <cellStyle name="好_2012年巴浪湖农业综合开发预算(2) 3" xfId="1415"/>
    <cellStyle name="好_2012年巴浪湖农业综合开发预算(2) 4" xfId="1416"/>
    <cellStyle name="好_2012年巴浪湖农业综合开发预算(2)_中宁高山寺投资估算11.8终" xfId="1417"/>
    <cellStyle name="好_23-宁夏" xfId="1418"/>
    <cellStyle name="好_23-宁夏 2" xfId="1419"/>
    <cellStyle name="好_23-宁夏 3" xfId="1420"/>
    <cellStyle name="好_23-宁夏 4" xfId="1421"/>
    <cellStyle name="好_23-宁夏 5" xfId="1422"/>
    <cellStyle name="好_Book1" xfId="1423"/>
    <cellStyle name="好_Book1 2" xfId="1424"/>
    <cellStyle name="好_Book1 3" xfId="1425"/>
    <cellStyle name="好_Book1 4" xfId="1426"/>
    <cellStyle name="好_Book1_1 2" xfId="1427"/>
    <cellStyle name="好_Book1_1 3" xfId="1428"/>
    <cellStyle name="好_Book1_1 4" xfId="1429"/>
    <cellStyle name="好_Book1_1_Book1" xfId="1430"/>
    <cellStyle name="好_Book1_1_Book1 2" xfId="1431"/>
    <cellStyle name="好_Book1_1_Book1 3" xfId="1432"/>
    <cellStyle name="好_Book1_1_Book1 4" xfId="1433"/>
    <cellStyle name="好_Book1_1_北庙灌水率及渠道流量计算" xfId="1434"/>
    <cellStyle name="好_Book1_1_北庙灌水率及渠道流量计算 2" xfId="1435"/>
    <cellStyle name="好_Book1_1_北庙灌水率及渠道流量计算 3" xfId="1436"/>
    <cellStyle name="好_Book1_1_北庙灌水率及渠道流量计算 4" xfId="1437"/>
    <cellStyle name="好_Book1_1_北庙灌水率及渠道流量计算9-6" xfId="1438"/>
    <cellStyle name="好_Book1_1_北庙灌水率及渠道流量计算9-6 3" xfId="1439"/>
    <cellStyle name="好_连湖预算_建材厂预算 2" xfId="1440"/>
    <cellStyle name="好_Book1_1_北庙灌水率及渠道流量计算9-6 4" xfId="1441"/>
    <cellStyle name="检查单元格 2 4" xfId="1442"/>
    <cellStyle name="好_Book1_1_灌水率及渠道流量计算" xfId="1443"/>
    <cellStyle name="好_Book1_1_灌水率及渠道流量计算 2" xfId="1444"/>
    <cellStyle name="好_Book1_1_灌水率及渠道流量计算 3" xfId="1445"/>
    <cellStyle name="好_Book1_1_灌水率及渠道流量计算 4" xfId="1446"/>
    <cellStyle name="好_Book1_1_贺兰金贵镇2013年高标准估算表9.7 2" xfId="1447"/>
    <cellStyle name="好_Book1_1_贺兰金贵镇2013年高标准估算表9.7 3" xfId="1448"/>
    <cellStyle name="好_Book1_1_贺兰金贵镇2013年高标准估算表9.7 4" xfId="1449"/>
    <cellStyle name="好_Book1_1_中宁高山寺投资估算11.8终" xfId="1450"/>
    <cellStyle name="好_Book1_1_中宁高山寺投资估算11.8终 4" xfId="1451"/>
    <cellStyle name="好_Book1_2" xfId="1452"/>
    <cellStyle name="好_Book1_2 3" xfId="1453"/>
    <cellStyle name="好_Book1_2 4" xfId="1454"/>
    <cellStyle name="好_Book1_2_Book1" xfId="1455"/>
    <cellStyle name="好_Book1_2_Book1 2" xfId="1456"/>
    <cellStyle name="好_Book1_2_Book1 3" xfId="1457"/>
    <cellStyle name="好_Book1_2_Book1 4" xfId="1458"/>
    <cellStyle name="好_Book1_2_贺兰北庙9-8" xfId="1459"/>
    <cellStyle name="好_Book1_2_贺兰金贵镇2013年高标准估算表8.27" xfId="1460"/>
    <cellStyle name="好_Book1_2_贺兰金贵镇2013年高标准估算表8.27 2" xfId="1461"/>
    <cellStyle name="好_Book1_2_贺兰金贵镇2013年高标准估算表8.27 3" xfId="1462"/>
    <cellStyle name="好_Book1_2_贺兰金贵镇2013年高标准估算表8.27 4" xfId="1463"/>
    <cellStyle name="好_Book1_2_贺兰金贵镇2013年高标准估算表9.7 2" xfId="1464"/>
    <cellStyle name="好_Book1_2_贺兰金贵镇2013年高标准估算表9.7 3" xfId="1465"/>
    <cellStyle name="好_Book1_2_贺兰金贵镇2013年高标准估算表9.7 4" xfId="1466"/>
    <cellStyle name="好_Book1_3" xfId="1467"/>
    <cellStyle name="好_Book1_3 2" xfId="1468"/>
    <cellStyle name="好_Book1_3 3" xfId="1469"/>
    <cellStyle name="好_Book1_3 4" xfId="1470"/>
    <cellStyle name="好_灵武泵站总预算表 4" xfId="1471"/>
    <cellStyle name="好_Book1_Book1" xfId="1472"/>
    <cellStyle name="好_Book1_Book1 2" xfId="1473"/>
    <cellStyle name="好_Book1_中宁县恩和镇可研预算9.9" xfId="1474"/>
    <cellStyle name="好_Book1_Book1 3" xfId="1475"/>
    <cellStyle name="好_Book1_Book1 4" xfId="1476"/>
    <cellStyle name="好_Book1_北庙灌水率及渠道流量计算" xfId="1477"/>
    <cellStyle name="好_Book1_北庙灌水率及渠道流量计算 2" xfId="1478"/>
    <cellStyle name="好_Book1_北庙灌水率及渠道流量计算 3" xfId="1479"/>
    <cellStyle name="好_Book1_北庙灌水率及渠道流量计算9-6" xfId="1480"/>
    <cellStyle name="好_Book1_北庙灌水率及渠道流量计算9-6 2" xfId="1481"/>
    <cellStyle name="好_Book1_北庙灌水率及渠道流量计算9-6 3" xfId="1482"/>
    <cellStyle name="好_Book1_北庙灌水率及渠道流量计算9-6 4" xfId="1483"/>
    <cellStyle name="好_Book1_灌水率及渠道流量计算 2" xfId="1484"/>
    <cellStyle name="好_Book1_灌水率及渠道流量计算 3" xfId="1485"/>
    <cellStyle name="好_Book1_灌水率及渠道流量计算 4" xfId="1486"/>
    <cellStyle name="好_Book1_水利骨干工程概算表" xfId="1487"/>
    <cellStyle name="好_Book1_田间工程概算表" xfId="1488"/>
    <cellStyle name="好_Book1_中宁高山寺投资估算11.8终" xfId="1489"/>
    <cellStyle name="好_Book1_中宁高山寺投资估算11.8终 2" xfId="1490"/>
    <cellStyle name="好_Book1_中宁高山寺投资估算11.8终 3" xfId="1491"/>
    <cellStyle name="好_Book1_中宁高山寺投资估算11.8终 4" xfId="1492"/>
    <cellStyle name="好_北庙灌水率及渠道流量计算" xfId="1493"/>
    <cellStyle name="好_北庙灌水率及渠道流量计算9-6" xfId="1494"/>
    <cellStyle name="好_北庙灌水率及渠道流量计算9-6 2" xfId="1495"/>
    <cellStyle name="好_北庙灌水率及渠道流量计算9-6 3" xfId="1496"/>
    <cellStyle name="好_北庙灌水率及渠道流量计算9-6 4" xfId="1497"/>
    <cellStyle name="好_灌水率" xfId="1498"/>
    <cellStyle name="好_灌水率 2" xfId="1499"/>
    <cellStyle name="好_灌水率 3" xfId="1500"/>
    <cellStyle name="好_灌水率 4" xfId="1501"/>
    <cellStyle name="好_灌水率及渠道流量计算" xfId="1502"/>
    <cellStyle name="好_灌水率及渠道流量计算 4" xfId="1503"/>
    <cellStyle name="好_宁夏农垦农业综合开发十二五规划3.15_Book1 2" xfId="1504"/>
    <cellStyle name="好_贺兰金贵镇2013年高标准估算表8.27" xfId="1505"/>
    <cellStyle name="好_贺兰金贵镇2013年高标准估算表8.27 2" xfId="1506"/>
    <cellStyle name="好_贺兰金贵镇2013年高标准估算表8.27 3" xfId="1507"/>
    <cellStyle name="好_贺兰金贵镇2013年高标准估算表8.27 4" xfId="1508"/>
    <cellStyle name="好_贺兰金贵镇2013年高标准估算表9.7 2" xfId="1509"/>
    <cellStyle name="好_贺兰金贵镇2013年高标准估算表9.7 4" xfId="1510"/>
    <cellStyle name="好_贺兰山东麓泵站工程预算" xfId="1511"/>
    <cellStyle name="好_贺兰山东麓泵站工程预算 2" xfId="1512"/>
    <cellStyle name="好_贺兰山东麓泵站工程预算 3" xfId="1513"/>
    <cellStyle name="好_贺兰山东麓泵站工程预算 4" xfId="1514"/>
    <cellStyle name="好_黄羊滩农场预算（可研）" xfId="1515"/>
    <cellStyle name="好_黄羊滩农场预算（可研） 3" xfId="1516"/>
    <cellStyle name="好_黄羊滩农场预算（可研） 4" xfId="1517"/>
    <cellStyle name="好_黄羊滩农场预算（可研）111" xfId="1518"/>
    <cellStyle name="好_黄羊滩农场预算（可研）111 2" xfId="1519"/>
    <cellStyle name="好_黄羊滩农场预算（可研）111 3" xfId="1520"/>
    <cellStyle name="好_黄羊滩农场预算（可研）111 4" xfId="1521"/>
    <cellStyle name="好_建材厂预算" xfId="1522"/>
    <cellStyle name="好_建筑安装工程" xfId="1523"/>
    <cellStyle name="好_建筑安装工程 3" xfId="1524"/>
    <cellStyle name="好_建筑安装工程 4" xfId="1525"/>
    <cellStyle name="好_建筑物" xfId="1526"/>
    <cellStyle name="好_建筑物 2" xfId="1527"/>
    <cellStyle name="好_建筑物 3" xfId="1528"/>
    <cellStyle name="好_建筑物 4" xfId="1529"/>
    <cellStyle name="好_立岗镇建筑物统计表" xfId="1530"/>
    <cellStyle name="好_立岗镇建筑物统计表_Book1" xfId="1531"/>
    <cellStyle name="好_立岗镇建筑物统计表_Book1 2" xfId="1532"/>
    <cellStyle name="好_立岗镇建筑物统计表_Book1 3" xfId="1533"/>
    <cellStyle name="好_立岗镇建筑物统计表_Book1 4" xfId="1534"/>
    <cellStyle name="好_立岗镇建筑物统计表_Book1_1" xfId="1535"/>
    <cellStyle name="好_立岗镇建筑物统计表_Book1_1 2" xfId="1536"/>
    <cellStyle name="好_立岗镇建筑物统计表_Book1_1 3" xfId="1537"/>
    <cellStyle name="好_立岗镇建筑物统计表_Book1_1 4" xfId="1538"/>
    <cellStyle name="好_立岗镇建筑物统计表_贺兰北庙9-8" xfId="1539"/>
    <cellStyle name="好_立岗镇建筑物统计表_贺兰金贵镇2013年高标准估算表8.27" xfId="1540"/>
    <cellStyle name="好_立岗镇建筑物统计表_贺兰金贵镇2013年高标准估算表8.27 2" xfId="1541"/>
    <cellStyle name="好_立岗镇建筑物统计表_贺兰金贵镇2013年高标准估算表8.27 3" xfId="1542"/>
    <cellStyle name="好_立岗镇建筑物统计表_贺兰金贵镇2013年高标准估算表8.27 4" xfId="1543"/>
    <cellStyle name="好_立岗镇建筑物统计表_贺兰金贵镇2013年高标准估算表9.7" xfId="1544"/>
    <cellStyle name="好_立岗镇建筑物统计表_贺兰金贵镇2013年高标准估算表9.7 2" xfId="1545"/>
    <cellStyle name="好_连湖预算_建材厂预算 3" xfId="1546"/>
    <cellStyle name="好_灵武泵站总预算表" xfId="1547"/>
    <cellStyle name="好_宁夏农垦农业综合开发十二五规划3.15_贺兰金贵镇2013年高标准估算表9.7 4" xfId="1548"/>
    <cellStyle name="好_灵武泵站总预算表 2" xfId="1549"/>
    <cellStyle name="好_灵武泵站总预算表 3" xfId="1550"/>
    <cellStyle name="好_南梁农场U型渠道工程量清单(政策性）12月(修改）" xfId="1551"/>
    <cellStyle name="好_南梁农场建设内容 2" xfId="1552"/>
    <cellStyle name="好_南梁农场建设内容 3" xfId="1553"/>
    <cellStyle name="好_南梁农场建设内容 4" xfId="1554"/>
    <cellStyle name="好_南梁预算 3" xfId="1555"/>
    <cellStyle name="好_南梁预算 4" xfId="1556"/>
    <cellStyle name="好_宁夏农垦农业综合开发十二五规划3.15_Book1" xfId="1557"/>
    <cellStyle name="好_宁夏农垦农业综合开发十二五规划3.15_Book1 3" xfId="1558"/>
    <cellStyle name="好_宁夏农垦农业综合开发十二五规划3.15_Book1 4" xfId="1559"/>
    <cellStyle name="好_宁夏农垦农业综合开发十二五规划3.15_Book1_贺兰北庙9-8" xfId="1560"/>
    <cellStyle name="好_宁夏农垦农业综合开发十二五规划3.15_Book1_贺兰金贵镇2013年高标准估算表8.27" xfId="1561"/>
    <cellStyle name="好_宁夏农垦农业综合开发十二五规划3.15_Book1_贺兰金贵镇2013年高标准估算表8.27 2" xfId="1562"/>
    <cellStyle name="好_宁夏农垦农业综合开发十二五规划3.15_Book1_贺兰金贵镇2013年高标准估算表8.27 3" xfId="1563"/>
    <cellStyle name="好_宁夏农垦农业综合开发十二五规划3.15_Book1_贺兰金贵镇2013年高标准估算表8.27 4" xfId="1564"/>
    <cellStyle name="好_宁夏农垦农业综合开发十二五规划3.15_Book1_贺兰金贵镇2013年高标准估算表9.7" xfId="1565"/>
    <cellStyle name="好_宁夏农垦农业综合开发十二五规划3.15_Book1_贺兰金贵镇2013年高标准估算表9.7 2" xfId="1566"/>
    <cellStyle name="好_宁夏农垦农业综合开发十二五规划3.15_Book1_贺兰金贵镇2013年高标准估算表9.7 3" xfId="1567"/>
    <cellStyle name="好_宁夏农垦农业综合开发十二五规划3.15_Book1_贺兰金贵镇2013年高标准估算表9.7 4" xfId="1568"/>
    <cellStyle name="好_宁夏农垦农业综合开发十二五规划3.15_Book1_中宁县恩和镇可研预算9.9" xfId="1569"/>
    <cellStyle name="好_宁夏农垦农业综合开发十二五规划3.15_北庙灌水率及渠道流量计算 2" xfId="1570"/>
    <cellStyle name="好_宁夏农垦农业综合开发十二五规划3.15_北庙灌水率及渠道流量计算 3" xfId="1571"/>
    <cellStyle name="好_宁夏农垦农业综合开发十二五规划3.15_北庙灌水率及渠道流量计算9-6 2" xfId="1572"/>
    <cellStyle name="好_宁夏农垦农业综合开发十二五规划3.15_灌水率及渠道流量计算" xfId="1573"/>
    <cellStyle name="好_宁夏农垦农业综合开发十二五规划3.15_灌水率及渠道流量计算 2" xfId="1574"/>
    <cellStyle name="好_宁夏农垦农业综合开发十二五规划3.15_灌水率及渠道流量计算 3" xfId="1575"/>
    <cellStyle name="好_宁夏农垦农业综合开发十二五规划3.15_灌水率及渠道流量计算_中宁县恩和镇可研预算9.9" xfId="1576"/>
    <cellStyle name="好_宁夏农垦农业综合开发十二五规划3.15_贺兰北庙9-8" xfId="1577"/>
    <cellStyle name="好_宁夏农垦农业综合开发十二五规划3.15_贺兰金贵镇2013年高标准估算表8.27" xfId="1578"/>
    <cellStyle name="好_宁夏农垦农业综合开发十二五规划3.15_贺兰金贵镇2013年高标准估算表8.27 4" xfId="1579"/>
    <cellStyle name="好_宁夏农垦农业综合开发十二五规划3.15_贺兰金贵镇2013年高标准估算表9.7" xfId="1580"/>
    <cellStyle name="好_宁夏农垦农业综合开发十二五规划3.15_贺兰金贵镇2013年高标准估算表9.7 2" xfId="1581"/>
    <cellStyle name="好_宁夏农垦农业综合开发十二五规划3.15_贺兰金贵镇2013年高标准估算表9.7 3" xfId="1582"/>
    <cellStyle name="好_宁夏农垦农业综合开发十二五规划3.15_贺兰山东麓泵站工程预算" xfId="1583"/>
    <cellStyle name="好_宁夏农垦农业综合开发十二五规划3.15_贺兰山东麓泵站工程预算 3" xfId="1584"/>
    <cellStyle name="好_宁夏农垦农业综合开发十二五规划3.15_贺兰山东麓泵站工程预算 4" xfId="1585"/>
    <cellStyle name="好_宁夏农垦农业综合开发十二五规划3.15_建材厂预算" xfId="1586"/>
    <cellStyle name="好_宁夏农垦农业综合开发十二五规划3.15_建材厂预算 2" xfId="1587"/>
    <cellStyle name="好_宁夏农垦农业综合开发十二五规划3.15_建材厂预算 3" xfId="1588"/>
    <cellStyle name="好_宁夏农垦农业综合开发十二五规划3.15_建材厂预算 4" xfId="1589"/>
    <cellStyle name="好_宁夏农垦农业综合开发十二五规划3.15_渠口农场水库移民项目" xfId="1590"/>
    <cellStyle name="好_宁夏农垦农业综合开发十二五规划3.15_渠口农场水库移民项目 2" xfId="1591"/>
    <cellStyle name="好_宁夏农垦农业综合开发十二五规划3.15_渠口农场水库移民项目 3" xfId="1592"/>
    <cellStyle name="好_宁夏农垦农业综合开发十二五规划3.15_中宁高山寺投资估算11.8终" xfId="1593"/>
    <cellStyle name="好_宁夏农垦农业综合开发十二五规划3.15_中宁高山寺投资估算11.8终 2" xfId="1594"/>
    <cellStyle name="好_宁夏农垦农业综合开发十二五规划3.15_中宁高山寺投资估算11.8终 3" xfId="1595"/>
    <cellStyle name="好_宁夏农垦农业综合开发十二五规划3.15_中宁高山寺投资估算11.8终 4" xfId="1596"/>
    <cellStyle name="好_农发仪器设备1 2" xfId="1597"/>
    <cellStyle name="好_农发仪器设备1 3" xfId="1598"/>
    <cellStyle name="好_农发仪器设备1_Book1" xfId="1599"/>
    <cellStyle name="好_农发仪器设备1_Book1 4" xfId="1600"/>
    <cellStyle name="好_农发仪器设备1_Book1_贺兰北庙9-8" xfId="1601"/>
    <cellStyle name="好_农发仪器设备1_Book1_贺兰金贵镇2013年高标准估算表8.27 2" xfId="1602"/>
    <cellStyle name="好_农发仪器设备1_Book1_贺兰金贵镇2013年高标准估算表8.27 3" xfId="1603"/>
    <cellStyle name="好_农发仪器设备1_Book1_贺兰金贵镇2013年高标准估算表8.27 4" xfId="1604"/>
    <cellStyle name="好_农发仪器设备1_Book1_贺兰金贵镇2013年高标准估算表9.7" xfId="1605"/>
    <cellStyle name="好_农发仪器设备1_Book1_贺兰金贵镇2013年高标准估算表9.7 3" xfId="1606"/>
    <cellStyle name="好_农发仪器设备1_Book1_贺兰金贵镇2013年高标准估算表9.7 4" xfId="1607"/>
    <cellStyle name="好_农发仪器设备1_Book1_中宁县恩和镇可研预算9.9" xfId="1608"/>
    <cellStyle name="好_农发仪器设备1_北庙灌水率及渠道流量计算" xfId="1609"/>
    <cellStyle name="好_农发仪器设备1_北庙灌水率及渠道流量计算9-6" xfId="1610"/>
    <cellStyle name="好_农发仪器设备1_贺兰山东麓泵站工程预算 3" xfId="1611"/>
    <cellStyle name="好_农发仪器设备1_北庙灌水率及渠道流量计算9-6 2" xfId="1612"/>
    <cellStyle name="好_农发仪器设备1_贺兰山东麓泵站工程预算 4" xfId="1613"/>
    <cellStyle name="好_农发仪器设备1_北庙灌水率及渠道流量计算9-6 3" xfId="1614"/>
    <cellStyle name="好_农发仪器设备1_北庙灌水率及渠道流量计算9-6 4" xfId="1615"/>
    <cellStyle name="好_农发仪器设备1_灌水率及渠道流量计算" xfId="1616"/>
    <cellStyle name="好_农发仪器设备1_灌水率及渠道流量计算 2" xfId="1617"/>
    <cellStyle name="好_农发仪器设备1_灌水率及渠道流量计算 3" xfId="1618"/>
    <cellStyle name="好_农发仪器设备1_灌水率及渠道流量计算_中宁县恩和镇可研预算9.9" xfId="1619"/>
    <cellStyle name="好_农发仪器设备1_贺兰北庙9-8" xfId="1620"/>
    <cellStyle name="好_农发仪器设备1_贺兰金贵镇2013年高标准估算表8.27 2" xfId="1621"/>
    <cellStyle name="好_农发仪器设备1_贺兰金贵镇2013年高标准估算表8.27 3" xfId="1622"/>
    <cellStyle name="好_农发仪器设备1_贺兰金贵镇2013年高标准估算表8.27 4" xfId="1623"/>
    <cellStyle name="好_农发仪器设备1_贺兰金贵镇2013年高标准估算表9.7" xfId="1624"/>
    <cellStyle name="好_农发仪器设备1_贺兰金贵镇2013年高标准估算表9.7 2" xfId="1625"/>
    <cellStyle name="好_农发仪器设备1_贺兰金贵镇2013年高标准估算表9.7 3" xfId="1626"/>
    <cellStyle name="好_农发仪器设备1_贺兰金贵镇2013年高标准估算表9.7 4" xfId="1627"/>
    <cellStyle name="好_农发仪器设备1_贺兰山东麓泵站工程预算 2" xfId="1628"/>
    <cellStyle name="好_农发仪器设备1_建材厂预算" xfId="1629"/>
    <cellStyle name="好_农发仪器设备1_建材厂预算 2" xfId="1630"/>
    <cellStyle name="好_农发仪器设备1_建材厂预算 3" xfId="1631"/>
    <cellStyle name="好_农发仪器设备1_建材厂预算 4" xfId="1632"/>
    <cellStyle name="好_农发仪器设备1_渠口农场水库移民项目" xfId="1633"/>
    <cellStyle name="好_农发仪器设备1_渠口农场水库移民项目 3" xfId="1634"/>
    <cellStyle name="好_农发仪器设备1_中宁高山寺投资估算11.8终" xfId="1635"/>
    <cellStyle name="好_农发仪器设备1_中宁高山寺投资估算11.8终 2" xfId="1636"/>
    <cellStyle name="强调 1 2" xfId="1637"/>
    <cellStyle name="好_农发仪器设备1_中宁高山寺投资估算11.8终 3" xfId="1638"/>
    <cellStyle name="强调 1 3" xfId="1639"/>
    <cellStyle name="好_农发仪器设备1_中宁高山寺投资估算11.8终 4" xfId="1640"/>
    <cellStyle name="好_农垦局2011年农发土地项目计划投资明细表(打印) 2" xfId="1641"/>
    <cellStyle name="好_农垦局2011年农发土地项目计划投资明细表(打印) 3" xfId="1642"/>
    <cellStyle name="好_农垦局2011年农发土地项目计划投资明细表(打印) 4" xfId="1643"/>
    <cellStyle name="好_农垦局2011年政策性贷款土地项目计划投资明细表" xfId="1644"/>
    <cellStyle name="好_农垦局2011年政策性贷款土地项目计划投资明细表 2" xfId="1645"/>
    <cellStyle name="好_农垦局2011年政策性贷款土地项目计划投资明细表 3" xfId="1646"/>
    <cellStyle name="好_农垦局2011年政策性贷款土地项目计划投资明细表 4" xfId="1647"/>
    <cellStyle name="好_前期工作费预算表" xfId="1648"/>
    <cellStyle name="好_渠口预算" xfId="1649"/>
    <cellStyle name="好_渠口预算 2" xfId="1650"/>
    <cellStyle name="好_渠口预算 3" xfId="1651"/>
    <cellStyle name="好_渠口预算 4" xfId="1652"/>
    <cellStyle name="好_渠口预算_建材厂预算" xfId="1653"/>
    <cellStyle name="好_渠口预算_建材厂预算 2" xfId="1654"/>
    <cellStyle name="好_渠口预算_建材厂预算 4" xfId="1655"/>
    <cellStyle name="好_特性表" xfId="1656"/>
    <cellStyle name="好_特性表 2" xfId="1657"/>
    <cellStyle name="好_特性表 3" xfId="1658"/>
    <cellStyle name="好_特性表 4" xfId="1659"/>
    <cellStyle name="好_银川林场预算" xfId="1660"/>
    <cellStyle name="好_银川林场预算 2" xfId="1661"/>
    <cellStyle name="好_银川林场预算 3" xfId="1662"/>
    <cellStyle name="好_银川林场预算 4" xfId="1663"/>
    <cellStyle name="好_中宁高山寺投资估算11.8终" xfId="1664"/>
    <cellStyle name="好_中宁高山寺投资估算11.8终 2" xfId="1665"/>
    <cellStyle name="好_中宁高山寺投资估算11.8终 3" xfId="1666"/>
    <cellStyle name="好_中宁高山寺投资估算11.8终 4" xfId="1667"/>
    <cellStyle name="好_中卫市南山台泵站1" xfId="1668"/>
    <cellStyle name="好_中卫市南山台泵站1 2" xfId="1669"/>
    <cellStyle name="好_中卫市南山台泵站1 3" xfId="1670"/>
    <cellStyle name="好_中卫市南山台泵站1 4" xfId="1671"/>
    <cellStyle name="好_中卫市南山台泵站1 5" xfId="1672"/>
    <cellStyle name="汇总 4" xfId="1673"/>
    <cellStyle name="汇总 5" xfId="1674"/>
    <cellStyle name="计算 2" xfId="1675"/>
    <cellStyle name="计算 3" xfId="1676"/>
    <cellStyle name="检查单元格 2" xfId="1677"/>
    <cellStyle name="检查单元格 2 2" xfId="1678"/>
    <cellStyle name="检查单元格 2 3" xfId="1679"/>
    <cellStyle name="检查单元格 2 5" xfId="1680"/>
    <cellStyle name="检查单元格 3" xfId="1681"/>
    <cellStyle name="检查单元格 4" xfId="1682"/>
    <cellStyle name="检查单元格 5" xfId="1683"/>
    <cellStyle name="解释性文本 2" xfId="1684"/>
    <cellStyle name="解释性文本 3" xfId="1685"/>
    <cellStyle name="解释性文本 4" xfId="1686"/>
    <cellStyle name="借出原因" xfId="1687"/>
    <cellStyle name="警告文本 4" xfId="1688"/>
    <cellStyle name="警告文本 5" xfId="1689"/>
    <cellStyle name="链接单元格 2" xfId="1690"/>
    <cellStyle name="链接单元格 3" xfId="1691"/>
    <cellStyle name="普通_ANALYSE" xfId="1692"/>
    <cellStyle name="常规_勘察设计费计算" xfId="1693"/>
    <cellStyle name="千位[0]_ 方正PC" xfId="1694"/>
    <cellStyle name="千位_ 方正PC" xfId="1695"/>
    <cellStyle name="千位分隔 2 2" xfId="1696"/>
    <cellStyle name="千位分隔 2 3" xfId="1697"/>
    <cellStyle name="强调 1" xfId="1698"/>
    <cellStyle name="强调 2" xfId="1699"/>
    <cellStyle name="强调 2 2" xfId="1700"/>
    <cellStyle name="强调 2 3" xfId="1701"/>
    <cellStyle name="强调 2 4" xfId="1702"/>
    <cellStyle name="强调 3" xfId="1703"/>
    <cellStyle name="强调 3 2" xfId="1704"/>
    <cellStyle name="强调 3 3" xfId="1705"/>
    <cellStyle name="强调 3 4" xfId="1706"/>
    <cellStyle name="强调文字颜色 1 2" xfId="1707"/>
    <cellStyle name="强调文字颜色 1 3" xfId="1708"/>
    <cellStyle name="强调文字颜色 1 4" xfId="1709"/>
    <cellStyle name="强调文字颜色 1 5" xfId="1710"/>
    <cellStyle name="强调文字颜色 2 2" xfId="1711"/>
    <cellStyle name="强调文字颜色 2 3" xfId="1712"/>
    <cellStyle name="强调文字颜色 2 4" xfId="1713"/>
    <cellStyle name="强调文字颜色 3 2" xfId="1714"/>
    <cellStyle name="强调文字颜色 3 5" xfId="1715"/>
    <cellStyle name="强调文字颜色 4 4" xfId="1716"/>
    <cellStyle name="强调文字颜色 4 5" xfId="1717"/>
    <cellStyle name="强调文字颜色 5 2" xfId="1718"/>
    <cellStyle name="强调文字颜色 5 3" xfId="1719"/>
    <cellStyle name="强调文字颜色 5 4" xfId="1720"/>
    <cellStyle name="强调文字颜色 5 5" xfId="1721"/>
    <cellStyle name="强调文字颜色 6 2" xfId="1722"/>
    <cellStyle name="强调文字颜色 6 3" xfId="1723"/>
    <cellStyle name="强调文字颜色 6 4" xfId="1724"/>
    <cellStyle name="强调文字颜色 6 5" xfId="1725"/>
    <cellStyle name="日期" xfId="1726"/>
    <cellStyle name="商品名称" xfId="1727"/>
    <cellStyle name="适中 2" xfId="1728"/>
    <cellStyle name="适中 3" xfId="1729"/>
    <cellStyle name="适中 4" xfId="1730"/>
    <cellStyle name="适中 5" xfId="1731"/>
    <cellStyle name="输出 2" xfId="1732"/>
    <cellStyle name="输出 3" xfId="1733"/>
    <cellStyle name="输出 4" xfId="1734"/>
    <cellStyle name="输出 5" xfId="1735"/>
    <cellStyle name="输入 4" xfId="1736"/>
    <cellStyle name="数量" xfId="1737"/>
    <cellStyle name="样式 1" xfId="1738"/>
    <cellStyle name="昗弨_Pacific Region P&amp;L" xfId="1739"/>
    <cellStyle name="寘嬫愗傝 [0.00]_Region Orders (2)" xfId="1740"/>
    <cellStyle name="寘嬫愗傝_Region Orders (2)" xfId="1741"/>
    <cellStyle name="注释 2" xfId="1742"/>
    <cellStyle name="注释 3" xfId="1743"/>
    <cellStyle name="注释 4" xfId="1744"/>
    <cellStyle name="注释 5" xfId="1745"/>
    <cellStyle name="常规_工程预算－二号电排泵站（土建部分）_渠口泵站概算_泵站预算" xfId="1746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9" Type="http://schemas.openxmlformats.org/officeDocument/2006/relationships/sharedStrings" Target="sharedStrings.xml"/><Relationship Id="rId48" Type="http://schemas.openxmlformats.org/officeDocument/2006/relationships/styles" Target="styles.xml"/><Relationship Id="rId47" Type="http://schemas.openxmlformats.org/officeDocument/2006/relationships/theme" Target="theme/theme1.xml"/><Relationship Id="rId46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9.xml"/><Relationship Id="rId43" Type="http://schemas.openxmlformats.org/officeDocument/2006/relationships/externalLink" Target="externalLinks/externalLink8.xml"/><Relationship Id="rId42" Type="http://schemas.openxmlformats.org/officeDocument/2006/relationships/externalLink" Target="externalLinks/externalLink7.xml"/><Relationship Id="rId41" Type="http://schemas.openxmlformats.org/officeDocument/2006/relationships/externalLink" Target="externalLinks/externalLink6.xml"/><Relationship Id="rId4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4.xml"/><Relationship Id="rId38" Type="http://schemas.openxmlformats.org/officeDocument/2006/relationships/externalLink" Target="externalLinks/externalLink3.xml"/><Relationship Id="rId37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rgbClr val="333333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/>
              <a:t>投资分布表</a:t>
            </a:r>
            <a:endParaRPr lang="zh-CN" altLang="en-US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explosion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 flip="none" rotWithShape="1"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>
                <a:glow rad="63500">
                  <a:schemeClr val="accent2">
                    <a:satMod val="175000"/>
                    <a:alpha val="40000"/>
                  </a:schemeClr>
                </a:glo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rgbClr val="333333"/>
                    </a:solidFill>
                    <a:latin typeface="宋体" panose="02010600030101010101" pitchFamily="7" charset="-122"/>
                    <a:ea typeface="宋体" panose="02010600030101010101" pitchFamily="7" charset="-122"/>
                    <a:cs typeface="宋体" panose="02010600030101010101" pitchFamily="7" charset="-122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3175" cap="flat" cmpd="sng" algn="ctr">
                      <a:solidFill>
                        <a:srgbClr val="969696"/>
                      </a:solidFill>
                      <a:prstDash val="solid"/>
                      <a:round/>
                    </a:ln>
                  </c:spPr>
                </c15:leaderLines>
              </c:ext>
            </c:extLst>
          </c:dLbls>
          <c:cat>
            <c:strRef>
              <c:f>Sheet1!$A$1:$A$6</c:f>
              <c:strCache>
                <c:ptCount val="6"/>
                <c:pt idx="0">
                  <c:v>投资分布表</c:v>
                </c:pt>
                <c:pt idx="1">
                  <c:v>土地平整工程</c:v>
                </c:pt>
                <c:pt idx="2">
                  <c:v>土壤改良工程</c:v>
                </c:pt>
                <c:pt idx="3">
                  <c:v>灌溉和排水工程</c:v>
                </c:pt>
                <c:pt idx="4">
                  <c:v>田间道路工程</c:v>
                </c:pt>
                <c:pt idx="5">
                  <c:v>农田防护与生态保护工程</c:v>
                </c:pt>
              </c:strCache>
            </c:strRef>
          </c:cat>
          <c:val>
            <c:numRef>
              <c:f>Sheet1!$B$1:$B$6</c:f>
              <c:numCache>
                <c:formatCode>General</c:formatCode>
                <c:ptCount val="6"/>
                <c:pt idx="1">
                  <c:v>1533.3</c:v>
                </c:pt>
                <c:pt idx="2">
                  <c:v>97.5</c:v>
                </c:pt>
                <c:pt idx="3">
                  <c:v>35.8</c:v>
                </c:pt>
                <c:pt idx="4">
                  <c:v>144.472441827222</c:v>
                </c:pt>
                <c:pt idx="5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843868678426"/>
          <c:y val="0.815791683934245"/>
          <c:w val="0.515593868678426"/>
          <c:h val="0.882041683934245"/>
        </c:manualLayout>
      </c:layout>
      <c:overlay val="0"/>
      <c:spPr>
        <a:noFill/>
        <a:ln w="3175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690" b="0" i="0" u="none" strike="noStrike" kern="1200" baseline="0">
              <a:solidFill>
                <a:srgbClr val="333333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 sz="14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131</xdr:row>
      <xdr:rowOff>0</xdr:rowOff>
    </xdr:from>
    <xdr:to>
      <xdr:col>14</xdr:col>
      <xdr:colOff>0</xdr:colOff>
      <xdr:row>152</xdr:row>
      <xdr:rowOff>190500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19950" y="11240135"/>
          <a:ext cx="5486400" cy="2247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190500</xdr:colOff>
      <xdr:row>0</xdr:row>
      <xdr:rowOff>142875</xdr:rowOff>
    </xdr:from>
    <xdr:to>
      <xdr:col>7</xdr:col>
      <xdr:colOff>171450</xdr:colOff>
      <xdr:row>10</xdr:row>
      <xdr:rowOff>142875</xdr:rowOff>
    </xdr:to>
    <xdr:graphicFrame>
      <xdr:nvGraphicFramePr>
        <xdr:cNvPr id="655373" name="图表 3"/>
        <xdr:cNvGraphicFramePr/>
      </xdr:nvGraphicFramePr>
      <xdr:xfrm>
        <a:off x="1562100" y="142875"/>
        <a:ext cx="3409950" cy="1809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114300</xdr:colOff>
      <xdr:row>0</xdr:row>
      <xdr:rowOff>0</xdr:rowOff>
    </xdr:from>
    <xdr:to>
      <xdr:col>17</xdr:col>
      <xdr:colOff>198987</xdr:colOff>
      <xdr:row>19</xdr:row>
      <xdr:rowOff>119732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34750" y="0"/>
          <a:ext cx="5942330" cy="491998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20</xdr:row>
      <xdr:rowOff>76382</xdr:rowOff>
    </xdr:from>
    <xdr:to>
      <xdr:col>15</xdr:col>
      <xdr:colOff>2304301</xdr:colOff>
      <xdr:row>47</xdr:row>
      <xdr:rowOff>18421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19590" y="5057775"/>
          <a:ext cx="5742940" cy="48285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&#28023;&#21407;&#21439;&#22303;&#22320;&#24179;&#25972;&#39044;&#3163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2022&#24180;&#24037;&#20316;\2.&#21069;&#36827;&#33988;&#27700;&#27744;\&#35774;&#35745;&#25104;&#26524;11\&#20854;&#20182;\1.84&#19975;&#20137;&#27010;&#31639;&#65288;C&#29255;&#21306;&#24037;&#31243;&#37327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2edheujgs1kd22\FileStorage\File\2023-10\&#27700;&#28304;&#25237;&#36164;&#27010;&#31639;20151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2011&#24180;&#24037;&#20316;&#25104;&#26524;\2011\&#22826;&#38451;&#26753;&#29983;&#24577;&#31227;&#27665;&#39033;&#30446;\&#19977;&#31295;&#65288;&#26368;&#21518;&#25972;&#29702;&#65316;&#65337;&#65289;\&#22826;&#38451;&#26753;&#39044;&#31639;&#21450;&#25253;&#21578;&#65288;&#32771;&#34081;&#24037;&#65289;\&#25253;&#21578;&#21450;&#39044;&#31639;&#25171;&#21360;&#65288;&#26368;&#21518;&#20986;8&#22871;&#65289;\&#25253;&#21578;&#21450;&#39044;&#31639;DY\&#22303;&#22320;&#25972;&#29702;\&#38271;&#23665;&#22836;&#22303;&#22320;&#25972;&#29702;2.23\&#39044;&#31639;\&#26032;&#24314;&#25991;&#20214;&#22841;\&#39044;&#31639;&#65288;&#20013;&#23425;&#20462;&#25913;&#65289;9.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&#29579;&#24037;2009.12.25\2009&#24180;3&#26376;&#26032;&#30086;08&#24180;&#39033;&#30446;&#25104;&#26524;&#22791;&#20221;\&#24067;&#23572;&#27941;&#21439;&#26460;&#26469;&#25552;&#20065;&#21035;&#24320;&#29305;&#28748;&#21306;&#22303;&#22320;&#25972;&#29702;&#39033;&#30446;&#65288;15&#22871;&#23457;&#26597;&#20013;&#65289;\&#39044;&#31639;\&#24067;&#23572;&#27941;&#39044;&#31639;&#65288;&#32456;&#31295;090313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&#29579;&#24037;2009.12.25\13&#26631;&#39044;&#3163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&#28023;&#21407;&#22303;&#22320;\&#28023;&#21407;&#21439;&#22303;&#22320;&#24179;&#25972;&#39044;&#3163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Documents%20and%20Settings\LXP\Local%20Settings\Temporary%20Internet%20Files\Content.IE5\UP70P0ZU\&#38738;&#39044;&#3163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&#32418;&#26791;&#23665;&#20892;&#28192;&#30732;&#25252;&#39044;&#3163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c-45\&#38271;&#20914;&#27827;&#30005;&#31449;&#36164;&#26009;\&#20852;&#20161;&#39532;&#23478;&#23663;&#27700;&#24211;\&#21153;&#24029;&#24037;&#3124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8&#24180;&#24037;&#20316;\2018&#24180;&#28789;&#27494;&#24066;&#37085;&#23478;&#26725;&#38215;&#27784;&#23478;&#28246;13000&#20137;&#39640;&#26631;&#20934;&#20892;&#30000;&#24314;&#35774;&#39033;&#30446;\&#25193;&#21021;&#35774;&#35745;\Documents%20and%20Settings\Administrator\My%20Documents\Downloads\&#28023;&#21407;&#22303;&#22320;&#25972;&#29702;&#25253;&#20215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核"/>
      <sheetName val="建筑概算核"/>
      <sheetName val="机电设备安装"/>
      <sheetName val="金属结构安装"/>
      <sheetName val="新开道路和配套建筑物"/>
      <sheetName val="道路配套建筑物单"/>
      <sheetName val="临时工程费"/>
      <sheetName val="单价汇总"/>
      <sheetName val="05版台时汇总"/>
      <sheetName val="材料预算价"/>
      <sheetName val="配合比"/>
      <sheetName val="人工工资"/>
      <sheetName val="05版台时"/>
      <sheetName val="单价分析"/>
      <sheetName val="钢管重量换算"/>
      <sheetName val="工程量表"/>
      <sheetName val="管沟土方"/>
      <sheetName val="管材"/>
      <sheetName val="附录"/>
      <sheetName val="附录-混凝土配合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6">
          <cell r="D86">
            <v>3.8</v>
          </cell>
        </row>
        <row r="137">
          <cell r="D137">
            <v>5.2</v>
          </cell>
        </row>
        <row r="139">
          <cell r="D139">
            <v>3.9</v>
          </cell>
        </row>
        <row r="140">
          <cell r="D140">
            <v>3.9</v>
          </cell>
        </row>
        <row r="141">
          <cell r="D141">
            <v>3.9</v>
          </cell>
        </row>
        <row r="142">
          <cell r="D142">
            <v>3.25</v>
          </cell>
        </row>
        <row r="143">
          <cell r="D143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总预算表"/>
      <sheetName val="预算汇总表"/>
      <sheetName val="小任"/>
      <sheetName val="董洋"/>
      <sheetName val="许旺2、3队"/>
      <sheetName val="任超"/>
      <sheetName val="许旺基地"/>
      <sheetName val="杨兵"/>
      <sheetName val="征地费"/>
      <sheetName val="汇总表"/>
      <sheetName val="水利骨干工程"/>
      <sheetName val="机电设备"/>
      <sheetName val="总概算表"/>
      <sheetName val="概算表"/>
      <sheetName val="独立费汇总"/>
      <sheetName val="独立费用计算表"/>
      <sheetName val="设计费"/>
      <sheetName val="监理费用"/>
      <sheetName val="单价汇总表"/>
      <sheetName val="配合比"/>
      <sheetName val="台时汇总表"/>
      <sheetName val="材料预算价"/>
      <sheetName val="管道安装单价"/>
      <sheetName val="单价新"/>
      <sheetName val="单价增加"/>
      <sheetName val="台时"/>
      <sheetName val="基础单价表"/>
      <sheetName val="基础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L25">
            <v>51535.945806729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分年"/>
      <sheetName val="总预算表2"/>
      <sheetName val="施工费总表3"/>
      <sheetName val="设备分总表4"/>
      <sheetName val="其他费用总表5"/>
      <sheetName val="总5-1、5-5"/>
      <sheetName val="不可预见费总表6"/>
      <sheetName val="分月总表7"/>
      <sheetName val="分年度预算表1片区1"/>
      <sheetName val="预算表2片区1"/>
      <sheetName val="施工费表3片区1"/>
      <sheetName val="直接费3-1片区1"/>
      <sheetName val="直接工程费3-1-1片区1"/>
      <sheetName val="间接费3-2片区1"/>
      <sheetName val="设备费4片区1"/>
      <sheetName val="其他费用5片区1"/>
      <sheetName val="5-1、5-5片区1"/>
      <sheetName val="不可预见费6片区1"/>
      <sheetName val="分月预算表7片区1"/>
      <sheetName val="分年度预算表1片区2"/>
      <sheetName val="预算表2片区2"/>
      <sheetName val="施工费表3片区2"/>
      <sheetName val="直接费3-1片区2"/>
      <sheetName val="直接工程费3-1-1片区2"/>
      <sheetName val="间接费3-2片区2"/>
      <sheetName val="设备费4片区2"/>
      <sheetName val="其他费用5片区1 (2)"/>
      <sheetName val="5-1、5-5片区2"/>
      <sheetName val="不可预见费6片区2"/>
      <sheetName val="分月预算表7片区2"/>
      <sheetName val="人工预算"/>
      <sheetName val="主材价格"/>
      <sheetName val="主材运杂费"/>
      <sheetName val="次要材料"/>
      <sheetName val="砼单价"/>
      <sheetName val="风水电"/>
      <sheetName val="机械台班"/>
      <sheetName val="直接工程费"/>
      <sheetName val="工程量统计"/>
      <sheetName val="排水沟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"/>
      <sheetName val="表2预算总表 "/>
      <sheetName val="13标施工费改"/>
      <sheetName val="表7分月用款计划 "/>
      <sheetName val="表4设备费 "/>
      <sheetName val="表5其他费用"/>
      <sheetName val="表5-1前期工作费"/>
      <sheetName val="表5-2工程监理费"/>
      <sheetName val="表5-3竣工验收费 "/>
      <sheetName val="表5-4业主管理费 "/>
      <sheetName val="表6不可预见费 "/>
      <sheetName val="附表1 人工单价表"/>
      <sheetName val="附表2 材料价格表"/>
      <sheetName val="附表2-1主要材料价格计算表"/>
      <sheetName val="附表2-2风、水、电计算表"/>
      <sheetName val="附表3机械台班使用费"/>
      <sheetName val="附表3-1补充机械定额"/>
      <sheetName val="附表4工程费单价表"/>
      <sheetName val="附表5主要材料汇总表"/>
      <sheetName val="附表6砼、沙浆费计算表"/>
      <sheetName val="工程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工程单价"/>
      <sheetName val="材价汇"/>
      <sheetName val="主材价表"/>
      <sheetName val="砼配比"/>
      <sheetName val="机械"/>
      <sheetName val="机械汇总"/>
      <sheetName val="人工单价"/>
      <sheetName val="报价汇总表"/>
      <sheetName val="分项工程量报价表"/>
      <sheetName val="机总"/>
      <sheetName val="主要材料用量表"/>
      <sheetName val="主要材料预算表"/>
      <sheetName val="单价汇总表"/>
      <sheetName val="附表3机械台班计算表"/>
      <sheetName val="表3-1直接费预算表达式1"/>
      <sheetName val="表3-6"/>
      <sheetName val="表2预算汇总表"/>
      <sheetName val="附表4直接工程费单价表"/>
      <sheetName val="单位工程量"/>
      <sheetName val="表3-3"/>
      <sheetName val="表3-2"/>
      <sheetName val="附表2-1主要材料价格计算表"/>
      <sheetName val="表3-5"/>
      <sheetName val="表3工程施工费用"/>
      <sheetName val="表1项目总预算及分年度预算表"/>
      <sheetName val="表3-1-1直接工程费预算表"/>
      <sheetName val="表3-7"/>
      <sheetName val="附表2材料价格计算表"/>
      <sheetName val="表3工程施工费预算表"/>
      <sheetName val="表3-4"/>
      <sheetName val="附表6砼配比表"/>
      <sheetName val="表3-1"/>
      <sheetName val="表3-8"/>
      <sheetName val="表3-9"/>
      <sheetName val="表3-10"/>
      <sheetName val="表4设备购置费"/>
      <sheetName val="表3-2间接费预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年度计划表"/>
      <sheetName val="总预算"/>
      <sheetName val="工程施工费"/>
      <sheetName val="直接费"/>
      <sheetName val="人工费"/>
      <sheetName val="材料费"/>
      <sheetName val="机械费"/>
      <sheetName val="其他直接费"/>
      <sheetName val="现场经费"/>
      <sheetName val="间接费"/>
      <sheetName val="拆迁补偿"/>
      <sheetName val="前期工作费"/>
      <sheetName val="竣工验收费"/>
      <sheetName val="不可预见费"/>
      <sheetName val="业主管理费"/>
      <sheetName val="分月计划表"/>
      <sheetName val="设备购置费"/>
      <sheetName val="人工单价"/>
      <sheetName val="主材价格"/>
      <sheetName val="机械调差 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降价系数"/>
      <sheetName val="道总"/>
      <sheetName val="道路 (2)"/>
      <sheetName val="总表"/>
      <sheetName val="分表"/>
      <sheetName val="结算潘"/>
      <sheetName val="结算封面潘"/>
      <sheetName val="材料预算价"/>
      <sheetName val="结算李"/>
      <sheetName val="结算封面李"/>
      <sheetName val="单价表总"/>
      <sheetName val="6"/>
      <sheetName val="7"/>
      <sheetName val="8"/>
      <sheetName val="总统"/>
      <sheetName val="配合比"/>
      <sheetName val="单价汇总"/>
      <sheetName val="沙化土地治理工程总概算表"/>
      <sheetName val="分部工程概算表"/>
      <sheetName val="独立费用概算表"/>
      <sheetName val="材料预算价格汇总表"/>
      <sheetName val="进入工程单价材料计算价格表(材料库)"/>
      <sheetName val="附表2人工预算单价"/>
      <sheetName val="Sheet1"/>
      <sheetName val="单价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4.2报价汇总表"/>
      <sheetName val="4.3工程量清单"/>
      <sheetName val="5.6单价分析表"/>
      <sheetName val="5.1人工费计算表"/>
      <sheetName val="5.2主要材料预算单价"/>
      <sheetName val="5.3砂浆配合比表"/>
      <sheetName val="5.4施工机械台班费"/>
      <sheetName val="砼、砂浆半成品预算表"/>
      <sheetName val="5.5单价汇总表"/>
      <sheetName val="5.7总价工程"/>
      <sheetName val="5.8分组工程组成表"/>
      <sheetName val="材料预算表"/>
      <sheetName val="机械台班费计算表"/>
      <sheetName val="5.13资金流"/>
      <sheetName val="降价系数"/>
      <sheetName val="工程量汇总"/>
      <sheetName val="王单价"/>
      <sheetName val="临时工程单价汇总表"/>
      <sheetName val="取费"/>
      <sheetName val="土建单价测试表"/>
      <sheetName val="综合单价测试表"/>
      <sheetName val="主材定价"/>
      <sheetName val="风水电价"/>
      <sheetName val="SW-TEO"/>
      <sheetName val="附表4直接工程费单价表"/>
      <sheetName val="附表2材料价格计算表"/>
      <sheetName val="表3工程施工费用"/>
      <sheetName val="附表2人工预算单价"/>
      <sheetName val="材料调差"/>
      <sheetName val="人工单价"/>
      <sheetName val="附表4砼、沙浆费计算表"/>
      <sheetName val="设备"/>
      <sheetName val="机械汇总"/>
      <sheetName val="材价汇"/>
      <sheetName val="表2预算汇总表"/>
      <sheetName val="表3-1直接费预算表达式1"/>
      <sheetName val="汇总"/>
      <sheetName val="表3-8"/>
      <sheetName val="附表4工程费单价表"/>
      <sheetName val="附表2 材料价格表"/>
      <sheetName val="单位估价"/>
      <sheetName val="eqpmad2"/>
      <sheetName val="前期"/>
      <sheetName val="业主"/>
      <sheetName val="机械定额"/>
      <sheetName val="单价表"/>
      <sheetName val="5"/>
      <sheetName val="定额"/>
      <sheetName val="材料费"/>
      <sheetName val="#REF"/>
      <sheetName val="数据字典"/>
      <sheetName val="直接工程费"/>
      <sheetName val="新定额单价"/>
      <sheetName val="附表 3台班单价"/>
      <sheetName val="附表 2－1 材料价格"/>
      <sheetName val="附表 1 人工单价"/>
      <sheetName val="二级代码"/>
      <sheetName val="附表2"/>
      <sheetName val="G.1R-Shou COP Gf"/>
      <sheetName val="Toolbox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单价分析"/>
      <sheetName val="Open"/>
      <sheetName val="附表4单价"/>
      <sheetName val="表3工程施工费表"/>
      <sheetName val="附表1人工单价表"/>
      <sheetName val="表5-3竣工"/>
      <sheetName val="附表2-1主材"/>
      <sheetName val="附表7砂浆配比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../AppData/Roaming/2018&#24180;&#24037;&#20316;/2018&#24180;&#28789;&#27494;&#24066;&#37085;&#23478;&#26725;&#38215;&#27784;&#23478;&#28246;13000&#20137;&#39640;&#26631;&#20934;&#20892;&#30000;&#24314;&#35774;&#39033;&#30446;/&#25193;&#21021;&#35774;&#35745;/2018&#24180;&#28789;&#27494;&#20020;&#27827;&#12289;&#19996;&#22612;&#39640;&#26631;&#20934;&#20892;&#30000;&#27010;&#31639;.xls" TargetMode="External"/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K16"/>
  <sheetViews>
    <sheetView workbookViewId="0">
      <selection activeCell="A1" sqref="A1:H1"/>
    </sheetView>
  </sheetViews>
  <sheetFormatPr defaultColWidth="9" defaultRowHeight="14.25"/>
  <cols>
    <col min="1" max="9" width="9" style="998"/>
    <col min="10" max="10" width="16.125" style="998" customWidth="1"/>
    <col min="11" max="11" width="13.5" style="998" customWidth="1"/>
    <col min="12" max="16384" width="9" style="998"/>
  </cols>
  <sheetData>
    <row r="1" ht="18.75" spans="1:11">
      <c r="A1" s="999" t="s">
        <v>0</v>
      </c>
      <c r="B1" s="999"/>
      <c r="C1" s="999"/>
      <c r="D1" s="999"/>
      <c r="E1" s="999"/>
      <c r="F1" s="999"/>
      <c r="G1" s="999"/>
      <c r="H1" s="999"/>
      <c r="J1" s="1002" t="s">
        <v>1</v>
      </c>
      <c r="K1" s="1002"/>
    </row>
    <row r="2" ht="18.75" spans="1:11">
      <c r="A2" s="1000" t="s">
        <v>2</v>
      </c>
      <c r="B2" s="1000" t="s">
        <v>3</v>
      </c>
      <c r="C2" s="1000" t="s">
        <v>4</v>
      </c>
      <c r="D2" s="1000" t="s">
        <v>5</v>
      </c>
      <c r="E2" s="1000" t="s">
        <v>6</v>
      </c>
      <c r="F2" s="1000" t="s">
        <v>7</v>
      </c>
      <c r="G2" s="1000" t="s">
        <v>8</v>
      </c>
      <c r="H2" s="1000" t="s">
        <v>9</v>
      </c>
      <c r="J2" s="1000">
        <f>1/200</f>
        <v>0.005</v>
      </c>
      <c r="K2" s="1001" t="s">
        <v>10</v>
      </c>
    </row>
    <row r="3" ht="18.75" spans="1:11">
      <c r="A3" s="1000">
        <v>0.1</v>
      </c>
      <c r="B3" s="1001" t="s">
        <v>11</v>
      </c>
      <c r="C3" s="1000">
        <v>0.3</v>
      </c>
      <c r="D3" s="1001" t="s">
        <v>12</v>
      </c>
      <c r="E3" s="1001" t="s">
        <v>13</v>
      </c>
      <c r="F3" s="1000">
        <v>0.1</v>
      </c>
      <c r="G3" s="1000">
        <v>0.6</v>
      </c>
      <c r="H3" s="1001" t="s">
        <v>14</v>
      </c>
      <c r="J3" s="1000">
        <f>1/250</f>
        <v>0.004</v>
      </c>
      <c r="K3" s="1001" t="s">
        <v>15</v>
      </c>
    </row>
    <row r="4" ht="18.75" spans="1:11">
      <c r="A4" s="1000">
        <v>0.15</v>
      </c>
      <c r="B4" s="1001" t="s">
        <v>16</v>
      </c>
      <c r="C4" s="1000">
        <v>0.4</v>
      </c>
      <c r="D4" s="1001" t="s">
        <v>17</v>
      </c>
      <c r="E4" s="1001" t="s">
        <v>13</v>
      </c>
      <c r="F4" s="1000">
        <v>0.1</v>
      </c>
      <c r="G4" s="1000">
        <v>0.6</v>
      </c>
      <c r="H4" s="1001" t="s">
        <v>14</v>
      </c>
      <c r="J4" s="1000">
        <f>1/300</f>
        <v>0.00333333333333333</v>
      </c>
      <c r="K4" s="1001" t="s">
        <v>18</v>
      </c>
    </row>
    <row r="5" ht="18.75" spans="1:11">
      <c r="A5" s="1000">
        <v>0.2</v>
      </c>
      <c r="B5" s="1001" t="s">
        <v>19</v>
      </c>
      <c r="C5" s="1000">
        <v>0.45</v>
      </c>
      <c r="D5" s="1001" t="s">
        <v>20</v>
      </c>
      <c r="E5" s="1001" t="s">
        <v>13</v>
      </c>
      <c r="F5" s="1000">
        <v>0.1</v>
      </c>
      <c r="G5" s="1000">
        <v>0.6</v>
      </c>
      <c r="H5" s="1001" t="s">
        <v>14</v>
      </c>
      <c r="J5" s="1000">
        <f>1/400</f>
        <v>0.0025</v>
      </c>
      <c r="K5" s="1001" t="s">
        <v>21</v>
      </c>
    </row>
    <row r="6" ht="18.75" spans="1:11">
      <c r="A6" s="1000">
        <v>0.25</v>
      </c>
      <c r="B6" s="1001" t="s">
        <v>22</v>
      </c>
      <c r="C6" s="1000">
        <v>0.55</v>
      </c>
      <c r="D6" s="1001" t="s">
        <v>23</v>
      </c>
      <c r="E6" s="1001" t="s">
        <v>13</v>
      </c>
      <c r="F6" s="1000">
        <v>0.1</v>
      </c>
      <c r="G6" s="1000">
        <v>0.6</v>
      </c>
      <c r="H6" s="1001" t="s">
        <v>24</v>
      </c>
      <c r="J6" s="1000">
        <f>1/500</f>
        <v>0.002</v>
      </c>
      <c r="K6" s="1001" t="s">
        <v>25</v>
      </c>
    </row>
    <row r="7" ht="18.75" spans="1:11">
      <c r="A7" s="1000">
        <v>0.3</v>
      </c>
      <c r="B7" s="1001" t="s">
        <v>26</v>
      </c>
      <c r="C7" s="1000">
        <v>0.65</v>
      </c>
      <c r="D7" s="1001" t="s">
        <v>27</v>
      </c>
      <c r="E7" s="1001" t="s">
        <v>28</v>
      </c>
      <c r="F7" s="1000">
        <v>0.15</v>
      </c>
      <c r="G7" s="1000">
        <v>0.8</v>
      </c>
      <c r="H7" s="1001" t="s">
        <v>24</v>
      </c>
      <c r="J7" s="1000">
        <f>1/600</f>
        <v>0.00166666666666667</v>
      </c>
      <c r="K7" s="1001" t="s">
        <v>29</v>
      </c>
    </row>
    <row r="8" ht="18.75" spans="1:11">
      <c r="A8" s="1000">
        <v>0.4</v>
      </c>
      <c r="B8" s="1001" t="s">
        <v>30</v>
      </c>
      <c r="C8" s="1000">
        <v>0.75</v>
      </c>
      <c r="D8" s="1001" t="s">
        <v>31</v>
      </c>
      <c r="E8" s="1001" t="s">
        <v>28</v>
      </c>
      <c r="F8" s="1000">
        <v>0.15</v>
      </c>
      <c r="G8" s="1000">
        <v>0.8</v>
      </c>
      <c r="H8" s="1001" t="s">
        <v>24</v>
      </c>
      <c r="J8" s="1000">
        <f>1/800</f>
        <v>0.00125</v>
      </c>
      <c r="K8" s="1001" t="s">
        <v>32</v>
      </c>
    </row>
    <row r="9" ht="18.75" spans="1:11">
      <c r="A9" s="1000">
        <v>0.5</v>
      </c>
      <c r="B9" s="1001" t="s">
        <v>33</v>
      </c>
      <c r="C9" s="1000">
        <v>0.85</v>
      </c>
      <c r="D9" s="1001" t="s">
        <v>34</v>
      </c>
      <c r="E9" s="1001" t="s">
        <v>28</v>
      </c>
      <c r="F9" s="1000">
        <v>0.15</v>
      </c>
      <c r="G9" s="1000">
        <v>0.8</v>
      </c>
      <c r="H9" s="1001" t="s">
        <v>24</v>
      </c>
      <c r="J9" s="1000">
        <f>1/1000</f>
        <v>0.001</v>
      </c>
      <c r="K9" s="1001" t="s">
        <v>35</v>
      </c>
    </row>
    <row r="10" ht="18.75" spans="1:11">
      <c r="A10" s="1000">
        <v>0.6</v>
      </c>
      <c r="B10" s="1001" t="s">
        <v>36</v>
      </c>
      <c r="C10" s="1000">
        <v>0.97</v>
      </c>
      <c r="D10" s="1001" t="s">
        <v>37</v>
      </c>
      <c r="E10" s="1001" t="s">
        <v>38</v>
      </c>
      <c r="F10" s="1000">
        <v>0.2</v>
      </c>
      <c r="G10" s="1000">
        <v>0.8</v>
      </c>
      <c r="H10" s="1001" t="s">
        <v>24</v>
      </c>
      <c r="J10" s="1000">
        <f>1/1200</f>
        <v>0.000833333333333333</v>
      </c>
      <c r="K10" s="1001" t="s">
        <v>39</v>
      </c>
    </row>
    <row r="11" ht="18.75" spans="1:11">
      <c r="A11" s="1000">
        <v>0.7</v>
      </c>
      <c r="B11" s="1001" t="s">
        <v>40</v>
      </c>
      <c r="C11" s="1000">
        <v>1.05</v>
      </c>
      <c r="D11" s="1001" t="s">
        <v>41</v>
      </c>
      <c r="E11" s="1001" t="s">
        <v>38</v>
      </c>
      <c r="F11" s="1000">
        <v>0.2</v>
      </c>
      <c r="G11" s="1000">
        <v>1</v>
      </c>
      <c r="H11" s="1001" t="s">
        <v>24</v>
      </c>
      <c r="J11" s="1000">
        <f>1/1500</f>
        <v>0.000666666666666667</v>
      </c>
      <c r="K11" s="1001" t="s">
        <v>42</v>
      </c>
    </row>
    <row r="12" ht="18.75" spans="1:11">
      <c r="A12" s="1000">
        <v>0.8</v>
      </c>
      <c r="B12" s="1001" t="s">
        <v>43</v>
      </c>
      <c r="C12" s="1000">
        <v>1.13</v>
      </c>
      <c r="D12" s="1001" t="s">
        <v>44</v>
      </c>
      <c r="E12" s="1001" t="s">
        <v>38</v>
      </c>
      <c r="F12" s="1000">
        <v>0.2</v>
      </c>
      <c r="G12" s="1000">
        <v>1</v>
      </c>
      <c r="H12" s="1001" t="s">
        <v>24</v>
      </c>
      <c r="J12" s="1000">
        <f>1/1800</f>
        <v>0.000555555555555556</v>
      </c>
      <c r="K12" s="1001" t="s">
        <v>45</v>
      </c>
    </row>
    <row r="13" ht="18.75" spans="1:11">
      <c r="A13" s="1000">
        <v>0.9</v>
      </c>
      <c r="B13" s="1001" t="s">
        <v>46</v>
      </c>
      <c r="C13" s="1000">
        <v>1.2</v>
      </c>
      <c r="D13" s="1001" t="s">
        <v>47</v>
      </c>
      <c r="E13" s="1001" t="s">
        <v>38</v>
      </c>
      <c r="F13" s="1000">
        <v>0.2</v>
      </c>
      <c r="G13" s="1000">
        <v>1</v>
      </c>
      <c r="H13" s="1001" t="s">
        <v>24</v>
      </c>
      <c r="J13" s="1000">
        <f>1/2000</f>
        <v>0.0005</v>
      </c>
      <c r="K13" s="1001" t="s">
        <v>48</v>
      </c>
    </row>
    <row r="14" ht="18.75" spans="1:11">
      <c r="A14" s="1000">
        <v>1</v>
      </c>
      <c r="B14" s="1001" t="s">
        <v>49</v>
      </c>
      <c r="C14" s="1000">
        <v>1.09</v>
      </c>
      <c r="D14" s="1001" t="s">
        <v>50</v>
      </c>
      <c r="E14" s="1001" t="s">
        <v>51</v>
      </c>
      <c r="F14" s="1000">
        <v>0.2</v>
      </c>
      <c r="G14" s="1000">
        <v>1</v>
      </c>
      <c r="H14" s="1001" t="s">
        <v>52</v>
      </c>
      <c r="J14" s="1003"/>
      <c r="K14" s="1003"/>
    </row>
    <row r="15" spans="11:11">
      <c r="K15" s="1003"/>
    </row>
    <row r="16" spans="11:11">
      <c r="K16" s="1003"/>
    </row>
  </sheetData>
  <mergeCells count="2">
    <mergeCell ref="A1:H1"/>
    <mergeCell ref="J1:K1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6"/>
  <sheetViews>
    <sheetView tabSelected="1" workbookViewId="0">
      <selection activeCell="C19" sqref="C19"/>
    </sheetView>
  </sheetViews>
  <sheetFormatPr defaultColWidth="9" defaultRowHeight="20.25"/>
  <cols>
    <col min="1" max="1" width="7.875" style="829" customWidth="1"/>
    <col min="2" max="2" width="28.75" style="830" customWidth="1"/>
    <col min="3" max="3" width="11.375" style="830" customWidth="1"/>
    <col min="4" max="4" width="9.625" style="830" customWidth="1"/>
    <col min="5" max="5" width="17" style="830" customWidth="1"/>
    <col min="6" max="6" width="10.375" style="831" customWidth="1"/>
    <col min="7" max="8" width="13.75" style="831" customWidth="1"/>
    <col min="9" max="9" width="12.625" style="830"/>
    <col min="10" max="16384" width="9" style="830"/>
  </cols>
  <sheetData>
    <row r="1" ht="20" customHeight="1" spans="1:8">
      <c r="A1" s="832" t="s">
        <v>456</v>
      </c>
      <c r="B1" s="832"/>
      <c r="C1" s="832"/>
      <c r="D1" s="832"/>
      <c r="E1" s="832"/>
      <c r="F1" s="832"/>
      <c r="G1" s="832"/>
      <c r="H1" s="832"/>
    </row>
    <row r="2" ht="19.5" customHeight="1" spans="1:8">
      <c r="A2" s="833" t="s">
        <v>457</v>
      </c>
      <c r="B2" s="833"/>
      <c r="C2" s="833"/>
      <c r="D2" s="833"/>
      <c r="E2" s="833"/>
      <c r="F2" s="833"/>
      <c r="G2" s="833"/>
      <c r="H2" s="833"/>
    </row>
    <row r="3" ht="30.75" customHeight="1" spans="1:8">
      <c r="A3" s="834" t="s">
        <v>458</v>
      </c>
      <c r="B3" s="346" t="s">
        <v>459</v>
      </c>
      <c r="C3" s="346" t="s">
        <v>460</v>
      </c>
      <c r="D3" s="346" t="s">
        <v>461</v>
      </c>
      <c r="E3" s="346" t="s">
        <v>462</v>
      </c>
      <c r="F3" s="346" t="s">
        <v>463</v>
      </c>
      <c r="G3" s="835" t="s">
        <v>464</v>
      </c>
      <c r="H3" s="836"/>
    </row>
    <row r="4" s="827" customFormat="1" customHeight="1" spans="1:8">
      <c r="A4" s="837" t="s">
        <v>465</v>
      </c>
      <c r="B4" s="837"/>
      <c r="C4" s="705">
        <f>C5+C6+C7+C8+C9</f>
        <v>1785.85688651187</v>
      </c>
      <c r="D4" s="705"/>
      <c r="E4" s="705"/>
      <c r="F4" s="705">
        <f>SUM(C4:E4)</f>
        <v>1785.85688651187</v>
      </c>
      <c r="G4" s="838">
        <f t="shared" ref="G4:G13" si="0">F4/$F$47*100</f>
        <v>68.6208548338021</v>
      </c>
      <c r="H4" s="839"/>
    </row>
    <row r="5" s="828" customFormat="1" customHeight="1" spans="1:8">
      <c r="A5" s="286">
        <v>1</v>
      </c>
      <c r="B5" s="659" t="str">
        <f>建筑工程!B6</f>
        <v>一级扬水泵站</v>
      </c>
      <c r="C5" s="664">
        <f>建筑工程!F6/10000</f>
        <v>54.1702235910721</v>
      </c>
      <c r="D5" s="664"/>
      <c r="E5" s="664"/>
      <c r="F5" s="664">
        <f>C5</f>
        <v>54.1702235910721</v>
      </c>
      <c r="G5" s="840">
        <f t="shared" si="0"/>
        <v>2.08146972886388</v>
      </c>
      <c r="H5" s="841"/>
    </row>
    <row r="6" s="828" customFormat="1" customHeight="1" spans="1:8">
      <c r="A6" s="286">
        <v>2</v>
      </c>
      <c r="B6" s="468" t="str">
        <f>建筑工程!B49</f>
        <v>二级扬水泵站</v>
      </c>
      <c r="C6" s="664">
        <f>建筑工程!F49/10000</f>
        <v>105.525311535185</v>
      </c>
      <c r="D6" s="664"/>
      <c r="E6" s="664"/>
      <c r="F6" s="664">
        <f>C6</f>
        <v>105.525311535185</v>
      </c>
      <c r="G6" s="840">
        <f t="shared" si="0"/>
        <v>4.05476896768096</v>
      </c>
      <c r="H6" s="841"/>
    </row>
    <row r="7" s="828" customFormat="1" customHeight="1" spans="1:8">
      <c r="A7" s="286">
        <v>3</v>
      </c>
      <c r="B7" s="468" t="str">
        <f>建筑工程!B82</f>
        <v>压力管道</v>
      </c>
      <c r="C7" s="664">
        <f>建筑工程!F81/10000</f>
        <v>696.781724891838</v>
      </c>
      <c r="D7" s="664"/>
      <c r="E7" s="664"/>
      <c r="F7" s="664">
        <f>C7</f>
        <v>696.781724891838</v>
      </c>
      <c r="G7" s="840">
        <f t="shared" si="0"/>
        <v>26.7735662111418</v>
      </c>
      <c r="H7" s="841"/>
    </row>
    <row r="8" s="828" customFormat="1" customHeight="1" spans="1:8">
      <c r="A8" s="286">
        <v>4</v>
      </c>
      <c r="B8" s="468" t="str">
        <f>建筑工程!B126</f>
        <v>新建6万方蓄水池</v>
      </c>
      <c r="C8" s="664">
        <f>建筑工程!F126/10000</f>
        <v>307.018067777695</v>
      </c>
      <c r="D8" s="664"/>
      <c r="E8" s="664"/>
      <c r="F8" s="664">
        <f>C8</f>
        <v>307.018067777695</v>
      </c>
      <c r="G8" s="840">
        <f t="shared" si="0"/>
        <v>11.7970495953219</v>
      </c>
      <c r="H8" s="841"/>
    </row>
    <row r="9" s="828" customFormat="1" customHeight="1" spans="1:8">
      <c r="A9" s="286">
        <v>5</v>
      </c>
      <c r="B9" s="468" t="str">
        <f>建筑工程!B184</f>
        <v>20万方蓄水池维修改造</v>
      </c>
      <c r="C9" s="664">
        <f>建筑工程!F184/10000</f>
        <v>622.361558716079</v>
      </c>
      <c r="D9" s="664"/>
      <c r="E9" s="664"/>
      <c r="F9" s="664">
        <f>C9</f>
        <v>622.361558716079</v>
      </c>
      <c r="G9" s="840">
        <f t="shared" si="0"/>
        <v>23.9140003307936</v>
      </c>
      <c r="H9" s="841"/>
    </row>
    <row r="10" s="827" customFormat="1" customHeight="1" spans="1:8">
      <c r="A10" s="329" t="s">
        <v>466</v>
      </c>
      <c r="B10" s="329"/>
      <c r="C10" s="705">
        <f>C11+C12+C13</f>
        <v>41.008070775</v>
      </c>
      <c r="D10" s="705">
        <f>D11+D12+D13</f>
        <v>254.3771385</v>
      </c>
      <c r="E10" s="705"/>
      <c r="F10" s="705">
        <f>F11+F12+F13</f>
        <v>295.385209275</v>
      </c>
      <c r="G10" s="838">
        <f t="shared" si="0"/>
        <v>11.3500615412148</v>
      </c>
      <c r="H10" s="839"/>
    </row>
    <row r="11" s="828" customFormat="1" customHeight="1" spans="1:8">
      <c r="A11" s="281">
        <v>1</v>
      </c>
      <c r="B11" s="468" t="str">
        <f>机电设备安装核!B5</f>
        <v>一级扬水泵站</v>
      </c>
      <c r="C11" s="664">
        <f>机电设备安装核!H5/10000</f>
        <v>7.8305814</v>
      </c>
      <c r="D11" s="664">
        <f>机电设备安装核!G5/10000</f>
        <v>52.363876</v>
      </c>
      <c r="E11" s="664"/>
      <c r="F11" s="664">
        <f>C11+D11+E11</f>
        <v>60.1944574</v>
      </c>
      <c r="G11" s="840">
        <f t="shared" si="0"/>
        <v>2.31294856505145</v>
      </c>
      <c r="H11" s="841"/>
    </row>
    <row r="12" s="828" customFormat="1" customHeight="1" spans="1:8">
      <c r="A12" s="281">
        <v>2</v>
      </c>
      <c r="B12" s="468" t="str">
        <f>机电设备安装核!B47</f>
        <v>二级扬水泵站</v>
      </c>
      <c r="C12" s="664">
        <f>机电设备安装核!H47/10000</f>
        <v>28.519989375</v>
      </c>
      <c r="D12" s="664">
        <f>机电设备安装核!G47/10000</f>
        <v>170.9632625</v>
      </c>
      <c r="E12" s="664"/>
      <c r="F12" s="664">
        <f>C12+D12+E12</f>
        <v>199.483251875</v>
      </c>
      <c r="G12" s="840">
        <f t="shared" si="0"/>
        <v>7.66506620551544</v>
      </c>
      <c r="H12" s="841"/>
    </row>
    <row r="13" s="828" customFormat="1" customHeight="1" spans="1:8">
      <c r="A13" s="281">
        <v>3</v>
      </c>
      <c r="B13" s="468" t="str">
        <f>机电设备安装核!B96</f>
        <v>自动化系统工程</v>
      </c>
      <c r="C13" s="664">
        <f>机电设备安装核!H96/10000</f>
        <v>4.6575</v>
      </c>
      <c r="D13" s="664">
        <f>机电设备安装核!G96/10000</f>
        <v>31.05</v>
      </c>
      <c r="E13" s="664"/>
      <c r="F13" s="664">
        <f>C13+D13</f>
        <v>35.7075</v>
      </c>
      <c r="G13" s="840">
        <f t="shared" si="0"/>
        <v>1.37204677064794</v>
      </c>
      <c r="H13" s="841"/>
    </row>
    <row r="14" s="827" customFormat="1" customHeight="1" spans="1:8">
      <c r="A14" s="271" t="s">
        <v>467</v>
      </c>
      <c r="B14" s="271"/>
      <c r="C14" s="705">
        <f>SUM(C15:C17)</f>
        <v>11.012658117</v>
      </c>
      <c r="D14" s="705">
        <f>SUM(D15:D17)</f>
        <v>118.2148840115</v>
      </c>
      <c r="E14" s="705"/>
      <c r="F14" s="705">
        <f>SUM(F15:F17)</f>
        <v>129.2275421285</v>
      </c>
      <c r="G14" s="838">
        <f t="shared" ref="G14:G41" si="1">F14/$F$47*100</f>
        <v>4.96551794038167</v>
      </c>
      <c r="H14" s="839"/>
    </row>
    <row r="15" s="828" customFormat="1" customHeight="1" spans="1:8">
      <c r="A15" s="842">
        <v>1</v>
      </c>
      <c r="B15" s="468" t="str">
        <f>金属结构及安装核!B6</f>
        <v>一级扬水泵站</v>
      </c>
      <c r="C15" s="664">
        <f>金属结构及安装核!I6/10000</f>
        <v>2.93088</v>
      </c>
      <c r="D15" s="664">
        <f>金属结构及安装核!H6/10000</f>
        <v>30.66094</v>
      </c>
      <c r="E15" s="705"/>
      <c r="F15" s="664">
        <f>C15+D15</f>
        <v>33.59182</v>
      </c>
      <c r="G15" s="843">
        <f t="shared" si="1"/>
        <v>1.29075259122556</v>
      </c>
      <c r="H15" s="844"/>
    </row>
    <row r="16" s="828" customFormat="1" customHeight="1" spans="1:8">
      <c r="A16" s="842">
        <v>2</v>
      </c>
      <c r="B16" s="468" t="str">
        <f>金属结构及安装核!B72</f>
        <v>扬水管线阀门</v>
      </c>
      <c r="C16" s="664">
        <f>金属结构及安装核!I72/10000</f>
        <v>3.0171552</v>
      </c>
      <c r="D16" s="664">
        <f>金属结构及安装核!H72/10000</f>
        <v>25.14296</v>
      </c>
      <c r="E16" s="705"/>
      <c r="F16" s="664">
        <f>C16+D16</f>
        <v>28.1601152</v>
      </c>
      <c r="G16" s="843">
        <f t="shared" si="1"/>
        <v>1.08204145127029</v>
      </c>
      <c r="H16" s="844"/>
    </row>
    <row r="17" s="828" customFormat="1" customHeight="1" spans="1:8">
      <c r="A17" s="842">
        <v>3</v>
      </c>
      <c r="B17" s="468" t="str">
        <f>金属结构及安装核!B30</f>
        <v>二级扬水泵站</v>
      </c>
      <c r="C17" s="664">
        <f>金属结构及安装核!I30/10000</f>
        <v>5.064622917</v>
      </c>
      <c r="D17" s="664">
        <f>金属结构及安装核!H30/10000</f>
        <v>62.4109840115</v>
      </c>
      <c r="E17" s="705"/>
      <c r="F17" s="664">
        <f>C17+D17</f>
        <v>67.4756069285</v>
      </c>
      <c r="G17" s="843">
        <f t="shared" si="1"/>
        <v>2.59272389788582</v>
      </c>
      <c r="H17" s="844"/>
    </row>
    <row r="18" s="827" customFormat="1" customHeight="1" spans="1:8">
      <c r="A18" s="845" t="s">
        <v>468</v>
      </c>
      <c r="B18" s="845"/>
      <c r="C18" s="705">
        <f>ROUND(C4+C10+C14,2)</f>
        <v>1837.88</v>
      </c>
      <c r="D18" s="705">
        <f>ROUND(D4+D10+D14,2)</f>
        <v>372.59</v>
      </c>
      <c r="E18" s="705"/>
      <c r="F18" s="705">
        <f>F4+F10+F14</f>
        <v>2210.46963791537</v>
      </c>
      <c r="G18" s="838">
        <f t="shared" si="1"/>
        <v>84.9364343153986</v>
      </c>
      <c r="H18" s="839"/>
    </row>
    <row r="19" s="827" customFormat="1" customHeight="1" spans="1:8">
      <c r="A19" s="846" t="s">
        <v>469</v>
      </c>
      <c r="B19" s="846"/>
      <c r="C19" s="705">
        <f>C18*1.5%</f>
        <v>27.5682</v>
      </c>
      <c r="D19" s="705"/>
      <c r="E19" s="705"/>
      <c r="F19" s="705">
        <f>SUM(C19:E19)</f>
        <v>27.5682</v>
      </c>
      <c r="G19" s="838">
        <f t="shared" si="1"/>
        <v>1.05929734040682</v>
      </c>
      <c r="H19" s="839"/>
    </row>
    <row r="20" s="827" customFormat="1" customHeight="1" spans="1:8">
      <c r="A20" s="845" t="s">
        <v>470</v>
      </c>
      <c r="B20" s="845"/>
      <c r="C20" s="705">
        <f>ROUND(C18+C19,2)</f>
        <v>1865.45</v>
      </c>
      <c r="D20" s="705">
        <f>D18+D19</f>
        <v>372.59</v>
      </c>
      <c r="E20" s="705"/>
      <c r="F20" s="705">
        <f>F18+F19</f>
        <v>2238.03783791537</v>
      </c>
      <c r="G20" s="838">
        <f t="shared" si="1"/>
        <v>85.9957316558054</v>
      </c>
      <c r="H20" s="839"/>
    </row>
    <row r="21" s="827" customFormat="1" customHeight="1" spans="1:8">
      <c r="A21" s="847" t="s">
        <v>471</v>
      </c>
      <c r="B21" s="847"/>
      <c r="C21" s="848"/>
      <c r="D21" s="848"/>
      <c r="E21" s="849">
        <f>E22+E23+E24+E37+E28+E36+E29+E30+E31+E32+E33+E34+E35</f>
        <v>274.219745475572</v>
      </c>
      <c r="F21" s="849">
        <f>SUM(C21:E21)</f>
        <v>274.219745475572</v>
      </c>
      <c r="G21" s="838">
        <f t="shared" si="1"/>
        <v>10.5367868438748</v>
      </c>
      <c r="H21" s="839"/>
    </row>
    <row r="22" s="828" customFormat="1" customHeight="1" spans="1:8">
      <c r="A22" s="850" t="s">
        <v>472</v>
      </c>
      <c r="B22" s="350" t="s">
        <v>473</v>
      </c>
      <c r="C22" s="851"/>
      <c r="D22" s="851"/>
      <c r="E22" s="852">
        <f>独立费用!F5</f>
        <v>8.95215135166148</v>
      </c>
      <c r="F22" s="852">
        <f>SUM(C22:E22)</f>
        <v>8.95215135166148</v>
      </c>
      <c r="G22" s="840">
        <f t="shared" si="1"/>
        <v>0.343982926623221</v>
      </c>
      <c r="H22" s="841"/>
    </row>
    <row r="23" s="828" customFormat="1" customHeight="1" spans="1:8">
      <c r="A23" s="850" t="s">
        <v>474</v>
      </c>
      <c r="B23" s="350" t="s">
        <v>475</v>
      </c>
      <c r="C23" s="851"/>
      <c r="D23" s="851"/>
      <c r="E23" s="852">
        <f>独立费用!F12</f>
        <v>53.831664</v>
      </c>
      <c r="F23" s="852">
        <f>SUM(C23:E23)</f>
        <v>53.831664</v>
      </c>
      <c r="G23" s="840">
        <f t="shared" si="1"/>
        <v>2.06846070852915</v>
      </c>
      <c r="H23" s="841"/>
    </row>
    <row r="24" s="828" customFormat="1" customHeight="1" spans="1:8">
      <c r="A24" s="850" t="s">
        <v>476</v>
      </c>
      <c r="B24" s="350" t="s">
        <v>477</v>
      </c>
      <c r="C24" s="851"/>
      <c r="D24" s="851"/>
      <c r="E24" s="853">
        <f>E25+E26+E27</f>
        <v>120.188007568731</v>
      </c>
      <c r="F24" s="852">
        <f>SUM(C24:E24)</f>
        <v>120.188007568731</v>
      </c>
      <c r="G24" s="840">
        <f t="shared" si="1"/>
        <v>4.61817734804415</v>
      </c>
      <c r="H24" s="841"/>
    </row>
    <row r="25" s="828" customFormat="1" customHeight="1" spans="1:8">
      <c r="A25" s="850">
        <v>1</v>
      </c>
      <c r="B25" s="350" t="s">
        <v>478</v>
      </c>
      <c r="C25" s="851"/>
      <c r="D25" s="851"/>
      <c r="E25" s="853">
        <f>独立费用!F7</f>
        <v>33.5705675687305</v>
      </c>
      <c r="F25" s="852">
        <f>E25</f>
        <v>33.5705675687305</v>
      </c>
      <c r="G25" s="840">
        <f t="shared" si="1"/>
        <v>1.28993597483708</v>
      </c>
      <c r="H25" s="841"/>
    </row>
    <row r="26" s="828" customFormat="1" customHeight="1" spans="1:8">
      <c r="A26" s="850">
        <v>2</v>
      </c>
      <c r="B26" s="350" t="s">
        <v>479</v>
      </c>
      <c r="C26" s="851"/>
      <c r="D26" s="851"/>
      <c r="E26" s="853">
        <f>独立费用!F8</f>
        <v>10.742592</v>
      </c>
      <c r="F26" s="852">
        <f>E26</f>
        <v>10.742592</v>
      </c>
      <c r="G26" s="840">
        <f t="shared" si="1"/>
        <v>0.41277991071871</v>
      </c>
      <c r="H26" s="841"/>
    </row>
    <row r="27" s="828" customFormat="1" customHeight="1" spans="1:8">
      <c r="A27" s="850">
        <v>3</v>
      </c>
      <c r="B27" s="350" t="s">
        <v>480</v>
      </c>
      <c r="C27" s="851"/>
      <c r="D27" s="851"/>
      <c r="E27" s="853">
        <f>独立费用!F9</f>
        <v>75.874848</v>
      </c>
      <c r="F27" s="852">
        <f>E27</f>
        <v>75.874848</v>
      </c>
      <c r="G27" s="840">
        <f t="shared" si="1"/>
        <v>2.91546146248836</v>
      </c>
      <c r="H27" s="841"/>
    </row>
    <row r="28" s="828" customFormat="1" customHeight="1" spans="1:8">
      <c r="A28" s="850" t="s">
        <v>481</v>
      </c>
      <c r="B28" s="350" t="s">
        <v>482</v>
      </c>
      <c r="C28" s="851"/>
      <c r="D28" s="851"/>
      <c r="E28" s="853">
        <f>独立费用!F10</f>
        <v>28.98524544</v>
      </c>
      <c r="F28" s="852">
        <f>E28</f>
        <v>28.98524544</v>
      </c>
      <c r="G28" s="840">
        <f t="shared" si="1"/>
        <v>1.11374675915115</v>
      </c>
      <c r="H28" s="841"/>
    </row>
    <row r="29" s="828" customFormat="1" customHeight="1" spans="1:8">
      <c r="A29" s="850" t="s">
        <v>394</v>
      </c>
      <c r="B29" s="854" t="s">
        <v>483</v>
      </c>
      <c r="C29" s="851"/>
      <c r="D29" s="851"/>
      <c r="E29" s="853">
        <f>独立费用!F11</f>
        <v>8.59509459478842</v>
      </c>
      <c r="F29" s="852">
        <f>E29</f>
        <v>8.59509459478842</v>
      </c>
      <c r="G29" s="840">
        <f t="shared" si="1"/>
        <v>0.330263159901785</v>
      </c>
      <c r="H29" s="841"/>
    </row>
    <row r="30" s="828" customFormat="1" ht="18" customHeight="1" spans="1:8">
      <c r="A30" s="850" t="s">
        <v>484</v>
      </c>
      <c r="B30" s="854" t="s">
        <v>485</v>
      </c>
      <c r="C30" s="851"/>
      <c r="D30" s="851"/>
      <c r="E30" s="853">
        <f>$F$20*0.003</f>
        <v>6.71411351374611</v>
      </c>
      <c r="F30" s="852">
        <f t="shared" ref="F30:F36" si="2">E30</f>
        <v>6.71411351374611</v>
      </c>
      <c r="G30" s="840">
        <f t="shared" ref="G30:G47" si="3">F30/$F$47*100</f>
        <v>0.257987194967416</v>
      </c>
      <c r="H30" s="841"/>
    </row>
    <row r="31" s="828" customFormat="1" ht="18" customHeight="1" spans="1:8">
      <c r="A31" s="850" t="s">
        <v>486</v>
      </c>
      <c r="B31" s="854" t="s">
        <v>487</v>
      </c>
      <c r="C31" s="851"/>
      <c r="D31" s="851"/>
      <c r="E31" s="853">
        <f>F18*0.002</f>
        <v>4.42093927583074</v>
      </c>
      <c r="F31" s="852">
        <f t="shared" si="2"/>
        <v>4.42093927583074</v>
      </c>
      <c r="G31" s="840">
        <f t="shared" si="3"/>
        <v>0.169872868630797</v>
      </c>
      <c r="H31" s="841"/>
    </row>
    <row r="32" s="828" customFormat="1" ht="18" customHeight="1" spans="1:8">
      <c r="A32" s="850" t="s">
        <v>488</v>
      </c>
      <c r="B32" s="854" t="s">
        <v>489</v>
      </c>
      <c r="C32" s="851"/>
      <c r="D32" s="851"/>
      <c r="E32" s="853">
        <f>$F$20*0.003</f>
        <v>6.71411351374611</v>
      </c>
      <c r="F32" s="852">
        <f t="shared" si="2"/>
        <v>6.71411351374611</v>
      </c>
      <c r="G32" s="840">
        <f t="shared" si="3"/>
        <v>0.257987194967416</v>
      </c>
      <c r="H32" s="841"/>
    </row>
    <row r="33" s="828" customFormat="1" ht="18" customHeight="1" spans="1:8">
      <c r="A33" s="850" t="s">
        <v>490</v>
      </c>
      <c r="B33" s="854" t="s">
        <v>491</v>
      </c>
      <c r="C33" s="851"/>
      <c r="D33" s="851"/>
      <c r="E33" s="853">
        <f>$F$20*0.002</f>
        <v>4.47607567583074</v>
      </c>
      <c r="F33" s="853">
        <f t="shared" si="2"/>
        <v>4.47607567583074</v>
      </c>
      <c r="G33" s="840">
        <f t="shared" si="3"/>
        <v>0.171991463311611</v>
      </c>
      <c r="H33" s="841"/>
    </row>
    <row r="34" s="828" customFormat="1" ht="18" customHeight="1" spans="1:8">
      <c r="A34" s="855" t="s">
        <v>492</v>
      </c>
      <c r="B34" s="854" t="s">
        <v>493</v>
      </c>
      <c r="C34" s="851"/>
      <c r="D34" s="851"/>
      <c r="E34" s="853">
        <f>$F$20*0.002</f>
        <v>4.47607567583074</v>
      </c>
      <c r="F34" s="853">
        <f t="shared" si="2"/>
        <v>4.47607567583074</v>
      </c>
      <c r="G34" s="840">
        <f t="shared" si="3"/>
        <v>0.171991463311611</v>
      </c>
      <c r="H34" s="841"/>
    </row>
    <row r="35" s="828" customFormat="1" ht="18" customHeight="1" spans="1:8">
      <c r="A35" s="855" t="s">
        <v>494</v>
      </c>
      <c r="B35" s="854" t="s">
        <v>495</v>
      </c>
      <c r="C35" s="851"/>
      <c r="D35" s="851"/>
      <c r="E35" s="853">
        <f>$F$20*0.002</f>
        <v>4.47607567583074</v>
      </c>
      <c r="F35" s="853">
        <f t="shared" si="2"/>
        <v>4.47607567583074</v>
      </c>
      <c r="G35" s="840">
        <f t="shared" si="3"/>
        <v>0.171991463311611</v>
      </c>
      <c r="H35" s="841"/>
    </row>
    <row r="36" s="828" customFormat="1" ht="18" customHeight="1" spans="1:8">
      <c r="A36" s="850" t="s">
        <v>496</v>
      </c>
      <c r="B36" s="854" t="s">
        <v>497</v>
      </c>
      <c r="C36" s="851"/>
      <c r="D36" s="851"/>
      <c r="E36" s="853">
        <f>F20*0.005</f>
        <v>11.1901891895768</v>
      </c>
      <c r="F36" s="853">
        <f t="shared" si="2"/>
        <v>11.1901891895768</v>
      </c>
      <c r="G36" s="840">
        <f t="shared" si="3"/>
        <v>0.429978658279027</v>
      </c>
      <c r="H36" s="841"/>
    </row>
    <row r="37" s="828" customFormat="1" ht="18" customHeight="1" spans="1:8">
      <c r="A37" s="850" t="s">
        <v>498</v>
      </c>
      <c r="B37" s="350" t="s">
        <v>499</v>
      </c>
      <c r="C37" s="851"/>
      <c r="D37" s="851"/>
      <c r="E37" s="852">
        <f>ROUND(E38+E39,2)</f>
        <v>11.2</v>
      </c>
      <c r="F37" s="852">
        <f>SUM(C37:E37)</f>
        <v>11.2</v>
      </c>
      <c r="G37" s="840">
        <f t="shared" si="3"/>
        <v>0.430355634845813</v>
      </c>
      <c r="H37" s="841"/>
    </row>
    <row r="38" s="828" customFormat="1" ht="18" customHeight="1" spans="1:8">
      <c r="A38" s="850">
        <v>1</v>
      </c>
      <c r="B38" s="350" t="s">
        <v>500</v>
      </c>
      <c r="C38" s="851"/>
      <c r="D38" s="851"/>
      <c r="E38" s="852">
        <f>ROUND(C20*0.5%,2)</f>
        <v>9.33</v>
      </c>
      <c r="F38" s="852">
        <f>SUM(C38:E38)</f>
        <v>9.33</v>
      </c>
      <c r="G38" s="840">
        <f t="shared" si="3"/>
        <v>0.358501613670664</v>
      </c>
      <c r="H38" s="841"/>
    </row>
    <row r="39" s="828" customFormat="1" ht="18" customHeight="1" spans="1:8">
      <c r="A39" s="850">
        <v>2</v>
      </c>
      <c r="B39" s="350" t="s">
        <v>501</v>
      </c>
      <c r="C39" s="851"/>
      <c r="D39" s="851"/>
      <c r="E39" s="852">
        <f>ROUND(C20*0.1%,2)</f>
        <v>1.87</v>
      </c>
      <c r="F39" s="852">
        <f>SUM(C39:E39)</f>
        <v>1.87</v>
      </c>
      <c r="G39" s="840">
        <f t="shared" si="3"/>
        <v>0.0718540211751492</v>
      </c>
      <c r="H39" s="841"/>
    </row>
    <row r="40" s="827" customFormat="1" customHeight="1" spans="1:8">
      <c r="A40" s="329" t="s">
        <v>502</v>
      </c>
      <c r="B40" s="329"/>
      <c r="C40" s="705">
        <f>ROUND(C20+C21,2)</f>
        <v>1865.45</v>
      </c>
      <c r="D40" s="705">
        <f>ROUND(D20+D21,2)</f>
        <v>372.59</v>
      </c>
      <c r="E40" s="705">
        <f>ROUND(E20+E21,2)</f>
        <v>274.22</v>
      </c>
      <c r="F40" s="705">
        <f>SUM(C40:E40)</f>
        <v>2512.26</v>
      </c>
      <c r="G40" s="838">
        <f t="shared" si="3"/>
        <v>96.5326113569414</v>
      </c>
      <c r="H40" s="839"/>
    </row>
    <row r="41" s="828" customFormat="1" hidden="1" customHeight="1" spans="1:8">
      <c r="A41" s="329"/>
      <c r="B41" s="856"/>
      <c r="C41" s="705"/>
      <c r="D41" s="705"/>
      <c r="E41" s="705"/>
      <c r="F41" s="705"/>
      <c r="G41" s="838">
        <f t="shared" si="3"/>
        <v>0</v>
      </c>
      <c r="H41" s="839"/>
    </row>
    <row r="42" s="827" customFormat="1" customHeight="1" spans="1:8">
      <c r="A42" s="329" t="s">
        <v>503</v>
      </c>
      <c r="B42" s="329" t="s">
        <v>504</v>
      </c>
      <c r="C42" s="705"/>
      <c r="D42" s="705"/>
      <c r="E42" s="705"/>
      <c r="F42" s="705">
        <f>F40+F41</f>
        <v>2512.26</v>
      </c>
      <c r="G42" s="838">
        <f t="shared" si="3"/>
        <v>96.5326113569414</v>
      </c>
      <c r="H42" s="839"/>
    </row>
    <row r="43" s="827" customFormat="1" customHeight="1" spans="1:8">
      <c r="A43" s="857" t="s">
        <v>505</v>
      </c>
      <c r="B43" s="329" t="s">
        <v>506</v>
      </c>
      <c r="C43" s="705"/>
      <c r="D43" s="705"/>
      <c r="E43" s="705"/>
      <c r="F43" s="705">
        <f>F44+F45+F46</f>
        <v>90.2387459529147</v>
      </c>
      <c r="G43" s="838">
        <f t="shared" si="3"/>
        <v>3.46738864305863</v>
      </c>
      <c r="H43" s="839"/>
    </row>
    <row r="44" s="828" customFormat="1" customHeight="1" spans="1:8">
      <c r="A44" s="855">
        <v>1</v>
      </c>
      <c r="B44" s="858" t="s">
        <v>507</v>
      </c>
      <c r="C44" s="705"/>
      <c r="D44" s="705"/>
      <c r="E44" s="705"/>
      <c r="F44" s="664">
        <f>征地补偿!G28</f>
        <v>62.207487886248</v>
      </c>
      <c r="G44" s="840">
        <f t="shared" si="3"/>
        <v>2.39029847691513</v>
      </c>
      <c r="H44" s="841"/>
    </row>
    <row r="45" s="828" customFormat="1" customHeight="1" spans="1:8">
      <c r="A45" s="859">
        <v>2</v>
      </c>
      <c r="B45" s="858" t="s">
        <v>508</v>
      </c>
      <c r="C45" s="705"/>
      <c r="D45" s="705"/>
      <c r="E45" s="705"/>
      <c r="F45" s="664">
        <f>水土保持!H36</f>
        <v>19.1941796666667</v>
      </c>
      <c r="G45" s="840">
        <f t="shared" si="3"/>
        <v>0.737528872838656</v>
      </c>
      <c r="H45" s="841"/>
    </row>
    <row r="46" s="828" customFormat="1" customHeight="1" spans="1:8">
      <c r="A46" s="859">
        <v>3</v>
      </c>
      <c r="B46" s="858" t="s">
        <v>509</v>
      </c>
      <c r="C46" s="705"/>
      <c r="D46" s="705"/>
      <c r="E46" s="705"/>
      <c r="F46" s="664">
        <f>环保!G30</f>
        <v>8.8370784</v>
      </c>
      <c r="G46" s="840">
        <f t="shared" si="3"/>
        <v>0.339561293304842</v>
      </c>
      <c r="H46" s="841"/>
    </row>
    <row r="47" s="827" customFormat="1" customHeight="1" spans="1:8">
      <c r="A47" s="329" t="s">
        <v>105</v>
      </c>
      <c r="B47" s="329"/>
      <c r="C47" s="705"/>
      <c r="D47" s="705"/>
      <c r="E47" s="705"/>
      <c r="F47" s="705">
        <f>F42+F43</f>
        <v>2602.49874595291</v>
      </c>
      <c r="G47" s="838">
        <f t="shared" si="3"/>
        <v>100</v>
      </c>
      <c r="H47" s="839"/>
    </row>
    <row r="48" spans="6:9">
      <c r="F48" s="860"/>
      <c r="G48" s="861"/>
      <c r="H48" s="861"/>
      <c r="I48" s="864"/>
    </row>
    <row r="49" spans="6:8">
      <c r="F49" s="860"/>
      <c r="G49" s="861"/>
      <c r="H49" s="861"/>
    </row>
    <row r="50" spans="6:8">
      <c r="F50" s="860"/>
      <c r="G50" s="860"/>
      <c r="H50" s="860"/>
    </row>
    <row r="51" spans="6:8">
      <c r="F51" s="860"/>
      <c r="G51" s="862"/>
      <c r="H51" s="862"/>
    </row>
    <row r="52" spans="6:8">
      <c r="F52" s="860"/>
      <c r="G52" s="841"/>
      <c r="H52" s="841"/>
    </row>
    <row r="53" spans="5:6">
      <c r="E53" s="830" t="s">
        <v>510</v>
      </c>
      <c r="F53" s="860"/>
    </row>
    <row r="54" spans="6:8">
      <c r="F54" s="860"/>
      <c r="G54" s="863"/>
      <c r="H54" s="863"/>
    </row>
    <row r="55" spans="7:8">
      <c r="G55" s="863"/>
      <c r="H55" s="863"/>
    </row>
    <row r="56" spans="7:8">
      <c r="G56" s="863"/>
      <c r="H56" s="863"/>
    </row>
  </sheetData>
  <mergeCells count="11">
    <mergeCell ref="A1:G1"/>
    <mergeCell ref="A2:G2"/>
    <mergeCell ref="A4:B4"/>
    <mergeCell ref="A10:B10"/>
    <mergeCell ref="A14:B14"/>
    <mergeCell ref="A18:B18"/>
    <mergeCell ref="A19:B19"/>
    <mergeCell ref="A20:B20"/>
    <mergeCell ref="A21:B21"/>
    <mergeCell ref="A40:B40"/>
    <mergeCell ref="A47:B47"/>
  </mergeCells>
  <printOptions horizontalCentered="1"/>
  <pageMargins left="0.550694444444444" right="0.314583333333333" top="0.236111111111111" bottom="0.156944444444444" header="0.196527777777778" footer="0"/>
  <pageSetup paperSize="9" scale="86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A1" sqref="A1:F1"/>
    </sheetView>
  </sheetViews>
  <sheetFormatPr defaultColWidth="8.75" defaultRowHeight="15.75" outlineLevelCol="6"/>
  <cols>
    <col min="1" max="1" width="6.25" style="812" customWidth="1"/>
    <col min="2" max="2" width="26" style="813" customWidth="1"/>
    <col min="3" max="4" width="10.625" style="812" customWidth="1"/>
    <col min="5" max="5" width="9.75" style="812" customWidth="1"/>
    <col min="6" max="6" width="10.625" style="812" customWidth="1"/>
    <col min="7" max="7" width="10.375" style="814" customWidth="1"/>
    <col min="8" max="247" width="8.75" style="814" customWidth="1"/>
    <col min="248" max="255" width="8.75" style="814"/>
    <col min="256" max="256" width="6.25" style="814" customWidth="1"/>
    <col min="257" max="257" width="26" style="814" customWidth="1"/>
    <col min="258" max="261" width="10.625" style="814" customWidth="1"/>
    <col min="262" max="262" width="10.375" style="814" customWidth="1"/>
    <col min="263" max="503" width="8.75" style="814" customWidth="1"/>
    <col min="504" max="511" width="8.75" style="814"/>
    <col min="512" max="512" width="6.25" style="814" customWidth="1"/>
    <col min="513" max="513" width="26" style="814" customWidth="1"/>
    <col min="514" max="517" width="10.625" style="814" customWidth="1"/>
    <col min="518" max="518" width="10.375" style="814" customWidth="1"/>
    <col min="519" max="759" width="8.75" style="814" customWidth="1"/>
    <col min="760" max="767" width="8.75" style="814"/>
    <col min="768" max="768" width="6.25" style="814" customWidth="1"/>
    <col min="769" max="769" width="26" style="814" customWidth="1"/>
    <col min="770" max="773" width="10.625" style="814" customWidth="1"/>
    <col min="774" max="774" width="10.375" style="814" customWidth="1"/>
    <col min="775" max="1015" width="8.75" style="814" customWidth="1"/>
    <col min="1016" max="1023" width="8.75" style="814"/>
    <col min="1024" max="1024" width="6.25" style="814" customWidth="1"/>
    <col min="1025" max="1025" width="26" style="814" customWidth="1"/>
    <col min="1026" max="1029" width="10.625" style="814" customWidth="1"/>
    <col min="1030" max="1030" width="10.375" style="814" customWidth="1"/>
    <col min="1031" max="1271" width="8.75" style="814" customWidth="1"/>
    <col min="1272" max="1279" width="8.75" style="814"/>
    <col min="1280" max="1280" width="6.25" style="814" customWidth="1"/>
    <col min="1281" max="1281" width="26" style="814" customWidth="1"/>
    <col min="1282" max="1285" width="10.625" style="814" customWidth="1"/>
    <col min="1286" max="1286" width="10.375" style="814" customWidth="1"/>
    <col min="1287" max="1527" width="8.75" style="814" customWidth="1"/>
    <col min="1528" max="1535" width="8.75" style="814"/>
    <col min="1536" max="1536" width="6.25" style="814" customWidth="1"/>
    <col min="1537" max="1537" width="26" style="814" customWidth="1"/>
    <col min="1538" max="1541" width="10.625" style="814" customWidth="1"/>
    <col min="1542" max="1542" width="10.375" style="814" customWidth="1"/>
    <col min="1543" max="1783" width="8.75" style="814" customWidth="1"/>
    <col min="1784" max="1791" width="8.75" style="814"/>
    <col min="1792" max="1792" width="6.25" style="814" customWidth="1"/>
    <col min="1793" max="1793" width="26" style="814" customWidth="1"/>
    <col min="1794" max="1797" width="10.625" style="814" customWidth="1"/>
    <col min="1798" max="1798" width="10.375" style="814" customWidth="1"/>
    <col min="1799" max="2039" width="8.75" style="814" customWidth="1"/>
    <col min="2040" max="2047" width="8.75" style="814"/>
    <col min="2048" max="2048" width="6.25" style="814" customWidth="1"/>
    <col min="2049" max="2049" width="26" style="814" customWidth="1"/>
    <col min="2050" max="2053" width="10.625" style="814" customWidth="1"/>
    <col min="2054" max="2054" width="10.375" style="814" customWidth="1"/>
    <col min="2055" max="2295" width="8.75" style="814" customWidth="1"/>
    <col min="2296" max="2303" width="8.75" style="814"/>
    <col min="2304" max="2304" width="6.25" style="814" customWidth="1"/>
    <col min="2305" max="2305" width="26" style="814" customWidth="1"/>
    <col min="2306" max="2309" width="10.625" style="814" customWidth="1"/>
    <col min="2310" max="2310" width="10.375" style="814" customWidth="1"/>
    <col min="2311" max="2551" width="8.75" style="814" customWidth="1"/>
    <col min="2552" max="2559" width="8.75" style="814"/>
    <col min="2560" max="2560" width="6.25" style="814" customWidth="1"/>
    <col min="2561" max="2561" width="26" style="814" customWidth="1"/>
    <col min="2562" max="2565" width="10.625" style="814" customWidth="1"/>
    <col min="2566" max="2566" width="10.375" style="814" customWidth="1"/>
    <col min="2567" max="2807" width="8.75" style="814" customWidth="1"/>
    <col min="2808" max="2815" width="8.75" style="814"/>
    <col min="2816" max="2816" width="6.25" style="814" customWidth="1"/>
    <col min="2817" max="2817" width="26" style="814" customWidth="1"/>
    <col min="2818" max="2821" width="10.625" style="814" customWidth="1"/>
    <col min="2822" max="2822" width="10.375" style="814" customWidth="1"/>
    <col min="2823" max="3063" width="8.75" style="814" customWidth="1"/>
    <col min="3064" max="3071" width="8.75" style="814"/>
    <col min="3072" max="3072" width="6.25" style="814" customWidth="1"/>
    <col min="3073" max="3073" width="26" style="814" customWidth="1"/>
    <col min="3074" max="3077" width="10.625" style="814" customWidth="1"/>
    <col min="3078" max="3078" width="10.375" style="814" customWidth="1"/>
    <col min="3079" max="3319" width="8.75" style="814" customWidth="1"/>
    <col min="3320" max="3327" width="8.75" style="814"/>
    <col min="3328" max="3328" width="6.25" style="814" customWidth="1"/>
    <col min="3329" max="3329" width="26" style="814" customWidth="1"/>
    <col min="3330" max="3333" width="10.625" style="814" customWidth="1"/>
    <col min="3334" max="3334" width="10.375" style="814" customWidth="1"/>
    <col min="3335" max="3575" width="8.75" style="814" customWidth="1"/>
    <col min="3576" max="3583" width="8.75" style="814"/>
    <col min="3584" max="3584" width="6.25" style="814" customWidth="1"/>
    <col min="3585" max="3585" width="26" style="814" customWidth="1"/>
    <col min="3586" max="3589" width="10.625" style="814" customWidth="1"/>
    <col min="3590" max="3590" width="10.375" style="814" customWidth="1"/>
    <col min="3591" max="3831" width="8.75" style="814" customWidth="1"/>
    <col min="3832" max="3839" width="8.75" style="814"/>
    <col min="3840" max="3840" width="6.25" style="814" customWidth="1"/>
    <col min="3841" max="3841" width="26" style="814" customWidth="1"/>
    <col min="3842" max="3845" width="10.625" style="814" customWidth="1"/>
    <col min="3846" max="3846" width="10.375" style="814" customWidth="1"/>
    <col min="3847" max="4087" width="8.75" style="814" customWidth="1"/>
    <col min="4088" max="4095" width="8.75" style="814"/>
    <col min="4096" max="4096" width="6.25" style="814" customWidth="1"/>
    <col min="4097" max="4097" width="26" style="814" customWidth="1"/>
    <col min="4098" max="4101" width="10.625" style="814" customWidth="1"/>
    <col min="4102" max="4102" width="10.375" style="814" customWidth="1"/>
    <col min="4103" max="4343" width="8.75" style="814" customWidth="1"/>
    <col min="4344" max="4351" width="8.75" style="814"/>
    <col min="4352" max="4352" width="6.25" style="814" customWidth="1"/>
    <col min="4353" max="4353" width="26" style="814" customWidth="1"/>
    <col min="4354" max="4357" width="10.625" style="814" customWidth="1"/>
    <col min="4358" max="4358" width="10.375" style="814" customWidth="1"/>
    <col min="4359" max="4599" width="8.75" style="814" customWidth="1"/>
    <col min="4600" max="4607" width="8.75" style="814"/>
    <col min="4608" max="4608" width="6.25" style="814" customWidth="1"/>
    <col min="4609" max="4609" width="26" style="814" customWidth="1"/>
    <col min="4610" max="4613" width="10.625" style="814" customWidth="1"/>
    <col min="4614" max="4614" width="10.375" style="814" customWidth="1"/>
    <col min="4615" max="4855" width="8.75" style="814" customWidth="1"/>
    <col min="4856" max="4863" width="8.75" style="814"/>
    <col min="4864" max="4864" width="6.25" style="814" customWidth="1"/>
    <col min="4865" max="4865" width="26" style="814" customWidth="1"/>
    <col min="4866" max="4869" width="10.625" style="814" customWidth="1"/>
    <col min="4870" max="4870" width="10.375" style="814" customWidth="1"/>
    <col min="4871" max="5111" width="8.75" style="814" customWidth="1"/>
    <col min="5112" max="5119" width="8.75" style="814"/>
    <col min="5120" max="5120" width="6.25" style="814" customWidth="1"/>
    <col min="5121" max="5121" width="26" style="814" customWidth="1"/>
    <col min="5122" max="5125" width="10.625" style="814" customWidth="1"/>
    <col min="5126" max="5126" width="10.375" style="814" customWidth="1"/>
    <col min="5127" max="5367" width="8.75" style="814" customWidth="1"/>
    <col min="5368" max="5375" width="8.75" style="814"/>
    <col min="5376" max="5376" width="6.25" style="814" customWidth="1"/>
    <col min="5377" max="5377" width="26" style="814" customWidth="1"/>
    <col min="5378" max="5381" width="10.625" style="814" customWidth="1"/>
    <col min="5382" max="5382" width="10.375" style="814" customWidth="1"/>
    <col min="5383" max="5623" width="8.75" style="814" customWidth="1"/>
    <col min="5624" max="5631" width="8.75" style="814"/>
    <col min="5632" max="5632" width="6.25" style="814" customWidth="1"/>
    <col min="5633" max="5633" width="26" style="814" customWidth="1"/>
    <col min="5634" max="5637" width="10.625" style="814" customWidth="1"/>
    <col min="5638" max="5638" width="10.375" style="814" customWidth="1"/>
    <col min="5639" max="5879" width="8.75" style="814" customWidth="1"/>
    <col min="5880" max="5887" width="8.75" style="814"/>
    <col min="5888" max="5888" width="6.25" style="814" customWidth="1"/>
    <col min="5889" max="5889" width="26" style="814" customWidth="1"/>
    <col min="5890" max="5893" width="10.625" style="814" customWidth="1"/>
    <col min="5894" max="5894" width="10.375" style="814" customWidth="1"/>
    <col min="5895" max="6135" width="8.75" style="814" customWidth="1"/>
    <col min="6136" max="6143" width="8.75" style="814"/>
    <col min="6144" max="6144" width="6.25" style="814" customWidth="1"/>
    <col min="6145" max="6145" width="26" style="814" customWidth="1"/>
    <col min="6146" max="6149" width="10.625" style="814" customWidth="1"/>
    <col min="6150" max="6150" width="10.375" style="814" customWidth="1"/>
    <col min="6151" max="6391" width="8.75" style="814" customWidth="1"/>
    <col min="6392" max="6399" width="8.75" style="814"/>
    <col min="6400" max="6400" width="6.25" style="814" customWidth="1"/>
    <col min="6401" max="6401" width="26" style="814" customWidth="1"/>
    <col min="6402" max="6405" width="10.625" style="814" customWidth="1"/>
    <col min="6406" max="6406" width="10.375" style="814" customWidth="1"/>
    <col min="6407" max="6647" width="8.75" style="814" customWidth="1"/>
    <col min="6648" max="6655" width="8.75" style="814"/>
    <col min="6656" max="6656" width="6.25" style="814" customWidth="1"/>
    <col min="6657" max="6657" width="26" style="814" customWidth="1"/>
    <col min="6658" max="6661" width="10.625" style="814" customWidth="1"/>
    <col min="6662" max="6662" width="10.375" style="814" customWidth="1"/>
    <col min="6663" max="6903" width="8.75" style="814" customWidth="1"/>
    <col min="6904" max="6911" width="8.75" style="814"/>
    <col min="6912" max="6912" width="6.25" style="814" customWidth="1"/>
    <col min="6913" max="6913" width="26" style="814" customWidth="1"/>
    <col min="6914" max="6917" width="10.625" style="814" customWidth="1"/>
    <col min="6918" max="6918" width="10.375" style="814" customWidth="1"/>
    <col min="6919" max="7159" width="8.75" style="814" customWidth="1"/>
    <col min="7160" max="7167" width="8.75" style="814"/>
    <col min="7168" max="7168" width="6.25" style="814" customWidth="1"/>
    <col min="7169" max="7169" width="26" style="814" customWidth="1"/>
    <col min="7170" max="7173" width="10.625" style="814" customWidth="1"/>
    <col min="7174" max="7174" width="10.375" style="814" customWidth="1"/>
    <col min="7175" max="7415" width="8.75" style="814" customWidth="1"/>
    <col min="7416" max="7423" width="8.75" style="814"/>
    <col min="7424" max="7424" width="6.25" style="814" customWidth="1"/>
    <col min="7425" max="7425" width="26" style="814" customWidth="1"/>
    <col min="7426" max="7429" width="10.625" style="814" customWidth="1"/>
    <col min="7430" max="7430" width="10.375" style="814" customWidth="1"/>
    <col min="7431" max="7671" width="8.75" style="814" customWidth="1"/>
    <col min="7672" max="7679" width="8.75" style="814"/>
    <col min="7680" max="7680" width="6.25" style="814" customWidth="1"/>
    <col min="7681" max="7681" width="26" style="814" customWidth="1"/>
    <col min="7682" max="7685" width="10.625" style="814" customWidth="1"/>
    <col min="7686" max="7686" width="10.375" style="814" customWidth="1"/>
    <col min="7687" max="7927" width="8.75" style="814" customWidth="1"/>
    <col min="7928" max="7935" width="8.75" style="814"/>
    <col min="7936" max="7936" width="6.25" style="814" customWidth="1"/>
    <col min="7937" max="7937" width="26" style="814" customWidth="1"/>
    <col min="7938" max="7941" width="10.625" style="814" customWidth="1"/>
    <col min="7942" max="7942" width="10.375" style="814" customWidth="1"/>
    <col min="7943" max="8183" width="8.75" style="814" customWidth="1"/>
    <col min="8184" max="8191" width="8.75" style="814"/>
    <col min="8192" max="8192" width="6.25" style="814" customWidth="1"/>
    <col min="8193" max="8193" width="26" style="814" customWidth="1"/>
    <col min="8194" max="8197" width="10.625" style="814" customWidth="1"/>
    <col min="8198" max="8198" width="10.375" style="814" customWidth="1"/>
    <col min="8199" max="8439" width="8.75" style="814" customWidth="1"/>
    <col min="8440" max="8447" width="8.75" style="814"/>
    <col min="8448" max="8448" width="6.25" style="814" customWidth="1"/>
    <col min="8449" max="8449" width="26" style="814" customWidth="1"/>
    <col min="8450" max="8453" width="10.625" style="814" customWidth="1"/>
    <col min="8454" max="8454" width="10.375" style="814" customWidth="1"/>
    <col min="8455" max="8695" width="8.75" style="814" customWidth="1"/>
    <col min="8696" max="8703" width="8.75" style="814"/>
    <col min="8704" max="8704" width="6.25" style="814" customWidth="1"/>
    <col min="8705" max="8705" width="26" style="814" customWidth="1"/>
    <col min="8706" max="8709" width="10.625" style="814" customWidth="1"/>
    <col min="8710" max="8710" width="10.375" style="814" customWidth="1"/>
    <col min="8711" max="8951" width="8.75" style="814" customWidth="1"/>
    <col min="8952" max="8959" width="8.75" style="814"/>
    <col min="8960" max="8960" width="6.25" style="814" customWidth="1"/>
    <col min="8961" max="8961" width="26" style="814" customWidth="1"/>
    <col min="8962" max="8965" width="10.625" style="814" customWidth="1"/>
    <col min="8966" max="8966" width="10.375" style="814" customWidth="1"/>
    <col min="8967" max="9207" width="8.75" style="814" customWidth="1"/>
    <col min="9208" max="9215" width="8.75" style="814"/>
    <col min="9216" max="9216" width="6.25" style="814" customWidth="1"/>
    <col min="9217" max="9217" width="26" style="814" customWidth="1"/>
    <col min="9218" max="9221" width="10.625" style="814" customWidth="1"/>
    <col min="9222" max="9222" width="10.375" style="814" customWidth="1"/>
    <col min="9223" max="9463" width="8.75" style="814" customWidth="1"/>
    <col min="9464" max="9471" width="8.75" style="814"/>
    <col min="9472" max="9472" width="6.25" style="814" customWidth="1"/>
    <col min="9473" max="9473" width="26" style="814" customWidth="1"/>
    <col min="9474" max="9477" width="10.625" style="814" customWidth="1"/>
    <col min="9478" max="9478" width="10.375" style="814" customWidth="1"/>
    <col min="9479" max="9719" width="8.75" style="814" customWidth="1"/>
    <col min="9720" max="9727" width="8.75" style="814"/>
    <col min="9728" max="9728" width="6.25" style="814" customWidth="1"/>
    <col min="9729" max="9729" width="26" style="814" customWidth="1"/>
    <col min="9730" max="9733" width="10.625" style="814" customWidth="1"/>
    <col min="9734" max="9734" width="10.375" style="814" customWidth="1"/>
    <col min="9735" max="9975" width="8.75" style="814" customWidth="1"/>
    <col min="9976" max="9983" width="8.75" style="814"/>
    <col min="9984" max="9984" width="6.25" style="814" customWidth="1"/>
    <col min="9985" max="9985" width="26" style="814" customWidth="1"/>
    <col min="9986" max="9989" width="10.625" style="814" customWidth="1"/>
    <col min="9990" max="9990" width="10.375" style="814" customWidth="1"/>
    <col min="9991" max="10231" width="8.75" style="814" customWidth="1"/>
    <col min="10232" max="10239" width="8.75" style="814"/>
    <col min="10240" max="10240" width="6.25" style="814" customWidth="1"/>
    <col min="10241" max="10241" width="26" style="814" customWidth="1"/>
    <col min="10242" max="10245" width="10.625" style="814" customWidth="1"/>
    <col min="10246" max="10246" width="10.375" style="814" customWidth="1"/>
    <col min="10247" max="10487" width="8.75" style="814" customWidth="1"/>
    <col min="10488" max="10495" width="8.75" style="814"/>
    <col min="10496" max="10496" width="6.25" style="814" customWidth="1"/>
    <col min="10497" max="10497" width="26" style="814" customWidth="1"/>
    <col min="10498" max="10501" width="10.625" style="814" customWidth="1"/>
    <col min="10502" max="10502" width="10.375" style="814" customWidth="1"/>
    <col min="10503" max="10743" width="8.75" style="814" customWidth="1"/>
    <col min="10744" max="10751" width="8.75" style="814"/>
    <col min="10752" max="10752" width="6.25" style="814" customWidth="1"/>
    <col min="10753" max="10753" width="26" style="814" customWidth="1"/>
    <col min="10754" max="10757" width="10.625" style="814" customWidth="1"/>
    <col min="10758" max="10758" width="10.375" style="814" customWidth="1"/>
    <col min="10759" max="10999" width="8.75" style="814" customWidth="1"/>
    <col min="11000" max="11007" width="8.75" style="814"/>
    <col min="11008" max="11008" width="6.25" style="814" customWidth="1"/>
    <col min="11009" max="11009" width="26" style="814" customWidth="1"/>
    <col min="11010" max="11013" width="10.625" style="814" customWidth="1"/>
    <col min="11014" max="11014" width="10.375" style="814" customWidth="1"/>
    <col min="11015" max="11255" width="8.75" style="814" customWidth="1"/>
    <col min="11256" max="11263" width="8.75" style="814"/>
    <col min="11264" max="11264" width="6.25" style="814" customWidth="1"/>
    <col min="11265" max="11265" width="26" style="814" customWidth="1"/>
    <col min="11266" max="11269" width="10.625" style="814" customWidth="1"/>
    <col min="11270" max="11270" width="10.375" style="814" customWidth="1"/>
    <col min="11271" max="11511" width="8.75" style="814" customWidth="1"/>
    <col min="11512" max="11519" width="8.75" style="814"/>
    <col min="11520" max="11520" width="6.25" style="814" customWidth="1"/>
    <col min="11521" max="11521" width="26" style="814" customWidth="1"/>
    <col min="11522" max="11525" width="10.625" style="814" customWidth="1"/>
    <col min="11526" max="11526" width="10.375" style="814" customWidth="1"/>
    <col min="11527" max="11767" width="8.75" style="814" customWidth="1"/>
    <col min="11768" max="11775" width="8.75" style="814"/>
    <col min="11776" max="11776" width="6.25" style="814" customWidth="1"/>
    <col min="11777" max="11777" width="26" style="814" customWidth="1"/>
    <col min="11778" max="11781" width="10.625" style="814" customWidth="1"/>
    <col min="11782" max="11782" width="10.375" style="814" customWidth="1"/>
    <col min="11783" max="12023" width="8.75" style="814" customWidth="1"/>
    <col min="12024" max="12031" width="8.75" style="814"/>
    <col min="12032" max="12032" width="6.25" style="814" customWidth="1"/>
    <col min="12033" max="12033" width="26" style="814" customWidth="1"/>
    <col min="12034" max="12037" width="10.625" style="814" customWidth="1"/>
    <col min="12038" max="12038" width="10.375" style="814" customWidth="1"/>
    <col min="12039" max="12279" width="8.75" style="814" customWidth="1"/>
    <col min="12280" max="12287" width="8.75" style="814"/>
    <col min="12288" max="12288" width="6.25" style="814" customWidth="1"/>
    <col min="12289" max="12289" width="26" style="814" customWidth="1"/>
    <col min="12290" max="12293" width="10.625" style="814" customWidth="1"/>
    <col min="12294" max="12294" width="10.375" style="814" customWidth="1"/>
    <col min="12295" max="12535" width="8.75" style="814" customWidth="1"/>
    <col min="12536" max="12543" width="8.75" style="814"/>
    <col min="12544" max="12544" width="6.25" style="814" customWidth="1"/>
    <col min="12545" max="12545" width="26" style="814" customWidth="1"/>
    <col min="12546" max="12549" width="10.625" style="814" customWidth="1"/>
    <col min="12550" max="12550" width="10.375" style="814" customWidth="1"/>
    <col min="12551" max="12791" width="8.75" style="814" customWidth="1"/>
    <col min="12792" max="12799" width="8.75" style="814"/>
    <col min="12800" max="12800" width="6.25" style="814" customWidth="1"/>
    <col min="12801" max="12801" width="26" style="814" customWidth="1"/>
    <col min="12802" max="12805" width="10.625" style="814" customWidth="1"/>
    <col min="12806" max="12806" width="10.375" style="814" customWidth="1"/>
    <col min="12807" max="13047" width="8.75" style="814" customWidth="1"/>
    <col min="13048" max="13055" width="8.75" style="814"/>
    <col min="13056" max="13056" width="6.25" style="814" customWidth="1"/>
    <col min="13057" max="13057" width="26" style="814" customWidth="1"/>
    <col min="13058" max="13061" width="10.625" style="814" customWidth="1"/>
    <col min="13062" max="13062" width="10.375" style="814" customWidth="1"/>
    <col min="13063" max="13303" width="8.75" style="814" customWidth="1"/>
    <col min="13304" max="13311" width="8.75" style="814"/>
    <col min="13312" max="13312" width="6.25" style="814" customWidth="1"/>
    <col min="13313" max="13313" width="26" style="814" customWidth="1"/>
    <col min="13314" max="13317" width="10.625" style="814" customWidth="1"/>
    <col min="13318" max="13318" width="10.375" style="814" customWidth="1"/>
    <col min="13319" max="13559" width="8.75" style="814" customWidth="1"/>
    <col min="13560" max="13567" width="8.75" style="814"/>
    <col min="13568" max="13568" width="6.25" style="814" customWidth="1"/>
    <col min="13569" max="13569" width="26" style="814" customWidth="1"/>
    <col min="13570" max="13573" width="10.625" style="814" customWidth="1"/>
    <col min="13574" max="13574" width="10.375" style="814" customWidth="1"/>
    <col min="13575" max="13815" width="8.75" style="814" customWidth="1"/>
    <col min="13816" max="13823" width="8.75" style="814"/>
    <col min="13824" max="13824" width="6.25" style="814" customWidth="1"/>
    <col min="13825" max="13825" width="26" style="814" customWidth="1"/>
    <col min="13826" max="13829" width="10.625" style="814" customWidth="1"/>
    <col min="13830" max="13830" width="10.375" style="814" customWidth="1"/>
    <col min="13831" max="14071" width="8.75" style="814" customWidth="1"/>
    <col min="14072" max="14079" width="8.75" style="814"/>
    <col min="14080" max="14080" width="6.25" style="814" customWidth="1"/>
    <col min="14081" max="14081" width="26" style="814" customWidth="1"/>
    <col min="14082" max="14085" width="10.625" style="814" customWidth="1"/>
    <col min="14086" max="14086" width="10.375" style="814" customWidth="1"/>
    <col min="14087" max="14327" width="8.75" style="814" customWidth="1"/>
    <col min="14328" max="14335" width="8.75" style="814"/>
    <col min="14336" max="14336" width="6.25" style="814" customWidth="1"/>
    <col min="14337" max="14337" width="26" style="814" customWidth="1"/>
    <col min="14338" max="14341" width="10.625" style="814" customWidth="1"/>
    <col min="14342" max="14342" width="10.375" style="814" customWidth="1"/>
    <col min="14343" max="14583" width="8.75" style="814" customWidth="1"/>
    <col min="14584" max="14591" width="8.75" style="814"/>
    <col min="14592" max="14592" width="6.25" style="814" customWidth="1"/>
    <col min="14593" max="14593" width="26" style="814" customWidth="1"/>
    <col min="14594" max="14597" width="10.625" style="814" customWidth="1"/>
    <col min="14598" max="14598" width="10.375" style="814" customWidth="1"/>
    <col min="14599" max="14839" width="8.75" style="814" customWidth="1"/>
    <col min="14840" max="14847" width="8.75" style="814"/>
    <col min="14848" max="14848" width="6.25" style="814" customWidth="1"/>
    <col min="14849" max="14849" width="26" style="814" customWidth="1"/>
    <col min="14850" max="14853" width="10.625" style="814" customWidth="1"/>
    <col min="14854" max="14854" width="10.375" style="814" customWidth="1"/>
    <col min="14855" max="15095" width="8.75" style="814" customWidth="1"/>
    <col min="15096" max="15103" width="8.75" style="814"/>
    <col min="15104" max="15104" width="6.25" style="814" customWidth="1"/>
    <col min="15105" max="15105" width="26" style="814" customWidth="1"/>
    <col min="15106" max="15109" width="10.625" style="814" customWidth="1"/>
    <col min="15110" max="15110" width="10.375" style="814" customWidth="1"/>
    <col min="15111" max="15351" width="8.75" style="814" customWidth="1"/>
    <col min="15352" max="15359" width="8.75" style="814"/>
    <col min="15360" max="15360" width="6.25" style="814" customWidth="1"/>
    <col min="15361" max="15361" width="26" style="814" customWidth="1"/>
    <col min="15362" max="15365" width="10.625" style="814" customWidth="1"/>
    <col min="15366" max="15366" width="10.375" style="814" customWidth="1"/>
    <col min="15367" max="15607" width="8.75" style="814" customWidth="1"/>
    <col min="15608" max="15615" width="8.75" style="814"/>
    <col min="15616" max="15616" width="6.25" style="814" customWidth="1"/>
    <col min="15617" max="15617" width="26" style="814" customWidth="1"/>
    <col min="15618" max="15621" width="10.625" style="814" customWidth="1"/>
    <col min="15622" max="15622" width="10.375" style="814" customWidth="1"/>
    <col min="15623" max="15863" width="8.75" style="814" customWidth="1"/>
    <col min="15864" max="15871" width="8.75" style="814"/>
    <col min="15872" max="15872" width="6.25" style="814" customWidth="1"/>
    <col min="15873" max="15873" width="26" style="814" customWidth="1"/>
    <col min="15874" max="15877" width="10.625" style="814" customWidth="1"/>
    <col min="15878" max="15878" width="10.375" style="814" customWidth="1"/>
    <col min="15879" max="16119" width="8.75" style="814" customWidth="1"/>
    <col min="16120" max="16127" width="8.75" style="814"/>
    <col min="16128" max="16128" width="6.25" style="814" customWidth="1"/>
    <col min="16129" max="16129" width="26" style="814" customWidth="1"/>
    <col min="16130" max="16133" width="10.625" style="814" customWidth="1"/>
    <col min="16134" max="16134" width="10.375" style="814" customWidth="1"/>
    <col min="16135" max="16375" width="8.75" style="814" customWidth="1"/>
    <col min="16376" max="16384" width="8.75" style="814"/>
  </cols>
  <sheetData>
    <row r="1" ht="29.25" customHeight="1" spans="1:6">
      <c r="A1" s="815" t="s">
        <v>511</v>
      </c>
      <c r="B1" s="816"/>
      <c r="C1" s="816"/>
      <c r="D1" s="816"/>
      <c r="E1" s="816"/>
      <c r="F1" s="816"/>
    </row>
    <row r="2" s="807" customFormat="1" ht="26.25" customHeight="1" spans="1:6">
      <c r="A2" s="817" t="s">
        <v>512</v>
      </c>
      <c r="B2" s="818"/>
      <c r="C2" s="819"/>
      <c r="D2" s="819"/>
      <c r="E2" s="819"/>
      <c r="F2" s="819" t="s">
        <v>513</v>
      </c>
    </row>
    <row r="3" s="808" customFormat="1" ht="22.5" customHeight="1" spans="1:6">
      <c r="A3" s="820" t="s">
        <v>514</v>
      </c>
      <c r="B3" s="820"/>
      <c r="C3" s="820" t="s">
        <v>515</v>
      </c>
      <c r="D3" s="820" t="s">
        <v>516</v>
      </c>
      <c r="E3" s="820" t="s">
        <v>517</v>
      </c>
      <c r="F3" s="820" t="s">
        <v>518</v>
      </c>
    </row>
    <row r="4" ht="22.5" customHeight="1" spans="1:6">
      <c r="A4" s="820" t="s">
        <v>519</v>
      </c>
      <c r="B4" s="820"/>
      <c r="C4" s="821" t="e">
        <f>C5+C7</f>
        <v>#REF!</v>
      </c>
      <c r="D4" s="821"/>
      <c r="E4" s="821"/>
      <c r="F4" s="821" t="e">
        <f>F5+F7</f>
        <v>#REF!</v>
      </c>
    </row>
    <row r="5" s="809" customFormat="1" ht="22.5" customHeight="1" spans="1:6">
      <c r="A5" s="820" t="s">
        <v>520</v>
      </c>
      <c r="B5" s="820" t="s">
        <v>521</v>
      </c>
      <c r="C5" s="821" t="e">
        <f>SUM(C6:C6)</f>
        <v>#REF!</v>
      </c>
      <c r="D5" s="821"/>
      <c r="E5" s="821"/>
      <c r="F5" s="822" t="e">
        <f t="shared" ref="F5:F18" si="0">SUM(C5:E5)</f>
        <v>#REF!</v>
      </c>
    </row>
    <row r="6" s="810" customFormat="1" ht="22.5" customHeight="1" spans="1:7">
      <c r="A6" s="823"/>
      <c r="B6" s="824" t="s">
        <v>522</v>
      </c>
      <c r="C6" s="823" t="e">
        <f>灌溉排水工程核!G6/10000</f>
        <v>#REF!</v>
      </c>
      <c r="D6" s="825"/>
      <c r="E6" s="825"/>
      <c r="F6" s="826" t="e">
        <f t="shared" si="0"/>
        <v>#REF!</v>
      </c>
      <c r="G6" s="810" t="e">
        <f>F6/2802*10000</f>
        <v>#REF!</v>
      </c>
    </row>
    <row r="7" s="809" customFormat="1" ht="22.5" customHeight="1" spans="1:6">
      <c r="A7" s="820" t="s">
        <v>523</v>
      </c>
      <c r="B7" s="820" t="s">
        <v>524</v>
      </c>
      <c r="C7" s="821">
        <f>SUM(C8:C9)</f>
        <v>272.32861504628</v>
      </c>
      <c r="D7" s="821"/>
      <c r="E7" s="821"/>
      <c r="F7" s="822">
        <f t="shared" si="0"/>
        <v>272.32861504628</v>
      </c>
    </row>
    <row r="8" s="810" customFormat="1" ht="22.5" customHeight="1" spans="1:7">
      <c r="A8" s="823"/>
      <c r="B8" s="824" t="s">
        <v>525</v>
      </c>
      <c r="C8" s="823">
        <f>灌溉排水工程核!G98/10000</f>
        <v>272.32861504628</v>
      </c>
      <c r="D8" s="823"/>
      <c r="E8" s="825"/>
      <c r="F8" s="826">
        <f t="shared" si="0"/>
        <v>272.32861504628</v>
      </c>
      <c r="G8" s="810">
        <f>F8/2802*10000</f>
        <v>971.907976610565</v>
      </c>
    </row>
    <row r="9" s="810" customFormat="1" ht="22.5" customHeight="1" spans="1:6">
      <c r="A9" s="823"/>
      <c r="B9" s="823"/>
      <c r="C9" s="823"/>
      <c r="D9" s="823"/>
      <c r="E9" s="825"/>
      <c r="F9" s="826"/>
    </row>
    <row r="10" ht="22.5" customHeight="1" spans="1:7">
      <c r="A10" s="820" t="s">
        <v>526</v>
      </c>
      <c r="B10" s="820"/>
      <c r="C10" s="821" t="e">
        <f>SUM(C11:C13)</f>
        <v>#REF!</v>
      </c>
      <c r="D10" s="821" t="e">
        <f>SUM(D11:D13)</f>
        <v>#REF!</v>
      </c>
      <c r="E10" s="821"/>
      <c r="F10" s="822" t="e">
        <f t="shared" si="0"/>
        <v>#REF!</v>
      </c>
      <c r="G10" s="814">
        <f>(机电设备安装核!H5+机电设备安装核!I5)/10000</f>
        <v>68.0250388</v>
      </c>
    </row>
    <row r="11" s="811" customFormat="1" ht="22.5" customHeight="1" spans="1:7">
      <c r="A11" s="823"/>
      <c r="B11" s="824" t="str">
        <f>机电设备安装核!B7</f>
        <v>水泵及电机</v>
      </c>
      <c r="C11" s="823">
        <f>机电设备安装核!I7/10000</f>
        <v>16.698</v>
      </c>
      <c r="D11" s="823">
        <f>机电设备安装核!H7/10000</f>
        <v>2.178</v>
      </c>
      <c r="E11" s="825"/>
      <c r="F11" s="826">
        <f t="shared" si="0"/>
        <v>18.876</v>
      </c>
      <c r="G11" s="810"/>
    </row>
    <row r="12" s="811" customFormat="1" ht="22.5" customHeight="1" spans="1:7">
      <c r="A12" s="823"/>
      <c r="B12" s="824" t="e">
        <f>机电设备安装核!#REF!</f>
        <v>#REF!</v>
      </c>
      <c r="C12" s="823" t="e">
        <f>机电设备安装核!#REF!/10000</f>
        <v>#REF!</v>
      </c>
      <c r="D12" s="823" t="e">
        <f>机电设备安装核!#REF!/10000</f>
        <v>#REF!</v>
      </c>
      <c r="E12" s="825"/>
      <c r="F12" s="826" t="e">
        <f t="shared" si="0"/>
        <v>#REF!</v>
      </c>
      <c r="G12" s="810"/>
    </row>
    <row r="13" s="811" customFormat="1" ht="22.5" customHeight="1" spans="1:7">
      <c r="A13" s="823"/>
      <c r="B13" s="824" t="e">
        <f>机电设备安装核!#REF!</f>
        <v>#REF!</v>
      </c>
      <c r="D13" s="823" t="e">
        <f>机电设备安装核!#REF!/10000</f>
        <v>#REF!</v>
      </c>
      <c r="E13" s="825"/>
      <c r="F13" s="826" t="e">
        <f t="shared" si="0"/>
        <v>#REF!</v>
      </c>
      <c r="G13" s="810"/>
    </row>
    <row r="14" ht="22.5" customHeight="1" spans="1:7">
      <c r="A14" s="820" t="s">
        <v>527</v>
      </c>
      <c r="B14" s="820"/>
      <c r="C14" s="821" t="e">
        <f>SUM(C15:C17)</f>
        <v>#REF!</v>
      </c>
      <c r="D14" s="821" t="e">
        <f>SUM(D15:D17)</f>
        <v>#REF!</v>
      </c>
      <c r="E14" s="821"/>
      <c r="F14" s="822" t="e">
        <f t="shared" si="0"/>
        <v>#REF!</v>
      </c>
      <c r="G14" s="814">
        <f>(金属结构及安装核!H5+金属结构及安装核!I5)/10000</f>
        <v>129.2275421285</v>
      </c>
    </row>
    <row r="15" ht="22.5" customHeight="1" spans="1:7">
      <c r="A15" s="823"/>
      <c r="B15" s="824" t="e">
        <f>金属结构及安装核!#REF!</f>
        <v>#REF!</v>
      </c>
      <c r="C15" s="823" t="e">
        <f>金属结构及安装核!#REF!/10000</f>
        <v>#REF!</v>
      </c>
      <c r="D15" s="823" t="e">
        <f>金属结构及安装核!#REF!/10000</f>
        <v>#REF!</v>
      </c>
      <c r="E15" s="825"/>
      <c r="F15" s="826" t="e">
        <f t="shared" si="0"/>
        <v>#REF!</v>
      </c>
      <c r="G15" s="810"/>
    </row>
    <row r="16" ht="22.5" customHeight="1" spans="1:7">
      <c r="A16" s="823"/>
      <c r="B16" s="824" t="e">
        <f>金属结构及安装核!#REF!</f>
        <v>#REF!</v>
      </c>
      <c r="C16" s="823" t="e">
        <f>金属结构及安装核!#REF!/10000</f>
        <v>#REF!</v>
      </c>
      <c r="D16" s="823" t="e">
        <f>金属结构及安装核!#REF!/10000</f>
        <v>#REF!</v>
      </c>
      <c r="E16" s="825"/>
      <c r="F16" s="826" t="e">
        <f t="shared" si="0"/>
        <v>#REF!</v>
      </c>
      <c r="G16" s="810"/>
    </row>
    <row r="17" ht="22.5" customHeight="1" spans="1:7">
      <c r="A17" s="823"/>
      <c r="B17" s="824" t="str">
        <f>金属结构及安装核!B6</f>
        <v>一级扬水泵站</v>
      </c>
      <c r="C17" s="823">
        <f>金属结构及安装核!I6/10000</f>
        <v>2.93088</v>
      </c>
      <c r="D17" s="823">
        <f>金属结构及安装核!H6/10000</f>
        <v>30.66094</v>
      </c>
      <c r="E17" s="825"/>
      <c r="F17" s="826">
        <f t="shared" si="0"/>
        <v>33.59182</v>
      </c>
      <c r="G17" s="810"/>
    </row>
    <row r="18" ht="22.5" customHeight="1" spans="1:7">
      <c r="A18" s="820" t="s">
        <v>528</v>
      </c>
      <c r="B18" s="820"/>
      <c r="C18" s="821" t="e">
        <f>C4+C10+C14</f>
        <v>#REF!</v>
      </c>
      <c r="D18" s="821" t="e">
        <f>D4+D10+D14</f>
        <v>#REF!</v>
      </c>
      <c r="E18" s="821"/>
      <c r="F18" s="822" t="e">
        <f t="shared" si="0"/>
        <v>#REF!</v>
      </c>
      <c r="G18" s="814" t="e">
        <f>F18/2414.83</f>
        <v>#REF!</v>
      </c>
    </row>
  </sheetData>
  <mergeCells count="5">
    <mergeCell ref="A1:F1"/>
    <mergeCell ref="A4:B4"/>
    <mergeCell ref="A10:B10"/>
    <mergeCell ref="A14:B14"/>
    <mergeCell ref="A18:B18"/>
  </mergeCells>
  <pageMargins left="0.699305555555556" right="0.699305555555556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0"/>
  <sheetViews>
    <sheetView workbookViewId="0">
      <selection activeCell="A1" sqref="A1:H1"/>
    </sheetView>
  </sheetViews>
  <sheetFormatPr defaultColWidth="9" defaultRowHeight="14.25"/>
  <cols>
    <col min="1" max="1" width="5" style="727" customWidth="1"/>
    <col min="2" max="2" width="29.5" style="728" customWidth="1"/>
    <col min="3" max="3" width="11.625" style="260" customWidth="1"/>
    <col min="4" max="4" width="4.5" style="260" customWidth="1"/>
    <col min="5" max="5" width="8.75" style="729" customWidth="1"/>
    <col min="6" max="6" width="8.75" style="493" customWidth="1"/>
    <col min="7" max="7" width="10.5" style="493" customWidth="1"/>
    <col min="8" max="8" width="10.25" style="260" customWidth="1"/>
    <col min="9" max="9" width="14.5" style="392" customWidth="1"/>
    <col min="10" max="10" width="12.625" style="392"/>
    <col min="11" max="11" width="9" style="392"/>
    <col min="12" max="12" width="12.625" style="392"/>
    <col min="13" max="13" width="11.5" style="392"/>
    <col min="14" max="16384" width="9" style="392"/>
  </cols>
  <sheetData>
    <row r="1" ht="26.25" customHeight="1" spans="1:20">
      <c r="A1" s="216" t="s">
        <v>529</v>
      </c>
      <c r="B1" s="216"/>
      <c r="C1" s="216"/>
      <c r="D1" s="216"/>
      <c r="E1" s="216"/>
      <c r="F1" s="216"/>
      <c r="G1" s="216"/>
      <c r="H1" s="216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</row>
    <row r="2" ht="21" customHeight="1" spans="1:20">
      <c r="A2" s="730" t="s">
        <v>530</v>
      </c>
      <c r="B2" s="730"/>
      <c r="C2" s="730"/>
      <c r="D2" s="730"/>
      <c r="E2" s="730"/>
      <c r="F2" s="730"/>
      <c r="G2" s="730"/>
      <c r="H2" s="730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</row>
    <row r="3" ht="29.25" customHeight="1" spans="1:20">
      <c r="A3" s="731" t="s">
        <v>514</v>
      </c>
      <c r="B3" s="732" t="s">
        <v>531</v>
      </c>
      <c r="C3" s="732" t="s">
        <v>532</v>
      </c>
      <c r="D3" s="732" t="s">
        <v>55</v>
      </c>
      <c r="E3" s="733" t="s">
        <v>533</v>
      </c>
      <c r="F3" s="455" t="s">
        <v>534</v>
      </c>
      <c r="G3" s="455" t="s">
        <v>535</v>
      </c>
      <c r="H3" s="397" t="s">
        <v>119</v>
      </c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</row>
    <row r="4" ht="20.1" customHeight="1" spans="1:20">
      <c r="A4" s="734"/>
      <c r="B4" s="500" t="s">
        <v>463</v>
      </c>
      <c r="C4" s="500"/>
      <c r="D4" s="500"/>
      <c r="E4" s="735"/>
      <c r="F4" s="458"/>
      <c r="G4" s="736" t="e">
        <f>G5+G140+G143</f>
        <v>#REF!</v>
      </c>
      <c r="H4" s="737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ht="27.75" customHeight="1" spans="1:20">
      <c r="A5" s="738" t="s">
        <v>520</v>
      </c>
      <c r="B5" s="739" t="s">
        <v>536</v>
      </c>
      <c r="C5" s="500"/>
      <c r="D5" s="219"/>
      <c r="E5" s="740"/>
      <c r="F5" s="465"/>
      <c r="G5" s="506" t="e">
        <f>G6+G98</f>
        <v>#REF!</v>
      </c>
      <c r="H5" s="737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  <row r="6" ht="20.1" customHeight="1" spans="1:20">
      <c r="A6" s="738" t="s">
        <v>537</v>
      </c>
      <c r="B6" s="741" t="s">
        <v>538</v>
      </c>
      <c r="C6" s="500"/>
      <c r="D6" s="219"/>
      <c r="E6" s="740"/>
      <c r="F6" s="465"/>
      <c r="G6" s="506" t="e">
        <f>G7+G25+G75+G87</f>
        <v>#REF!</v>
      </c>
      <c r="H6" s="737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</row>
    <row r="7" ht="20.1" customHeight="1" spans="1:20">
      <c r="A7" s="734">
        <v>1</v>
      </c>
      <c r="B7" s="739" t="s">
        <v>539</v>
      </c>
      <c r="C7" s="500"/>
      <c r="D7" s="223"/>
      <c r="E7" s="227"/>
      <c r="F7" s="207"/>
      <c r="G7" s="506" t="e">
        <f>G8+G16</f>
        <v>#REF!</v>
      </c>
      <c r="H7" s="737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</row>
    <row r="8" ht="20.1" customHeight="1" spans="1:20">
      <c r="A8" s="734">
        <v>1.1</v>
      </c>
      <c r="B8" s="739" t="s">
        <v>540</v>
      </c>
      <c r="C8" s="219"/>
      <c r="D8" s="219" t="s">
        <v>80</v>
      </c>
      <c r="E8" s="742">
        <v>1</v>
      </c>
      <c r="F8" s="743"/>
      <c r="G8" s="506" t="e">
        <f>SUM(G9:G15)</f>
        <v>#REF!</v>
      </c>
      <c r="H8" s="744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</row>
    <row r="9" ht="28.5" customHeight="1" spans="1:20">
      <c r="A9" s="734"/>
      <c r="B9" s="401" t="s">
        <v>541</v>
      </c>
      <c r="C9" s="219"/>
      <c r="D9" s="222" t="s">
        <v>542</v>
      </c>
      <c r="E9" s="230">
        <f>E8*15.16</f>
        <v>15.16</v>
      </c>
      <c r="F9" s="660">
        <v>5.8</v>
      </c>
      <c r="G9" s="241">
        <f t="shared" ref="G9:G24" si="0">E9*F9</f>
        <v>87.928</v>
      </c>
      <c r="H9" s="745" t="s">
        <v>543</v>
      </c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</row>
    <row r="10" ht="20.1" customHeight="1" spans="1:20">
      <c r="A10" s="734"/>
      <c r="B10" s="401" t="s">
        <v>544</v>
      </c>
      <c r="C10" s="219"/>
      <c r="D10" s="222" t="s">
        <v>542</v>
      </c>
      <c r="E10" s="230">
        <f>7.91*E8</f>
        <v>7.91</v>
      </c>
      <c r="F10" s="241">
        <f>单价汇总!$D$60/100</f>
        <v>17.5683160257823</v>
      </c>
      <c r="G10" s="241">
        <f t="shared" si="0"/>
        <v>138.965379763938</v>
      </c>
      <c r="H10" s="745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</row>
    <row r="11" ht="20.1" customHeight="1" spans="1:20">
      <c r="A11" s="734"/>
      <c r="B11" s="718" t="s">
        <v>545</v>
      </c>
      <c r="C11" s="219"/>
      <c r="D11" s="222" t="s">
        <v>546</v>
      </c>
      <c r="E11" s="230">
        <f>E8*7.45</f>
        <v>7.45</v>
      </c>
      <c r="F11" s="241">
        <f>单价汇总!$D$92/100</f>
        <v>343.762477590712</v>
      </c>
      <c r="G11" s="241">
        <f t="shared" si="0"/>
        <v>2561.0304580508</v>
      </c>
      <c r="H11" s="737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</row>
    <row r="12" ht="20.1" customHeight="1" spans="1:20">
      <c r="A12" s="734"/>
      <c r="B12" s="718" t="s">
        <v>547</v>
      </c>
      <c r="C12" s="219"/>
      <c r="D12" s="222" t="s">
        <v>546</v>
      </c>
      <c r="E12" s="230">
        <f>E8*0.34</f>
        <v>0.34</v>
      </c>
      <c r="F12" s="241">
        <f>单价汇总!$D$151/100</f>
        <v>479.165881575749</v>
      </c>
      <c r="G12" s="241">
        <f t="shared" si="0"/>
        <v>162.916399735755</v>
      </c>
      <c r="H12" s="737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</row>
    <row r="13" ht="20.1" customHeight="1" spans="1:20">
      <c r="A13" s="734"/>
      <c r="B13" s="718" t="s">
        <v>548</v>
      </c>
      <c r="C13" s="219"/>
      <c r="D13" s="222" t="s">
        <v>542</v>
      </c>
      <c r="E13" s="230">
        <f>E8*1.02</f>
        <v>1.02</v>
      </c>
      <c r="F13" s="241">
        <f>单价汇总!$D$138/100</f>
        <v>446.343694362345</v>
      </c>
      <c r="G13" s="241">
        <f t="shared" si="0"/>
        <v>455.270568249592</v>
      </c>
      <c r="H13" s="737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</row>
    <row r="14" ht="20.1" customHeight="1" spans="1:20">
      <c r="A14" s="734"/>
      <c r="B14" s="718" t="s">
        <v>549</v>
      </c>
      <c r="C14" s="219"/>
      <c r="D14" s="222" t="s">
        <v>550</v>
      </c>
      <c r="E14" s="230">
        <f>E8*95.55/1000</f>
        <v>0.09555</v>
      </c>
      <c r="F14" s="230">
        <f>单价汇总!$D$196</f>
        <v>6240.66751713011</v>
      </c>
      <c r="G14" s="241">
        <f t="shared" si="0"/>
        <v>596.295781261782</v>
      </c>
      <c r="H14" s="737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</row>
    <row r="15" ht="27.95" customHeight="1" spans="1:20">
      <c r="A15" s="734"/>
      <c r="B15" s="718" t="s">
        <v>551</v>
      </c>
      <c r="C15" s="219"/>
      <c r="D15" s="222" t="s">
        <v>552</v>
      </c>
      <c r="E15" s="230">
        <f>E8*1</f>
        <v>1</v>
      </c>
      <c r="F15" s="230" t="e">
        <f>#REF!</f>
        <v>#REF!</v>
      </c>
      <c r="G15" s="241" t="e">
        <f t="shared" si="0"/>
        <v>#REF!</v>
      </c>
      <c r="H15" s="745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</row>
    <row r="16" ht="20.1" customHeight="1" spans="1:20">
      <c r="A16" s="734">
        <v>1.2</v>
      </c>
      <c r="B16" s="746" t="s">
        <v>553</v>
      </c>
      <c r="C16" s="746"/>
      <c r="D16" s="747" t="s">
        <v>80</v>
      </c>
      <c r="E16" s="748">
        <v>1</v>
      </c>
      <c r="F16" s="749"/>
      <c r="G16" s="506" t="e">
        <f>SUM(G17:G24)</f>
        <v>#REF!</v>
      </c>
      <c r="H16" s="745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</row>
    <row r="17" ht="20.1" customHeight="1" spans="1:20">
      <c r="A17" s="734"/>
      <c r="B17" s="718" t="s">
        <v>541</v>
      </c>
      <c r="C17" s="718"/>
      <c r="D17" s="750" t="s">
        <v>554</v>
      </c>
      <c r="E17" s="749">
        <f>E16*32.5</f>
        <v>32.5</v>
      </c>
      <c r="F17" s="660">
        <f>F9</f>
        <v>5.8</v>
      </c>
      <c r="G17" s="241">
        <f t="shared" si="0"/>
        <v>188.5</v>
      </c>
      <c r="H17" s="745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</row>
    <row r="18" ht="20.1" customHeight="1" spans="1:20">
      <c r="A18" s="734"/>
      <c r="B18" s="718" t="s">
        <v>544</v>
      </c>
      <c r="C18" s="718"/>
      <c r="D18" s="750" t="s">
        <v>554</v>
      </c>
      <c r="E18" s="749">
        <f>E16*21</f>
        <v>21</v>
      </c>
      <c r="F18" s="241">
        <f>单价汇总!$D$60/100</f>
        <v>17.5683160257823</v>
      </c>
      <c r="G18" s="241">
        <f t="shared" si="0"/>
        <v>368.934636541429</v>
      </c>
      <c r="H18" s="745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</row>
    <row r="19" ht="20.1" customHeight="1" spans="1:20">
      <c r="A19" s="734"/>
      <c r="B19" s="718" t="s">
        <v>555</v>
      </c>
      <c r="C19" s="718"/>
      <c r="D19" s="750" t="s">
        <v>554</v>
      </c>
      <c r="E19" s="749">
        <f>E16*14.2</f>
        <v>14.2</v>
      </c>
      <c r="F19" s="241">
        <f>单价汇总!$D$92/100</f>
        <v>343.762477590712</v>
      </c>
      <c r="G19" s="241">
        <f t="shared" si="0"/>
        <v>4881.42718178811</v>
      </c>
      <c r="H19" s="745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</row>
    <row r="20" ht="20.1" customHeight="1" spans="1:20">
      <c r="A20" s="734"/>
      <c r="B20" s="718" t="s">
        <v>548</v>
      </c>
      <c r="C20" s="718"/>
      <c r="D20" s="750" t="s">
        <v>554</v>
      </c>
      <c r="E20" s="749">
        <f>0.15*0.3*1*2+0.15*0.3*1.5+9*0.3*0.3*2</f>
        <v>1.7775</v>
      </c>
      <c r="F20" s="241">
        <f>单价汇总!$D$138/100</f>
        <v>446.343694362345</v>
      </c>
      <c r="G20" s="241">
        <f t="shared" si="0"/>
        <v>793.375916729068</v>
      </c>
      <c r="H20" s="745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</row>
    <row r="21" ht="20.1" customHeight="1" spans="1:20">
      <c r="A21" s="734"/>
      <c r="B21" s="718" t="s">
        <v>556</v>
      </c>
      <c r="C21" s="718"/>
      <c r="D21" s="750" t="s">
        <v>554</v>
      </c>
      <c r="E21" s="749">
        <v>1.4</v>
      </c>
      <c r="F21" s="749" t="e">
        <f>#REF!</f>
        <v>#REF!</v>
      </c>
      <c r="G21" s="241" t="e">
        <f t="shared" si="0"/>
        <v>#REF!</v>
      </c>
      <c r="H21" s="745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</row>
    <row r="22" ht="20.1" customHeight="1" spans="1:20">
      <c r="A22" s="734"/>
      <c r="B22" s="718" t="s">
        <v>547</v>
      </c>
      <c r="C22" s="718"/>
      <c r="D22" s="750" t="s">
        <v>554</v>
      </c>
      <c r="E22" s="749">
        <f>2*(3*2+0.7*4)*0.4*0.15</f>
        <v>1.056</v>
      </c>
      <c r="F22" s="241">
        <f>单价汇总!$D$151/100</f>
        <v>479.165881575749</v>
      </c>
      <c r="G22" s="241">
        <f t="shared" si="0"/>
        <v>505.999170943991</v>
      </c>
      <c r="H22" s="745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</row>
    <row r="23" ht="20.1" customHeight="1" spans="1:20">
      <c r="A23" s="734"/>
      <c r="B23" s="718" t="s">
        <v>557</v>
      </c>
      <c r="C23" s="718"/>
      <c r="D23" s="751" t="s">
        <v>558</v>
      </c>
      <c r="E23" s="749">
        <f>154/1000</f>
        <v>0.154</v>
      </c>
      <c r="F23" s="230">
        <f>单价汇总!$D$196</f>
        <v>6240.66751713011</v>
      </c>
      <c r="G23" s="241">
        <f t="shared" si="0"/>
        <v>961.062797638037</v>
      </c>
      <c r="H23" s="745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</row>
    <row r="24" ht="27.75" customHeight="1" spans="1:20">
      <c r="A24" s="734"/>
      <c r="B24" s="718" t="s">
        <v>551</v>
      </c>
      <c r="C24" s="718"/>
      <c r="D24" s="751" t="s">
        <v>552</v>
      </c>
      <c r="E24" s="749">
        <v>1</v>
      </c>
      <c r="F24" s="230" t="e">
        <f>F15</f>
        <v>#REF!</v>
      </c>
      <c r="G24" s="241" t="e">
        <f t="shared" si="0"/>
        <v>#REF!</v>
      </c>
      <c r="H24" s="745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</row>
    <row r="25" ht="20.1" customHeight="1" spans="1:20">
      <c r="A25" s="734">
        <v>2</v>
      </c>
      <c r="B25" s="739" t="s">
        <v>559</v>
      </c>
      <c r="C25" s="500"/>
      <c r="D25" s="500"/>
      <c r="E25" s="736"/>
      <c r="F25" s="736"/>
      <c r="G25" s="736" t="e">
        <f>G26+G30+G36+G45+G49+G53+G60+G62+G68</f>
        <v>#REF!</v>
      </c>
      <c r="H25" s="744"/>
      <c r="I25" s="249" t="e">
        <f>G25/40000</f>
        <v>#REF!</v>
      </c>
      <c r="J25" s="249"/>
      <c r="K25" s="249"/>
      <c r="L25" s="249" t="e">
        <f>G25/40000</f>
        <v>#REF!</v>
      </c>
      <c r="M25" s="249"/>
      <c r="N25" s="249"/>
      <c r="O25" s="249"/>
      <c r="P25" s="249"/>
      <c r="Q25" s="249"/>
      <c r="R25" s="249"/>
      <c r="S25" s="249"/>
      <c r="T25" s="249"/>
    </row>
    <row r="26" ht="20.1" customHeight="1" spans="1:20">
      <c r="A26" s="734">
        <v>2.1</v>
      </c>
      <c r="B26" s="739" t="s">
        <v>560</v>
      </c>
      <c r="C26" s="500"/>
      <c r="D26" s="500"/>
      <c r="E26" s="752"/>
      <c r="F26" s="736"/>
      <c r="G26" s="748">
        <f>SUM(G27:G29)</f>
        <v>395310.80725867</v>
      </c>
      <c r="H26" s="744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</row>
    <row r="27" ht="20.1" customHeight="1" spans="1:20">
      <c r="A27" s="753"/>
      <c r="B27" s="718" t="s">
        <v>561</v>
      </c>
      <c r="C27" s="751"/>
      <c r="D27" s="222" t="s">
        <v>542</v>
      </c>
      <c r="E27" s="666">
        <f>38643.6-E28</f>
        <v>34976.118</v>
      </c>
      <c r="F27" s="749">
        <f>单价汇总!D49/100</f>
        <v>10.1619080796818</v>
      </c>
      <c r="G27" s="749">
        <f>E27*F27</f>
        <v>355424.096100104</v>
      </c>
      <c r="H27" s="754" t="s">
        <v>562</v>
      </c>
      <c r="I27" s="24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 t="s">
        <v>463</v>
      </c>
    </row>
    <row r="28" ht="20.1" customHeight="1" spans="1:20">
      <c r="A28" s="753"/>
      <c r="B28" s="718" t="s">
        <v>563</v>
      </c>
      <c r="C28" s="751"/>
      <c r="D28" s="222" t="s">
        <v>542</v>
      </c>
      <c r="E28" s="666">
        <f>E29*1.17</f>
        <v>3667.482</v>
      </c>
      <c r="F28" s="660">
        <v>5.2</v>
      </c>
      <c r="G28" s="749">
        <f>E28*F28</f>
        <v>19070.9064</v>
      </c>
      <c r="H28" s="737" t="s">
        <v>564</v>
      </c>
      <c r="I28" s="249"/>
      <c r="J28" s="239" t="s">
        <v>565</v>
      </c>
      <c r="K28" s="239">
        <v>0</v>
      </c>
      <c r="L28" s="239">
        <v>221</v>
      </c>
      <c r="M28" s="239">
        <v>152.5</v>
      </c>
      <c r="N28" s="239">
        <v>485</v>
      </c>
      <c r="O28" s="239">
        <v>60.9</v>
      </c>
      <c r="P28" s="239">
        <v>21.8</v>
      </c>
      <c r="Q28" s="239">
        <v>2</v>
      </c>
      <c r="R28" s="239">
        <v>914</v>
      </c>
      <c r="S28" s="239">
        <v>1277.4</v>
      </c>
      <c r="T28" s="239">
        <f>SUM(K28:S28)</f>
        <v>3134.6</v>
      </c>
    </row>
    <row r="29" ht="27" customHeight="1" spans="1:20">
      <c r="A29" s="753"/>
      <c r="B29" s="718" t="s">
        <v>566</v>
      </c>
      <c r="C29" s="751"/>
      <c r="D29" s="222" t="s">
        <v>542</v>
      </c>
      <c r="E29" s="666">
        <v>3134.6</v>
      </c>
      <c r="F29" s="241">
        <f>单价汇总!$D$56/100</f>
        <v>6.64065742313715</v>
      </c>
      <c r="G29" s="749">
        <f>E29*F29</f>
        <v>20815.8047585657</v>
      </c>
      <c r="H29" s="755"/>
      <c r="I29" s="249"/>
      <c r="J29" s="239" t="s">
        <v>567</v>
      </c>
      <c r="K29" s="239">
        <v>28836.1</v>
      </c>
      <c r="L29" s="239">
        <v>4853.5</v>
      </c>
      <c r="M29" s="239">
        <v>832.6</v>
      </c>
      <c r="N29" s="239">
        <v>3766</v>
      </c>
      <c r="O29" s="239">
        <v>0</v>
      </c>
      <c r="P29" s="239">
        <v>233</v>
      </c>
      <c r="Q29" s="239">
        <v>122.4</v>
      </c>
      <c r="R29" s="239"/>
      <c r="S29" s="239"/>
      <c r="T29" s="239">
        <f>SUM(K29:S29)</f>
        <v>38643.6</v>
      </c>
    </row>
    <row r="30" ht="20.1" customHeight="1" spans="1:20">
      <c r="A30" s="734">
        <v>2.2</v>
      </c>
      <c r="B30" s="739" t="s">
        <v>568</v>
      </c>
      <c r="C30" s="500"/>
      <c r="D30" s="222"/>
      <c r="E30" s="736"/>
      <c r="F30" s="736"/>
      <c r="G30" s="748">
        <f>SUM(G31:G35)</f>
        <v>40292.414966478</v>
      </c>
      <c r="H30" s="744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</row>
    <row r="31" ht="20.1" customHeight="1" spans="1:20">
      <c r="A31" s="753"/>
      <c r="B31" s="718" t="s">
        <v>548</v>
      </c>
      <c r="C31" s="751"/>
      <c r="D31" s="751" t="s">
        <v>542</v>
      </c>
      <c r="E31" s="666">
        <f>41*4*0.2</f>
        <v>32.8</v>
      </c>
      <c r="F31" s="666">
        <f>单价汇总!D138/100</f>
        <v>446.343694362345</v>
      </c>
      <c r="G31" s="666">
        <f>E31*F31</f>
        <v>14640.0731750849</v>
      </c>
      <c r="H31" s="754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</row>
    <row r="32" ht="20.1" customHeight="1" spans="1:20">
      <c r="A32" s="753"/>
      <c r="B32" s="718" t="s">
        <v>569</v>
      </c>
      <c r="C32" s="751"/>
      <c r="D32" s="751" t="s">
        <v>570</v>
      </c>
      <c r="E32" s="666">
        <v>150</v>
      </c>
      <c r="F32" s="666">
        <f>单价汇总!$D$394/100</f>
        <v>17.3061109295193</v>
      </c>
      <c r="G32" s="666">
        <f>E32*F32</f>
        <v>2595.9166394279</v>
      </c>
      <c r="H32" s="754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</row>
    <row r="33" ht="20.1" customHeight="1" spans="1:20">
      <c r="A33" s="753"/>
      <c r="B33" s="718" t="s">
        <v>571</v>
      </c>
      <c r="C33" s="751" t="s">
        <v>572</v>
      </c>
      <c r="D33" s="751" t="s">
        <v>542</v>
      </c>
      <c r="E33" s="666">
        <f>41*4*0.3</f>
        <v>49.2</v>
      </c>
      <c r="F33" s="666">
        <f>单价汇总!$D$81/100</f>
        <v>126.028555399238</v>
      </c>
      <c r="G33" s="666">
        <f>E33*F33</f>
        <v>6200.60492564251</v>
      </c>
      <c r="H33" s="754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</row>
    <row r="34" ht="30.75" customHeight="1" spans="1:20">
      <c r="A34" s="753"/>
      <c r="B34" s="718" t="s">
        <v>573</v>
      </c>
      <c r="C34" s="751" t="s">
        <v>574</v>
      </c>
      <c r="D34" s="751" t="s">
        <v>570</v>
      </c>
      <c r="E34" s="666">
        <v>160</v>
      </c>
      <c r="F34" s="241">
        <f>单价汇总!$D$391/100</f>
        <v>18.7358955844695</v>
      </c>
      <c r="G34" s="666">
        <f>E34*F34</f>
        <v>2997.74329351512</v>
      </c>
      <c r="H34" s="754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</row>
    <row r="35" ht="20.1" customHeight="1" spans="1:20">
      <c r="A35" s="753"/>
      <c r="B35" s="718" t="s">
        <v>575</v>
      </c>
      <c r="C35" s="751"/>
      <c r="D35" s="751" t="s">
        <v>542</v>
      </c>
      <c r="E35" s="666">
        <v>38</v>
      </c>
      <c r="F35" s="666">
        <f>单价汇总!$D$86/100</f>
        <v>364.686235073884</v>
      </c>
      <c r="G35" s="666">
        <f>E35*F35</f>
        <v>13858.0769328076</v>
      </c>
      <c r="H35" s="754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</row>
    <row r="36" ht="20.1" customHeight="1" spans="1:20">
      <c r="A36" s="734">
        <v>2.3</v>
      </c>
      <c r="B36" s="756" t="s">
        <v>576</v>
      </c>
      <c r="C36" s="500"/>
      <c r="D36" s="222"/>
      <c r="E36" s="736"/>
      <c r="F36" s="736"/>
      <c r="G36" s="748" t="e">
        <f>SUM(G37:G44)</f>
        <v>#REF!</v>
      </c>
      <c r="H36" s="744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</row>
    <row r="37" ht="20.1" customHeight="1" spans="1:20">
      <c r="A37" s="753"/>
      <c r="B37" s="401" t="s">
        <v>541</v>
      </c>
      <c r="C37" s="257"/>
      <c r="D37" s="222" t="s">
        <v>542</v>
      </c>
      <c r="E37" s="241">
        <f>24*3*0.5</f>
        <v>36</v>
      </c>
      <c r="F37" s="660">
        <f>F17</f>
        <v>5.8</v>
      </c>
      <c r="G37" s="241">
        <f t="shared" ref="G37:G44" si="1">E37*F37</f>
        <v>208.8</v>
      </c>
      <c r="H37" s="737" t="s">
        <v>564</v>
      </c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</row>
    <row r="38" ht="20.1" customHeight="1" spans="1:20">
      <c r="A38" s="753"/>
      <c r="B38" s="401" t="s">
        <v>544</v>
      </c>
      <c r="C38" s="257"/>
      <c r="D38" s="222" t="s">
        <v>542</v>
      </c>
      <c r="E38" s="241">
        <f>E37*0.6</f>
        <v>21.6</v>
      </c>
      <c r="F38" s="241">
        <f>单价汇总!$D$60/100</f>
        <v>17.5683160257823</v>
      </c>
      <c r="G38" s="241">
        <f t="shared" si="1"/>
        <v>379.475626156898</v>
      </c>
      <c r="H38" s="745" t="s">
        <v>543</v>
      </c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</row>
    <row r="39" ht="20.1" customHeight="1" spans="1:20">
      <c r="A39" s="753"/>
      <c r="B39" s="401" t="s">
        <v>577</v>
      </c>
      <c r="C39" s="257"/>
      <c r="D39" s="223" t="s">
        <v>542</v>
      </c>
      <c r="E39" s="241">
        <v>1.89</v>
      </c>
      <c r="F39" s="749" t="e">
        <f>F21</f>
        <v>#REF!</v>
      </c>
      <c r="G39" s="241" t="e">
        <f t="shared" si="1"/>
        <v>#REF!</v>
      </c>
      <c r="H39" s="737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49"/>
      <c r="T39" s="249"/>
    </row>
    <row r="40" ht="20.1" customHeight="1" spans="1:20">
      <c r="A40" s="753"/>
      <c r="B40" s="401" t="s">
        <v>578</v>
      </c>
      <c r="C40" s="257"/>
      <c r="D40" s="222" t="s">
        <v>542</v>
      </c>
      <c r="E40" s="241">
        <f>43.8+8.5</f>
        <v>52.3</v>
      </c>
      <c r="F40" s="241">
        <f>单价汇总!$D$92/100</f>
        <v>343.762477590712</v>
      </c>
      <c r="G40" s="241">
        <f t="shared" si="1"/>
        <v>17978.7775779942</v>
      </c>
      <c r="H40" s="737"/>
      <c r="I40" s="249"/>
      <c r="J40" s="249"/>
      <c r="K40" s="249"/>
      <c r="L40" s="249"/>
      <c r="M40" s="249"/>
      <c r="N40" s="249"/>
      <c r="O40" s="249" t="e">
        <f>#REF!/100</f>
        <v>#REF!</v>
      </c>
      <c r="P40" s="249"/>
      <c r="Q40" s="249"/>
      <c r="R40" s="249"/>
      <c r="S40" s="249"/>
      <c r="T40" s="249"/>
    </row>
    <row r="41" ht="20.1" customHeight="1" spans="1:20">
      <c r="A41" s="753"/>
      <c r="B41" s="401" t="s">
        <v>579</v>
      </c>
      <c r="C41" s="257"/>
      <c r="D41" s="223" t="s">
        <v>542</v>
      </c>
      <c r="E41" s="241">
        <f>0.8+2.9</f>
        <v>3.7</v>
      </c>
      <c r="F41" s="241">
        <f>单价汇总!$D$151/100</f>
        <v>479.165881575749</v>
      </c>
      <c r="G41" s="241">
        <f t="shared" si="1"/>
        <v>1772.91376183027</v>
      </c>
      <c r="H41" s="737"/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49"/>
      <c r="T41" s="249"/>
    </row>
    <row r="42" ht="20.1" customHeight="1" spans="1:20">
      <c r="A42" s="753"/>
      <c r="B42" s="401" t="s">
        <v>548</v>
      </c>
      <c r="C42" s="257"/>
      <c r="D42" s="222" t="s">
        <v>542</v>
      </c>
      <c r="E42" s="241">
        <v>4.665</v>
      </c>
      <c r="F42" s="241">
        <f>单价汇总!$D$138/100</f>
        <v>446.343694362345</v>
      </c>
      <c r="G42" s="241">
        <f t="shared" si="1"/>
        <v>2082.19333420034</v>
      </c>
      <c r="H42" s="737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</row>
    <row r="43" ht="20.1" customHeight="1" spans="1:20">
      <c r="A43" s="753"/>
      <c r="B43" s="401" t="s">
        <v>549</v>
      </c>
      <c r="C43" s="257"/>
      <c r="D43" s="222" t="s">
        <v>580</v>
      </c>
      <c r="E43" s="241">
        <f>0.2975+0.256</f>
        <v>0.5535</v>
      </c>
      <c r="F43" s="230">
        <f>单价汇总!$D$196</f>
        <v>6240.66751713011</v>
      </c>
      <c r="G43" s="241">
        <f t="shared" si="1"/>
        <v>3454.20947073152</v>
      </c>
      <c r="H43" s="755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</row>
    <row r="44" ht="20.1" customHeight="1" spans="1:20">
      <c r="A44" s="753"/>
      <c r="B44" s="718" t="s">
        <v>581</v>
      </c>
      <c r="C44" s="751"/>
      <c r="D44" s="751" t="s">
        <v>542</v>
      </c>
      <c r="E44" s="666">
        <v>8</v>
      </c>
      <c r="F44" s="666" t="e">
        <f>#REF!/100</f>
        <v>#REF!</v>
      </c>
      <c r="G44" s="241" t="e">
        <f t="shared" si="1"/>
        <v>#REF!</v>
      </c>
      <c r="H44" s="755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</row>
    <row r="45" ht="20.1" customHeight="1" spans="1:20">
      <c r="A45" s="734">
        <v>2.4</v>
      </c>
      <c r="B45" s="739" t="s">
        <v>582</v>
      </c>
      <c r="C45" s="500"/>
      <c r="D45" s="222"/>
      <c r="E45" s="736"/>
      <c r="F45" s="736"/>
      <c r="G45" s="748">
        <f>SUM(G46:G48)</f>
        <v>4914.93989479259</v>
      </c>
      <c r="H45" s="744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</row>
    <row r="46" ht="20.1" customHeight="1" spans="1:20">
      <c r="A46" s="753"/>
      <c r="B46" s="718" t="s">
        <v>548</v>
      </c>
      <c r="C46" s="751"/>
      <c r="D46" s="222" t="s">
        <v>542</v>
      </c>
      <c r="E46" s="241">
        <v>9</v>
      </c>
      <c r="F46" s="241">
        <f>单价汇总!$D$138/100</f>
        <v>446.343694362345</v>
      </c>
      <c r="G46" s="241">
        <f>E46*F46</f>
        <v>4017.09324926111</v>
      </c>
      <c r="H46" s="737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</row>
    <row r="47" ht="20.1" customHeight="1" spans="1:20">
      <c r="A47" s="753"/>
      <c r="B47" s="718" t="s">
        <v>573</v>
      </c>
      <c r="C47" s="751" t="s">
        <v>574</v>
      </c>
      <c r="D47" s="222" t="s">
        <v>570</v>
      </c>
      <c r="E47" s="241">
        <v>27.48</v>
      </c>
      <c r="F47" s="241">
        <f>单价汇总!$D$391/100</f>
        <v>18.7358955844695</v>
      </c>
      <c r="G47" s="241">
        <f>E47*F47</f>
        <v>514.862410661222</v>
      </c>
      <c r="H47" s="737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</row>
    <row r="48" ht="20.1" customHeight="1" spans="1:20">
      <c r="A48" s="753"/>
      <c r="B48" s="718" t="s">
        <v>583</v>
      </c>
      <c r="C48" s="223"/>
      <c r="D48" s="222" t="s">
        <v>570</v>
      </c>
      <c r="E48" s="241">
        <v>22.13</v>
      </c>
      <c r="F48" s="241">
        <f>单价汇总!$D$394/100</f>
        <v>17.3061109295193</v>
      </c>
      <c r="G48" s="241">
        <f>E48*F48</f>
        <v>382.984234870262</v>
      </c>
      <c r="H48" s="737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</row>
    <row r="49" ht="20.1" customHeight="1" spans="1:20">
      <c r="A49" s="734">
        <v>2.5</v>
      </c>
      <c r="B49" s="739" t="s">
        <v>584</v>
      </c>
      <c r="C49" s="500"/>
      <c r="D49" s="222"/>
      <c r="E49" s="736"/>
      <c r="F49" s="736"/>
      <c r="G49" s="748">
        <f>SUM(G50:G52)</f>
        <v>310321.26882819</v>
      </c>
      <c r="H49" s="737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</row>
    <row r="50" ht="20.1" customHeight="1" spans="1:20">
      <c r="A50" s="734"/>
      <c r="B50" s="534" t="s">
        <v>585</v>
      </c>
      <c r="C50" s="500"/>
      <c r="D50" s="751" t="s">
        <v>542</v>
      </c>
      <c r="E50" s="241">
        <f>9564*0.5</f>
        <v>4782</v>
      </c>
      <c r="F50" s="241">
        <f>单价汇总!$D$43/100+单价汇总!$D$56/100</f>
        <v>9.61287883186702</v>
      </c>
      <c r="G50" s="241">
        <f>E50*F50</f>
        <v>45968.7865739881</v>
      </c>
      <c r="H50" s="737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</row>
    <row r="51" ht="20.1" customHeight="1" spans="1:20">
      <c r="A51" s="753"/>
      <c r="B51" s="718" t="s">
        <v>548</v>
      </c>
      <c r="C51" s="751"/>
      <c r="D51" s="751" t="s">
        <v>542</v>
      </c>
      <c r="E51" s="241">
        <f>636*0.6*0.5</f>
        <v>190.8</v>
      </c>
      <c r="F51" s="241">
        <f>单价汇总!$D$138/100</f>
        <v>446.343694362345</v>
      </c>
      <c r="G51" s="241">
        <f>E51*F51</f>
        <v>85162.3768843354</v>
      </c>
      <c r="H51" s="737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</row>
    <row r="52" ht="20.1" customHeight="1" spans="1:20">
      <c r="A52" s="753"/>
      <c r="B52" s="718" t="s">
        <v>573</v>
      </c>
      <c r="C52" s="751" t="s">
        <v>574</v>
      </c>
      <c r="D52" s="751" t="s">
        <v>570</v>
      </c>
      <c r="E52" s="241">
        <v>9564</v>
      </c>
      <c r="F52" s="241">
        <f>单价汇总!$D$391/100</f>
        <v>18.7358955844695</v>
      </c>
      <c r="G52" s="241">
        <f>E52*F52</f>
        <v>179190.105369866</v>
      </c>
      <c r="H52" s="737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</row>
    <row r="53" ht="20.1" customHeight="1" spans="1:20">
      <c r="A53" s="734">
        <v>2.6</v>
      </c>
      <c r="B53" s="739" t="s">
        <v>586</v>
      </c>
      <c r="C53" s="500"/>
      <c r="D53" s="222"/>
      <c r="E53" s="736"/>
      <c r="F53" s="736"/>
      <c r="G53" s="748">
        <f>SUM(G54:G59)</f>
        <v>748936.423123423</v>
      </c>
      <c r="H53" s="744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</row>
    <row r="54" ht="20.1" customHeight="1" spans="1:20">
      <c r="A54" s="753"/>
      <c r="B54" s="718" t="s">
        <v>587</v>
      </c>
      <c r="C54" s="751"/>
      <c r="D54" s="751" t="s">
        <v>570</v>
      </c>
      <c r="E54" s="241">
        <f>685.2*12.65</f>
        <v>8667.78</v>
      </c>
      <c r="F54" s="241">
        <f>单价汇总!D69/100</f>
        <v>1.32514307576918</v>
      </c>
      <c r="G54" s="241">
        <f t="shared" ref="G54:G59" si="2">E54*F54</f>
        <v>11486.0486492906</v>
      </c>
      <c r="H54" s="737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</row>
    <row r="55" ht="20.1" customHeight="1" spans="1:20">
      <c r="A55" s="753"/>
      <c r="B55" s="718" t="s">
        <v>583</v>
      </c>
      <c r="C55" s="751"/>
      <c r="D55" s="751" t="s">
        <v>570</v>
      </c>
      <c r="E55" s="241">
        <f>(685-12-4)*12.65</f>
        <v>8462.85</v>
      </c>
      <c r="F55" s="666">
        <f>单价汇总!$D$394/100</f>
        <v>17.3061109295193</v>
      </c>
      <c r="G55" s="241">
        <f t="shared" si="2"/>
        <v>146459.020879882</v>
      </c>
      <c r="H55" s="737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</row>
    <row r="56" ht="20.1" customHeight="1" spans="1:20">
      <c r="A56" s="753"/>
      <c r="B56" s="718" t="s">
        <v>588</v>
      </c>
      <c r="C56" s="751"/>
      <c r="D56" s="751" t="s">
        <v>542</v>
      </c>
      <c r="E56" s="241">
        <f>685.2/8*(12.65*3+3.535*4+8)*0.3*0.3</f>
        <v>463.203765</v>
      </c>
      <c r="F56" s="241">
        <f>单价汇总!$D$157/100</f>
        <v>542.626586559521</v>
      </c>
      <c r="G56" s="241">
        <f t="shared" si="2"/>
        <v>251346.677883469</v>
      </c>
      <c r="H56" s="737"/>
      <c r="I56" s="249"/>
      <c r="J56" s="249"/>
      <c r="K56" s="249"/>
      <c r="L56" s="249"/>
      <c r="M56" s="249"/>
      <c r="N56" s="249"/>
      <c r="O56" s="249"/>
      <c r="P56" s="249"/>
      <c r="Q56" s="249"/>
      <c r="R56" s="249"/>
      <c r="S56" s="249"/>
      <c r="T56" s="249"/>
    </row>
    <row r="57" ht="20.1" customHeight="1" spans="1:20">
      <c r="A57" s="753"/>
      <c r="B57" s="718" t="s">
        <v>589</v>
      </c>
      <c r="C57" s="751"/>
      <c r="D57" s="751" t="s">
        <v>542</v>
      </c>
      <c r="E57" s="241">
        <f>685.2/8*(12.65*0.03*0.3)</f>
        <v>9.7512525</v>
      </c>
      <c r="F57" s="241">
        <v>450</v>
      </c>
      <c r="G57" s="241">
        <f t="shared" si="2"/>
        <v>4388.063625</v>
      </c>
      <c r="H57" s="737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</row>
    <row r="58" ht="23.1" customHeight="1" spans="1:20">
      <c r="A58" s="753"/>
      <c r="B58" s="718" t="s">
        <v>590</v>
      </c>
      <c r="C58" s="751"/>
      <c r="D58" s="751" t="s">
        <v>542</v>
      </c>
      <c r="E58" s="241">
        <f>(685.2-2-2-4)*12.65*0.3-E56</f>
        <v>2106.770235</v>
      </c>
      <c r="F58" s="241">
        <f>材料预算价!$L$10*1.09+30</f>
        <v>72.26328395</v>
      </c>
      <c r="G58" s="241">
        <f t="shared" si="2"/>
        <v>152242.135709213</v>
      </c>
      <c r="H58" s="737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</row>
    <row r="59" ht="30.95" customHeight="1" spans="1:20">
      <c r="A59" s="753"/>
      <c r="B59" s="718" t="s">
        <v>591</v>
      </c>
      <c r="C59" s="751"/>
      <c r="D59" s="751" t="s">
        <v>570</v>
      </c>
      <c r="E59" s="241">
        <f>E54+733.56*1.5</f>
        <v>9768.12</v>
      </c>
      <c r="F59" s="241">
        <f>F52</f>
        <v>18.7358955844695</v>
      </c>
      <c r="G59" s="241">
        <f t="shared" si="2"/>
        <v>183014.476376568</v>
      </c>
      <c r="H59" s="737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</row>
    <row r="60" ht="20.1" customHeight="1" spans="1:20">
      <c r="A60" s="734">
        <v>2.7</v>
      </c>
      <c r="B60" s="739" t="s">
        <v>592</v>
      </c>
      <c r="C60" s="500"/>
      <c r="D60" s="222"/>
      <c r="E60" s="241"/>
      <c r="F60" s="736"/>
      <c r="G60" s="736">
        <f>SUM(G61:G61)</f>
        <v>40249.2559544163</v>
      </c>
      <c r="H60" s="744"/>
      <c r="I60" s="249"/>
      <c r="J60" s="249"/>
      <c r="K60" s="249"/>
      <c r="L60" s="249"/>
      <c r="M60" s="249"/>
      <c r="N60" s="249"/>
      <c r="O60" s="249"/>
      <c r="P60" s="249"/>
      <c r="Q60" s="249"/>
      <c r="R60" s="249"/>
      <c r="S60" s="249"/>
      <c r="T60" s="249"/>
    </row>
    <row r="61" ht="20.1" customHeight="1" spans="1:20">
      <c r="A61" s="757"/>
      <c r="B61" s="718" t="s">
        <v>593</v>
      </c>
      <c r="C61" s="751"/>
      <c r="D61" s="222" t="s">
        <v>570</v>
      </c>
      <c r="E61" s="241">
        <f>750*4</f>
        <v>3000</v>
      </c>
      <c r="F61" s="241">
        <f>单价汇总!$D$375/1000</f>
        <v>13.4164186514721</v>
      </c>
      <c r="G61" s="749">
        <f t="shared" ref="G61:G67" si="3">E61*F61</f>
        <v>40249.2559544163</v>
      </c>
      <c r="H61" s="755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49"/>
      <c r="T61" s="249"/>
    </row>
    <row r="62" ht="20.1" customHeight="1" spans="1:20">
      <c r="A62" s="734">
        <v>2.8</v>
      </c>
      <c r="B62" s="739" t="s">
        <v>594</v>
      </c>
      <c r="C62" s="500"/>
      <c r="D62" s="500"/>
      <c r="E62" s="736"/>
      <c r="F62" s="736"/>
      <c r="G62" s="748">
        <f>SUM(G63:G67)</f>
        <v>69597.6720995405</v>
      </c>
      <c r="H62" s="744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</row>
    <row r="63" ht="239.25" customHeight="1" spans="1:20">
      <c r="A63" s="753"/>
      <c r="B63" s="718" t="s">
        <v>595</v>
      </c>
      <c r="C63" s="718" t="s">
        <v>596</v>
      </c>
      <c r="D63" s="222" t="s">
        <v>597</v>
      </c>
      <c r="E63" s="758">
        <v>743</v>
      </c>
      <c r="F63" s="241">
        <v>80</v>
      </c>
      <c r="G63" s="241">
        <f t="shared" si="3"/>
        <v>59440</v>
      </c>
      <c r="H63" s="755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</row>
    <row r="64" ht="20.1" customHeight="1" spans="1:20">
      <c r="A64" s="753"/>
      <c r="B64" s="718" t="s">
        <v>598</v>
      </c>
      <c r="C64" s="751"/>
      <c r="D64" s="222" t="s">
        <v>542</v>
      </c>
      <c r="E64" s="230">
        <f>E63/3*0.35*0.35*0.35</f>
        <v>10.6187083333333</v>
      </c>
      <c r="F64" s="241">
        <f>单价汇总!D131/100</f>
        <v>555.068780890099</v>
      </c>
      <c r="G64" s="241">
        <f t="shared" si="3"/>
        <v>5894.11348921087</v>
      </c>
      <c r="H64" s="755"/>
      <c r="I64" s="249"/>
      <c r="J64" s="249"/>
      <c r="K64" s="249"/>
      <c r="L64" s="249"/>
      <c r="M64" s="249"/>
      <c r="N64" s="249"/>
      <c r="O64" s="249"/>
      <c r="P64" s="249"/>
      <c r="Q64" s="249"/>
      <c r="R64" s="249"/>
      <c r="S64" s="249"/>
      <c r="T64" s="249"/>
    </row>
    <row r="65" ht="20.1" customHeight="1" spans="1:20">
      <c r="A65" s="753"/>
      <c r="B65" s="718" t="s">
        <v>599</v>
      </c>
      <c r="C65" s="751"/>
      <c r="D65" s="751" t="s">
        <v>284</v>
      </c>
      <c r="E65" s="749">
        <v>4</v>
      </c>
      <c r="F65" s="241">
        <v>800</v>
      </c>
      <c r="G65" s="241">
        <f t="shared" si="3"/>
        <v>3200</v>
      </c>
      <c r="H65" s="755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249"/>
      <c r="T65" s="249"/>
    </row>
    <row r="66" ht="20.1" customHeight="1" spans="1:20">
      <c r="A66" s="753"/>
      <c r="B66" s="718" t="s">
        <v>541</v>
      </c>
      <c r="C66" s="751"/>
      <c r="D66" s="222" t="s">
        <v>542</v>
      </c>
      <c r="E66" s="230">
        <f>E63/3*0.6*0.6*0.6</f>
        <v>53.496</v>
      </c>
      <c r="F66" s="241">
        <v>5.8</v>
      </c>
      <c r="G66" s="241">
        <f t="shared" si="3"/>
        <v>310.2768</v>
      </c>
      <c r="H66" s="737" t="s">
        <v>600</v>
      </c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</row>
    <row r="67" ht="20.1" customHeight="1" spans="1:20">
      <c r="A67" s="753"/>
      <c r="B67" s="718" t="s">
        <v>544</v>
      </c>
      <c r="C67" s="751"/>
      <c r="D67" s="222" t="s">
        <v>542</v>
      </c>
      <c r="E67" s="230">
        <f>E66-E64</f>
        <v>42.8772916666667</v>
      </c>
      <c r="F67" s="241">
        <f>单价汇总!$D$60/100</f>
        <v>17.5683160257823</v>
      </c>
      <c r="G67" s="241">
        <f t="shared" si="3"/>
        <v>753.281810329643</v>
      </c>
      <c r="H67" s="745" t="s">
        <v>543</v>
      </c>
      <c r="I67" s="249"/>
      <c r="J67" s="249"/>
      <c r="K67" s="249"/>
      <c r="L67" s="249"/>
      <c r="M67" s="249"/>
      <c r="N67" s="249"/>
      <c r="O67" s="249"/>
      <c r="P67" s="249"/>
      <c r="Q67" s="249"/>
      <c r="R67" s="249"/>
      <c r="S67" s="249"/>
      <c r="T67" s="249"/>
    </row>
    <row r="68" ht="20.1" customHeight="1" spans="1:20">
      <c r="A68" s="734">
        <v>2.9</v>
      </c>
      <c r="B68" s="759" t="s">
        <v>601</v>
      </c>
      <c r="C68" s="223"/>
      <c r="D68" s="760"/>
      <c r="E68" s="761"/>
      <c r="F68" s="762"/>
      <c r="G68" s="763">
        <f>SUM(G69:G74)</f>
        <v>23214.0093092925</v>
      </c>
      <c r="H68" s="745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</row>
    <row r="69" ht="20.1" customHeight="1" spans="1:20">
      <c r="A69" s="764"/>
      <c r="B69" s="765" t="s">
        <v>541</v>
      </c>
      <c r="C69" s="223"/>
      <c r="D69" s="760" t="s">
        <v>554</v>
      </c>
      <c r="E69" s="230">
        <f>E71*0.36</f>
        <v>372.5568</v>
      </c>
      <c r="F69" s="660">
        <v>3.98</v>
      </c>
      <c r="G69" s="766">
        <f t="shared" ref="G69:G74" si="4">E69*F69</f>
        <v>1482.776064</v>
      </c>
      <c r="H69" s="745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</row>
    <row r="70" ht="20.1" customHeight="1" spans="1:20">
      <c r="A70" s="764"/>
      <c r="B70" s="765" t="s">
        <v>544</v>
      </c>
      <c r="C70" s="223"/>
      <c r="D70" s="760" t="s">
        <v>554</v>
      </c>
      <c r="E70" s="230">
        <f>E69</f>
        <v>372.5568</v>
      </c>
      <c r="F70" s="241">
        <f>单价汇总!D56/100</f>
        <v>6.64065742313715</v>
      </c>
      <c r="G70" s="766">
        <f t="shared" si="4"/>
        <v>2474.02207946022</v>
      </c>
      <c r="H70" s="745"/>
      <c r="I70" s="249"/>
      <c r="J70" s="249"/>
      <c r="K70" s="249"/>
      <c r="L70" s="249"/>
      <c r="M70" s="249"/>
      <c r="N70" s="249"/>
      <c r="O70" s="249"/>
      <c r="P70" s="249"/>
      <c r="Q70" s="249"/>
      <c r="R70" s="249"/>
      <c r="S70" s="249"/>
      <c r="T70" s="249"/>
    </row>
    <row r="71" ht="20.1" customHeight="1" spans="1:20">
      <c r="A71" s="764"/>
      <c r="B71" s="767" t="s">
        <v>602</v>
      </c>
      <c r="C71" s="223"/>
      <c r="D71" s="760" t="s">
        <v>146</v>
      </c>
      <c r="E71" s="230">
        <f>1176/5*4*1.1</f>
        <v>1034.88</v>
      </c>
      <c r="F71" s="762">
        <f>单价汇总!D272/10</f>
        <v>15.3213002143556</v>
      </c>
      <c r="G71" s="766">
        <f t="shared" si="4"/>
        <v>15855.7071658323</v>
      </c>
      <c r="H71" s="745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</row>
    <row r="72" ht="20.1" customHeight="1" spans="1:20">
      <c r="A72" s="764"/>
      <c r="B72" s="767" t="s">
        <v>603</v>
      </c>
      <c r="C72" s="223"/>
      <c r="D72" s="760" t="s">
        <v>146</v>
      </c>
      <c r="E72" s="761">
        <f>E74*1.2</f>
        <v>28.8</v>
      </c>
      <c r="F72" s="762">
        <f>管材价格!L11</f>
        <v>10.33</v>
      </c>
      <c r="G72" s="766">
        <f t="shared" si="4"/>
        <v>297.504</v>
      </c>
      <c r="H72" s="745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</row>
    <row r="73" ht="20.1" customHeight="1" spans="1:20">
      <c r="A73" s="764"/>
      <c r="B73" s="767" t="s">
        <v>604</v>
      </c>
      <c r="C73" s="223"/>
      <c r="D73" s="768" t="s">
        <v>284</v>
      </c>
      <c r="E73" s="761">
        <v>32</v>
      </c>
      <c r="F73" s="762">
        <v>7</v>
      </c>
      <c r="G73" s="766">
        <f t="shared" si="4"/>
        <v>224</v>
      </c>
      <c r="H73" s="745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</row>
    <row r="74" ht="20.1" customHeight="1" spans="1:20">
      <c r="A74" s="764"/>
      <c r="B74" s="767" t="s">
        <v>605</v>
      </c>
      <c r="C74" s="223"/>
      <c r="D74" s="768" t="s">
        <v>284</v>
      </c>
      <c r="E74" s="761">
        <v>24</v>
      </c>
      <c r="F74" s="762">
        <v>120</v>
      </c>
      <c r="G74" s="766">
        <f t="shared" si="4"/>
        <v>2880</v>
      </c>
      <c r="H74" s="745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</row>
    <row r="75" ht="20.1" customHeight="1" spans="1:20">
      <c r="A75" s="769">
        <v>3</v>
      </c>
      <c r="B75" s="770" t="s">
        <v>606</v>
      </c>
      <c r="C75" s="771"/>
      <c r="D75" s="772"/>
      <c r="E75" s="766"/>
      <c r="F75" s="766"/>
      <c r="G75" s="763">
        <f>SUM(G76:G86)</f>
        <v>85858.5957692974</v>
      </c>
      <c r="H75" s="745"/>
      <c r="I75" s="249"/>
      <c r="J75" s="249"/>
      <c r="K75" s="249"/>
      <c r="L75" s="249"/>
      <c r="M75" s="249"/>
      <c r="N75" s="249"/>
      <c r="O75" s="249"/>
      <c r="P75" s="249"/>
      <c r="Q75" s="249"/>
      <c r="R75" s="249"/>
      <c r="S75" s="249"/>
      <c r="T75" s="249"/>
    </row>
    <row r="76" ht="20.1" customHeight="1" spans="1:20">
      <c r="A76" s="773" t="s">
        <v>246</v>
      </c>
      <c r="B76" s="774" t="s">
        <v>607</v>
      </c>
      <c r="C76" s="771"/>
      <c r="D76" s="772" t="s">
        <v>554</v>
      </c>
      <c r="E76" s="766">
        <f>10*21*0.4+8*8*0.5</f>
        <v>116</v>
      </c>
      <c r="F76" s="660">
        <f>5.8/0.91*1.09</f>
        <v>6.94725274725275</v>
      </c>
      <c r="G76" s="766">
        <f t="shared" ref="G76:G86" si="5">E76*F76</f>
        <v>805.881318681319</v>
      </c>
      <c r="H76" s="745"/>
      <c r="I76" s="249"/>
      <c r="J76" s="249"/>
      <c r="K76" s="249"/>
      <c r="L76" s="249"/>
      <c r="M76" s="249"/>
      <c r="N76" s="249"/>
      <c r="O76" s="249"/>
      <c r="P76" s="249"/>
      <c r="Q76" s="249"/>
      <c r="R76" s="249"/>
      <c r="S76" s="249"/>
      <c r="T76" s="249"/>
    </row>
    <row r="77" ht="20.1" customHeight="1" spans="1:20">
      <c r="A77" s="773" t="s">
        <v>246</v>
      </c>
      <c r="B77" s="774" t="s">
        <v>608</v>
      </c>
      <c r="C77" s="771"/>
      <c r="D77" s="772" t="s">
        <v>554</v>
      </c>
      <c r="E77" s="766">
        <f>1*21*0.4</f>
        <v>8.4</v>
      </c>
      <c r="F77" s="241">
        <f>单价汇总!$D$60/100</f>
        <v>17.5683160257823</v>
      </c>
      <c r="G77" s="766">
        <f t="shared" si="5"/>
        <v>147.573854616571</v>
      </c>
      <c r="H77" s="745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249"/>
      <c r="T77" s="249"/>
    </row>
    <row r="78" ht="20.1" customHeight="1" spans="1:20">
      <c r="A78" s="773" t="s">
        <v>246</v>
      </c>
      <c r="B78" s="774" t="s">
        <v>609</v>
      </c>
      <c r="C78" s="771"/>
      <c r="D78" s="772" t="s">
        <v>610</v>
      </c>
      <c r="E78" s="766">
        <f>12*(23+3+6)</f>
        <v>384</v>
      </c>
      <c r="F78" s="241">
        <f>F59</f>
        <v>18.7358955844695</v>
      </c>
      <c r="G78" s="766">
        <f t="shared" si="5"/>
        <v>7194.58390443629</v>
      </c>
      <c r="H78" s="745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</row>
    <row r="79" ht="20.1" customHeight="1" spans="1:20">
      <c r="A79" s="773" t="s">
        <v>246</v>
      </c>
      <c r="B79" s="774" t="s">
        <v>611</v>
      </c>
      <c r="C79" s="771"/>
      <c r="D79" s="772" t="s">
        <v>554</v>
      </c>
      <c r="E79" s="766">
        <v>17.88</v>
      </c>
      <c r="F79" s="766">
        <f>单价汇总!D153/100</f>
        <v>794.681832357951</v>
      </c>
      <c r="G79" s="766">
        <f t="shared" si="5"/>
        <v>14208.9111625602</v>
      </c>
      <c r="H79" s="745"/>
      <c r="I79" s="249"/>
      <c r="J79" s="249"/>
      <c r="K79" s="249"/>
      <c r="L79" s="249"/>
      <c r="M79" s="249"/>
      <c r="N79" s="249"/>
      <c r="O79" s="249"/>
      <c r="P79" s="249"/>
      <c r="Q79" s="249"/>
      <c r="R79" s="249"/>
      <c r="S79" s="249"/>
      <c r="T79" s="249"/>
    </row>
    <row r="80" ht="20.1" customHeight="1" spans="1:20">
      <c r="A80" s="773" t="s">
        <v>246</v>
      </c>
      <c r="B80" s="774" t="s">
        <v>612</v>
      </c>
      <c r="C80" s="771"/>
      <c r="D80" s="772" t="s">
        <v>554</v>
      </c>
      <c r="E80" s="766">
        <v>36.66</v>
      </c>
      <c r="F80" s="766">
        <f>单价汇总!$D$136/100</f>
        <v>631.107753567604</v>
      </c>
      <c r="G80" s="766">
        <f t="shared" si="5"/>
        <v>23136.4102457884</v>
      </c>
      <c r="H80" s="745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</row>
    <row r="81" ht="20.1" customHeight="1" spans="1:20">
      <c r="A81" s="773" t="s">
        <v>246</v>
      </c>
      <c r="B81" s="774" t="s">
        <v>613</v>
      </c>
      <c r="C81" s="771"/>
      <c r="D81" s="772" t="s">
        <v>554</v>
      </c>
      <c r="E81" s="766">
        <v>51.152</v>
      </c>
      <c r="F81" s="241">
        <f>单价汇总!$D$92/100</f>
        <v>343.762477590712</v>
      </c>
      <c r="G81" s="766">
        <f t="shared" si="5"/>
        <v>17584.1382537201</v>
      </c>
      <c r="H81" s="745"/>
      <c r="I81" s="249"/>
      <c r="J81" s="249"/>
      <c r="K81" s="249"/>
      <c r="L81" s="249"/>
      <c r="M81" s="249"/>
      <c r="N81" s="249"/>
      <c r="O81" s="249"/>
      <c r="P81" s="249"/>
      <c r="Q81" s="249"/>
      <c r="R81" s="249"/>
      <c r="S81" s="249"/>
      <c r="T81" s="249"/>
    </row>
    <row r="82" ht="20.1" customHeight="1" spans="1:20">
      <c r="A82" s="773" t="s">
        <v>246</v>
      </c>
      <c r="B82" s="774" t="s">
        <v>549</v>
      </c>
      <c r="C82" s="771"/>
      <c r="D82" s="772" t="s">
        <v>580</v>
      </c>
      <c r="E82" s="766">
        <v>2.6</v>
      </c>
      <c r="F82" s="241">
        <f>单价汇总!$D$196</f>
        <v>6240.66751713011</v>
      </c>
      <c r="G82" s="766">
        <f t="shared" si="5"/>
        <v>16225.7355445383</v>
      </c>
      <c r="H82" s="745"/>
      <c r="I82" s="249"/>
      <c r="J82" s="249"/>
      <c r="K82" s="249"/>
      <c r="L82" s="249"/>
      <c r="M82" s="249"/>
      <c r="N82" s="249"/>
      <c r="O82" s="249"/>
      <c r="P82" s="249"/>
      <c r="Q82" s="249"/>
      <c r="R82" s="249"/>
      <c r="S82" s="249"/>
      <c r="T82" s="249"/>
    </row>
    <row r="83" ht="20.1" customHeight="1" spans="1:20">
      <c r="A83" s="773" t="s">
        <v>246</v>
      </c>
      <c r="B83" s="774" t="s">
        <v>614</v>
      </c>
      <c r="C83" s="771"/>
      <c r="D83" s="772" t="s">
        <v>554</v>
      </c>
      <c r="E83" s="766">
        <v>15</v>
      </c>
      <c r="F83" s="766">
        <v>158.36</v>
      </c>
      <c r="G83" s="766">
        <f t="shared" si="5"/>
        <v>2375.4</v>
      </c>
      <c r="H83" s="745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</row>
    <row r="84" ht="20.1" customHeight="1" spans="1:20">
      <c r="A84" s="773" t="s">
        <v>246</v>
      </c>
      <c r="B84" s="774" t="s">
        <v>615</v>
      </c>
      <c r="C84" s="771"/>
      <c r="D84" s="772" t="s">
        <v>552</v>
      </c>
      <c r="E84" s="766">
        <v>2</v>
      </c>
      <c r="F84" s="766">
        <v>1500</v>
      </c>
      <c r="G84" s="766">
        <f t="shared" si="5"/>
        <v>3000</v>
      </c>
      <c r="H84" s="745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</row>
    <row r="85" ht="20.1" customHeight="1" spans="1:20">
      <c r="A85" s="773" t="s">
        <v>246</v>
      </c>
      <c r="B85" s="774" t="s">
        <v>616</v>
      </c>
      <c r="C85" s="771"/>
      <c r="D85" s="772" t="s">
        <v>554</v>
      </c>
      <c r="E85" s="230">
        <v>1.728</v>
      </c>
      <c r="F85" s="766">
        <f>单价汇总!D131/100</f>
        <v>555.068780890099</v>
      </c>
      <c r="G85" s="766">
        <f t="shared" si="5"/>
        <v>959.158853378091</v>
      </c>
      <c r="H85" s="745"/>
      <c r="I85" s="249"/>
      <c r="J85" s="249"/>
      <c r="K85" s="249"/>
      <c r="L85" s="249"/>
      <c r="M85" s="249"/>
      <c r="N85" s="249"/>
      <c r="O85" s="249"/>
      <c r="P85" s="249"/>
      <c r="Q85" s="249"/>
      <c r="R85" s="249"/>
      <c r="S85" s="249"/>
      <c r="T85" s="249"/>
    </row>
    <row r="86" ht="20.1" customHeight="1" spans="1:20">
      <c r="A86" s="773" t="s">
        <v>246</v>
      </c>
      <c r="B86" s="774" t="s">
        <v>617</v>
      </c>
      <c r="C86" s="771"/>
      <c r="D86" s="772" t="s">
        <v>554</v>
      </c>
      <c r="E86" s="766">
        <v>0.512</v>
      </c>
      <c r="F86" s="766">
        <f>单价汇总!D137/100</f>
        <v>431.255139801307</v>
      </c>
      <c r="G86" s="766">
        <f t="shared" si="5"/>
        <v>220.802631578269</v>
      </c>
      <c r="H86" s="745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49"/>
      <c r="T86" s="249"/>
    </row>
    <row r="87" ht="20.1" customHeight="1" spans="1:20">
      <c r="A87" s="734">
        <v>4</v>
      </c>
      <c r="B87" s="739" t="s">
        <v>618</v>
      </c>
      <c r="C87" s="500"/>
      <c r="D87" s="500"/>
      <c r="E87" s="736"/>
      <c r="F87" s="736"/>
      <c r="G87" s="736">
        <f>G88+G90+G92</f>
        <v>366317.894140826</v>
      </c>
      <c r="H87" s="744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</row>
    <row r="88" ht="20.1" customHeight="1" spans="1:20">
      <c r="A88" s="734">
        <v>4.1</v>
      </c>
      <c r="B88" s="739" t="s">
        <v>619</v>
      </c>
      <c r="C88" s="500"/>
      <c r="D88" s="500" t="s">
        <v>620</v>
      </c>
      <c r="E88" s="230">
        <f>E89</f>
        <v>128.2769</v>
      </c>
      <c r="F88" s="736"/>
      <c r="G88" s="736">
        <f>G89</f>
        <v>256553.8</v>
      </c>
      <c r="H88" s="744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</row>
    <row r="89" ht="39" customHeight="1" spans="1:20">
      <c r="A89" s="734"/>
      <c r="B89" s="534" t="s">
        <v>619</v>
      </c>
      <c r="C89" s="223" t="s">
        <v>621</v>
      </c>
      <c r="D89" s="223" t="s">
        <v>570</v>
      </c>
      <c r="E89" s="230">
        <f>12.37*10.37</f>
        <v>128.2769</v>
      </c>
      <c r="F89" s="230">
        <v>2000</v>
      </c>
      <c r="G89" s="230">
        <f>F89*E89</f>
        <v>256553.8</v>
      </c>
      <c r="H89" s="744"/>
      <c r="I89" s="249"/>
      <c r="J89" s="249"/>
      <c r="K89" s="249"/>
      <c r="L89" s="249"/>
      <c r="M89" s="249"/>
      <c r="N89" s="249"/>
      <c r="O89" s="249"/>
      <c r="P89" s="249"/>
      <c r="Q89" s="249"/>
      <c r="R89" s="249"/>
      <c r="S89" s="249"/>
      <c r="T89" s="249"/>
    </row>
    <row r="90" ht="20.1" customHeight="1" spans="1:20">
      <c r="A90" s="734">
        <v>4.2</v>
      </c>
      <c r="B90" s="739" t="s">
        <v>622</v>
      </c>
      <c r="C90" s="500"/>
      <c r="D90" s="500" t="s">
        <v>620</v>
      </c>
      <c r="E90" s="736">
        <f>E91</f>
        <v>43.6789</v>
      </c>
      <c r="F90" s="736"/>
      <c r="G90" s="736">
        <f>G91</f>
        <v>96093.58</v>
      </c>
      <c r="H90" s="744"/>
      <c r="I90" s="249"/>
      <c r="J90" s="798">
        <f>(10.37)*(12.37)</f>
        <v>128.2769</v>
      </c>
      <c r="K90" s="249"/>
      <c r="L90" s="249"/>
      <c r="M90" s="249"/>
      <c r="N90" s="249"/>
      <c r="O90" s="249"/>
      <c r="P90" s="249"/>
      <c r="Q90" s="249"/>
      <c r="R90" s="249"/>
      <c r="S90" s="249"/>
      <c r="T90" s="249"/>
    </row>
    <row r="91" ht="26.25" customHeight="1" spans="1:20">
      <c r="A91" s="734"/>
      <c r="B91" s="534" t="s">
        <v>622</v>
      </c>
      <c r="C91" s="223" t="s">
        <v>623</v>
      </c>
      <c r="D91" s="223" t="s">
        <v>570</v>
      </c>
      <c r="E91" s="230">
        <f>(5.4+0.37)*(7.2+0.37)</f>
        <v>43.6789</v>
      </c>
      <c r="F91" s="230">
        <v>2200</v>
      </c>
      <c r="G91" s="230">
        <f>F91*E91</f>
        <v>96093.58</v>
      </c>
      <c r="H91" s="744"/>
      <c r="I91" s="249"/>
      <c r="J91" s="249">
        <f>(3.9+3.3+0.37)*(5.4+0.37)</f>
        <v>43.6789</v>
      </c>
      <c r="K91" s="249"/>
      <c r="L91" s="249"/>
      <c r="M91" s="249"/>
      <c r="N91" s="249"/>
      <c r="O91" s="249"/>
      <c r="P91" s="249"/>
      <c r="Q91" s="249"/>
      <c r="R91" s="249"/>
      <c r="S91" s="249"/>
      <c r="T91" s="249"/>
    </row>
    <row r="92" ht="20.1" customHeight="1" spans="1:20">
      <c r="A92" s="734">
        <v>4.3</v>
      </c>
      <c r="B92" s="739" t="s">
        <v>624</v>
      </c>
      <c r="C92" s="751"/>
      <c r="D92" s="500" t="s">
        <v>80</v>
      </c>
      <c r="E92" s="775">
        <v>1</v>
      </c>
      <c r="F92" s="736"/>
      <c r="G92" s="736">
        <f>SUM(G93:G97)</f>
        <v>13670.5141408259</v>
      </c>
      <c r="H92" s="744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</row>
    <row r="93" ht="20.1" customHeight="1" spans="1:20">
      <c r="A93" s="757"/>
      <c r="B93" s="718" t="s">
        <v>625</v>
      </c>
      <c r="C93" s="751"/>
      <c r="D93" s="751" t="s">
        <v>542</v>
      </c>
      <c r="E93" s="230">
        <f>(16.92*0.2+15.8*0.2*1.9)*E92</f>
        <v>9.388</v>
      </c>
      <c r="F93" s="230">
        <f>单价汇总!D153/100</f>
        <v>794.681832357951</v>
      </c>
      <c r="G93" s="230">
        <f>F93*E93</f>
        <v>7460.47304217644</v>
      </c>
      <c r="H93" s="745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</row>
    <row r="94" ht="20.1" customHeight="1" spans="1:20">
      <c r="A94" s="757"/>
      <c r="B94" s="718" t="s">
        <v>626</v>
      </c>
      <c r="C94" s="751"/>
      <c r="D94" s="751" t="s">
        <v>542</v>
      </c>
      <c r="E94" s="230">
        <f>18.62*0.1*E92</f>
        <v>1.862</v>
      </c>
      <c r="F94" s="241">
        <f>单价汇总!$D$137/100</f>
        <v>431.255139801307</v>
      </c>
      <c r="G94" s="230">
        <f>F94*E94</f>
        <v>802.997070310034</v>
      </c>
      <c r="H94" s="745"/>
      <c r="I94" s="249"/>
      <c r="J94" s="249"/>
      <c r="K94" s="249"/>
      <c r="L94" s="249"/>
      <c r="M94" s="249"/>
      <c r="N94" s="249"/>
      <c r="O94" s="249"/>
      <c r="P94" s="249"/>
      <c r="Q94" s="249"/>
      <c r="R94" s="249"/>
      <c r="S94" s="249"/>
      <c r="T94" s="249"/>
    </row>
    <row r="95" ht="20.1" customHeight="1" spans="1:20">
      <c r="A95" s="757"/>
      <c r="B95" s="718" t="s">
        <v>549</v>
      </c>
      <c r="C95" s="751"/>
      <c r="D95" s="751" t="s">
        <v>550</v>
      </c>
      <c r="E95" s="230">
        <f>E93*80</f>
        <v>751.04</v>
      </c>
      <c r="F95" s="241">
        <f>单价汇总!$D$196/1000</f>
        <v>6.24066751713011</v>
      </c>
      <c r="G95" s="230">
        <f>F95*E95</f>
        <v>4686.9909320654</v>
      </c>
      <c r="H95" s="745"/>
      <c r="I95" s="249"/>
      <c r="J95" s="249"/>
      <c r="K95" s="249"/>
      <c r="L95" s="249"/>
      <c r="M95" s="249"/>
      <c r="N95" s="249"/>
      <c r="O95" s="249"/>
      <c r="P95" s="249"/>
      <c r="Q95" s="249"/>
      <c r="R95" s="249"/>
      <c r="S95" s="249"/>
      <c r="T95" s="249"/>
    </row>
    <row r="96" ht="20.1" customHeight="1" spans="1:20">
      <c r="A96" s="757"/>
      <c r="B96" s="718" t="s">
        <v>541</v>
      </c>
      <c r="C96" s="751"/>
      <c r="D96" s="751" t="s">
        <v>542</v>
      </c>
      <c r="E96" s="230">
        <f>3.6*4.7*2.3*1.35*E92</f>
        <v>52.5366</v>
      </c>
      <c r="F96" s="660">
        <v>5.8</v>
      </c>
      <c r="G96" s="230">
        <f>F96*E96</f>
        <v>304.71228</v>
      </c>
      <c r="H96" s="745"/>
      <c r="I96" s="249"/>
      <c r="J96" s="249"/>
      <c r="K96" s="249"/>
      <c r="L96" s="249"/>
      <c r="M96" s="249"/>
      <c r="N96" s="249"/>
      <c r="O96" s="249"/>
      <c r="P96" s="249"/>
      <c r="Q96" s="249"/>
      <c r="R96" s="249"/>
      <c r="S96" s="249"/>
      <c r="T96" s="249"/>
    </row>
    <row r="97" ht="20.1" customHeight="1" spans="1:20">
      <c r="A97" s="757"/>
      <c r="B97" s="718" t="s">
        <v>544</v>
      </c>
      <c r="C97" s="751"/>
      <c r="D97" s="751" t="s">
        <v>542</v>
      </c>
      <c r="E97" s="230">
        <f>E96*0.45</f>
        <v>23.64147</v>
      </c>
      <c r="F97" s="241">
        <f>单价汇总!$D$60/100</f>
        <v>17.5683160257823</v>
      </c>
      <c r="G97" s="230">
        <f>F97*E97</f>
        <v>415.340816274052</v>
      </c>
      <c r="H97" s="745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</row>
    <row r="98" ht="20.1" customHeight="1" spans="1:20">
      <c r="A98" s="738" t="s">
        <v>627</v>
      </c>
      <c r="B98" s="741" t="s">
        <v>628</v>
      </c>
      <c r="C98" s="219"/>
      <c r="D98" s="776"/>
      <c r="E98" s="506"/>
      <c r="F98" s="777"/>
      <c r="G98" s="506">
        <f>G99+G117+G139</f>
        <v>2723286.1504628</v>
      </c>
      <c r="H98" s="737"/>
      <c r="I98" s="249"/>
      <c r="J98" s="249">
        <f>G98/2414.83</f>
        <v>1127.73410569804</v>
      </c>
      <c r="K98" s="249"/>
      <c r="L98" s="249"/>
      <c r="M98" s="249"/>
      <c r="N98" s="249"/>
      <c r="O98" s="249"/>
      <c r="P98" s="249"/>
      <c r="Q98" s="249"/>
      <c r="R98" s="249"/>
      <c r="S98" s="249"/>
      <c r="T98" s="249"/>
    </row>
    <row r="99" ht="20.1" customHeight="1" spans="1:20">
      <c r="A99" s="734">
        <v>1</v>
      </c>
      <c r="B99" s="739" t="s">
        <v>629</v>
      </c>
      <c r="C99" s="219"/>
      <c r="D99" s="219"/>
      <c r="E99" s="506"/>
      <c r="F99" s="743"/>
      <c r="G99" s="506">
        <f>SUM(G100:G105)+G109</f>
        <v>154453.95142171</v>
      </c>
      <c r="H99" s="737"/>
      <c r="I99" s="249"/>
      <c r="J99" s="249"/>
      <c r="K99" s="249"/>
      <c r="L99" s="249"/>
      <c r="M99" s="249"/>
      <c r="N99" s="249"/>
      <c r="O99" s="249"/>
      <c r="P99" s="249"/>
      <c r="Q99" s="249"/>
      <c r="R99" s="249"/>
      <c r="S99" s="249"/>
      <c r="T99" s="249"/>
    </row>
    <row r="100" ht="20.1" customHeight="1" spans="1:20">
      <c r="A100" s="757">
        <v>1.1</v>
      </c>
      <c r="B100" s="534" t="s">
        <v>630</v>
      </c>
      <c r="C100" s="222"/>
      <c r="D100" s="222" t="s">
        <v>542</v>
      </c>
      <c r="E100" s="230">
        <f>0.5*0.5*0.5*SUM(E122:E126)/200</f>
        <v>17.85905625</v>
      </c>
      <c r="F100" s="241">
        <f>单价汇总!$D$131/100</f>
        <v>555.068780890099</v>
      </c>
      <c r="G100" s="241">
        <f>E100*F100</f>
        <v>9913.0045805352</v>
      </c>
      <c r="H100" s="737"/>
      <c r="I100" s="249"/>
      <c r="J100" s="249"/>
      <c r="K100" s="249"/>
      <c r="L100" s="249"/>
      <c r="M100" s="249"/>
      <c r="N100" s="249"/>
      <c r="O100" s="249"/>
      <c r="P100" s="249"/>
      <c r="Q100" s="249"/>
      <c r="R100" s="249"/>
      <c r="S100" s="249"/>
      <c r="T100" s="249"/>
    </row>
    <row r="101" ht="20.1" customHeight="1" spans="1:20">
      <c r="A101" s="757">
        <v>1.2</v>
      </c>
      <c r="B101" s="534" t="s">
        <v>631</v>
      </c>
      <c r="C101" s="778"/>
      <c r="D101" s="222" t="s">
        <v>632</v>
      </c>
      <c r="E101" s="230">
        <f>0.5*0.5*0.5*SUM(E102:E104)</f>
        <v>13.25</v>
      </c>
      <c r="F101" s="241">
        <f>F100</f>
        <v>555.068780890099</v>
      </c>
      <c r="G101" s="241">
        <f>E101*F101</f>
        <v>7354.66134679381</v>
      </c>
      <c r="H101" s="77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</row>
    <row r="102" ht="42.75" customHeight="1" spans="1:20">
      <c r="A102" s="757">
        <v>1.3</v>
      </c>
      <c r="B102" s="534" t="s">
        <v>172</v>
      </c>
      <c r="C102" s="223" t="s">
        <v>633</v>
      </c>
      <c r="D102" s="222" t="s">
        <v>80</v>
      </c>
      <c r="E102" s="780">
        <v>93</v>
      </c>
      <c r="F102" s="241">
        <v>900</v>
      </c>
      <c r="G102" s="241">
        <f>E102*F102</f>
        <v>83700</v>
      </c>
      <c r="H102" s="737"/>
      <c r="I102" s="249"/>
      <c r="J102" s="249"/>
      <c r="K102" s="249"/>
      <c r="L102" s="249"/>
      <c r="M102" s="249"/>
      <c r="N102" s="249"/>
      <c r="O102" s="249"/>
      <c r="P102" s="249"/>
      <c r="Q102" s="249"/>
      <c r="R102" s="249"/>
      <c r="S102" s="249"/>
      <c r="T102" s="249"/>
    </row>
    <row r="103" ht="32.25" customHeight="1" spans="1:20">
      <c r="A103" s="757">
        <v>1.4</v>
      </c>
      <c r="B103" s="534" t="s">
        <v>174</v>
      </c>
      <c r="C103" s="223" t="s">
        <v>634</v>
      </c>
      <c r="D103" s="222" t="s">
        <v>80</v>
      </c>
      <c r="E103" s="780">
        <f>工程量计算表!C12</f>
        <v>6</v>
      </c>
      <c r="F103" s="241">
        <v>1500</v>
      </c>
      <c r="G103" s="241">
        <f>E103*F103</f>
        <v>9000</v>
      </c>
      <c r="H103" s="737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</row>
    <row r="104" ht="31.5" customHeight="1" spans="1:20">
      <c r="A104" s="757">
        <v>1.5</v>
      </c>
      <c r="B104" s="534" t="s">
        <v>176</v>
      </c>
      <c r="C104" s="223"/>
      <c r="D104" s="222" t="s">
        <v>80</v>
      </c>
      <c r="E104" s="780">
        <f>工程量计算表!C13</f>
        <v>7</v>
      </c>
      <c r="F104" s="241">
        <f>F103</f>
        <v>1500</v>
      </c>
      <c r="G104" s="241">
        <f>E104*F104</f>
        <v>10500</v>
      </c>
      <c r="H104" s="737"/>
      <c r="I104" s="249"/>
      <c r="J104" s="249"/>
      <c r="K104" s="249"/>
      <c r="L104" s="249"/>
      <c r="M104" s="249"/>
      <c r="N104" s="249"/>
      <c r="O104" s="249"/>
      <c r="P104" s="249"/>
      <c r="Q104" s="249"/>
      <c r="R104" s="249"/>
      <c r="S104" s="249"/>
      <c r="T104" s="249"/>
    </row>
    <row r="105" ht="20.1" customHeight="1" spans="1:20">
      <c r="A105" s="734">
        <v>1.6</v>
      </c>
      <c r="B105" s="739" t="s">
        <v>635</v>
      </c>
      <c r="C105" s="219"/>
      <c r="D105" s="500" t="s">
        <v>636</v>
      </c>
      <c r="E105" s="775">
        <f>工程量计算表!C16</f>
        <v>5</v>
      </c>
      <c r="F105" s="736"/>
      <c r="G105" s="506">
        <f>G106+G107+G108</f>
        <v>13126.3152235435</v>
      </c>
      <c r="H105" s="745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</row>
    <row r="106" ht="20.1" customHeight="1" spans="1:20">
      <c r="A106" s="757"/>
      <c r="B106" s="781" t="s">
        <v>637</v>
      </c>
      <c r="C106" s="782" t="s">
        <v>638</v>
      </c>
      <c r="D106" s="783" t="s">
        <v>146</v>
      </c>
      <c r="E106" s="784">
        <f>15*E105</f>
        <v>75</v>
      </c>
      <c r="F106" s="784">
        <f>157.62+5.2</f>
        <v>162.82</v>
      </c>
      <c r="G106" s="785">
        <f>E106*F106</f>
        <v>12211.5</v>
      </c>
      <c r="H106" s="745"/>
      <c r="I106" s="249"/>
      <c r="J106" s="249"/>
      <c r="K106" s="249"/>
      <c r="L106" s="249"/>
      <c r="M106" s="249"/>
      <c r="N106" s="249"/>
      <c r="O106" s="249"/>
      <c r="P106" s="249"/>
      <c r="Q106" s="249"/>
      <c r="R106" s="249"/>
      <c r="S106" s="249"/>
      <c r="T106" s="249"/>
    </row>
    <row r="107" ht="20.1" customHeight="1" spans="1:20">
      <c r="A107" s="757"/>
      <c r="B107" s="786" t="s">
        <v>541</v>
      </c>
      <c r="C107" s="787"/>
      <c r="D107" s="222" t="s">
        <v>542</v>
      </c>
      <c r="E107" s="784">
        <f>2.8*1.2/2*10*E105</f>
        <v>84</v>
      </c>
      <c r="F107" s="230">
        <v>4.25</v>
      </c>
      <c r="G107" s="785">
        <f>E107*F107</f>
        <v>357</v>
      </c>
      <c r="H107" s="745"/>
      <c r="I107" s="249"/>
      <c r="J107" s="249"/>
      <c r="K107" s="249"/>
      <c r="L107" s="249"/>
      <c r="M107" s="249"/>
      <c r="N107" s="249"/>
      <c r="O107" s="249"/>
      <c r="P107" s="249"/>
      <c r="Q107" s="249"/>
      <c r="R107" s="249"/>
      <c r="S107" s="249"/>
      <c r="T107" s="249"/>
    </row>
    <row r="108" ht="20.1" customHeight="1" spans="1:20">
      <c r="A108" s="757"/>
      <c r="B108" s="786" t="s">
        <v>544</v>
      </c>
      <c r="C108" s="787"/>
      <c r="D108" s="222" t="s">
        <v>542</v>
      </c>
      <c r="E108" s="784">
        <f>E107</f>
        <v>84</v>
      </c>
      <c r="F108" s="230">
        <f>单价汇总!D56/100</f>
        <v>6.64065742313715</v>
      </c>
      <c r="G108" s="785">
        <f>E108*F108</f>
        <v>557.815223543521</v>
      </c>
      <c r="H108" s="745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</row>
    <row r="109" ht="20.1" customHeight="1" spans="1:20">
      <c r="A109" s="788">
        <v>1.7</v>
      </c>
      <c r="B109" s="739" t="s">
        <v>639</v>
      </c>
      <c r="C109" s="789"/>
      <c r="D109" s="500" t="s">
        <v>636</v>
      </c>
      <c r="E109" s="736">
        <v>1</v>
      </c>
      <c r="F109" s="736"/>
      <c r="G109" s="506">
        <f>G110</f>
        <v>20859.9702708379</v>
      </c>
      <c r="H109" s="745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</row>
    <row r="110" ht="20.1" customHeight="1" spans="1:20">
      <c r="A110" s="790" t="s">
        <v>640</v>
      </c>
      <c r="B110" s="534" t="s">
        <v>641</v>
      </c>
      <c r="C110" s="789"/>
      <c r="D110" s="223" t="s">
        <v>636</v>
      </c>
      <c r="E110" s="230">
        <v>1</v>
      </c>
      <c r="F110" s="230">
        <f>G110/E110</f>
        <v>20859.9702708379</v>
      </c>
      <c r="G110" s="241">
        <f>SUM(G111:G116)</f>
        <v>20859.9702708379</v>
      </c>
      <c r="H110" s="745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49"/>
      <c r="T110" s="249"/>
    </row>
    <row r="111" ht="20.1" customHeight="1" spans="1:20">
      <c r="A111" s="790"/>
      <c r="B111" s="534" t="s">
        <v>642</v>
      </c>
      <c r="C111" s="791" t="s">
        <v>643</v>
      </c>
      <c r="D111" s="223" t="s">
        <v>542</v>
      </c>
      <c r="E111" s="230">
        <f>E110*(3*3+2*2)*2.5/2</f>
        <v>16.25</v>
      </c>
      <c r="F111" s="230">
        <v>5.2</v>
      </c>
      <c r="G111" s="230">
        <f t="shared" ref="G111:G116" si="6">E111*F111</f>
        <v>84.5</v>
      </c>
      <c r="H111" s="745"/>
      <c r="I111" s="249"/>
      <c r="J111" s="249"/>
      <c r="K111" s="249"/>
      <c r="L111" s="249"/>
      <c r="M111" s="249"/>
      <c r="N111" s="249"/>
      <c r="O111" s="249"/>
      <c r="P111" s="249"/>
      <c r="Q111" s="249"/>
      <c r="R111" s="249"/>
      <c r="S111" s="249"/>
      <c r="T111" s="249"/>
    </row>
    <row r="112" ht="20.1" customHeight="1" spans="1:20">
      <c r="A112" s="790"/>
      <c r="B112" s="534" t="s">
        <v>644</v>
      </c>
      <c r="C112" s="791"/>
      <c r="D112" s="223" t="s">
        <v>542</v>
      </c>
      <c r="E112" s="230">
        <f>E111</f>
        <v>16.25</v>
      </c>
      <c r="F112" s="230">
        <f>F97</f>
        <v>17.5683160257823</v>
      </c>
      <c r="G112" s="230">
        <f t="shared" si="6"/>
        <v>285.485135418963</v>
      </c>
      <c r="H112" s="745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</row>
    <row r="113" ht="20.1" customHeight="1" spans="1:20">
      <c r="A113" s="790"/>
      <c r="B113" s="534" t="s">
        <v>645</v>
      </c>
      <c r="C113" s="791"/>
      <c r="D113" s="223" t="s">
        <v>542</v>
      </c>
      <c r="E113" s="230">
        <f>E110*(3*3+2*2)*2.5/2</f>
        <v>16.25</v>
      </c>
      <c r="F113" s="230">
        <f>F111</f>
        <v>5.2</v>
      </c>
      <c r="G113" s="230">
        <f t="shared" si="6"/>
        <v>84.5</v>
      </c>
      <c r="H113" s="745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</row>
    <row r="114" ht="20.1" customHeight="1" spans="1:20">
      <c r="A114" s="790"/>
      <c r="B114" s="534" t="s">
        <v>646</v>
      </c>
      <c r="C114" s="791"/>
      <c r="D114" s="223" t="s">
        <v>542</v>
      </c>
      <c r="E114" s="230">
        <f>E113</f>
        <v>16.25</v>
      </c>
      <c r="F114" s="230">
        <f>F112</f>
        <v>17.5683160257823</v>
      </c>
      <c r="G114" s="230">
        <f t="shared" si="6"/>
        <v>285.485135418963</v>
      </c>
      <c r="H114" s="745"/>
      <c r="I114" s="249"/>
      <c r="J114" s="249"/>
      <c r="K114" s="249"/>
      <c r="L114" s="249"/>
      <c r="M114" s="249"/>
      <c r="N114" s="249"/>
      <c r="O114" s="249"/>
      <c r="P114" s="249"/>
      <c r="Q114" s="249"/>
      <c r="R114" s="249"/>
      <c r="S114" s="249"/>
      <c r="T114" s="249"/>
    </row>
    <row r="115" ht="30.75" customHeight="1" spans="1:20">
      <c r="A115" s="790"/>
      <c r="B115" s="534" t="s">
        <v>647</v>
      </c>
      <c r="C115" s="791" t="s">
        <v>648</v>
      </c>
      <c r="D115" s="223" t="s">
        <v>146</v>
      </c>
      <c r="E115" s="230">
        <v>40</v>
      </c>
      <c r="F115" s="230">
        <v>203</v>
      </c>
      <c r="G115" s="230">
        <f t="shared" si="6"/>
        <v>8120</v>
      </c>
      <c r="H115" s="745"/>
      <c r="I115" s="249"/>
      <c r="J115" s="249"/>
      <c r="K115" s="249"/>
      <c r="L115" s="249"/>
      <c r="M115" s="249"/>
      <c r="N115" s="249"/>
      <c r="O115" s="249"/>
      <c r="P115" s="249"/>
      <c r="Q115" s="249"/>
      <c r="R115" s="249"/>
      <c r="S115" s="249"/>
      <c r="T115" s="249"/>
    </row>
    <row r="116" ht="28.5" customHeight="1" spans="1:20">
      <c r="A116" s="790"/>
      <c r="B116" s="534" t="s">
        <v>649</v>
      </c>
      <c r="C116" s="791" t="s">
        <v>650</v>
      </c>
      <c r="D116" s="223" t="s">
        <v>146</v>
      </c>
      <c r="E116" s="230">
        <v>40</v>
      </c>
      <c r="F116" s="230">
        <v>300</v>
      </c>
      <c r="G116" s="230">
        <f t="shared" si="6"/>
        <v>12000</v>
      </c>
      <c r="H116" s="745"/>
      <c r="I116" s="249"/>
      <c r="J116" s="249"/>
      <c r="K116" s="249"/>
      <c r="L116" s="249"/>
      <c r="M116" s="249"/>
      <c r="N116" s="249"/>
      <c r="O116" s="249"/>
      <c r="P116" s="249"/>
      <c r="Q116" s="249"/>
      <c r="R116" s="249"/>
      <c r="S116" s="249"/>
      <c r="T116" s="249"/>
    </row>
    <row r="117" ht="20.1" customHeight="1" spans="1:20">
      <c r="A117" s="734">
        <v>2</v>
      </c>
      <c r="B117" s="739" t="s">
        <v>651</v>
      </c>
      <c r="C117" s="219"/>
      <c r="D117" s="219"/>
      <c r="E117" s="506"/>
      <c r="F117" s="743"/>
      <c r="G117" s="506">
        <f>G118+G121+G130</f>
        <v>2401688.41908109</v>
      </c>
      <c r="H117" s="792"/>
      <c r="I117" s="249"/>
      <c r="J117" s="249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</row>
    <row r="118" ht="20.1" customHeight="1" spans="1:20">
      <c r="A118" s="734">
        <v>2.1</v>
      </c>
      <c r="B118" s="739" t="s">
        <v>652</v>
      </c>
      <c r="C118" s="219"/>
      <c r="D118" s="219"/>
      <c r="E118" s="506"/>
      <c r="F118" s="743"/>
      <c r="G118" s="506">
        <f>SUM(G119:G120)</f>
        <v>230004.850390184</v>
      </c>
      <c r="H118" s="792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</row>
    <row r="119" ht="20.1" customHeight="1" spans="1:20">
      <c r="A119" s="793"/>
      <c r="B119" s="794" t="s">
        <v>541</v>
      </c>
      <c r="C119" s="778"/>
      <c r="D119" s="795" t="s">
        <v>542</v>
      </c>
      <c r="E119" s="230">
        <f>工程量计算表!B32</f>
        <v>34344.460264325</v>
      </c>
      <c r="F119" s="660">
        <v>3.98</v>
      </c>
      <c r="G119" s="796">
        <f>E119*F119</f>
        <v>136690.951852013</v>
      </c>
      <c r="H119" s="797" t="s">
        <v>564</v>
      </c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</row>
    <row r="120" ht="20.1" customHeight="1" spans="1:20">
      <c r="A120" s="793"/>
      <c r="B120" s="794" t="s">
        <v>544</v>
      </c>
      <c r="C120" s="778"/>
      <c r="D120" s="795" t="s">
        <v>542</v>
      </c>
      <c r="E120" s="230">
        <f>E119*0.95</f>
        <v>32627.2372511087</v>
      </c>
      <c r="F120" s="660">
        <v>2.86</v>
      </c>
      <c r="G120" s="796">
        <f>E120*F120</f>
        <v>93313.898538171</v>
      </c>
      <c r="H120" s="797" t="s">
        <v>564</v>
      </c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</row>
    <row r="121" ht="20.1" customHeight="1" spans="1:20">
      <c r="A121" s="734">
        <v>2.2</v>
      </c>
      <c r="B121" s="739" t="s">
        <v>653</v>
      </c>
      <c r="C121" s="219"/>
      <c r="D121" s="219" t="s">
        <v>146</v>
      </c>
      <c r="E121" s="742">
        <f>SUM(E122:E129)</f>
        <v>1544274.81909091</v>
      </c>
      <c r="F121" s="743"/>
      <c r="G121" s="506">
        <f>SUM(G122:G129)</f>
        <v>1941245.36323636</v>
      </c>
      <c r="H121" s="792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</row>
    <row r="122" ht="20.1" customHeight="1" spans="1:20">
      <c r="A122" s="734"/>
      <c r="B122" s="534" t="s">
        <v>654</v>
      </c>
      <c r="C122" s="223" t="s">
        <v>655</v>
      </c>
      <c r="D122" s="222" t="s">
        <v>146</v>
      </c>
      <c r="E122" s="230">
        <f>工程量计算表!C4</f>
        <v>3959.93</v>
      </c>
      <c r="F122" s="660">
        <f>管材价格!$L$22</f>
        <v>145.26</v>
      </c>
      <c r="G122" s="660">
        <f>E122*F122</f>
        <v>575219.4318</v>
      </c>
      <c r="H122" s="792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</row>
    <row r="123" ht="20.1" customHeight="1" spans="1:20">
      <c r="A123" s="734"/>
      <c r="B123" s="534" t="s">
        <v>656</v>
      </c>
      <c r="C123" s="223"/>
      <c r="D123" s="222" t="s">
        <v>146</v>
      </c>
      <c r="E123" s="660">
        <f>工程量计算表!C5</f>
        <v>3763</v>
      </c>
      <c r="F123" s="660">
        <f>管材价格!$L$21</f>
        <v>115.68</v>
      </c>
      <c r="G123" s="660">
        <f t="shared" ref="G123:G129" si="7">E123*F123</f>
        <v>435303.84</v>
      </c>
      <c r="H123" s="737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</row>
    <row r="124" ht="20.1" customHeight="1" spans="1:20">
      <c r="A124" s="734"/>
      <c r="B124" s="534" t="s">
        <v>657</v>
      </c>
      <c r="C124" s="223"/>
      <c r="D124" s="222" t="s">
        <v>146</v>
      </c>
      <c r="E124" s="660">
        <f>工程量计算表!C6</f>
        <v>11122.26</v>
      </c>
      <c r="F124" s="660">
        <f>管材价格!$L$16</f>
        <v>37.68</v>
      </c>
      <c r="G124" s="660">
        <f t="shared" si="7"/>
        <v>419086.7568</v>
      </c>
      <c r="H124" s="737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</row>
    <row r="125" ht="20.1" customHeight="1" spans="1:20">
      <c r="A125" s="734"/>
      <c r="B125" s="534" t="s">
        <v>658</v>
      </c>
      <c r="C125" s="223"/>
      <c r="D125" s="223" t="s">
        <v>146</v>
      </c>
      <c r="E125" s="660">
        <f>工程量计算表!C7</f>
        <v>224</v>
      </c>
      <c r="F125" s="660">
        <f>管材价格!$L$14</f>
        <v>23.25</v>
      </c>
      <c r="G125" s="660">
        <f t="shared" si="7"/>
        <v>5208</v>
      </c>
      <c r="H125" s="737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</row>
    <row r="126" ht="20.1" customHeight="1" spans="1:20">
      <c r="A126" s="734"/>
      <c r="B126" s="534" t="s">
        <v>659</v>
      </c>
      <c r="C126" s="223"/>
      <c r="D126" s="223" t="s">
        <v>146</v>
      </c>
      <c r="E126" s="660">
        <f>工程量计算表!C8</f>
        <v>9505.3</v>
      </c>
      <c r="F126" s="660">
        <f>管材价格!$L$13</f>
        <v>17.75</v>
      </c>
      <c r="G126" s="660">
        <f t="shared" si="7"/>
        <v>168719.075</v>
      </c>
      <c r="H126" s="737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</row>
    <row r="127" ht="20.1" customHeight="1" spans="1:20">
      <c r="A127" s="734"/>
      <c r="B127" s="534" t="s">
        <v>660</v>
      </c>
      <c r="C127" s="223"/>
      <c r="D127" s="222" t="s">
        <v>146</v>
      </c>
      <c r="E127" s="660">
        <f>工程量计算表!C9</f>
        <v>378</v>
      </c>
      <c r="F127" s="660">
        <f>管材价格!$L$12</f>
        <v>14.85</v>
      </c>
      <c r="G127" s="660">
        <f t="shared" si="7"/>
        <v>5613.3</v>
      </c>
      <c r="H127" s="737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</row>
    <row r="128" ht="20.1" customHeight="1" spans="1:20">
      <c r="A128" s="734"/>
      <c r="B128" s="534" t="s">
        <v>661</v>
      </c>
      <c r="C128" s="223" t="s">
        <v>662</v>
      </c>
      <c r="D128" s="222" t="s">
        <v>146</v>
      </c>
      <c r="E128" s="660">
        <f>工程量计算表!C10*1.03</f>
        <v>16391.42</v>
      </c>
      <c r="F128" s="660">
        <f>[10]单价汇总!D$86</f>
        <v>3.8</v>
      </c>
      <c r="G128" s="660">
        <f t="shared" si="7"/>
        <v>62287.396</v>
      </c>
      <c r="H128" s="737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</row>
    <row r="129" ht="72.75" customHeight="1" spans="1:20">
      <c r="A129" s="734"/>
      <c r="B129" s="534" t="s">
        <v>663</v>
      </c>
      <c r="C129" s="223" t="s">
        <v>664</v>
      </c>
      <c r="D129" s="222" t="s">
        <v>146</v>
      </c>
      <c r="E129" s="241">
        <f>667/1.1*2472</f>
        <v>1498930.90909091</v>
      </c>
      <c r="F129" s="241">
        <v>0.18</v>
      </c>
      <c r="G129" s="241">
        <f t="shared" si="7"/>
        <v>269807.563636364</v>
      </c>
      <c r="H129" s="737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</row>
    <row r="130" ht="20.1" customHeight="1" spans="1:20">
      <c r="A130" s="734">
        <v>2.3</v>
      </c>
      <c r="B130" s="739" t="s">
        <v>665</v>
      </c>
      <c r="C130" s="219"/>
      <c r="D130" s="219" t="s">
        <v>146</v>
      </c>
      <c r="E130" s="742">
        <f>SUM(E132:E138)</f>
        <v>1540314.88909091</v>
      </c>
      <c r="F130" s="743"/>
      <c r="G130" s="506">
        <f>SUM(G131:G138)</f>
        <v>230438.205454545</v>
      </c>
      <c r="H130" s="792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49"/>
      <c r="T130" s="249"/>
    </row>
    <row r="131" ht="20.1" customHeight="1" spans="1:20">
      <c r="A131" s="734"/>
      <c r="B131" s="534" t="s">
        <v>654</v>
      </c>
      <c r="C131" s="223" t="s">
        <v>655</v>
      </c>
      <c r="D131" s="222" t="s">
        <v>146</v>
      </c>
      <c r="E131" s="241">
        <f>E122</f>
        <v>3959.93</v>
      </c>
      <c r="F131" s="241">
        <f>[10]单价汇总!$D$137</f>
        <v>5.2</v>
      </c>
      <c r="G131" s="241">
        <f>E131*F131</f>
        <v>20591.636</v>
      </c>
      <c r="H131" s="792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</row>
    <row r="132" ht="20.1" customHeight="1" spans="1:20">
      <c r="A132" s="734"/>
      <c r="B132" s="534" t="s">
        <v>656</v>
      </c>
      <c r="C132" s="223"/>
      <c r="D132" s="222" t="s">
        <v>146</v>
      </c>
      <c r="E132" s="241">
        <f t="shared" ref="E132:E138" si="8">E123</f>
        <v>3763</v>
      </c>
      <c r="F132" s="241">
        <f>[10]单价汇总!$D$137</f>
        <v>5.2</v>
      </c>
      <c r="G132" s="241">
        <f t="shared" ref="G132:G138" si="9">E132*F132</f>
        <v>19567.6</v>
      </c>
      <c r="H132" s="737"/>
      <c r="I132" s="249"/>
      <c r="J132" s="249"/>
      <c r="K132" s="249"/>
      <c r="L132" s="249"/>
      <c r="M132" s="249"/>
      <c r="N132" s="249"/>
      <c r="O132" s="249"/>
      <c r="P132" s="249"/>
      <c r="Q132" s="249"/>
      <c r="R132" s="249"/>
      <c r="S132" s="249"/>
      <c r="T132" s="249"/>
    </row>
    <row r="133" ht="20.1" customHeight="1" spans="1:20">
      <c r="A133" s="734"/>
      <c r="B133" s="534" t="s">
        <v>657</v>
      </c>
      <c r="C133" s="223"/>
      <c r="D133" s="222" t="s">
        <v>146</v>
      </c>
      <c r="E133" s="241">
        <f t="shared" si="8"/>
        <v>11122.26</v>
      </c>
      <c r="F133" s="241">
        <f>[10]单价汇总!$D$139</f>
        <v>3.9</v>
      </c>
      <c r="G133" s="241">
        <f t="shared" si="9"/>
        <v>43376.814</v>
      </c>
      <c r="H133" s="737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</row>
    <row r="134" ht="20.1" customHeight="1" spans="1:20">
      <c r="A134" s="734"/>
      <c r="B134" s="534" t="s">
        <v>658</v>
      </c>
      <c r="C134" s="223"/>
      <c r="D134" s="223" t="s">
        <v>146</v>
      </c>
      <c r="E134" s="241">
        <f t="shared" si="8"/>
        <v>224</v>
      </c>
      <c r="F134" s="241">
        <f>[10]单价汇总!$D$140</f>
        <v>3.9</v>
      </c>
      <c r="G134" s="241">
        <f t="shared" si="9"/>
        <v>873.6</v>
      </c>
      <c r="H134" s="737"/>
      <c r="I134" s="249"/>
      <c r="J134" s="249"/>
      <c r="K134" s="249"/>
      <c r="L134" s="249"/>
      <c r="M134" s="249"/>
      <c r="N134" s="249"/>
      <c r="O134" s="249"/>
      <c r="P134" s="249"/>
      <c r="Q134" s="249"/>
      <c r="R134" s="249"/>
      <c r="S134" s="249"/>
      <c r="T134" s="249"/>
    </row>
    <row r="135" ht="20.1" customHeight="1" spans="1:20">
      <c r="A135" s="734"/>
      <c r="B135" s="534" t="s">
        <v>659</v>
      </c>
      <c r="C135" s="223"/>
      <c r="D135" s="223" t="s">
        <v>146</v>
      </c>
      <c r="E135" s="241">
        <f t="shared" si="8"/>
        <v>9505.3</v>
      </c>
      <c r="F135" s="241">
        <f>[10]单价汇总!$D$141</f>
        <v>3.9</v>
      </c>
      <c r="G135" s="241">
        <f t="shared" si="9"/>
        <v>37070.67</v>
      </c>
      <c r="H135" s="737"/>
      <c r="I135" s="249"/>
      <c r="J135" s="249"/>
      <c r="K135" s="249"/>
      <c r="L135" s="249"/>
      <c r="M135" s="249"/>
      <c r="N135" s="249"/>
      <c r="O135" s="249"/>
      <c r="P135" s="249"/>
      <c r="Q135" s="249"/>
      <c r="R135" s="249"/>
      <c r="S135" s="249"/>
      <c r="T135" s="249"/>
    </row>
    <row r="136" ht="20.1" customHeight="1" spans="1:20">
      <c r="A136" s="734"/>
      <c r="B136" s="534" t="s">
        <v>660</v>
      </c>
      <c r="C136" s="223"/>
      <c r="D136" s="222" t="s">
        <v>146</v>
      </c>
      <c r="E136" s="241">
        <f t="shared" si="8"/>
        <v>378</v>
      </c>
      <c r="F136" s="241">
        <f>[10]单价汇总!$D$142</f>
        <v>3.25</v>
      </c>
      <c r="G136" s="241">
        <f t="shared" si="9"/>
        <v>1228.5</v>
      </c>
      <c r="H136" s="737"/>
      <c r="I136" s="249"/>
      <c r="J136" s="249"/>
      <c r="K136" s="249"/>
      <c r="L136" s="249"/>
      <c r="M136" s="249"/>
      <c r="N136" s="249"/>
      <c r="O136" s="249"/>
      <c r="P136" s="249"/>
      <c r="Q136" s="249"/>
      <c r="R136" s="249"/>
      <c r="S136" s="249"/>
      <c r="T136" s="249"/>
    </row>
    <row r="137" ht="20.1" customHeight="1" spans="1:20">
      <c r="A137" s="734"/>
      <c r="B137" s="534" t="s">
        <v>661</v>
      </c>
      <c r="C137" s="223" t="s">
        <v>662</v>
      </c>
      <c r="D137" s="222" t="s">
        <v>146</v>
      </c>
      <c r="E137" s="241">
        <f t="shared" si="8"/>
        <v>16391.42</v>
      </c>
      <c r="F137" s="241">
        <f>[10]单价汇总!$D$143</f>
        <v>2</v>
      </c>
      <c r="G137" s="241">
        <f t="shared" si="9"/>
        <v>32782.84</v>
      </c>
      <c r="H137" s="737"/>
      <c r="I137" s="249"/>
      <c r="J137" s="249"/>
      <c r="K137" s="249"/>
      <c r="L137" s="249"/>
      <c r="M137" s="249"/>
      <c r="N137" s="249"/>
      <c r="O137" s="249"/>
      <c r="P137" s="249"/>
      <c r="Q137" s="249"/>
      <c r="R137" s="249"/>
      <c r="S137" s="249"/>
      <c r="T137" s="249"/>
    </row>
    <row r="138" ht="69.75" customHeight="1" spans="1:20">
      <c r="A138" s="734"/>
      <c r="B138" s="534" t="s">
        <v>663</v>
      </c>
      <c r="C138" s="534" t="s">
        <v>664</v>
      </c>
      <c r="D138" s="222" t="s">
        <v>146</v>
      </c>
      <c r="E138" s="241">
        <f t="shared" si="8"/>
        <v>1498930.90909091</v>
      </c>
      <c r="F138" s="241">
        <v>0.05</v>
      </c>
      <c r="G138" s="241">
        <f t="shared" si="9"/>
        <v>74946.5454545455</v>
      </c>
      <c r="H138" s="737"/>
      <c r="I138" s="249"/>
      <c r="J138" s="249">
        <f>G138+G129</f>
        <v>344754.109090909</v>
      </c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</row>
    <row r="139" ht="59.25" customHeight="1" spans="1:20">
      <c r="A139" s="734">
        <v>3</v>
      </c>
      <c r="B139" s="739" t="s">
        <v>666</v>
      </c>
      <c r="C139" s="500" t="s">
        <v>667</v>
      </c>
      <c r="D139" s="501" t="s">
        <v>668</v>
      </c>
      <c r="E139" s="799"/>
      <c r="F139" s="799"/>
      <c r="G139" s="506">
        <f>SUM(G122:G128)*0.1</f>
        <v>167143.77996</v>
      </c>
      <c r="H139" s="744"/>
      <c r="I139" s="249"/>
      <c r="J139" s="249"/>
      <c r="K139" s="249"/>
      <c r="L139" s="249"/>
      <c r="M139" s="249"/>
      <c r="N139" s="249"/>
      <c r="O139" s="249"/>
      <c r="P139" s="249"/>
      <c r="Q139" s="249"/>
      <c r="R139" s="249"/>
      <c r="S139" s="249"/>
      <c r="T139" s="249"/>
    </row>
    <row r="140" ht="20.25" customHeight="1" spans="1:20">
      <c r="A140" s="738" t="s">
        <v>669</v>
      </c>
      <c r="B140" s="219" t="s">
        <v>670</v>
      </c>
      <c r="C140" s="800"/>
      <c r="D140" s="219" t="s">
        <v>146</v>
      </c>
      <c r="E140" s="506">
        <f>(8303+5112+2570)</f>
        <v>15985</v>
      </c>
      <c r="F140" s="801"/>
      <c r="G140" s="506">
        <f>SUM(G141:G142)</f>
        <v>359477.160003612</v>
      </c>
      <c r="H140" s="802"/>
      <c r="I140" s="249">
        <f>G140/E140</f>
        <v>22.4884053802698</v>
      </c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</row>
    <row r="141" ht="27.75" customHeight="1" spans="1:20">
      <c r="A141" s="757">
        <v>1.1</v>
      </c>
      <c r="B141" s="401" t="s">
        <v>671</v>
      </c>
      <c r="C141" s="534"/>
      <c r="D141" s="222" t="s">
        <v>570</v>
      </c>
      <c r="E141" s="241">
        <f>3.14*0.075*E140*1.03</f>
        <v>3877.401525</v>
      </c>
      <c r="F141" s="241">
        <f>单价汇总!$D$346/100</f>
        <v>13.0760895496678</v>
      </c>
      <c r="G141" s="241">
        <f>E141*F141</f>
        <v>50701.2495609185</v>
      </c>
      <c r="H141" s="802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</row>
    <row r="142" ht="26.25" customHeight="1" spans="1:20">
      <c r="A142" s="757">
        <v>1.2</v>
      </c>
      <c r="B142" s="534" t="s">
        <v>672</v>
      </c>
      <c r="C142" s="534"/>
      <c r="D142" s="222" t="s">
        <v>146</v>
      </c>
      <c r="E142" s="241">
        <f>E140</f>
        <v>15985</v>
      </c>
      <c r="F142" s="241">
        <f>单价汇总!$D$345/100</f>
        <v>19.3166037186546</v>
      </c>
      <c r="G142" s="241">
        <f>E142*F142</f>
        <v>308775.910442694</v>
      </c>
      <c r="H142" s="802"/>
      <c r="I142" s="249"/>
      <c r="J142" s="249"/>
      <c r="K142" s="249"/>
      <c r="L142" s="249"/>
      <c r="M142" s="249"/>
      <c r="N142" s="249"/>
      <c r="O142" s="249"/>
      <c r="P142" s="249"/>
      <c r="Q142" s="249"/>
      <c r="R142" s="249"/>
      <c r="S142" s="249"/>
      <c r="T142" s="249"/>
    </row>
    <row r="143" spans="1:20">
      <c r="A143" s="803" t="s">
        <v>673</v>
      </c>
      <c r="B143" s="804" t="s">
        <v>674</v>
      </c>
      <c r="C143" s="239"/>
      <c r="D143" s="239"/>
      <c r="E143" s="242"/>
      <c r="F143" s="242"/>
      <c r="G143" s="805" t="e">
        <f>G144</f>
        <v>#REF!</v>
      </c>
      <c r="H143" s="802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</row>
    <row r="144" spans="1:20">
      <c r="A144" s="738"/>
      <c r="B144" s="500" t="s">
        <v>675</v>
      </c>
      <c r="C144" s="771"/>
      <c r="D144" s="219" t="s">
        <v>76</v>
      </c>
      <c r="E144" s="506" t="e">
        <f>E145+E153</f>
        <v>#REF!</v>
      </c>
      <c r="F144" s="736" t="s">
        <v>676</v>
      </c>
      <c r="G144" s="736" t="e">
        <f>G145+G153+G161</f>
        <v>#REF!</v>
      </c>
      <c r="H144" s="802"/>
      <c r="I144" s="249"/>
      <c r="J144" s="249"/>
      <c r="K144" s="249"/>
      <c r="L144" s="249"/>
      <c r="M144" s="249"/>
      <c r="N144" s="249"/>
      <c r="O144" s="249"/>
      <c r="P144" s="249"/>
      <c r="Q144" s="249"/>
      <c r="R144" s="249"/>
      <c r="S144" s="249"/>
      <c r="T144" s="249"/>
    </row>
    <row r="145" ht="24" spans="1:20">
      <c r="A145" s="738">
        <v>1</v>
      </c>
      <c r="B145" s="501" t="s">
        <v>677</v>
      </c>
      <c r="C145" s="771"/>
      <c r="D145" s="219" t="s">
        <v>76</v>
      </c>
      <c r="E145" s="506">
        <f>0.582+0.406</f>
        <v>0.988</v>
      </c>
      <c r="F145" s="736" t="e">
        <f>G145/E145</f>
        <v>#REF!</v>
      </c>
      <c r="G145" s="736" t="e">
        <f>SUM(G146:G152)</f>
        <v>#REF!</v>
      </c>
      <c r="H145" s="802"/>
      <c r="I145" s="249"/>
      <c r="J145" s="249"/>
      <c r="K145" s="249"/>
      <c r="L145" s="249"/>
      <c r="M145" s="249"/>
      <c r="N145" s="249"/>
      <c r="O145" s="249"/>
      <c r="P145" s="249"/>
      <c r="Q145" s="249"/>
      <c r="R145" s="249"/>
      <c r="S145" s="249"/>
      <c r="T145" s="249"/>
    </row>
    <row r="146" ht="26.25" spans="1:20">
      <c r="A146" s="793"/>
      <c r="B146" s="718" t="s">
        <v>678</v>
      </c>
      <c r="C146" s="257"/>
      <c r="D146" s="222" t="s">
        <v>542</v>
      </c>
      <c r="E146" s="241">
        <f>E145*1000/7.48*1.482</f>
        <v>195.750802139037</v>
      </c>
      <c r="F146" s="796" t="e">
        <f>(#REF!+(0.19-0.14)*(#REF!-#REF!)/(0.21-0.14))/100</f>
        <v>#REF!</v>
      </c>
      <c r="G146" s="230" t="e">
        <f t="shared" ref="G146:G152" si="10">E146*F146</f>
        <v>#REF!</v>
      </c>
      <c r="H146" s="802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</row>
    <row r="147" spans="1:20">
      <c r="A147" s="793"/>
      <c r="B147" s="544" t="s">
        <v>679</v>
      </c>
      <c r="C147" s="257"/>
      <c r="D147" s="222" t="s">
        <v>542</v>
      </c>
      <c r="E147" s="241">
        <f>E145*1000/7.48*0.0063</f>
        <v>0.832139037433155</v>
      </c>
      <c r="F147" s="796">
        <v>5500</v>
      </c>
      <c r="G147" s="230">
        <f t="shared" si="10"/>
        <v>4576.76470588235</v>
      </c>
      <c r="H147" s="802"/>
      <c r="I147" s="249"/>
      <c r="J147" s="249"/>
      <c r="K147" s="249"/>
      <c r="L147" s="249"/>
      <c r="M147" s="249"/>
      <c r="N147" s="249"/>
      <c r="O147" s="249"/>
      <c r="P147" s="249"/>
      <c r="Q147" s="249"/>
      <c r="R147" s="249"/>
      <c r="S147" s="249"/>
      <c r="T147" s="249"/>
    </row>
    <row r="148" spans="1:20">
      <c r="A148" s="793"/>
      <c r="B148" s="544" t="s">
        <v>544</v>
      </c>
      <c r="C148" s="257"/>
      <c r="D148" s="222" t="s">
        <v>542</v>
      </c>
      <c r="E148" s="241">
        <v>2044.4</v>
      </c>
      <c r="F148" s="796">
        <f>单价汇总!$D$56/100</f>
        <v>6.64065742313715</v>
      </c>
      <c r="G148" s="230">
        <f t="shared" si="10"/>
        <v>13576.1600358616</v>
      </c>
      <c r="H148" s="802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</row>
    <row r="149" spans="1:20">
      <c r="A149" s="793"/>
      <c r="B149" s="544" t="s">
        <v>541</v>
      </c>
      <c r="C149" s="257"/>
      <c r="D149" s="222" t="s">
        <v>542</v>
      </c>
      <c r="E149" s="241">
        <v>1431.08</v>
      </c>
      <c r="F149" s="796">
        <v>4.17</v>
      </c>
      <c r="G149" s="230">
        <f t="shared" si="10"/>
        <v>5967.6036</v>
      </c>
      <c r="H149" s="802"/>
      <c r="I149" s="249"/>
      <c r="J149" s="249"/>
      <c r="K149" s="249"/>
      <c r="L149" s="249"/>
      <c r="M149" s="249"/>
      <c r="N149" s="249"/>
      <c r="O149" s="249"/>
      <c r="P149" s="249"/>
      <c r="Q149" s="249"/>
      <c r="R149" s="249"/>
      <c r="S149" s="249"/>
      <c r="T149" s="249"/>
    </row>
    <row r="150" spans="1:20">
      <c r="A150" s="793"/>
      <c r="B150" s="544" t="s">
        <v>680</v>
      </c>
      <c r="C150" s="257"/>
      <c r="D150" s="222" t="s">
        <v>542</v>
      </c>
      <c r="E150" s="241">
        <f>(E148*1.17-E149)</f>
        <v>960.868</v>
      </c>
      <c r="F150" s="796">
        <f>单价汇总!D50/100*0.91</f>
        <v>21.6348564383551</v>
      </c>
      <c r="G150" s="230">
        <f t="shared" si="10"/>
        <v>20788.2412362094</v>
      </c>
      <c r="H150" s="802"/>
      <c r="I150" s="249"/>
      <c r="J150" s="249"/>
      <c r="K150" s="249"/>
      <c r="L150" s="249"/>
      <c r="M150" s="249"/>
      <c r="N150" s="249"/>
      <c r="O150" s="249"/>
      <c r="P150" s="249"/>
      <c r="Q150" s="249"/>
      <c r="R150" s="249"/>
      <c r="S150" s="249"/>
      <c r="T150" s="249"/>
    </row>
    <row r="151" spans="1:20">
      <c r="A151" s="793"/>
      <c r="B151" s="544" t="s">
        <v>681</v>
      </c>
      <c r="C151" s="257"/>
      <c r="D151" s="222" t="s">
        <v>542</v>
      </c>
      <c r="E151" s="241">
        <f>E146*0.6</f>
        <v>117.450481283422</v>
      </c>
      <c r="F151" s="796" t="e">
        <f>#REF!/100+#REF!/100+10*0.48*2.5*1.09</f>
        <v>#REF!</v>
      </c>
      <c r="G151" s="230" t="e">
        <f t="shared" si="10"/>
        <v>#REF!</v>
      </c>
      <c r="H151" s="802"/>
      <c r="I151" s="249"/>
      <c r="J151" s="249"/>
      <c r="K151" s="249"/>
      <c r="L151" s="249"/>
      <c r="M151" s="249"/>
      <c r="N151" s="249"/>
      <c r="O151" s="249"/>
      <c r="P151" s="249"/>
      <c r="Q151" s="249"/>
      <c r="R151" s="249"/>
      <c r="S151" s="249"/>
      <c r="T151" s="249"/>
    </row>
    <row r="152" spans="1:20">
      <c r="A152" s="793"/>
      <c r="B152" s="544" t="s">
        <v>682</v>
      </c>
      <c r="C152" s="257"/>
      <c r="D152" s="222" t="s">
        <v>570</v>
      </c>
      <c r="E152" s="241">
        <f>E145*1000*0.97*2*1.1</f>
        <v>2108.392</v>
      </c>
      <c r="F152" s="241">
        <f>(单价汇总!$D$68*0.5+单价汇总!$D$69*0.5)/100</f>
        <v>1.01964601937928</v>
      </c>
      <c r="G152" s="230">
        <f t="shared" si="10"/>
        <v>2149.81351009112</v>
      </c>
      <c r="H152" s="802"/>
      <c r="I152" s="249"/>
      <c r="J152" s="249"/>
      <c r="K152" s="249"/>
      <c r="L152" s="249"/>
      <c r="M152" s="249"/>
      <c r="N152" s="249"/>
      <c r="O152" s="249"/>
      <c r="P152" s="249"/>
      <c r="Q152" s="249"/>
      <c r="R152" s="249"/>
      <c r="S152" s="249"/>
      <c r="T152" s="249"/>
    </row>
    <row r="153" ht="24.75" customHeight="1" spans="1:20">
      <c r="A153" s="738">
        <v>2</v>
      </c>
      <c r="B153" s="739" t="s">
        <v>683</v>
      </c>
      <c r="C153" s="257"/>
      <c r="D153" s="219" t="s">
        <v>76</v>
      </c>
      <c r="E153" s="506" t="e">
        <f>#REF!-E145</f>
        <v>#REF!</v>
      </c>
      <c r="F153" s="736" t="e">
        <f>G153/E153</f>
        <v>#REF!</v>
      </c>
      <c r="G153" s="736" t="e">
        <f>SUM(G154:G160)</f>
        <v>#REF!</v>
      </c>
      <c r="H153" s="802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</row>
    <row r="154" ht="26.25" spans="1:20">
      <c r="A154" s="793"/>
      <c r="B154" s="718" t="s">
        <v>684</v>
      </c>
      <c r="C154" s="257"/>
      <c r="D154" s="222" t="s">
        <v>542</v>
      </c>
      <c r="E154" s="241" t="e">
        <f>E153*1000/7.79*1.009</f>
        <v>#REF!</v>
      </c>
      <c r="F154" s="796" t="e">
        <f>(#REF!+(0.17-0.14)*(#REF!-#REF!)/(0.21-0.14))/100</f>
        <v>#REF!</v>
      </c>
      <c r="G154" s="230" t="e">
        <f t="shared" ref="G154:G160" si="11">E154*F154</f>
        <v>#REF!</v>
      </c>
      <c r="H154" s="802"/>
      <c r="I154" s="249"/>
      <c r="J154" s="249"/>
      <c r="K154" s="249"/>
      <c r="L154" s="249"/>
      <c r="M154" s="249"/>
      <c r="N154" s="249"/>
      <c r="O154" s="249"/>
      <c r="P154" s="249"/>
      <c r="Q154" s="249"/>
      <c r="R154" s="249"/>
      <c r="S154" s="249"/>
      <c r="T154" s="249"/>
    </row>
    <row r="155" spans="1:20">
      <c r="A155" s="793"/>
      <c r="B155" s="544" t="s">
        <v>679</v>
      </c>
      <c r="C155" s="257"/>
      <c r="D155" s="222" t="s">
        <v>542</v>
      </c>
      <c r="E155" s="241" t="e">
        <f>E153*1000/7.79*0.0041</f>
        <v>#REF!</v>
      </c>
      <c r="F155" s="796">
        <f>F147</f>
        <v>5500</v>
      </c>
      <c r="G155" s="230" t="e">
        <f t="shared" si="11"/>
        <v>#REF!</v>
      </c>
      <c r="H155" s="802"/>
      <c r="I155" s="249"/>
      <c r="J155" s="249"/>
      <c r="K155" s="249"/>
      <c r="L155" s="249"/>
      <c r="M155" s="249"/>
      <c r="N155" s="249"/>
      <c r="O155" s="249"/>
      <c r="P155" s="249"/>
      <c r="Q155" s="249"/>
      <c r="R155" s="249"/>
      <c r="S155" s="249"/>
      <c r="T155" s="249"/>
    </row>
    <row r="156" spans="1:20">
      <c r="A156" s="793"/>
      <c r="B156" s="544" t="s">
        <v>544</v>
      </c>
      <c r="C156" s="257"/>
      <c r="D156" s="222" t="s">
        <v>542</v>
      </c>
      <c r="E156" s="241">
        <v>493</v>
      </c>
      <c r="F156" s="796">
        <f>单价汇总!$D$56/100</f>
        <v>6.64065742313715</v>
      </c>
      <c r="G156" s="230">
        <f t="shared" si="11"/>
        <v>3273.84410960661</v>
      </c>
      <c r="H156" s="802"/>
      <c r="I156" s="249"/>
      <c r="J156" s="249"/>
      <c r="K156" s="249"/>
      <c r="L156" s="249"/>
      <c r="M156" s="249"/>
      <c r="N156" s="249"/>
      <c r="O156" s="249"/>
      <c r="P156" s="249"/>
      <c r="Q156" s="249"/>
      <c r="R156" s="249"/>
      <c r="S156" s="249"/>
      <c r="T156" s="249"/>
    </row>
    <row r="157" spans="1:20">
      <c r="A157" s="793"/>
      <c r="B157" s="544" t="s">
        <v>541</v>
      </c>
      <c r="C157" s="257"/>
      <c r="D157" s="222" t="s">
        <v>542</v>
      </c>
      <c r="E157" s="241">
        <v>406.725</v>
      </c>
      <c r="F157" s="796">
        <f>F149</f>
        <v>4.17</v>
      </c>
      <c r="G157" s="230">
        <f t="shared" si="11"/>
        <v>1696.04325</v>
      </c>
      <c r="H157" s="802"/>
      <c r="I157" s="249"/>
      <c r="J157" s="249"/>
      <c r="K157" s="249"/>
      <c r="L157" s="249"/>
      <c r="M157" s="249"/>
      <c r="N157" s="249"/>
      <c r="O157" s="249"/>
      <c r="P157" s="249"/>
      <c r="Q157" s="249"/>
      <c r="R157" s="249"/>
      <c r="S157" s="249"/>
      <c r="T157" s="249"/>
    </row>
    <row r="158" spans="1:20">
      <c r="A158" s="793"/>
      <c r="B158" s="544" t="s">
        <v>680</v>
      </c>
      <c r="C158" s="257"/>
      <c r="D158" s="222" t="s">
        <v>542</v>
      </c>
      <c r="E158" s="241">
        <f>(E156*1.17-E157)</f>
        <v>170.085</v>
      </c>
      <c r="F158" s="796">
        <f>F150</f>
        <v>21.6348564383551</v>
      </c>
      <c r="G158" s="230">
        <f t="shared" si="11"/>
        <v>3679.76455731762</v>
      </c>
      <c r="H158" s="802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</row>
    <row r="159" spans="1:20">
      <c r="A159" s="793"/>
      <c r="B159" s="544" t="s">
        <v>681</v>
      </c>
      <c r="C159" s="257"/>
      <c r="D159" s="222" t="s">
        <v>542</v>
      </c>
      <c r="E159" s="241" t="e">
        <f>E154*0.3</f>
        <v>#REF!</v>
      </c>
      <c r="F159" s="796" t="e">
        <f>F151</f>
        <v>#REF!</v>
      </c>
      <c r="G159" s="230" t="e">
        <f t="shared" si="11"/>
        <v>#REF!</v>
      </c>
      <c r="H159" s="802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</row>
    <row r="160" spans="1:20">
      <c r="A160" s="793"/>
      <c r="B160" s="544" t="s">
        <v>682</v>
      </c>
      <c r="C160" s="257"/>
      <c r="D160" s="222" t="s">
        <v>570</v>
      </c>
      <c r="E160" s="241" t="e">
        <f>E153*1000*0.75*2*1.1</f>
        <v>#REF!</v>
      </c>
      <c r="F160" s="241">
        <f>(单价汇总!$D$68*0.5+单价汇总!$D$69*0.5)/100</f>
        <v>1.01964601937928</v>
      </c>
      <c r="G160" s="230" t="e">
        <f t="shared" si="11"/>
        <v>#REF!</v>
      </c>
      <c r="H160" s="802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</row>
    <row r="161" spans="1:20">
      <c r="A161" s="738">
        <v>3</v>
      </c>
      <c r="B161" s="505" t="s">
        <v>685</v>
      </c>
      <c r="C161" s="257"/>
      <c r="D161" s="806" t="s">
        <v>80</v>
      </c>
      <c r="E161" s="742" t="e">
        <f>SUM(E162:E170)</f>
        <v>#REF!</v>
      </c>
      <c r="F161" s="506"/>
      <c r="G161" s="506" t="e">
        <f>SUM(G162:G170)</f>
        <v>#REF!</v>
      </c>
      <c r="H161" s="802"/>
      <c r="I161" s="249"/>
      <c r="J161" s="249"/>
      <c r="K161" s="249"/>
      <c r="L161" s="249"/>
      <c r="M161" s="249"/>
      <c r="N161" s="249"/>
      <c r="O161" s="249"/>
      <c r="P161" s="249"/>
      <c r="Q161" s="249"/>
      <c r="R161" s="249"/>
      <c r="S161" s="249"/>
      <c r="T161" s="249"/>
    </row>
    <row r="162" spans="1:20">
      <c r="A162" s="738"/>
      <c r="B162" s="401" t="s">
        <v>150</v>
      </c>
      <c r="C162" s="257"/>
      <c r="D162" s="222" t="s">
        <v>80</v>
      </c>
      <c r="E162" s="780" t="e">
        <f>#REF!</f>
        <v>#REF!</v>
      </c>
      <c r="F162" s="241" t="e">
        <f>#REF!</f>
        <v>#REF!</v>
      </c>
      <c r="G162" s="241" t="e">
        <f t="shared" ref="G162:G170" si="12">E162*F162</f>
        <v>#REF!</v>
      </c>
      <c r="H162" s="802"/>
      <c r="I162" s="249"/>
      <c r="J162" s="249"/>
      <c r="K162" s="249"/>
      <c r="L162" s="249"/>
      <c r="M162" s="249"/>
      <c r="N162" s="249"/>
      <c r="O162" s="249"/>
      <c r="P162" s="249"/>
      <c r="Q162" s="249"/>
      <c r="R162" s="249"/>
      <c r="S162" s="249"/>
      <c r="T162" s="249"/>
    </row>
    <row r="163" spans="1:20">
      <c r="A163" s="738"/>
      <c r="B163" s="401" t="s">
        <v>686</v>
      </c>
      <c r="C163" s="257"/>
      <c r="D163" s="222" t="s">
        <v>80</v>
      </c>
      <c r="E163" s="780" t="e">
        <f>#REF!</f>
        <v>#REF!</v>
      </c>
      <c r="F163" s="241" t="e">
        <f>#REF!</f>
        <v>#REF!</v>
      </c>
      <c r="G163" s="241" t="e">
        <f t="shared" si="12"/>
        <v>#REF!</v>
      </c>
      <c r="H163" s="802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</row>
    <row r="164" spans="1:20">
      <c r="A164" s="793"/>
      <c r="B164" s="401" t="s">
        <v>687</v>
      </c>
      <c r="C164" s="257"/>
      <c r="D164" s="222" t="s">
        <v>80</v>
      </c>
      <c r="E164" s="780" t="e">
        <f>#REF!</f>
        <v>#REF!</v>
      </c>
      <c r="F164" s="241" t="e">
        <f>#REF!</f>
        <v>#REF!</v>
      </c>
      <c r="G164" s="241" t="e">
        <f t="shared" si="12"/>
        <v>#REF!</v>
      </c>
      <c r="H164" s="802"/>
      <c r="I164" s="249"/>
      <c r="J164" s="249"/>
      <c r="K164" s="249"/>
      <c r="L164" s="249"/>
      <c r="M164" s="249"/>
      <c r="N164" s="249"/>
      <c r="O164" s="249"/>
      <c r="P164" s="249"/>
      <c r="Q164" s="249"/>
      <c r="R164" s="249"/>
      <c r="S164" s="249"/>
      <c r="T164" s="249"/>
    </row>
    <row r="165" spans="1:20">
      <c r="A165" s="793"/>
      <c r="B165" s="507" t="s">
        <v>688</v>
      </c>
      <c r="C165" s="257"/>
      <c r="D165" s="222" t="s">
        <v>80</v>
      </c>
      <c r="E165" s="780" t="e">
        <f>#REF!</f>
        <v>#REF!</v>
      </c>
      <c r="F165" s="241" t="e">
        <f>#REF!</f>
        <v>#REF!</v>
      </c>
      <c r="G165" s="241" t="e">
        <f t="shared" si="12"/>
        <v>#REF!</v>
      </c>
      <c r="H165" s="802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49"/>
      <c r="T165" s="249"/>
    </row>
    <row r="166" spans="1:20">
      <c r="A166" s="793"/>
      <c r="B166" s="507" t="s">
        <v>689</v>
      </c>
      <c r="C166" s="257"/>
      <c r="D166" s="222" t="s">
        <v>80</v>
      </c>
      <c r="E166" s="780" t="e">
        <f>#REF!</f>
        <v>#REF!</v>
      </c>
      <c r="F166" s="241" t="e">
        <f>#REF!</f>
        <v>#REF!</v>
      </c>
      <c r="G166" s="241" t="e">
        <f t="shared" si="12"/>
        <v>#REF!</v>
      </c>
      <c r="H166" s="802"/>
      <c r="I166" s="249"/>
      <c r="J166" s="249"/>
      <c r="K166" s="249"/>
      <c r="L166" s="249"/>
      <c r="M166" s="249"/>
      <c r="N166" s="249"/>
      <c r="O166" s="249"/>
      <c r="P166" s="249"/>
      <c r="Q166" s="249"/>
      <c r="R166" s="249"/>
      <c r="S166" s="249"/>
      <c r="T166" s="249"/>
    </row>
    <row r="167" spans="1:20">
      <c r="A167" s="793"/>
      <c r="B167" s="507" t="s">
        <v>690</v>
      </c>
      <c r="C167" s="257"/>
      <c r="D167" s="222" t="s">
        <v>80</v>
      </c>
      <c r="E167" s="780" t="e">
        <f>#REF!</f>
        <v>#REF!</v>
      </c>
      <c r="F167" s="241" t="e">
        <f>#REF!</f>
        <v>#REF!</v>
      </c>
      <c r="G167" s="241" t="e">
        <f t="shared" si="12"/>
        <v>#REF!</v>
      </c>
      <c r="H167" s="802"/>
      <c r="I167" s="249"/>
      <c r="J167" s="249"/>
      <c r="K167" s="249"/>
      <c r="L167" s="249"/>
      <c r="M167" s="249"/>
      <c r="N167" s="249"/>
      <c r="O167" s="249"/>
      <c r="P167" s="249"/>
      <c r="Q167" s="249"/>
      <c r="R167" s="249"/>
      <c r="S167" s="249"/>
      <c r="T167" s="249"/>
    </row>
    <row r="168" spans="1:20">
      <c r="A168" s="793"/>
      <c r="B168" s="507" t="s">
        <v>691</v>
      </c>
      <c r="C168" s="257"/>
      <c r="D168" s="222" t="s">
        <v>80</v>
      </c>
      <c r="E168" s="780" t="e">
        <f>#REF!</f>
        <v>#REF!</v>
      </c>
      <c r="F168" s="241" t="e">
        <f>#REF!</f>
        <v>#REF!</v>
      </c>
      <c r="G168" s="241" t="e">
        <f t="shared" si="12"/>
        <v>#REF!</v>
      </c>
      <c r="H168" s="802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</row>
    <row r="169" spans="1:20">
      <c r="A169" s="793"/>
      <c r="B169" s="401" t="s">
        <v>692</v>
      </c>
      <c r="C169" s="257"/>
      <c r="D169" s="222" t="s">
        <v>80</v>
      </c>
      <c r="E169" s="780" t="e">
        <f>#REF!</f>
        <v>#REF!</v>
      </c>
      <c r="F169" s="241" t="e">
        <f>#REF!</f>
        <v>#REF!</v>
      </c>
      <c r="G169" s="241" t="e">
        <f t="shared" si="12"/>
        <v>#REF!</v>
      </c>
      <c r="H169" s="802"/>
      <c r="I169" s="249"/>
      <c r="J169" s="249"/>
      <c r="K169" s="249"/>
      <c r="L169" s="249"/>
      <c r="M169" s="249"/>
      <c r="N169" s="249"/>
      <c r="O169" s="249"/>
      <c r="P169" s="249"/>
      <c r="Q169" s="249"/>
      <c r="R169" s="249"/>
      <c r="S169" s="249"/>
      <c r="T169" s="249"/>
    </row>
    <row r="170" spans="1:20">
      <c r="A170" s="793"/>
      <c r="B170" s="401" t="s">
        <v>693</v>
      </c>
      <c r="C170" s="257"/>
      <c r="D170" s="222" t="s">
        <v>80</v>
      </c>
      <c r="E170" s="780" t="e">
        <f>#REF!</f>
        <v>#REF!</v>
      </c>
      <c r="F170" s="241" t="e">
        <f>#REF!</f>
        <v>#REF!</v>
      </c>
      <c r="G170" s="241" t="e">
        <f t="shared" si="12"/>
        <v>#REF!</v>
      </c>
      <c r="H170" s="802"/>
      <c r="I170" s="249"/>
      <c r="J170" s="249"/>
      <c r="K170" s="249"/>
      <c r="L170" s="249"/>
      <c r="M170" s="249"/>
      <c r="N170" s="249"/>
      <c r="O170" s="249"/>
      <c r="P170" s="249"/>
      <c r="Q170" s="249"/>
      <c r="R170" s="249"/>
      <c r="S170" s="249"/>
      <c r="T170" s="249"/>
    </row>
  </sheetData>
  <mergeCells count="6">
    <mergeCell ref="A1:H1"/>
    <mergeCell ref="A2:H2"/>
    <mergeCell ref="C103:C104"/>
    <mergeCell ref="C111:C114"/>
    <mergeCell ref="C122:C127"/>
    <mergeCell ref="C131:C136"/>
  </mergeCells>
  <pageMargins left="0.747916666666667" right="0.747916666666667" top="0.984027777777778" bottom="0.984027777777778" header="0.511805555555556" footer="0.511805555555556"/>
  <pageSetup paperSize="9" scale="91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4"/>
  <sheetViews>
    <sheetView zoomScale="110" zoomScaleNormal="110" topLeftCell="A85" workbookViewId="0">
      <selection activeCell="E79" sqref="E79"/>
    </sheetView>
  </sheetViews>
  <sheetFormatPr defaultColWidth="9" defaultRowHeight="12.75"/>
  <cols>
    <col min="1" max="1" width="6.5" style="624" customWidth="1"/>
    <col min="2" max="2" width="28.125" style="499" customWidth="1"/>
    <col min="3" max="3" width="5.375" style="499" customWidth="1"/>
    <col min="4" max="4" width="13.7416666666667" style="493" customWidth="1"/>
    <col min="5" max="5" width="14.1333333333333" style="493" customWidth="1"/>
    <col min="6" max="6" width="10.125" style="493" customWidth="1"/>
    <col min="7" max="8" width="7.75" style="499" customWidth="1"/>
    <col min="9" max="9" width="14.625" style="499" customWidth="1"/>
    <col min="10" max="10" width="9.25" style="499"/>
    <col min="11" max="16384" width="9" style="499"/>
  </cols>
  <sheetData>
    <row r="1" ht="18.75" spans="1:8">
      <c r="A1" s="625" t="s">
        <v>694</v>
      </c>
      <c r="B1" s="625"/>
      <c r="C1" s="625"/>
      <c r="D1" s="626"/>
      <c r="E1" s="626"/>
      <c r="F1" s="626"/>
      <c r="G1" s="627"/>
      <c r="H1" s="628"/>
    </row>
    <row r="2" ht="13.5" spans="1:8">
      <c r="A2" s="629" t="s">
        <v>695</v>
      </c>
      <c r="B2" s="630"/>
      <c r="C2" s="630"/>
      <c r="D2" s="631"/>
      <c r="E2" s="631"/>
      <c r="F2" s="632"/>
      <c r="G2" s="633"/>
      <c r="H2" s="634"/>
    </row>
    <row r="3" spans="1:8">
      <c r="A3" s="635" t="s">
        <v>458</v>
      </c>
      <c r="B3" s="636" t="s">
        <v>696</v>
      </c>
      <c r="C3" s="637" t="s">
        <v>55</v>
      </c>
      <c r="D3" s="637" t="s">
        <v>191</v>
      </c>
      <c r="E3" s="637" t="s">
        <v>697</v>
      </c>
      <c r="F3" s="637" t="s">
        <v>698</v>
      </c>
      <c r="G3" s="638" t="s">
        <v>119</v>
      </c>
      <c r="H3" s="639"/>
    </row>
    <row r="4" ht="18" customHeight="1" spans="1:8">
      <c r="A4" s="640"/>
      <c r="B4" s="641" t="s">
        <v>699</v>
      </c>
      <c r="C4" s="642"/>
      <c r="D4" s="467"/>
      <c r="E4" s="467"/>
      <c r="F4" s="643">
        <f>F5+F81+F125</f>
        <v>17858568.8651187</v>
      </c>
      <c r="G4" s="644"/>
      <c r="H4" s="645"/>
    </row>
    <row r="5" ht="18" customHeight="1" spans="1:8">
      <c r="A5" s="640" t="s">
        <v>472</v>
      </c>
      <c r="B5" s="329" t="s">
        <v>700</v>
      </c>
      <c r="C5" s="646"/>
      <c r="D5" s="647"/>
      <c r="E5" s="648"/>
      <c r="F5" s="643">
        <f>F6+F49</f>
        <v>1596955.35126257</v>
      </c>
      <c r="G5" s="649"/>
      <c r="H5" s="634"/>
    </row>
    <row r="6" ht="18" customHeight="1" spans="1:8">
      <c r="A6" s="650" t="s">
        <v>701</v>
      </c>
      <c r="B6" s="329" t="s">
        <v>325</v>
      </c>
      <c r="C6" s="646"/>
      <c r="D6" s="647"/>
      <c r="E6" s="648"/>
      <c r="F6" s="643">
        <f>F7+F18+F29+F36</f>
        <v>541702.235910721</v>
      </c>
      <c r="G6" s="649"/>
      <c r="H6" s="634"/>
    </row>
    <row r="7" ht="18" customHeight="1" spans="1:8">
      <c r="A7" s="651">
        <v>1</v>
      </c>
      <c r="B7" s="652" t="s">
        <v>702</v>
      </c>
      <c r="C7" s="653" t="s">
        <v>80</v>
      </c>
      <c r="D7" s="654">
        <v>1</v>
      </c>
      <c r="E7" s="655"/>
      <c r="F7" s="656">
        <f>SUM(F8:F17)</f>
        <v>96397.6389228677</v>
      </c>
      <c r="G7" s="657"/>
      <c r="H7" s="658"/>
    </row>
    <row r="8" s="499" customFormat="1" ht="18" customHeight="1" spans="1:8">
      <c r="A8" s="651"/>
      <c r="B8" s="659" t="s">
        <v>703</v>
      </c>
      <c r="C8" s="291" t="s">
        <v>704</v>
      </c>
      <c r="D8" s="208">
        <v>1080</v>
      </c>
      <c r="E8" s="660">
        <f>单价汇总!$D$44/100</f>
        <v>3.24922119861723</v>
      </c>
      <c r="F8" s="661">
        <f>D8*E8</f>
        <v>3509.15889450661</v>
      </c>
      <c r="G8" s="662"/>
      <c r="H8" s="663"/>
    </row>
    <row r="9" s="499" customFormat="1" ht="18" customHeight="1" spans="1:8">
      <c r="A9" s="651"/>
      <c r="B9" s="659" t="s">
        <v>544</v>
      </c>
      <c r="C9" s="291" t="s">
        <v>704</v>
      </c>
      <c r="D9" s="208">
        <v>864</v>
      </c>
      <c r="E9" s="241">
        <f>单价汇总!$D$60/100</f>
        <v>17.5683160257823</v>
      </c>
      <c r="F9" s="661">
        <f t="shared" ref="F9:F17" si="0">D9*E9</f>
        <v>15179.0250462759</v>
      </c>
      <c r="G9" s="662"/>
      <c r="H9" s="663"/>
    </row>
    <row r="10" s="499" customFormat="1" ht="18" customHeight="1" spans="1:8">
      <c r="A10" s="651"/>
      <c r="B10" s="659" t="s">
        <v>705</v>
      </c>
      <c r="C10" s="291" t="s">
        <v>704</v>
      </c>
      <c r="D10" s="208">
        <v>96</v>
      </c>
      <c r="E10" s="664">
        <f>单价汇总!$D$388/100</f>
        <v>18.9271791948891</v>
      </c>
      <c r="F10" s="661">
        <f t="shared" si="0"/>
        <v>1817.00920270935</v>
      </c>
      <c r="G10" s="662"/>
      <c r="H10" s="663"/>
    </row>
    <row r="11" s="499" customFormat="1" ht="18" customHeight="1" spans="1:8">
      <c r="A11" s="651"/>
      <c r="B11" s="659" t="s">
        <v>706</v>
      </c>
      <c r="C11" s="291" t="s">
        <v>704</v>
      </c>
      <c r="D11" s="208">
        <v>7.5</v>
      </c>
      <c r="E11" s="664">
        <f>单价汇总!$D$389/100</f>
        <v>64.036601999425</v>
      </c>
      <c r="F11" s="661">
        <f t="shared" si="0"/>
        <v>480.274514995688</v>
      </c>
      <c r="G11" s="662"/>
      <c r="H11" s="663"/>
    </row>
    <row r="12" s="499" customFormat="1" ht="18" customHeight="1" spans="1:8">
      <c r="A12" s="651"/>
      <c r="B12" s="659" t="s">
        <v>707</v>
      </c>
      <c r="C12" s="291" t="s">
        <v>704</v>
      </c>
      <c r="D12" s="208">
        <v>0.21</v>
      </c>
      <c r="E12" s="664">
        <f>单价汇总!$D$206</f>
        <v>6271.57491352639</v>
      </c>
      <c r="F12" s="661">
        <f t="shared" si="0"/>
        <v>1317.03073184054</v>
      </c>
      <c r="G12" s="662"/>
      <c r="H12" s="663"/>
    </row>
    <row r="13" s="499" customFormat="1" ht="18" customHeight="1" spans="1:8">
      <c r="A13" s="280"/>
      <c r="B13" s="468" t="s">
        <v>708</v>
      </c>
      <c r="C13" s="281" t="s">
        <v>704</v>
      </c>
      <c r="D13" s="208">
        <v>13.7</v>
      </c>
      <c r="E13" s="665">
        <f>单价汇总!$D$125/100</f>
        <v>615.057487475827</v>
      </c>
      <c r="F13" s="661">
        <f t="shared" si="0"/>
        <v>8426.28757841883</v>
      </c>
      <c r="G13" s="662"/>
      <c r="H13" s="663"/>
    </row>
    <row r="14" s="499" customFormat="1" ht="18" customHeight="1" spans="1:8">
      <c r="A14" s="280"/>
      <c r="B14" s="468" t="s">
        <v>709</v>
      </c>
      <c r="C14" s="281" t="s">
        <v>704</v>
      </c>
      <c r="D14" s="208">
        <v>0.48</v>
      </c>
      <c r="E14" s="241">
        <f>单价汇总!$D$151/100</f>
        <v>479.165881575749</v>
      </c>
      <c r="F14" s="661">
        <f t="shared" si="0"/>
        <v>229.999623156359</v>
      </c>
      <c r="G14" s="662"/>
      <c r="H14" s="663"/>
    </row>
    <row r="15" s="499" customFormat="1" ht="18" customHeight="1" spans="1:8">
      <c r="A15" s="280"/>
      <c r="B15" s="468" t="s">
        <v>545</v>
      </c>
      <c r="C15" s="281" t="s">
        <v>704</v>
      </c>
      <c r="D15" s="208">
        <v>130.8</v>
      </c>
      <c r="E15" s="241">
        <f>单价汇总!$D$92/100</f>
        <v>343.762477590712</v>
      </c>
      <c r="F15" s="661">
        <f t="shared" si="0"/>
        <v>44964.1320688651</v>
      </c>
      <c r="G15" s="662"/>
      <c r="H15" s="663"/>
    </row>
    <row r="16" s="499" customFormat="1" ht="18" customHeight="1" spans="1:8">
      <c r="A16" s="280"/>
      <c r="B16" s="468" t="s">
        <v>571</v>
      </c>
      <c r="C16" s="281" t="s">
        <v>704</v>
      </c>
      <c r="D16" s="208">
        <v>10.12</v>
      </c>
      <c r="E16" s="666">
        <f>单价汇总!$D$81/100</f>
        <v>126.028555399238</v>
      </c>
      <c r="F16" s="661">
        <f t="shared" si="0"/>
        <v>1275.40898064029</v>
      </c>
      <c r="G16" s="662"/>
      <c r="H16" s="663"/>
    </row>
    <row r="17" s="499" customFormat="1" ht="31" customHeight="1" spans="1:8">
      <c r="A17" s="280"/>
      <c r="B17" s="268" t="s">
        <v>710</v>
      </c>
      <c r="C17" s="281" t="s">
        <v>146</v>
      </c>
      <c r="D17" s="208">
        <v>20</v>
      </c>
      <c r="E17" s="664">
        <f>单价汇总!$D$295/10</f>
        <v>959.96561407295</v>
      </c>
      <c r="F17" s="661">
        <f t="shared" si="0"/>
        <v>19199.312281459</v>
      </c>
      <c r="G17" s="662"/>
      <c r="H17" s="663"/>
    </row>
    <row r="18" s="499" customFormat="1" ht="18" customHeight="1" spans="1:8">
      <c r="A18" s="650">
        <v>2</v>
      </c>
      <c r="B18" s="641" t="s">
        <v>711</v>
      </c>
      <c r="C18" s="646" t="s">
        <v>80</v>
      </c>
      <c r="D18" s="667">
        <v>1</v>
      </c>
      <c r="E18" s="668"/>
      <c r="F18" s="643">
        <f>SUM(F19:F28)</f>
        <v>31212.9600745741</v>
      </c>
      <c r="G18" s="649"/>
      <c r="H18" s="634"/>
    </row>
    <row r="19" s="499" customFormat="1" ht="18" customHeight="1" spans="1:8">
      <c r="A19" s="650"/>
      <c r="B19" s="268" t="s">
        <v>703</v>
      </c>
      <c r="C19" s="281" t="s">
        <v>704</v>
      </c>
      <c r="D19" s="208">
        <v>200.96</v>
      </c>
      <c r="E19" s="660">
        <f>单价汇总!$D$44/100</f>
        <v>3.24922119861723</v>
      </c>
      <c r="F19" s="665">
        <f>D19*E19</f>
        <v>652.963492074118</v>
      </c>
      <c r="G19" s="644"/>
      <c r="H19" s="645"/>
    </row>
    <row r="20" s="499" customFormat="1" ht="18" customHeight="1" spans="1:8">
      <c r="A20" s="650"/>
      <c r="B20" s="268" t="s">
        <v>544</v>
      </c>
      <c r="C20" s="281" t="s">
        <v>704</v>
      </c>
      <c r="D20" s="208">
        <v>134.5176</v>
      </c>
      <c r="E20" s="241">
        <f>单价汇总!$D$60/100</f>
        <v>17.5683160257823</v>
      </c>
      <c r="F20" s="665">
        <f>D20*E20</f>
        <v>2363.24770782978</v>
      </c>
      <c r="G20" s="644"/>
      <c r="H20" s="645"/>
    </row>
    <row r="21" s="499" customFormat="1" ht="18" customHeight="1" spans="1:8">
      <c r="A21" s="650"/>
      <c r="B21" s="468" t="s">
        <v>571</v>
      </c>
      <c r="C21" s="281" t="s">
        <v>704</v>
      </c>
      <c r="D21" s="208">
        <v>5.8875</v>
      </c>
      <c r="E21" s="666">
        <f>单价汇总!$D$81/100</f>
        <v>126.028555399238</v>
      </c>
      <c r="F21" s="665">
        <f t="shared" ref="F21:F28" si="1">D21*E21</f>
        <v>741.993119913014</v>
      </c>
      <c r="G21" s="644"/>
      <c r="H21" s="645"/>
    </row>
    <row r="22" s="499" customFormat="1" ht="18" customHeight="1" spans="1:8">
      <c r="A22" s="650"/>
      <c r="B22" s="468" t="s">
        <v>626</v>
      </c>
      <c r="C22" s="281" t="s">
        <v>704</v>
      </c>
      <c r="D22" s="208">
        <v>2.94375</v>
      </c>
      <c r="E22" s="665">
        <f>单价汇总!$D$137/100</f>
        <v>431.255139801307</v>
      </c>
      <c r="F22" s="665">
        <f t="shared" si="1"/>
        <v>1269.5073177901</v>
      </c>
      <c r="G22" s="644"/>
      <c r="H22" s="645"/>
    </row>
    <row r="23" s="499" customFormat="1" ht="18" customHeight="1" spans="1:8">
      <c r="A23" s="650"/>
      <c r="B23" s="468" t="s">
        <v>712</v>
      </c>
      <c r="C23" s="281" t="s">
        <v>704</v>
      </c>
      <c r="D23" s="208">
        <v>17.9863125</v>
      </c>
      <c r="E23" s="665">
        <f>单价汇总!$D$125/100</f>
        <v>615.057487475827</v>
      </c>
      <c r="F23" s="665">
        <f t="shared" si="1"/>
        <v>11062.6161752051</v>
      </c>
      <c r="G23" s="644"/>
      <c r="H23" s="645"/>
    </row>
    <row r="24" s="499" customFormat="1" ht="18" customHeight="1" spans="1:8">
      <c r="A24" s="650"/>
      <c r="B24" s="468" t="s">
        <v>713</v>
      </c>
      <c r="C24" s="281" t="s">
        <v>704</v>
      </c>
      <c r="D24" s="208">
        <v>1.08016</v>
      </c>
      <c r="E24" s="241">
        <f>单价汇总!$D$151/100</f>
        <v>479.165881575749</v>
      </c>
      <c r="F24" s="665">
        <f t="shared" si="1"/>
        <v>517.575818642861</v>
      </c>
      <c r="G24" s="644"/>
      <c r="H24" s="645"/>
    </row>
    <row r="25" s="499" customFormat="1" ht="18" customHeight="1" spans="1:8">
      <c r="A25" s="650"/>
      <c r="B25" s="468" t="s">
        <v>545</v>
      </c>
      <c r="C25" s="281" t="s">
        <v>704</v>
      </c>
      <c r="D25" s="208">
        <v>10.56</v>
      </c>
      <c r="E25" s="241">
        <f>单价汇总!$D$92/100</f>
        <v>343.762477590712</v>
      </c>
      <c r="F25" s="665">
        <f t="shared" si="1"/>
        <v>3630.13176335792</v>
      </c>
      <c r="G25" s="644"/>
      <c r="H25" s="645"/>
    </row>
    <row r="26" s="499" customFormat="1" ht="18" customHeight="1" spans="1:8">
      <c r="A26" s="650"/>
      <c r="B26" s="468" t="s">
        <v>714</v>
      </c>
      <c r="C26" s="281" t="s">
        <v>597</v>
      </c>
      <c r="D26" s="208">
        <v>15</v>
      </c>
      <c r="E26" s="665">
        <v>120</v>
      </c>
      <c r="F26" s="665">
        <f t="shared" si="1"/>
        <v>1800</v>
      </c>
      <c r="G26" s="644"/>
      <c r="H26" s="645"/>
    </row>
    <row r="27" s="499" customFormat="1" ht="18" customHeight="1" spans="1:8">
      <c r="A27" s="650"/>
      <c r="B27" s="669" t="s">
        <v>715</v>
      </c>
      <c r="C27" s="281" t="s">
        <v>704</v>
      </c>
      <c r="D27" s="208">
        <v>0.32</v>
      </c>
      <c r="E27" s="665">
        <f>单价汇总!$D$132/100</f>
        <v>609.99058132871</v>
      </c>
      <c r="F27" s="665">
        <f t="shared" si="1"/>
        <v>195.196986025187</v>
      </c>
      <c r="G27" s="644"/>
      <c r="H27" s="645"/>
    </row>
    <row r="28" s="499" customFormat="1" ht="18" customHeight="1" spans="1:8">
      <c r="A28" s="650"/>
      <c r="B28" s="268" t="s">
        <v>549</v>
      </c>
      <c r="C28" s="281" t="s">
        <v>580</v>
      </c>
      <c r="D28" s="208">
        <v>1.438905</v>
      </c>
      <c r="E28" s="230">
        <f>单价汇总!$D$196</f>
        <v>6240.66751713011</v>
      </c>
      <c r="F28" s="665">
        <f t="shared" si="1"/>
        <v>8979.7276937361</v>
      </c>
      <c r="G28" s="644"/>
      <c r="H28" s="645"/>
    </row>
    <row r="29" ht="18" customHeight="1" spans="1:8">
      <c r="A29" s="650">
        <v>3</v>
      </c>
      <c r="B29" s="641" t="s">
        <v>716</v>
      </c>
      <c r="C29" s="646" t="s">
        <v>80</v>
      </c>
      <c r="D29" s="667">
        <v>1</v>
      </c>
      <c r="E29" s="668"/>
      <c r="F29" s="643">
        <f>SUM(F30:F35)</f>
        <v>123666.015387102</v>
      </c>
      <c r="G29" s="644"/>
      <c r="H29" s="645"/>
    </row>
    <row r="30" s="499" customFormat="1" ht="18" customHeight="1" spans="1:8">
      <c r="A30" s="650"/>
      <c r="B30" s="268" t="s">
        <v>703</v>
      </c>
      <c r="C30" s="281" t="s">
        <v>704</v>
      </c>
      <c r="D30" s="207">
        <v>472.5</v>
      </c>
      <c r="E30" s="660">
        <f>单价汇总!$D$44/100</f>
        <v>3.24922119861723</v>
      </c>
      <c r="F30" s="665">
        <f t="shared" ref="F30:F35" si="2">D30*E30</f>
        <v>1535.25701634664</v>
      </c>
      <c r="G30" s="644"/>
      <c r="H30" s="645"/>
    </row>
    <row r="31" s="499" customFormat="1" ht="18" customHeight="1" spans="1:8">
      <c r="A31" s="650"/>
      <c r="B31" s="268" t="s">
        <v>544</v>
      </c>
      <c r="C31" s="281" t="s">
        <v>704</v>
      </c>
      <c r="D31" s="664">
        <v>268.38</v>
      </c>
      <c r="E31" s="241">
        <f>单价汇总!$D$60/100</f>
        <v>17.5683160257823</v>
      </c>
      <c r="F31" s="665">
        <f t="shared" si="2"/>
        <v>4714.98465499946</v>
      </c>
      <c r="G31" s="644"/>
      <c r="H31" s="645"/>
    </row>
    <row r="32" s="499" customFormat="1" ht="18" customHeight="1" spans="1:8">
      <c r="A32" s="650"/>
      <c r="B32" s="468" t="s">
        <v>571</v>
      </c>
      <c r="C32" s="281" t="s">
        <v>704</v>
      </c>
      <c r="D32" s="207">
        <v>51.832</v>
      </c>
      <c r="E32" s="666">
        <f>单价汇总!$D$81/100</f>
        <v>126.028555399238</v>
      </c>
      <c r="F32" s="665">
        <f t="shared" si="2"/>
        <v>6532.3120834533</v>
      </c>
      <c r="G32" s="644"/>
      <c r="H32" s="645"/>
    </row>
    <row r="33" s="499" customFormat="1" ht="18" customHeight="1" spans="1:8">
      <c r="A33" s="650"/>
      <c r="B33" s="468" t="s">
        <v>626</v>
      </c>
      <c r="C33" s="281" t="s">
        <v>704</v>
      </c>
      <c r="D33" s="207">
        <v>15.5496</v>
      </c>
      <c r="E33" s="665">
        <f>单价汇总!$D$137/100</f>
        <v>431.255139801307</v>
      </c>
      <c r="F33" s="665">
        <f t="shared" si="2"/>
        <v>6705.8449218544</v>
      </c>
      <c r="G33" s="644"/>
      <c r="H33" s="645"/>
    </row>
    <row r="34" s="499" customFormat="1" ht="18" customHeight="1" spans="1:8">
      <c r="A34" s="650"/>
      <c r="B34" s="468" t="s">
        <v>712</v>
      </c>
      <c r="C34" s="281" t="s">
        <v>704</v>
      </c>
      <c r="D34" s="207">
        <v>96.184</v>
      </c>
      <c r="E34" s="230">
        <f>单价汇总!$D$125/100</f>
        <v>615.057487475827</v>
      </c>
      <c r="F34" s="665">
        <f t="shared" si="2"/>
        <v>59158.6893753749</v>
      </c>
      <c r="G34" s="644"/>
      <c r="H34" s="645"/>
    </row>
    <row r="35" s="499" customFormat="1" ht="18" customHeight="1" spans="1:8">
      <c r="A35" s="650"/>
      <c r="B35" s="670" t="s">
        <v>549</v>
      </c>
      <c r="C35" s="281" t="s">
        <v>580</v>
      </c>
      <c r="D35" s="664">
        <v>7.2138</v>
      </c>
      <c r="E35" s="230">
        <f>单价汇总!$D$196</f>
        <v>6240.66751713011</v>
      </c>
      <c r="F35" s="665">
        <f t="shared" si="2"/>
        <v>45018.9273350732</v>
      </c>
      <c r="G35" s="644"/>
      <c r="H35" s="645"/>
    </row>
    <row r="36" ht="18" customHeight="1" spans="1:8">
      <c r="A36" s="651">
        <v>4</v>
      </c>
      <c r="B36" s="671" t="s">
        <v>717</v>
      </c>
      <c r="C36" s="672"/>
      <c r="D36" s="526"/>
      <c r="E36" s="668"/>
      <c r="F36" s="668">
        <f>SUM(F37:F48)</f>
        <v>290425.621526178</v>
      </c>
      <c r="G36" s="649"/>
      <c r="H36" s="634"/>
    </row>
    <row r="37" s="499" customFormat="1" ht="18" customHeight="1" spans="1:8">
      <c r="A37" s="651"/>
      <c r="B37" s="673" t="s">
        <v>703</v>
      </c>
      <c r="C37" s="674" t="s">
        <v>704</v>
      </c>
      <c r="D37" s="675">
        <v>1020</v>
      </c>
      <c r="E37" s="660">
        <f>单价汇总!$D$44/100</f>
        <v>3.24922119861723</v>
      </c>
      <c r="F37" s="665">
        <f>D37*E37</f>
        <v>3314.20562258957</v>
      </c>
      <c r="G37" s="649"/>
      <c r="H37" s="634"/>
    </row>
    <row r="38" s="499" customFormat="1" ht="18" customHeight="1" spans="1:8">
      <c r="A38" s="651"/>
      <c r="B38" s="673" t="s">
        <v>718</v>
      </c>
      <c r="C38" s="674" t="s">
        <v>704</v>
      </c>
      <c r="D38" s="675">
        <v>1020</v>
      </c>
      <c r="E38" s="676">
        <f>单价汇总!$D$51/100</f>
        <v>17.4951618110922</v>
      </c>
      <c r="F38" s="665">
        <f t="shared" ref="F38:F48" si="3">D38*E38</f>
        <v>17845.065047314</v>
      </c>
      <c r="G38" s="649"/>
      <c r="H38" s="634"/>
    </row>
    <row r="39" s="499" customFormat="1" ht="18" customHeight="1" spans="1:8">
      <c r="A39" s="280"/>
      <c r="B39" s="659" t="s">
        <v>719</v>
      </c>
      <c r="C39" s="281" t="s">
        <v>720</v>
      </c>
      <c r="D39" s="677">
        <v>64.8</v>
      </c>
      <c r="E39" s="665">
        <v>2200</v>
      </c>
      <c r="F39" s="665">
        <f t="shared" si="3"/>
        <v>142560</v>
      </c>
      <c r="G39" s="644" t="s">
        <v>721</v>
      </c>
      <c r="H39" s="645"/>
    </row>
    <row r="40" s="499" customFormat="1" ht="18" customHeight="1" spans="1:8">
      <c r="A40" s="280"/>
      <c r="B40" s="659" t="s">
        <v>722</v>
      </c>
      <c r="C40" s="281" t="s">
        <v>720</v>
      </c>
      <c r="D40" s="208">
        <v>43.2</v>
      </c>
      <c r="E40" s="665">
        <f>2200</f>
        <v>2200</v>
      </c>
      <c r="F40" s="665">
        <f t="shared" si="3"/>
        <v>95040</v>
      </c>
      <c r="G40" s="644" t="s">
        <v>721</v>
      </c>
      <c r="H40" s="645"/>
    </row>
    <row r="41" s="499" customFormat="1" ht="18" customHeight="1" spans="1:8">
      <c r="A41" s="280"/>
      <c r="B41" s="659"/>
      <c r="C41" s="281"/>
      <c r="D41" s="208"/>
      <c r="E41" s="665"/>
      <c r="F41" s="665"/>
      <c r="G41" s="644"/>
      <c r="H41" s="645"/>
    </row>
    <row r="42" s="499" customFormat="1" ht="18" customHeight="1" spans="1:8">
      <c r="A42" s="678"/>
      <c r="B42" s="468" t="s">
        <v>723</v>
      </c>
      <c r="C42" s="281" t="s">
        <v>597</v>
      </c>
      <c r="D42" s="207">
        <v>50</v>
      </c>
      <c r="E42" s="665">
        <v>150</v>
      </c>
      <c r="F42" s="665">
        <f t="shared" si="3"/>
        <v>7500</v>
      </c>
      <c r="G42" s="644"/>
      <c r="H42" s="645"/>
    </row>
    <row r="43" s="499" customFormat="1" ht="18" customHeight="1" spans="1:8">
      <c r="A43" s="678"/>
      <c r="B43" s="468" t="s">
        <v>724</v>
      </c>
      <c r="C43" s="281" t="s">
        <v>552</v>
      </c>
      <c r="D43" s="207">
        <v>1</v>
      </c>
      <c r="E43" s="665">
        <v>5000</v>
      </c>
      <c r="F43" s="665">
        <f t="shared" si="3"/>
        <v>5000</v>
      </c>
      <c r="G43" s="644"/>
      <c r="H43" s="645"/>
    </row>
    <row r="44" s="499" customFormat="1" ht="18" customHeight="1" spans="1:8">
      <c r="A44" s="678"/>
      <c r="B44" s="468" t="s">
        <v>725</v>
      </c>
      <c r="C44" s="281" t="s">
        <v>726</v>
      </c>
      <c r="D44" s="608">
        <v>64</v>
      </c>
      <c r="E44" s="665">
        <v>75</v>
      </c>
      <c r="F44" s="665">
        <f t="shared" si="3"/>
        <v>4800</v>
      </c>
      <c r="G44" s="644"/>
      <c r="H44" s="645"/>
    </row>
    <row r="45" s="499" customFormat="1" ht="18" customHeight="1" spans="1:8">
      <c r="A45" s="650"/>
      <c r="B45" s="679" t="s">
        <v>727</v>
      </c>
      <c r="C45" s="281" t="s">
        <v>726</v>
      </c>
      <c r="D45" s="680">
        <v>96</v>
      </c>
      <c r="E45" s="665">
        <f>单价汇总!$D$70/100</f>
        <v>1.79024217663273</v>
      </c>
      <c r="F45" s="665">
        <f t="shared" si="3"/>
        <v>171.863248956742</v>
      </c>
      <c r="G45" s="644"/>
      <c r="H45" s="645"/>
    </row>
    <row r="46" s="499" customFormat="1" ht="18" customHeight="1" spans="1:8">
      <c r="A46" s="650"/>
      <c r="B46" s="679" t="s">
        <v>728</v>
      </c>
      <c r="C46" s="281" t="s">
        <v>726</v>
      </c>
      <c r="D46" s="680">
        <v>120</v>
      </c>
      <c r="E46" s="665">
        <f>单价汇总!$D$383/1000</f>
        <v>80.9364299011706</v>
      </c>
      <c r="F46" s="665">
        <f t="shared" si="3"/>
        <v>9712.37158814047</v>
      </c>
      <c r="G46" s="644"/>
      <c r="H46" s="645"/>
    </row>
    <row r="47" s="499" customFormat="1" ht="18" customHeight="1" spans="1:8">
      <c r="A47" s="650"/>
      <c r="B47" s="679" t="s">
        <v>729</v>
      </c>
      <c r="C47" s="281" t="s">
        <v>726</v>
      </c>
      <c r="D47" s="680">
        <v>184</v>
      </c>
      <c r="E47" s="665">
        <f>单价汇总!$D$376/1000</f>
        <v>24.3593261911778</v>
      </c>
      <c r="F47" s="665">
        <f t="shared" si="3"/>
        <v>4482.11601917671</v>
      </c>
      <c r="G47" s="644"/>
      <c r="H47" s="645"/>
    </row>
    <row r="48" ht="18" customHeight="1" spans="1:8">
      <c r="A48" s="650"/>
      <c r="B48" s="681"/>
      <c r="C48" s="329"/>
      <c r="D48" s="682"/>
      <c r="E48" s="668"/>
      <c r="F48" s="665"/>
      <c r="G48" s="649"/>
      <c r="H48" s="634"/>
    </row>
    <row r="49" ht="18" customHeight="1" spans="1:8">
      <c r="A49" s="650" t="s">
        <v>730</v>
      </c>
      <c r="B49" s="329" t="s">
        <v>335</v>
      </c>
      <c r="C49" s="646"/>
      <c r="D49" s="647"/>
      <c r="E49" s="648"/>
      <c r="F49" s="643">
        <f>F50+F61+F69</f>
        <v>1055253.11535185</v>
      </c>
      <c r="G49" s="649"/>
      <c r="H49" s="634"/>
    </row>
    <row r="50" ht="18" customHeight="1" spans="1:8">
      <c r="A50" s="651">
        <v>1</v>
      </c>
      <c r="B50" s="652" t="s">
        <v>702</v>
      </c>
      <c r="C50" s="653"/>
      <c r="D50" s="683"/>
      <c r="E50" s="655"/>
      <c r="F50" s="656">
        <f>SUM(F51:F60)</f>
        <v>172341.557863819</v>
      </c>
      <c r="G50" s="657"/>
      <c r="H50" s="658"/>
    </row>
    <row r="51" s="499" customFormat="1" ht="18" customHeight="1" spans="1:8">
      <c r="A51" s="651"/>
      <c r="B51" s="659" t="s">
        <v>703</v>
      </c>
      <c r="C51" s="291" t="s">
        <v>704</v>
      </c>
      <c r="D51" s="208">
        <v>2900</v>
      </c>
      <c r="E51" s="660">
        <f>单价汇总!$D$44/100</f>
        <v>3.24922119861723</v>
      </c>
      <c r="F51" s="684">
        <f t="shared" ref="F51:F60" si="4">D51*E51</f>
        <v>9422.74147598997</v>
      </c>
      <c r="G51" s="662"/>
      <c r="H51" s="663"/>
    </row>
    <row r="52" s="499" customFormat="1" ht="18" customHeight="1" spans="1:8">
      <c r="A52" s="651"/>
      <c r="B52" s="659" t="s">
        <v>544</v>
      </c>
      <c r="C52" s="291" t="s">
        <v>704</v>
      </c>
      <c r="D52" s="208">
        <v>2030</v>
      </c>
      <c r="E52" s="241">
        <f>单价汇总!$D$60/100</f>
        <v>17.5683160257823</v>
      </c>
      <c r="F52" s="684">
        <f t="shared" si="4"/>
        <v>35663.6815323381</v>
      </c>
      <c r="G52" s="662"/>
      <c r="H52" s="663"/>
    </row>
    <row r="53" s="499" customFormat="1" ht="18" customHeight="1" spans="1:8">
      <c r="A53" s="651"/>
      <c r="B53" s="659" t="s">
        <v>731</v>
      </c>
      <c r="C53" s="281" t="s">
        <v>704</v>
      </c>
      <c r="D53" s="208">
        <v>870</v>
      </c>
      <c r="E53" s="676">
        <f>单价汇总!$D$51/100</f>
        <v>17.4951618110922</v>
      </c>
      <c r="F53" s="684">
        <f t="shared" si="4"/>
        <v>15220.7907756502</v>
      </c>
      <c r="G53" s="662"/>
      <c r="H53" s="663"/>
    </row>
    <row r="54" s="499" customFormat="1" ht="18" customHeight="1" spans="1:8">
      <c r="A54" s="651"/>
      <c r="B54" s="468" t="s">
        <v>712</v>
      </c>
      <c r="C54" s="281" t="s">
        <v>704</v>
      </c>
      <c r="D54" s="207">
        <v>27.4</v>
      </c>
      <c r="E54" s="664">
        <f>单价汇总!$D$125/100</f>
        <v>615.057487475827</v>
      </c>
      <c r="F54" s="684">
        <f t="shared" si="4"/>
        <v>16852.5751568377</v>
      </c>
      <c r="G54" s="662"/>
      <c r="H54" s="663"/>
    </row>
    <row r="55" s="499" customFormat="1" ht="18" customHeight="1" spans="1:8">
      <c r="A55" s="651"/>
      <c r="B55" s="468" t="s">
        <v>732</v>
      </c>
      <c r="C55" s="281" t="s">
        <v>704</v>
      </c>
      <c r="D55" s="207">
        <v>57.6</v>
      </c>
      <c r="E55" s="664">
        <f>单价汇总!$D$139/100</f>
        <v>565.07262401826</v>
      </c>
      <c r="F55" s="684">
        <f t="shared" si="4"/>
        <v>32548.1831434518</v>
      </c>
      <c r="G55" s="662"/>
      <c r="H55" s="663"/>
    </row>
    <row r="56" s="499" customFormat="1" ht="18" customHeight="1" spans="1:8">
      <c r="A56" s="651"/>
      <c r="B56" s="468" t="s">
        <v>733</v>
      </c>
      <c r="C56" s="291" t="s">
        <v>704</v>
      </c>
      <c r="D56" s="208">
        <v>15.13152</v>
      </c>
      <c r="E56" s="665">
        <f>单价汇总!$D$131/100</f>
        <v>555.068780890099</v>
      </c>
      <c r="F56" s="684">
        <f t="shared" si="4"/>
        <v>8399.03435941415</v>
      </c>
      <c r="G56" s="662"/>
      <c r="H56" s="663"/>
    </row>
    <row r="57" s="499" customFormat="1" ht="18" customHeight="1" spans="1:8">
      <c r="A57" s="651"/>
      <c r="B57" s="468" t="s">
        <v>626</v>
      </c>
      <c r="C57" s="281" t="s">
        <v>704</v>
      </c>
      <c r="D57" s="207">
        <v>27.4032</v>
      </c>
      <c r="E57" s="665">
        <f>单价汇总!$D$137/100</f>
        <v>431.255139801307</v>
      </c>
      <c r="F57" s="684">
        <f t="shared" si="4"/>
        <v>11817.7708470032</v>
      </c>
      <c r="G57" s="662"/>
      <c r="H57" s="663"/>
    </row>
    <row r="58" s="499" customFormat="1" ht="18" customHeight="1" spans="1:8">
      <c r="A58" s="280"/>
      <c r="B58" s="468" t="s">
        <v>734</v>
      </c>
      <c r="C58" s="281" t="s">
        <v>704</v>
      </c>
      <c r="D58" s="664">
        <v>59.4</v>
      </c>
      <c r="E58" s="664">
        <f>单价汇总!$D$398/100</f>
        <v>176.18074442836</v>
      </c>
      <c r="F58" s="684">
        <f t="shared" si="4"/>
        <v>10465.1362190446</v>
      </c>
      <c r="G58" s="662"/>
      <c r="H58" s="663"/>
    </row>
    <row r="59" s="499" customFormat="1" ht="18" customHeight="1" spans="1:8">
      <c r="A59" s="280"/>
      <c r="B59" s="468" t="s">
        <v>571</v>
      </c>
      <c r="C59" s="281" t="s">
        <v>704</v>
      </c>
      <c r="D59" s="664">
        <v>33.48</v>
      </c>
      <c r="E59" s="664">
        <f>单价汇总!$D$82/100</f>
        <v>60.0036322251776</v>
      </c>
      <c r="F59" s="684">
        <f t="shared" si="4"/>
        <v>2008.92160689895</v>
      </c>
      <c r="G59" s="662"/>
      <c r="H59" s="663"/>
    </row>
    <row r="60" s="499" customFormat="1" ht="18" customHeight="1" spans="1:8">
      <c r="A60" s="280"/>
      <c r="B60" s="268" t="s">
        <v>549</v>
      </c>
      <c r="C60" s="281" t="s">
        <v>580</v>
      </c>
      <c r="D60" s="664">
        <v>4.798</v>
      </c>
      <c r="E60" s="230">
        <f>单价汇总!$D$196</f>
        <v>6240.66751713011</v>
      </c>
      <c r="F60" s="685">
        <f t="shared" si="4"/>
        <v>29942.7227471903</v>
      </c>
      <c r="G60" s="662"/>
      <c r="H60" s="663"/>
    </row>
    <row r="61" ht="18" customHeight="1" spans="1:8">
      <c r="A61" s="650">
        <v>2</v>
      </c>
      <c r="B61" s="641" t="s">
        <v>716</v>
      </c>
      <c r="C61" s="646" t="s">
        <v>80</v>
      </c>
      <c r="D61" s="667">
        <v>1</v>
      </c>
      <c r="E61" s="668"/>
      <c r="F61" s="643">
        <f>SUM(F62:F68)</f>
        <v>262923.617766392</v>
      </c>
      <c r="G61" s="644"/>
      <c r="H61" s="645"/>
    </row>
    <row r="62" s="499" customFormat="1" ht="18" customHeight="1" spans="1:8">
      <c r="A62" s="650"/>
      <c r="B62" s="268" t="s">
        <v>703</v>
      </c>
      <c r="C62" s="281" t="s">
        <v>704</v>
      </c>
      <c r="D62" s="207">
        <v>3024</v>
      </c>
      <c r="E62" s="660">
        <f>单价汇总!$D$44/100</f>
        <v>3.24922119861723</v>
      </c>
      <c r="F62" s="665">
        <f>D62*E62</f>
        <v>9825.6449046185</v>
      </c>
      <c r="G62" s="644"/>
      <c r="H62" s="645"/>
    </row>
    <row r="63" s="499" customFormat="1" ht="18" customHeight="1" spans="1:8">
      <c r="A63" s="650"/>
      <c r="B63" s="268" t="s">
        <v>544</v>
      </c>
      <c r="C63" s="281" t="s">
        <v>704</v>
      </c>
      <c r="D63" s="664">
        <v>1002.4</v>
      </c>
      <c r="E63" s="241">
        <f>单价汇总!$D$60/100</f>
        <v>17.5683160257823</v>
      </c>
      <c r="F63" s="665">
        <f t="shared" ref="F63:F69" si="5">D63*E63</f>
        <v>17610.4799842442</v>
      </c>
      <c r="G63" s="644"/>
      <c r="H63" s="645"/>
    </row>
    <row r="64" s="499" customFormat="1" ht="18" customHeight="1" spans="1:8">
      <c r="A64" s="650"/>
      <c r="B64" s="659" t="s">
        <v>731</v>
      </c>
      <c r="C64" s="281" t="s">
        <v>704</v>
      </c>
      <c r="D64" s="208">
        <v>2021.6</v>
      </c>
      <c r="E64" s="676">
        <f>单价汇总!$D$51/100</f>
        <v>17.4951618110922</v>
      </c>
      <c r="F64" s="665">
        <f t="shared" si="5"/>
        <v>35368.219117304</v>
      </c>
      <c r="G64" s="644"/>
      <c r="H64" s="645"/>
    </row>
    <row r="65" s="499" customFormat="1" ht="18" customHeight="1" spans="1:8">
      <c r="A65" s="650"/>
      <c r="B65" s="468" t="s">
        <v>571</v>
      </c>
      <c r="C65" s="281" t="s">
        <v>704</v>
      </c>
      <c r="D65" s="207">
        <v>182.16</v>
      </c>
      <c r="E65" s="666">
        <f>单价汇总!$D$81/100</f>
        <v>126.028555399238</v>
      </c>
      <c r="F65" s="665">
        <f t="shared" si="5"/>
        <v>22957.3616515252</v>
      </c>
      <c r="G65" s="644"/>
      <c r="H65" s="645"/>
    </row>
    <row r="66" s="499" customFormat="1" ht="18" customHeight="1" spans="1:8">
      <c r="A66" s="650"/>
      <c r="B66" s="468" t="s">
        <v>626</v>
      </c>
      <c r="C66" s="281" t="s">
        <v>704</v>
      </c>
      <c r="D66" s="207">
        <v>45.54</v>
      </c>
      <c r="E66" s="665">
        <f>单价汇总!$D$137/100</f>
        <v>431.255139801307</v>
      </c>
      <c r="F66" s="665">
        <f t="shared" si="5"/>
        <v>19639.3590665515</v>
      </c>
      <c r="G66" s="644"/>
      <c r="H66" s="645"/>
    </row>
    <row r="67" s="499" customFormat="1" ht="18" customHeight="1" spans="1:8">
      <c r="A67" s="650"/>
      <c r="B67" s="468" t="s">
        <v>712</v>
      </c>
      <c r="C67" s="281" t="s">
        <v>704</v>
      </c>
      <c r="D67" s="207">
        <v>141.3632</v>
      </c>
      <c r="E67" s="230">
        <f>单价汇总!$D$125/100</f>
        <v>615.057487475827</v>
      </c>
      <c r="F67" s="665">
        <f t="shared" si="5"/>
        <v>86946.4946135428</v>
      </c>
      <c r="G67" s="644"/>
      <c r="H67" s="645"/>
    </row>
    <row r="68" s="499" customFormat="1" ht="18" customHeight="1" spans="1:8">
      <c r="A68" s="650"/>
      <c r="B68" s="670" t="s">
        <v>549</v>
      </c>
      <c r="C68" s="281" t="s">
        <v>580</v>
      </c>
      <c r="D68" s="664">
        <v>11.309056</v>
      </c>
      <c r="E68" s="230">
        <f>单价汇总!$D$196</f>
        <v>6240.66751713011</v>
      </c>
      <c r="F68" s="665">
        <f t="shared" si="5"/>
        <v>70576.0584286054</v>
      </c>
      <c r="G68" s="644"/>
      <c r="H68" s="645"/>
    </row>
    <row r="69" ht="18" customHeight="1" spans="1:8">
      <c r="A69" s="651">
        <v>3</v>
      </c>
      <c r="B69" s="671" t="s">
        <v>717</v>
      </c>
      <c r="C69" s="672"/>
      <c r="D69" s="526"/>
      <c r="E69" s="668"/>
      <c r="F69" s="643">
        <f>SUM(F70:F80)</f>
        <v>619987.939721642</v>
      </c>
      <c r="G69" s="649"/>
      <c r="H69" s="634"/>
    </row>
    <row r="70" s="499" customFormat="1" ht="18" customHeight="1" spans="1:8">
      <c r="A70" s="651"/>
      <c r="B70" s="673" t="s">
        <v>735</v>
      </c>
      <c r="C70" s="674" t="s">
        <v>704</v>
      </c>
      <c r="D70" s="675">
        <v>2772</v>
      </c>
      <c r="E70" s="676">
        <f>单价汇总!$D$51/100</f>
        <v>17.4951618110922</v>
      </c>
      <c r="F70" s="643">
        <f>D70*E70</f>
        <v>48496.5885403476</v>
      </c>
      <c r="G70" s="649"/>
      <c r="H70" s="634"/>
    </row>
    <row r="71" s="499" customFormat="1" ht="18" customHeight="1" spans="1:8">
      <c r="A71" s="280"/>
      <c r="B71" s="659" t="s">
        <v>719</v>
      </c>
      <c r="C71" s="281" t="s">
        <v>720</v>
      </c>
      <c r="D71" s="677">
        <v>108</v>
      </c>
      <c r="E71" s="665">
        <v>2200</v>
      </c>
      <c r="F71" s="685">
        <f t="shared" ref="F71:F78" si="6">D71*E71</f>
        <v>237600</v>
      </c>
      <c r="G71" s="644" t="s">
        <v>721</v>
      </c>
      <c r="H71" s="645"/>
    </row>
    <row r="72" s="499" customFormat="1" ht="18" customHeight="1" spans="1:8">
      <c r="A72" s="280"/>
      <c r="B72" s="659" t="s">
        <v>722</v>
      </c>
      <c r="C72" s="281" t="s">
        <v>720</v>
      </c>
      <c r="D72" s="208">
        <v>43.2</v>
      </c>
      <c r="E72" s="665">
        <v>2200</v>
      </c>
      <c r="F72" s="685">
        <f t="shared" si="6"/>
        <v>95040</v>
      </c>
      <c r="G72" s="644" t="s">
        <v>721</v>
      </c>
      <c r="H72" s="645"/>
    </row>
    <row r="73" s="499" customFormat="1" ht="18" customHeight="1" spans="1:8">
      <c r="A73" s="280"/>
      <c r="B73" s="659" t="s">
        <v>736</v>
      </c>
      <c r="C73" s="281" t="s">
        <v>720</v>
      </c>
      <c r="D73" s="208">
        <v>74.52</v>
      </c>
      <c r="E73" s="665">
        <f>2200</f>
        <v>2200</v>
      </c>
      <c r="F73" s="685">
        <f t="shared" si="6"/>
        <v>163944</v>
      </c>
      <c r="G73" s="644" t="s">
        <v>721</v>
      </c>
      <c r="H73" s="645"/>
    </row>
    <row r="74" s="499" customFormat="1" ht="18" customHeight="1" spans="1:8">
      <c r="A74" s="280"/>
      <c r="B74" s="659"/>
      <c r="C74" s="281"/>
      <c r="D74" s="208"/>
      <c r="E74" s="665"/>
      <c r="F74" s="685"/>
      <c r="G74" s="644"/>
      <c r="H74" s="645"/>
    </row>
    <row r="75" s="499" customFormat="1" ht="18" customHeight="1" spans="1:8">
      <c r="A75" s="678"/>
      <c r="B75" s="468" t="s">
        <v>723</v>
      </c>
      <c r="C75" s="281" t="s">
        <v>597</v>
      </c>
      <c r="D75" s="207">
        <v>72</v>
      </c>
      <c r="E75" s="665">
        <f>E42</f>
        <v>150</v>
      </c>
      <c r="F75" s="685">
        <f t="shared" si="6"/>
        <v>10800</v>
      </c>
      <c r="G75" s="644"/>
      <c r="H75" s="645"/>
    </row>
    <row r="76" ht="18" customHeight="1" spans="1:8">
      <c r="A76" s="678"/>
      <c r="B76" s="468" t="s">
        <v>724</v>
      </c>
      <c r="C76" s="281" t="s">
        <v>552</v>
      </c>
      <c r="D76" s="207">
        <v>1</v>
      </c>
      <c r="E76" s="665">
        <v>5000</v>
      </c>
      <c r="F76" s="685">
        <f t="shared" si="6"/>
        <v>5000</v>
      </c>
      <c r="G76" s="644"/>
      <c r="H76" s="645"/>
    </row>
    <row r="77" ht="18" customHeight="1" spans="1:8">
      <c r="A77" s="678"/>
      <c r="B77" s="468" t="s">
        <v>725</v>
      </c>
      <c r="C77" s="281" t="s">
        <v>726</v>
      </c>
      <c r="D77" s="608">
        <v>280</v>
      </c>
      <c r="E77" s="665">
        <v>75</v>
      </c>
      <c r="F77" s="685">
        <f t="shared" si="6"/>
        <v>21000</v>
      </c>
      <c r="G77" s="644"/>
      <c r="H77" s="645"/>
    </row>
    <row r="78" ht="18" customHeight="1" spans="1:8">
      <c r="A78" s="650"/>
      <c r="B78" s="679" t="s">
        <v>727</v>
      </c>
      <c r="C78" s="686" t="s">
        <v>704</v>
      </c>
      <c r="D78" s="680">
        <v>1048.8</v>
      </c>
      <c r="E78" s="665">
        <v>25</v>
      </c>
      <c r="F78" s="685">
        <f t="shared" si="6"/>
        <v>26220</v>
      </c>
      <c r="G78" s="644"/>
      <c r="H78" s="645"/>
    </row>
    <row r="79" s="499" customFormat="1" ht="18" customHeight="1" spans="1:8">
      <c r="A79" s="650"/>
      <c r="B79" s="679" t="s">
        <v>737</v>
      </c>
      <c r="C79" s="281" t="s">
        <v>726</v>
      </c>
      <c r="D79" s="680">
        <v>940</v>
      </c>
      <c r="E79" s="665">
        <f>单价汇总!$D$383/1000</f>
        <v>80.9364299011706</v>
      </c>
      <c r="F79" s="685">
        <f>SUM(F80:F80)</f>
        <v>5943.67559064738</v>
      </c>
      <c r="G79" s="644"/>
      <c r="H79" s="645"/>
    </row>
    <row r="80" s="499" customFormat="1" ht="18" customHeight="1" spans="1:8">
      <c r="A80" s="650"/>
      <c r="B80" s="679" t="s">
        <v>738</v>
      </c>
      <c r="C80" s="281" t="s">
        <v>726</v>
      </c>
      <c r="D80" s="680">
        <v>244</v>
      </c>
      <c r="E80" s="665">
        <f>单价汇总!$D$376/1000</f>
        <v>24.3593261911778</v>
      </c>
      <c r="F80" s="685">
        <f>D80*E80</f>
        <v>5943.67559064738</v>
      </c>
      <c r="G80" s="644"/>
      <c r="H80" s="645"/>
    </row>
    <row r="81" ht="18" customHeight="1" spans="1:8">
      <c r="A81" s="650" t="s">
        <v>474</v>
      </c>
      <c r="B81" s="641" t="s">
        <v>739</v>
      </c>
      <c r="C81" s="646"/>
      <c r="D81" s="682"/>
      <c r="E81" s="668"/>
      <c r="F81" s="687">
        <f>F82+F96</f>
        <v>6967817.24891838</v>
      </c>
      <c r="G81" s="649"/>
      <c r="H81" s="634"/>
    </row>
    <row r="82" ht="18" customHeight="1" spans="1:8">
      <c r="A82" s="650" t="s">
        <v>701</v>
      </c>
      <c r="B82" s="641" t="s">
        <v>740</v>
      </c>
      <c r="C82" s="646"/>
      <c r="D82" s="682"/>
      <c r="E82" s="668"/>
      <c r="F82" s="643">
        <f>SUM(F83:F95)</f>
        <v>6680833.8284045</v>
      </c>
      <c r="G82" s="649"/>
      <c r="H82" s="634"/>
    </row>
    <row r="83" s="499" customFormat="1" ht="18" customHeight="1" spans="1:8">
      <c r="A83" s="650"/>
      <c r="B83" s="679" t="s">
        <v>703</v>
      </c>
      <c r="C83" s="686" t="s">
        <v>704</v>
      </c>
      <c r="D83" s="688">
        <v>25853.7</v>
      </c>
      <c r="E83" s="660">
        <f>单价汇总!$D$44/100</f>
        <v>3.24922119861723</v>
      </c>
      <c r="F83" s="685">
        <f>D83*E83</f>
        <v>84004.3901026903</v>
      </c>
      <c r="G83" s="644"/>
      <c r="H83" s="645"/>
    </row>
    <row r="84" s="499" customFormat="1" ht="18" customHeight="1" spans="1:11">
      <c r="A84" s="650"/>
      <c r="B84" s="679" t="s">
        <v>544</v>
      </c>
      <c r="C84" s="686" t="s">
        <v>704</v>
      </c>
      <c r="D84" s="688">
        <v>25853.7</v>
      </c>
      <c r="E84" s="665">
        <f>单价汇总!$D$40/100</f>
        <v>2.25491499762827</v>
      </c>
      <c r="F84" s="685">
        <f>D84*E84</f>
        <v>58297.895874182</v>
      </c>
      <c r="G84" s="644" t="s">
        <v>741</v>
      </c>
      <c r="H84" s="645"/>
      <c r="J84" s="708"/>
      <c r="K84" s="708"/>
    </row>
    <row r="85" s="499" customFormat="1" ht="18" customHeight="1" spans="1:11">
      <c r="A85" s="650"/>
      <c r="B85" s="587" t="s">
        <v>742</v>
      </c>
      <c r="C85" s="541" t="s">
        <v>743</v>
      </c>
      <c r="D85" s="542">
        <v>1968</v>
      </c>
      <c r="E85" s="542">
        <f>11.5+单价汇总!$D$59/100</f>
        <v>17.8833398357202</v>
      </c>
      <c r="F85" s="542">
        <f>E85*D85</f>
        <v>35194.4127966974</v>
      </c>
      <c r="G85" s="644"/>
      <c r="H85" s="645"/>
      <c r="J85" s="708"/>
      <c r="K85" s="708"/>
    </row>
    <row r="86" s="499" customFormat="1" ht="18" customHeight="1" spans="1:11">
      <c r="A86" s="650"/>
      <c r="B86" s="679" t="s">
        <v>744</v>
      </c>
      <c r="C86" s="686" t="s">
        <v>704</v>
      </c>
      <c r="D86" s="688">
        <v>2387.73</v>
      </c>
      <c r="E86" s="542">
        <f>3+单价汇总!$D$59/100</f>
        <v>9.38333983572025</v>
      </c>
      <c r="F86" s="685">
        <f t="shared" ref="F86:F93" si="7">D86*E86</f>
        <v>22404.8820259443</v>
      </c>
      <c r="G86" s="644" t="s">
        <v>745</v>
      </c>
      <c r="H86" s="645"/>
      <c r="J86" s="708"/>
      <c r="K86" s="708"/>
    </row>
    <row r="87" s="499" customFormat="1" ht="18" customHeight="1" spans="1:8">
      <c r="A87" s="650"/>
      <c r="B87" s="689" t="s">
        <v>746</v>
      </c>
      <c r="C87" s="686" t="s">
        <v>146</v>
      </c>
      <c r="D87" s="680">
        <v>2130</v>
      </c>
      <c r="E87" s="665">
        <v>1367.505</v>
      </c>
      <c r="F87" s="685">
        <f t="shared" si="7"/>
        <v>2912785.65</v>
      </c>
      <c r="G87" s="644"/>
      <c r="H87" s="645"/>
    </row>
    <row r="88" ht="18" customHeight="1" spans="1:8">
      <c r="A88" s="650"/>
      <c r="B88" s="689" t="s">
        <v>747</v>
      </c>
      <c r="C88" s="686" t="s">
        <v>146</v>
      </c>
      <c r="D88" s="680">
        <v>1268</v>
      </c>
      <c r="E88" s="665">
        <v>610.5864</v>
      </c>
      <c r="F88" s="685">
        <f t="shared" si="7"/>
        <v>774223.5552</v>
      </c>
      <c r="G88" s="644"/>
      <c r="H88" s="645"/>
    </row>
    <row r="89" ht="18" customHeight="1" spans="1:8">
      <c r="A89" s="650"/>
      <c r="B89" s="689" t="s">
        <v>748</v>
      </c>
      <c r="C89" s="686" t="s">
        <v>146</v>
      </c>
      <c r="D89" s="680">
        <v>709</v>
      </c>
      <c r="E89" s="665">
        <v>902.5692</v>
      </c>
      <c r="F89" s="685">
        <f t="shared" si="7"/>
        <v>639921.5628</v>
      </c>
      <c r="G89" s="644"/>
      <c r="H89" s="645"/>
    </row>
    <row r="90" ht="18" customHeight="1" spans="1:8">
      <c r="A90" s="650"/>
      <c r="B90" s="689" t="s">
        <v>749</v>
      </c>
      <c r="C90" s="686" t="s">
        <v>146</v>
      </c>
      <c r="D90" s="680">
        <v>813</v>
      </c>
      <c r="E90" s="665">
        <v>1036.4722</v>
      </c>
      <c r="F90" s="685">
        <f t="shared" si="7"/>
        <v>842651.8986</v>
      </c>
      <c r="G90" s="644"/>
      <c r="H90" s="645"/>
    </row>
    <row r="91" ht="18" customHeight="1" spans="1:8">
      <c r="A91" s="650"/>
      <c r="B91" s="689" t="s">
        <v>750</v>
      </c>
      <c r="C91" s="686" t="s">
        <v>146</v>
      </c>
      <c r="D91" s="680">
        <v>2130</v>
      </c>
      <c r="E91" s="665">
        <f>E87*0.1</f>
        <v>136.7505</v>
      </c>
      <c r="F91" s="685">
        <f t="shared" si="7"/>
        <v>291278.565</v>
      </c>
      <c r="G91" s="644"/>
      <c r="H91" s="645"/>
    </row>
    <row r="92" ht="18" customHeight="1" spans="1:8">
      <c r="A92" s="650"/>
      <c r="B92" s="689" t="s">
        <v>751</v>
      </c>
      <c r="C92" s="686" t="s">
        <v>146</v>
      </c>
      <c r="D92" s="680">
        <v>2790</v>
      </c>
      <c r="E92" s="665">
        <f>E87*0.1</f>
        <v>136.7505</v>
      </c>
      <c r="F92" s="685">
        <f t="shared" si="7"/>
        <v>381533.895</v>
      </c>
      <c r="G92" s="644"/>
      <c r="H92" s="645"/>
    </row>
    <row r="93" s="499" customFormat="1" ht="18" customHeight="1" spans="1:8">
      <c r="A93" s="650"/>
      <c r="B93" s="689" t="s">
        <v>752</v>
      </c>
      <c r="C93" s="686" t="s">
        <v>704</v>
      </c>
      <c r="D93" s="680">
        <v>85.14</v>
      </c>
      <c r="E93" s="665">
        <f>单价汇总!$D$131/100</f>
        <v>555.068780890099</v>
      </c>
      <c r="F93" s="685">
        <f t="shared" si="7"/>
        <v>47258.556004983</v>
      </c>
      <c r="G93" s="644"/>
      <c r="H93" s="645"/>
    </row>
    <row r="94" ht="18" customHeight="1" spans="1:8">
      <c r="A94" s="650"/>
      <c r="B94" s="468" t="s">
        <v>753</v>
      </c>
      <c r="C94" s="503"/>
      <c r="D94" s="281" t="s">
        <v>754</v>
      </c>
      <c r="E94" s="207"/>
      <c r="F94" s="685">
        <f>F87*0.1</f>
        <v>291278.565</v>
      </c>
      <c r="G94" s="644"/>
      <c r="H94" s="645"/>
    </row>
    <row r="95" ht="18" customHeight="1" spans="1:8">
      <c r="A95" s="650"/>
      <c r="B95" s="689" t="s">
        <v>755</v>
      </c>
      <c r="C95" s="686" t="s">
        <v>80</v>
      </c>
      <c r="D95" s="688">
        <v>20</v>
      </c>
      <c r="E95" s="665">
        <v>15000</v>
      </c>
      <c r="F95" s="685">
        <f>D95*E95</f>
        <v>300000</v>
      </c>
      <c r="G95" s="644"/>
      <c r="H95" s="645"/>
    </row>
    <row r="96" ht="18" customHeight="1" spans="1:8">
      <c r="A96" s="650" t="s">
        <v>730</v>
      </c>
      <c r="B96" s="690" t="s">
        <v>756</v>
      </c>
      <c r="C96" s="686"/>
      <c r="D96" s="688"/>
      <c r="E96" s="665"/>
      <c r="F96" s="685">
        <f>F97+F104+F109+F116+F121</f>
        <v>286983.42051388</v>
      </c>
      <c r="G96" s="644"/>
      <c r="H96" s="645"/>
    </row>
    <row r="97" ht="18" customHeight="1" spans="1:8">
      <c r="A97" s="691">
        <v>1</v>
      </c>
      <c r="B97" s="271" t="s">
        <v>757</v>
      </c>
      <c r="C97" s="271" t="s">
        <v>146</v>
      </c>
      <c r="D97" s="458">
        <v>60</v>
      </c>
      <c r="E97" s="458"/>
      <c r="F97" s="643">
        <f>SUM(F98:F103)</f>
        <v>65184.4950422558</v>
      </c>
      <c r="G97" s="692" t="s">
        <v>758</v>
      </c>
      <c r="H97" s="693"/>
    </row>
    <row r="98" s="499" customFormat="1" ht="18" customHeight="1" spans="1:8">
      <c r="A98" s="694"/>
      <c r="B98" s="268" t="s">
        <v>703</v>
      </c>
      <c r="C98" s="270" t="s">
        <v>632</v>
      </c>
      <c r="D98" s="225">
        <v>600</v>
      </c>
      <c r="E98" s="660">
        <f>单价汇总!$D$44/100</f>
        <v>3.24922119861723</v>
      </c>
      <c r="F98" s="600">
        <f t="shared" ref="F98:F103" si="8">D98*E98</f>
        <v>1949.53271917034</v>
      </c>
      <c r="G98" s="695"/>
      <c r="H98" s="696"/>
    </row>
    <row r="99" s="499" customFormat="1" ht="18" customHeight="1" spans="1:8">
      <c r="A99" s="694"/>
      <c r="B99" s="268" t="s">
        <v>544</v>
      </c>
      <c r="C99" s="270" t="s">
        <v>632</v>
      </c>
      <c r="D99" s="225">
        <v>250</v>
      </c>
      <c r="E99" s="241">
        <f>单价汇总!$D$60/100</f>
        <v>17.5683160257823</v>
      </c>
      <c r="F99" s="600">
        <f t="shared" si="8"/>
        <v>4392.07900644558</v>
      </c>
      <c r="G99" s="695"/>
      <c r="H99" s="696"/>
    </row>
    <row r="100" s="499" customFormat="1" ht="18" customHeight="1" spans="1:8">
      <c r="A100" s="694"/>
      <c r="B100" s="659" t="s">
        <v>705</v>
      </c>
      <c r="C100" s="291" t="s">
        <v>704</v>
      </c>
      <c r="D100" s="225">
        <v>68.8</v>
      </c>
      <c r="E100" s="664">
        <f>单价汇总!$D$388/100</f>
        <v>18.9271791948891</v>
      </c>
      <c r="F100" s="600">
        <f t="shared" si="8"/>
        <v>1302.18992860837</v>
      </c>
      <c r="G100" s="695"/>
      <c r="H100" s="696"/>
    </row>
    <row r="101" s="499" customFormat="1" ht="18" customHeight="1" spans="1:8">
      <c r="A101" s="694"/>
      <c r="B101" s="268" t="s">
        <v>759</v>
      </c>
      <c r="C101" s="270" t="s">
        <v>632</v>
      </c>
      <c r="D101" s="225">
        <v>82.56</v>
      </c>
      <c r="E101" s="241">
        <f>单价汇总!$D$92/100</f>
        <v>343.762477590712</v>
      </c>
      <c r="F101" s="600">
        <f t="shared" si="8"/>
        <v>28381.0301498892</v>
      </c>
      <c r="G101" s="695"/>
      <c r="H101" s="696"/>
    </row>
    <row r="102" s="499" customFormat="1" ht="18" customHeight="1" spans="1:8">
      <c r="A102" s="691"/>
      <c r="B102" s="468" t="s">
        <v>712</v>
      </c>
      <c r="C102" s="270" t="s">
        <v>632</v>
      </c>
      <c r="D102" s="458">
        <v>33.44</v>
      </c>
      <c r="E102" s="664">
        <f>单价汇总!$D$125/100</f>
        <v>615.057487475827</v>
      </c>
      <c r="F102" s="600">
        <f t="shared" si="8"/>
        <v>20567.5223811917</v>
      </c>
      <c r="G102" s="692"/>
      <c r="H102" s="693"/>
    </row>
    <row r="103" s="499" customFormat="1" ht="18" customHeight="1" spans="1:8">
      <c r="A103" s="691"/>
      <c r="B103" s="468" t="s">
        <v>760</v>
      </c>
      <c r="C103" s="270" t="s">
        <v>632</v>
      </c>
      <c r="D103" s="458">
        <v>11.4</v>
      </c>
      <c r="E103" s="664">
        <f>(单价汇总!$D$187+单价汇总!$D$157)/100</f>
        <v>753.696566399181</v>
      </c>
      <c r="F103" s="600">
        <f t="shared" si="8"/>
        <v>8592.14085695066</v>
      </c>
      <c r="G103" s="692"/>
      <c r="H103" s="693"/>
    </row>
    <row r="104" ht="18" customHeight="1" spans="1:8">
      <c r="A104" s="691">
        <v>2</v>
      </c>
      <c r="B104" s="271" t="s">
        <v>761</v>
      </c>
      <c r="C104" s="271" t="s">
        <v>146</v>
      </c>
      <c r="D104" s="458">
        <v>30</v>
      </c>
      <c r="E104" s="458"/>
      <c r="F104" s="643">
        <f>SUM(F105:F108)</f>
        <v>60077.1443553907</v>
      </c>
      <c r="G104" s="692" t="s">
        <v>762</v>
      </c>
      <c r="H104" s="693"/>
    </row>
    <row r="105" s="499" customFormat="1" ht="18" customHeight="1" spans="1:8">
      <c r="A105" s="694"/>
      <c r="B105" s="268" t="s">
        <v>703</v>
      </c>
      <c r="C105" s="270" t="s">
        <v>632</v>
      </c>
      <c r="D105" s="225">
        <v>195</v>
      </c>
      <c r="E105" s="660">
        <f>单价汇总!$D$44/100</f>
        <v>3.24922119861723</v>
      </c>
      <c r="F105" s="600">
        <f t="shared" ref="F105:F108" si="9">D105*E105</f>
        <v>633.59813373036</v>
      </c>
      <c r="G105" s="695"/>
      <c r="H105" s="696"/>
    </row>
    <row r="106" s="499" customFormat="1" ht="18" customHeight="1" spans="1:8">
      <c r="A106" s="694"/>
      <c r="B106" s="268" t="s">
        <v>544</v>
      </c>
      <c r="C106" s="270" t="s">
        <v>632</v>
      </c>
      <c r="D106" s="225">
        <v>195</v>
      </c>
      <c r="E106" s="241">
        <f>单价汇总!$D$60/100</f>
        <v>17.5683160257823</v>
      </c>
      <c r="F106" s="600">
        <f t="shared" si="9"/>
        <v>3425.82162502755</v>
      </c>
      <c r="G106" s="695"/>
      <c r="H106" s="696"/>
    </row>
    <row r="107" s="499" customFormat="1" ht="18" customHeight="1" spans="1:8">
      <c r="A107" s="694"/>
      <c r="B107" s="268" t="s">
        <v>759</v>
      </c>
      <c r="C107" s="270" t="s">
        <v>632</v>
      </c>
      <c r="D107" s="225">
        <v>18</v>
      </c>
      <c r="E107" s="241">
        <f>单价汇总!$D$92/100</f>
        <v>343.762477590712</v>
      </c>
      <c r="F107" s="600">
        <f t="shared" si="9"/>
        <v>6187.72459663282</v>
      </c>
      <c r="G107" s="695"/>
      <c r="H107" s="696"/>
    </row>
    <row r="108" ht="18" customHeight="1" spans="1:8">
      <c r="A108" s="694"/>
      <c r="B108" s="268" t="s">
        <v>763</v>
      </c>
      <c r="C108" s="270" t="s">
        <v>146</v>
      </c>
      <c r="D108" s="225">
        <v>30</v>
      </c>
      <c r="E108" s="697">
        <v>1661</v>
      </c>
      <c r="F108" s="665">
        <f t="shared" si="9"/>
        <v>49830</v>
      </c>
      <c r="G108" s="695"/>
      <c r="H108" s="696"/>
    </row>
    <row r="109" ht="18" customHeight="1" spans="1:8">
      <c r="A109" s="691">
        <v>3</v>
      </c>
      <c r="B109" s="271" t="s">
        <v>764</v>
      </c>
      <c r="C109" s="271" t="s">
        <v>146</v>
      </c>
      <c r="D109" s="458">
        <v>42</v>
      </c>
      <c r="E109" s="698"/>
      <c r="F109" s="699">
        <f>SUM(F110:F115)</f>
        <v>115045.636986729</v>
      </c>
      <c r="G109" s="692" t="s">
        <v>765</v>
      </c>
      <c r="H109" s="693"/>
    </row>
    <row r="110" s="499" customFormat="1" ht="18" customHeight="1" spans="1:8">
      <c r="A110" s="694"/>
      <c r="B110" s="268" t="s">
        <v>703</v>
      </c>
      <c r="C110" s="270" t="s">
        <v>632</v>
      </c>
      <c r="D110" s="225">
        <v>75</v>
      </c>
      <c r="E110" s="660">
        <f>单价汇总!$D$44/100</f>
        <v>3.24922119861723</v>
      </c>
      <c r="F110" s="665">
        <f t="shared" ref="F110:F115" si="10">D110*E110</f>
        <v>243.691589896292</v>
      </c>
      <c r="G110" s="644"/>
      <c r="H110" s="645"/>
    </row>
    <row r="111" s="499" customFormat="1" ht="18" customHeight="1" spans="1:8">
      <c r="A111" s="694"/>
      <c r="B111" s="268" t="s">
        <v>544</v>
      </c>
      <c r="C111" s="270" t="s">
        <v>632</v>
      </c>
      <c r="D111" s="225">
        <v>60</v>
      </c>
      <c r="E111" s="241">
        <f>单价汇总!$D$60/100</f>
        <v>17.5683160257823</v>
      </c>
      <c r="F111" s="665">
        <f t="shared" si="10"/>
        <v>1054.09896154694</v>
      </c>
      <c r="G111" s="700"/>
      <c r="H111" s="701"/>
    </row>
    <row r="112" s="499" customFormat="1" ht="18" customHeight="1" spans="1:8">
      <c r="A112" s="694"/>
      <c r="B112" s="268" t="s">
        <v>766</v>
      </c>
      <c r="C112" s="270" t="s">
        <v>146</v>
      </c>
      <c r="D112" s="225">
        <v>18</v>
      </c>
      <c r="E112" s="697">
        <v>455.4</v>
      </c>
      <c r="F112" s="665">
        <f t="shared" si="10"/>
        <v>8197.2</v>
      </c>
      <c r="G112" s="702"/>
      <c r="H112" s="703"/>
    </row>
    <row r="113" s="499" customFormat="1" ht="18" customHeight="1" spans="1:8">
      <c r="A113" s="694"/>
      <c r="B113" s="268" t="s">
        <v>767</v>
      </c>
      <c r="C113" s="270" t="s">
        <v>146</v>
      </c>
      <c r="D113" s="225">
        <v>24</v>
      </c>
      <c r="E113" s="697">
        <v>256.993</v>
      </c>
      <c r="F113" s="665">
        <f t="shared" si="10"/>
        <v>6167.832</v>
      </c>
      <c r="G113" s="702"/>
      <c r="H113" s="703"/>
    </row>
    <row r="114" s="499" customFormat="1" ht="18" customHeight="1" spans="1:8">
      <c r="A114" s="694"/>
      <c r="B114" s="268" t="s">
        <v>759</v>
      </c>
      <c r="C114" s="270" t="s">
        <v>632</v>
      </c>
      <c r="D114" s="225">
        <v>25.2</v>
      </c>
      <c r="E114" s="241">
        <f>单价汇总!$D$92/100</f>
        <v>343.762477590712</v>
      </c>
      <c r="F114" s="665">
        <f t="shared" si="10"/>
        <v>8662.81443528594</v>
      </c>
      <c r="G114" s="700"/>
      <c r="H114" s="701"/>
    </row>
    <row r="115" s="499" customFormat="1" ht="18" customHeight="1" spans="1:8">
      <c r="A115" s="694"/>
      <c r="B115" s="268" t="s">
        <v>768</v>
      </c>
      <c r="C115" s="270" t="s">
        <v>769</v>
      </c>
      <c r="D115" s="225">
        <v>2016</v>
      </c>
      <c r="E115" s="225">
        <v>45</v>
      </c>
      <c r="F115" s="665">
        <f t="shared" si="10"/>
        <v>90720</v>
      </c>
      <c r="G115" s="695"/>
      <c r="H115" s="696"/>
    </row>
    <row r="116" s="499" customFormat="1" ht="18" customHeight="1" spans="1:8">
      <c r="A116" s="691">
        <v>4</v>
      </c>
      <c r="B116" s="271" t="s">
        <v>770</v>
      </c>
      <c r="C116" s="271" t="s">
        <v>146</v>
      </c>
      <c r="D116" s="458">
        <v>20</v>
      </c>
      <c r="E116" s="698"/>
      <c r="F116" s="699">
        <f>SUM(F117:F120)</f>
        <v>44119.246553591</v>
      </c>
      <c r="G116" s="692" t="s">
        <v>758</v>
      </c>
      <c r="H116" s="693"/>
    </row>
    <row r="117" s="499" customFormat="1" ht="18" customHeight="1" spans="1:8">
      <c r="A117" s="694"/>
      <c r="B117" s="268" t="s">
        <v>703</v>
      </c>
      <c r="C117" s="270" t="s">
        <v>632</v>
      </c>
      <c r="D117" s="225">
        <v>80</v>
      </c>
      <c r="E117" s="660">
        <f>单价汇总!$D$44/100</f>
        <v>3.24922119861723</v>
      </c>
      <c r="F117" s="665">
        <f t="shared" ref="F117:F120" si="11">D117*E117</f>
        <v>259.937695889378</v>
      </c>
      <c r="G117" s="695"/>
      <c r="H117" s="696"/>
    </row>
    <row r="118" s="499" customFormat="1" ht="18" customHeight="1" spans="1:8">
      <c r="A118" s="694"/>
      <c r="B118" s="268" t="s">
        <v>544</v>
      </c>
      <c r="C118" s="270" t="s">
        <v>632</v>
      </c>
      <c r="D118" s="225">
        <v>66</v>
      </c>
      <c r="E118" s="241">
        <f>单价汇总!$D$60/100</f>
        <v>17.5683160257823</v>
      </c>
      <c r="F118" s="665">
        <f t="shared" si="11"/>
        <v>1159.50885770163</v>
      </c>
      <c r="G118" s="695"/>
      <c r="H118" s="696"/>
    </row>
    <row r="119" s="499" customFormat="1" ht="18" customHeight="1" spans="1:8">
      <c r="A119" s="694"/>
      <c r="B119" s="268" t="s">
        <v>771</v>
      </c>
      <c r="C119" s="270" t="s">
        <v>146</v>
      </c>
      <c r="D119" s="225">
        <v>20</v>
      </c>
      <c r="E119" s="697">
        <v>1334.99</v>
      </c>
      <c r="F119" s="665">
        <f t="shared" si="11"/>
        <v>26699.8</v>
      </c>
      <c r="G119" s="695"/>
      <c r="H119" s="696"/>
    </row>
    <row r="120" s="499" customFormat="1" ht="18" customHeight="1" spans="1:8">
      <c r="A120" s="694"/>
      <c r="B120" s="268" t="s">
        <v>772</v>
      </c>
      <c r="C120" s="270" t="s">
        <v>146</v>
      </c>
      <c r="D120" s="225">
        <v>20</v>
      </c>
      <c r="E120" s="208">
        <v>800</v>
      </c>
      <c r="F120" s="665">
        <f t="shared" si="11"/>
        <v>16000</v>
      </c>
      <c r="G120" s="695"/>
      <c r="H120" s="696"/>
    </row>
    <row r="121" ht="18" customHeight="1" spans="1:8">
      <c r="A121" s="651">
        <v>5</v>
      </c>
      <c r="B121" s="271" t="s">
        <v>773</v>
      </c>
      <c r="C121" s="704" t="s">
        <v>284</v>
      </c>
      <c r="D121" s="465">
        <v>50</v>
      </c>
      <c r="E121" s="458"/>
      <c r="F121" s="687">
        <f>SUM(F122:F124)</f>
        <v>2556.89757591298</v>
      </c>
      <c r="G121" s="692"/>
      <c r="H121" s="693"/>
    </row>
    <row r="122" s="499" customFormat="1" ht="18" customHeight="1" spans="1:8">
      <c r="A122" s="280"/>
      <c r="B122" s="268" t="s">
        <v>703</v>
      </c>
      <c r="C122" s="270" t="s">
        <v>632</v>
      </c>
      <c r="D122" s="207">
        <v>75</v>
      </c>
      <c r="E122" s="660">
        <f>单价汇总!$D$44/100</f>
        <v>3.24922119861723</v>
      </c>
      <c r="F122" s="208">
        <f t="shared" ref="F122:F124" si="12">D122*E122</f>
        <v>243.691589896292</v>
      </c>
      <c r="G122" s="695"/>
      <c r="H122" s="696"/>
    </row>
    <row r="123" s="499" customFormat="1" ht="18" customHeight="1" spans="1:8">
      <c r="A123" s="280"/>
      <c r="B123" s="268" t="s">
        <v>544</v>
      </c>
      <c r="C123" s="270" t="s">
        <v>632</v>
      </c>
      <c r="D123" s="208">
        <v>73</v>
      </c>
      <c r="E123" s="241">
        <f>单价汇总!$D$60/100</f>
        <v>17.5683160257823</v>
      </c>
      <c r="F123" s="208">
        <f t="shared" si="12"/>
        <v>1282.48706988211</v>
      </c>
      <c r="G123" s="695"/>
      <c r="H123" s="696"/>
    </row>
    <row r="124" ht="18" customHeight="1" spans="1:8">
      <c r="A124" s="280"/>
      <c r="B124" s="689" t="s">
        <v>774</v>
      </c>
      <c r="C124" s="686" t="s">
        <v>704</v>
      </c>
      <c r="D124" s="208">
        <v>2</v>
      </c>
      <c r="E124" s="228">
        <f>[11]单价汇总表!L25/100</f>
        <v>515.35945806729</v>
      </c>
      <c r="F124" s="208">
        <f t="shared" si="12"/>
        <v>1030.71891613458</v>
      </c>
      <c r="G124" s="695"/>
      <c r="H124" s="696"/>
    </row>
    <row r="125" ht="18" customHeight="1" spans="1:8">
      <c r="A125" s="651" t="s">
        <v>476</v>
      </c>
      <c r="B125" s="271" t="s">
        <v>775</v>
      </c>
      <c r="C125" s="281"/>
      <c r="D125" s="664"/>
      <c r="E125" s="664"/>
      <c r="F125" s="705">
        <f>F126+F184</f>
        <v>9293796.26493774</v>
      </c>
      <c r="G125" s="702"/>
      <c r="H125" s="703"/>
    </row>
    <row r="126" ht="18" customHeight="1" spans="1:8">
      <c r="A126" s="651" t="s">
        <v>701</v>
      </c>
      <c r="B126" s="706" t="s">
        <v>776</v>
      </c>
      <c r="C126" s="281"/>
      <c r="D126" s="664"/>
      <c r="E126" s="664"/>
      <c r="F126" s="705">
        <f>F127+F132+F137+F145+F154+F156+F163+F172+F175+F181</f>
        <v>3070180.67777695</v>
      </c>
      <c r="G126" s="702"/>
      <c r="H126" s="703"/>
    </row>
    <row r="127" ht="18" customHeight="1" spans="1:9">
      <c r="A127" s="651">
        <v>1</v>
      </c>
      <c r="B127" s="706" t="s">
        <v>777</v>
      </c>
      <c r="C127" s="281"/>
      <c r="D127" s="664"/>
      <c r="E127" s="664"/>
      <c r="F127" s="705">
        <f>SUM(F128:F131)</f>
        <v>243249.757046526</v>
      </c>
      <c r="G127" s="702"/>
      <c r="H127" s="703"/>
      <c r="I127" s="709"/>
    </row>
    <row r="128" s="499" customFormat="1" ht="18" customHeight="1" spans="1:8">
      <c r="A128" s="651"/>
      <c r="B128" s="468" t="s">
        <v>778</v>
      </c>
      <c r="C128" s="707" t="s">
        <v>632</v>
      </c>
      <c r="D128" s="664">
        <v>1531.2</v>
      </c>
      <c r="E128" s="664">
        <f>单价汇总!$D$388/100+单价汇总!$D$48/100</f>
        <v>30.0941111505833</v>
      </c>
      <c r="F128" s="664">
        <f>D128*E128</f>
        <v>46080.1029937732</v>
      </c>
      <c r="G128" s="702"/>
      <c r="H128" s="703"/>
    </row>
    <row r="129" s="499" customFormat="1" ht="18" customHeight="1" spans="1:8">
      <c r="A129" s="651"/>
      <c r="B129" s="468" t="s">
        <v>779</v>
      </c>
      <c r="C129" s="707" t="s">
        <v>632</v>
      </c>
      <c r="D129" s="664">
        <v>1156</v>
      </c>
      <c r="E129" s="664">
        <f>单价汇总!$D$389/100+单价汇总!$D$48/100</f>
        <v>75.2035339551192</v>
      </c>
      <c r="F129" s="664">
        <f>D129*E129</f>
        <v>86935.2852521178</v>
      </c>
      <c r="G129" s="702"/>
      <c r="H129" s="703"/>
    </row>
    <row r="130" s="499" customFormat="1" ht="28" customHeight="1" spans="1:8">
      <c r="A130" s="651"/>
      <c r="B130" s="268" t="s">
        <v>780</v>
      </c>
      <c r="C130" s="707" t="s">
        <v>632</v>
      </c>
      <c r="D130" s="664">
        <v>9871.5</v>
      </c>
      <c r="E130" s="664">
        <f>单价汇总!$D$48/100</f>
        <v>11.1669319556942</v>
      </c>
      <c r="F130" s="664">
        <f>D130*E130</f>
        <v>110234.368800635</v>
      </c>
      <c r="G130" s="702"/>
      <c r="H130" s="703"/>
    </row>
    <row r="131" ht="28" customHeight="1" spans="1:8">
      <c r="A131" s="651"/>
      <c r="B131" s="710"/>
      <c r="C131" s="707"/>
      <c r="D131" s="664"/>
      <c r="E131" s="664"/>
      <c r="F131" s="664"/>
      <c r="G131" s="702"/>
      <c r="H131" s="703"/>
    </row>
    <row r="132" ht="18" customHeight="1" spans="1:8">
      <c r="A132" s="711">
        <v>2</v>
      </c>
      <c r="B132" s="504" t="s">
        <v>560</v>
      </c>
      <c r="C132" s="329"/>
      <c r="D132" s="705"/>
      <c r="E132" s="705"/>
      <c r="F132" s="705">
        <f>SUM(F133:F136)</f>
        <v>1240424.75234434</v>
      </c>
      <c r="G132" s="702"/>
      <c r="H132" s="703"/>
    </row>
    <row r="133" s="499" customFormat="1" ht="18" customHeight="1" spans="1:8">
      <c r="A133" s="712"/>
      <c r="B133" s="268" t="s">
        <v>781</v>
      </c>
      <c r="C133" s="281" t="s">
        <v>704</v>
      </c>
      <c r="D133" s="664">
        <v>2506.5</v>
      </c>
      <c r="E133" s="660">
        <f>单价汇总!$D$44/100</f>
        <v>3.24922119861723</v>
      </c>
      <c r="F133" s="664">
        <f>D133*E133</f>
        <v>8144.17293433409</v>
      </c>
      <c r="G133" s="702"/>
      <c r="H133" s="703"/>
    </row>
    <row r="134" s="499" customFormat="1" ht="18" customHeight="1" spans="1:8">
      <c r="A134" s="712"/>
      <c r="B134" s="268" t="s">
        <v>703</v>
      </c>
      <c r="C134" s="281" t="s">
        <v>704</v>
      </c>
      <c r="D134" s="608">
        <v>73009.8</v>
      </c>
      <c r="E134" s="660">
        <f>单价汇总!$D$44/100</f>
        <v>3.24922119861723</v>
      </c>
      <c r="F134" s="664"/>
      <c r="G134" s="702"/>
      <c r="H134" s="703"/>
    </row>
    <row r="135" s="499" customFormat="1" ht="18" customHeight="1" spans="1:8">
      <c r="A135" s="712"/>
      <c r="B135" s="268" t="s">
        <v>782</v>
      </c>
      <c r="C135" s="281" t="s">
        <v>704</v>
      </c>
      <c r="D135" s="608">
        <v>5115.6</v>
      </c>
      <c r="E135" s="664">
        <f>单价汇总!$D$41/100+单价汇总!$D$56/100</f>
        <v>9.8026608733975</v>
      </c>
      <c r="F135" s="664">
        <f>D135*E135</f>
        <v>50146.4919639523</v>
      </c>
      <c r="G135" s="702"/>
      <c r="H135" s="703"/>
    </row>
    <row r="136" ht="18" customHeight="1" spans="1:8">
      <c r="A136" s="712"/>
      <c r="B136" s="268" t="s">
        <v>731</v>
      </c>
      <c r="C136" s="281" t="s">
        <v>704</v>
      </c>
      <c r="D136" s="608">
        <v>67569.2</v>
      </c>
      <c r="E136" s="676">
        <f>单价汇总!$D$51/100</f>
        <v>17.4951618110922</v>
      </c>
      <c r="F136" s="664">
        <f>D136*E136</f>
        <v>1182134.08744605</v>
      </c>
      <c r="G136" s="702" t="s">
        <v>783</v>
      </c>
      <c r="H136" s="703"/>
    </row>
    <row r="137" ht="18" customHeight="1" spans="1:8">
      <c r="A137" s="711">
        <v>3</v>
      </c>
      <c r="B137" s="504" t="s">
        <v>568</v>
      </c>
      <c r="C137" s="329"/>
      <c r="D137" s="705"/>
      <c r="E137" s="705"/>
      <c r="F137" s="705">
        <f>SUM(F138:F144)</f>
        <v>68392.4118324984</v>
      </c>
      <c r="G137" s="702"/>
      <c r="H137" s="703"/>
    </row>
    <row r="138" s="499" customFormat="1" ht="18" customHeight="1" spans="1:8">
      <c r="A138" s="712"/>
      <c r="B138" s="268" t="s">
        <v>735</v>
      </c>
      <c r="C138" s="281" t="s">
        <v>704</v>
      </c>
      <c r="D138" s="608">
        <v>325</v>
      </c>
      <c r="E138" s="676">
        <f>单价汇总!$D$51/100</f>
        <v>17.4951618110922</v>
      </c>
      <c r="F138" s="664">
        <f t="shared" ref="F138:F144" si="13">D138*E138</f>
        <v>5685.92758860496</v>
      </c>
      <c r="G138" s="702"/>
      <c r="H138" s="703"/>
    </row>
    <row r="139" s="499" customFormat="1" ht="18" customHeight="1" spans="1:8">
      <c r="A139" s="712"/>
      <c r="B139" s="268" t="s">
        <v>784</v>
      </c>
      <c r="C139" s="281" t="s">
        <v>720</v>
      </c>
      <c r="D139" s="208">
        <v>168</v>
      </c>
      <c r="E139" s="664">
        <f>单价汇总!D384/1000</f>
        <v>89.4831914821935</v>
      </c>
      <c r="F139" s="664">
        <f t="shared" si="13"/>
        <v>15033.1761690085</v>
      </c>
      <c r="G139" s="702"/>
      <c r="H139" s="703"/>
    </row>
    <row r="140" s="499" customFormat="1" ht="18" customHeight="1" spans="1:8">
      <c r="A140" s="712"/>
      <c r="B140" s="268" t="s">
        <v>785</v>
      </c>
      <c r="C140" s="281" t="s">
        <v>704</v>
      </c>
      <c r="D140" s="207">
        <v>67.2</v>
      </c>
      <c r="E140" s="664">
        <f>单价汇总!D81/100</f>
        <v>126.028555399238</v>
      </c>
      <c r="F140" s="664">
        <f t="shared" si="13"/>
        <v>8469.11892282879</v>
      </c>
      <c r="G140" s="702"/>
      <c r="H140" s="703"/>
    </row>
    <row r="141" s="499" customFormat="1" ht="18" customHeight="1" spans="1:8">
      <c r="A141" s="712"/>
      <c r="B141" s="268" t="s">
        <v>786</v>
      </c>
      <c r="C141" s="281" t="s">
        <v>704</v>
      </c>
      <c r="D141" s="207">
        <v>30</v>
      </c>
      <c r="E141" s="664">
        <f>单价汇总!D402/100</f>
        <v>113.776254338233</v>
      </c>
      <c r="F141" s="664">
        <f t="shared" si="13"/>
        <v>3413.28763014699</v>
      </c>
      <c r="G141" s="702"/>
      <c r="H141" s="703"/>
    </row>
    <row r="142" s="499" customFormat="1" ht="31" customHeight="1" spans="1:9">
      <c r="A142" s="712"/>
      <c r="B142" s="268" t="s">
        <v>787</v>
      </c>
      <c r="C142" s="281" t="s">
        <v>720</v>
      </c>
      <c r="D142" s="208">
        <v>261.05</v>
      </c>
      <c r="E142" s="664">
        <f>单价汇总!D391/100</f>
        <v>18.7358955844695</v>
      </c>
      <c r="F142" s="664">
        <f t="shared" si="13"/>
        <v>4891.00554232576</v>
      </c>
      <c r="G142" s="702"/>
      <c r="H142" s="703"/>
      <c r="I142" s="714"/>
    </row>
    <row r="143" s="499" customFormat="1" ht="18" customHeight="1" spans="1:8">
      <c r="A143" s="712"/>
      <c r="B143" s="268" t="s">
        <v>555</v>
      </c>
      <c r="C143" s="281" t="s">
        <v>704</v>
      </c>
      <c r="D143" s="208">
        <v>80</v>
      </c>
      <c r="E143" s="664">
        <f>单价汇总!$D$86/100</f>
        <v>364.686235073884</v>
      </c>
      <c r="F143" s="664">
        <f t="shared" si="13"/>
        <v>29174.8988059107</v>
      </c>
      <c r="G143" s="702"/>
      <c r="H143" s="703"/>
    </row>
    <row r="144" s="499" customFormat="1" ht="18" customHeight="1" spans="1:8">
      <c r="A144" s="712"/>
      <c r="B144" s="468" t="s">
        <v>713</v>
      </c>
      <c r="C144" s="281" t="s">
        <v>704</v>
      </c>
      <c r="D144" s="208">
        <v>3.6</v>
      </c>
      <c r="E144" s="241">
        <f>单价汇总!$D$151/100</f>
        <v>479.165881575749</v>
      </c>
      <c r="F144" s="664">
        <f t="shared" si="13"/>
        <v>1724.9971736727</v>
      </c>
      <c r="G144" s="702"/>
      <c r="H144" s="703"/>
    </row>
    <row r="145" ht="18" customHeight="1" spans="1:8">
      <c r="A145" s="711">
        <v>4</v>
      </c>
      <c r="B145" s="504" t="s">
        <v>553</v>
      </c>
      <c r="C145" s="329"/>
      <c r="D145" s="705"/>
      <c r="E145" s="705"/>
      <c r="F145" s="705">
        <f>SUM(F146:F153)</f>
        <v>77532.2310883428</v>
      </c>
      <c r="G145" s="702"/>
      <c r="H145" s="703"/>
    </row>
    <row r="146" s="499" customFormat="1" ht="18" customHeight="1" spans="1:8">
      <c r="A146" s="712"/>
      <c r="B146" s="268" t="s">
        <v>703</v>
      </c>
      <c r="C146" s="270" t="s">
        <v>632</v>
      </c>
      <c r="D146" s="207">
        <v>26.558</v>
      </c>
      <c r="E146" s="660">
        <f>单价汇总!$D$44/100</f>
        <v>3.24922119861723</v>
      </c>
      <c r="F146" s="208">
        <f t="shared" ref="F146:F153" si="14">D146*E146</f>
        <v>86.2928165928764</v>
      </c>
      <c r="G146" s="702"/>
      <c r="H146" s="703"/>
    </row>
    <row r="147" s="499" customFormat="1" ht="18" customHeight="1" spans="1:8">
      <c r="A147" s="712"/>
      <c r="B147" s="268" t="s">
        <v>544</v>
      </c>
      <c r="C147" s="270" t="s">
        <v>632</v>
      </c>
      <c r="D147" s="208">
        <v>11.9511</v>
      </c>
      <c r="E147" s="241">
        <f>单价汇总!$D$60/100</f>
        <v>17.5683160257823</v>
      </c>
      <c r="F147" s="208">
        <f t="shared" si="14"/>
        <v>209.960701655727</v>
      </c>
      <c r="G147" s="702"/>
      <c r="H147" s="703"/>
    </row>
    <row r="148" s="499" customFormat="1" ht="18" customHeight="1" spans="1:8">
      <c r="A148" s="712"/>
      <c r="B148" s="268" t="s">
        <v>788</v>
      </c>
      <c r="C148" s="270" t="s">
        <v>632</v>
      </c>
      <c r="D148" s="208">
        <v>27.608525</v>
      </c>
      <c r="E148" s="664">
        <f>单价汇总!$D$82/100</f>
        <v>60.0036322251776</v>
      </c>
      <c r="F148" s="664">
        <f t="shared" si="14"/>
        <v>1656.61178037962</v>
      </c>
      <c r="G148" s="702"/>
      <c r="H148" s="703"/>
    </row>
    <row r="149" s="499" customFormat="1" ht="18" customHeight="1" spans="1:8">
      <c r="A149" s="712"/>
      <c r="B149" s="268" t="s">
        <v>708</v>
      </c>
      <c r="C149" s="281" t="s">
        <v>704</v>
      </c>
      <c r="D149" s="664">
        <v>20.2931575</v>
      </c>
      <c r="E149" s="664">
        <f>单价汇总!$D$125/100</f>
        <v>615.057487475827</v>
      </c>
      <c r="F149" s="664">
        <f t="shared" si="14"/>
        <v>12481.4584649012</v>
      </c>
      <c r="G149" s="702"/>
      <c r="H149" s="703"/>
    </row>
    <row r="150" s="499" customFormat="1" ht="18" customHeight="1" spans="1:8">
      <c r="A150" s="712"/>
      <c r="B150" s="268" t="s">
        <v>549</v>
      </c>
      <c r="C150" s="281" t="s">
        <v>580</v>
      </c>
      <c r="D150" s="664">
        <v>1.7249183875</v>
      </c>
      <c r="E150" s="230">
        <f>单价汇总!$D$196</f>
        <v>6240.66751713011</v>
      </c>
      <c r="F150" s="664">
        <f t="shared" si="14"/>
        <v>10764.6421505717</v>
      </c>
      <c r="G150" s="702"/>
      <c r="H150" s="703"/>
    </row>
    <row r="151" s="499" customFormat="1" ht="18" customHeight="1" spans="1:8">
      <c r="A151" s="712"/>
      <c r="B151" s="270" t="s">
        <v>789</v>
      </c>
      <c r="C151" s="281" t="s">
        <v>558</v>
      </c>
      <c r="D151" s="664">
        <v>4.58676</v>
      </c>
      <c r="E151" s="664">
        <v>9000</v>
      </c>
      <c r="F151" s="664">
        <f t="shared" si="14"/>
        <v>41280.84</v>
      </c>
      <c r="G151" s="702"/>
      <c r="H151" s="703"/>
    </row>
    <row r="152" s="499" customFormat="1" ht="18" customHeight="1" spans="1:8">
      <c r="A152" s="712"/>
      <c r="B152" s="689" t="s">
        <v>790</v>
      </c>
      <c r="C152" s="281" t="s">
        <v>704</v>
      </c>
      <c r="D152" s="664">
        <v>16</v>
      </c>
      <c r="E152" s="665">
        <f>单价汇总!$D$131/100</f>
        <v>555.068780890099</v>
      </c>
      <c r="F152" s="664">
        <f t="shared" si="14"/>
        <v>8881.10049424158</v>
      </c>
      <c r="G152" s="702"/>
      <c r="H152" s="703"/>
    </row>
    <row r="153" ht="18" customHeight="1" spans="1:8">
      <c r="A153" s="712"/>
      <c r="B153" s="689" t="s">
        <v>791</v>
      </c>
      <c r="C153" s="281" t="s">
        <v>720</v>
      </c>
      <c r="D153" s="664">
        <v>56</v>
      </c>
      <c r="E153" s="664">
        <f>材料预算价!$L$10</f>
        <v>38.773655</v>
      </c>
      <c r="F153" s="664">
        <f t="shared" si="14"/>
        <v>2171.32468</v>
      </c>
      <c r="G153" s="702"/>
      <c r="H153" s="703"/>
    </row>
    <row r="154" ht="18" customHeight="1" spans="1:8">
      <c r="A154" s="711">
        <v>5</v>
      </c>
      <c r="B154" s="504" t="s">
        <v>582</v>
      </c>
      <c r="C154" s="329" t="s">
        <v>80</v>
      </c>
      <c r="D154" s="705">
        <v>2</v>
      </c>
      <c r="E154" s="705"/>
      <c r="F154" s="705">
        <f>SUM(F155:F155)</f>
        <v>14627.4201786476</v>
      </c>
      <c r="G154" s="702"/>
      <c r="H154" s="703"/>
    </row>
    <row r="155" s="499" customFormat="1" ht="18" customHeight="1" spans="1:8">
      <c r="A155" s="712"/>
      <c r="B155" s="268" t="s">
        <v>708</v>
      </c>
      <c r="C155" s="281" t="s">
        <v>704</v>
      </c>
      <c r="D155" s="208">
        <v>23.7822</v>
      </c>
      <c r="E155" s="664">
        <f>单价汇总!$D$125/100</f>
        <v>615.057487475827</v>
      </c>
      <c r="F155" s="664">
        <f>D155*E155</f>
        <v>14627.4201786476</v>
      </c>
      <c r="G155" s="702"/>
      <c r="H155" s="703"/>
    </row>
    <row r="156" ht="18" customHeight="1" spans="1:8">
      <c r="A156" s="711">
        <v>6</v>
      </c>
      <c r="B156" s="504" t="s">
        <v>792</v>
      </c>
      <c r="C156" s="329"/>
      <c r="D156" s="705"/>
      <c r="E156" s="705"/>
      <c r="F156" s="705">
        <f>SUM(F157:F162)</f>
        <v>359320.749021196</v>
      </c>
      <c r="G156" s="702"/>
      <c r="H156" s="703"/>
    </row>
    <row r="157" s="499" customFormat="1" ht="18" customHeight="1" spans="1:9">
      <c r="A157" s="712"/>
      <c r="B157" s="268" t="s">
        <v>793</v>
      </c>
      <c r="C157" s="281" t="s">
        <v>704</v>
      </c>
      <c r="D157" s="208">
        <v>136.5408</v>
      </c>
      <c r="E157" s="664">
        <f>单价汇总!$D$125/100</f>
        <v>615.057487475827</v>
      </c>
      <c r="F157" s="664">
        <f t="shared" ref="F157:F162" si="15">D157*E157</f>
        <v>83980.4413859394</v>
      </c>
      <c r="G157" s="702"/>
      <c r="H157" s="703"/>
      <c r="I157" s="714"/>
    </row>
    <row r="158" s="499" customFormat="1" ht="18" customHeight="1" spans="1:8">
      <c r="A158" s="712"/>
      <c r="B158" s="268" t="s">
        <v>794</v>
      </c>
      <c r="C158" s="281" t="s">
        <v>704</v>
      </c>
      <c r="D158" s="207">
        <v>5382.744</v>
      </c>
      <c r="E158" s="664">
        <f>单价汇总!$D$44/100+单价汇总!$D$56/100</f>
        <v>9.88987862175438</v>
      </c>
      <c r="F158" s="664">
        <f t="shared" si="15"/>
        <v>53234.6848119767</v>
      </c>
      <c r="G158" s="702"/>
      <c r="H158" s="703"/>
    </row>
    <row r="159" s="499" customFormat="1" ht="18" customHeight="1" spans="1:8">
      <c r="A159" s="712"/>
      <c r="B159" s="268" t="s">
        <v>549</v>
      </c>
      <c r="C159" s="281" t="s">
        <v>558</v>
      </c>
      <c r="D159" s="208">
        <v>4.09716996</v>
      </c>
      <c r="E159" s="230">
        <f>单价汇总!$D$196</f>
        <v>6240.66751713011</v>
      </c>
      <c r="F159" s="664">
        <f t="shared" si="15"/>
        <v>25569.0754815333</v>
      </c>
      <c r="G159" s="702"/>
      <c r="H159" s="703"/>
    </row>
    <row r="160" s="499" customFormat="1" ht="18" customHeight="1" spans="1:8">
      <c r="A160" s="712"/>
      <c r="B160" s="268" t="s">
        <v>795</v>
      </c>
      <c r="C160" s="281" t="s">
        <v>704</v>
      </c>
      <c r="D160" s="207"/>
      <c r="E160" s="664">
        <f>单价汇总!D56/100</f>
        <v>6.64065742313715</v>
      </c>
      <c r="F160" s="664">
        <f t="shared" si="15"/>
        <v>0</v>
      </c>
      <c r="G160" s="702"/>
      <c r="H160" s="703"/>
    </row>
    <row r="161" s="499" customFormat="1" ht="30" customHeight="1" spans="1:8">
      <c r="A161" s="712"/>
      <c r="B161" s="268" t="s">
        <v>787</v>
      </c>
      <c r="C161" s="281" t="s">
        <v>720</v>
      </c>
      <c r="D161" s="207">
        <v>9868.364</v>
      </c>
      <c r="E161" s="664">
        <f>单价汇总!D390/100</f>
        <v>18.1274846203776</v>
      </c>
      <c r="F161" s="664">
        <f t="shared" si="15"/>
        <v>178888.616638288</v>
      </c>
      <c r="G161" s="702"/>
      <c r="H161" s="703"/>
    </row>
    <row r="162" s="499" customFormat="1" ht="30" customHeight="1" spans="1:8">
      <c r="A162" s="712"/>
      <c r="B162" s="268" t="s">
        <v>788</v>
      </c>
      <c r="C162" s="270" t="s">
        <v>632</v>
      </c>
      <c r="D162" s="208">
        <v>986.8364</v>
      </c>
      <c r="E162" s="542">
        <f>11.5+单价汇总!$D$59/100</f>
        <v>17.8833398357202</v>
      </c>
      <c r="F162" s="664">
        <f t="shared" si="15"/>
        <v>17647.9307034588</v>
      </c>
      <c r="G162" s="702"/>
      <c r="H162" s="703"/>
    </row>
    <row r="163" ht="18" customHeight="1" spans="1:8">
      <c r="A163" s="711">
        <v>7</v>
      </c>
      <c r="B163" s="504" t="s">
        <v>796</v>
      </c>
      <c r="C163" s="329"/>
      <c r="D163" s="705"/>
      <c r="E163" s="705"/>
      <c r="F163" s="705">
        <f>SUM(F164:F171)</f>
        <v>884786.34125834</v>
      </c>
      <c r="G163" s="702"/>
      <c r="H163" s="703"/>
    </row>
    <row r="164" s="499" customFormat="1" ht="18" customHeight="1" spans="1:8">
      <c r="A164" s="711"/>
      <c r="B164" s="268" t="s">
        <v>797</v>
      </c>
      <c r="C164" s="281" t="s">
        <v>720</v>
      </c>
      <c r="D164" s="664">
        <v>9295.565</v>
      </c>
      <c r="E164" s="664">
        <f>单价汇总!$D$66/100</f>
        <v>0.959965556181946</v>
      </c>
      <c r="F164" s="664">
        <f>D164*E164</f>
        <v>8923.42222525043</v>
      </c>
      <c r="G164" s="702"/>
      <c r="H164" s="703"/>
    </row>
    <row r="165" s="499" customFormat="1" ht="18" customHeight="1" spans="1:8">
      <c r="A165" s="712"/>
      <c r="B165" s="268" t="s">
        <v>798</v>
      </c>
      <c r="C165" s="281" t="s">
        <v>720</v>
      </c>
      <c r="D165" s="207">
        <v>8517.53</v>
      </c>
      <c r="E165" s="664">
        <f>单价汇总!$D$69/100</f>
        <v>1.32514307576918</v>
      </c>
      <c r="F165" s="664">
        <f t="shared" ref="F165:F171" si="16">D165*E165</f>
        <v>11286.9459021563</v>
      </c>
      <c r="G165" s="702"/>
      <c r="H165" s="703"/>
    </row>
    <row r="166" s="499" customFormat="1" ht="18" customHeight="1" spans="1:8">
      <c r="A166" s="712"/>
      <c r="B166" s="268" t="s">
        <v>799</v>
      </c>
      <c r="C166" s="281" t="s">
        <v>704</v>
      </c>
      <c r="D166" s="208">
        <v>1993.10202</v>
      </c>
      <c r="E166" s="664">
        <f>材料预算价!$L$10</f>
        <v>38.773655</v>
      </c>
      <c r="F166" s="664">
        <f t="shared" si="16"/>
        <v>77279.8501032831</v>
      </c>
      <c r="G166" s="702"/>
      <c r="H166" s="703"/>
    </row>
    <row r="167" s="499" customFormat="1" ht="18" customHeight="1" spans="1:8">
      <c r="A167" s="712"/>
      <c r="B167" s="268" t="s">
        <v>800</v>
      </c>
      <c r="C167" s="281" t="s">
        <v>704</v>
      </c>
      <c r="D167" s="208">
        <v>562.15698</v>
      </c>
      <c r="E167" s="664">
        <f>(单价汇总!$D$187+单价汇总!$D$157*0.9)/100</f>
        <v>699.433907743229</v>
      </c>
      <c r="F167" s="664">
        <f t="shared" si="16"/>
        <v>393191.653286532</v>
      </c>
      <c r="G167" s="702"/>
      <c r="H167" s="703"/>
    </row>
    <row r="168" s="499" customFormat="1" ht="18" customHeight="1" spans="1:8">
      <c r="A168" s="712"/>
      <c r="B168" s="268" t="s">
        <v>549</v>
      </c>
      <c r="C168" s="281" t="s">
        <v>558</v>
      </c>
      <c r="D168" s="208">
        <v>26.4088856826667</v>
      </c>
      <c r="E168" s="230">
        <f>单价汇总!$D$196</f>
        <v>6240.66751713011</v>
      </c>
      <c r="F168" s="664">
        <f t="shared" si="16"/>
        <v>164809.075043421</v>
      </c>
      <c r="G168" s="702"/>
      <c r="H168" s="703"/>
    </row>
    <row r="169" s="499" customFormat="1" ht="18" customHeight="1" spans="1:8">
      <c r="A169" s="712"/>
      <c r="B169" s="468" t="s">
        <v>801</v>
      </c>
      <c r="C169" s="281" t="s">
        <v>704</v>
      </c>
      <c r="D169" s="208">
        <v>681.4024</v>
      </c>
      <c r="E169" s="542">
        <f>单价汇总!D396/100</f>
        <v>58.5593345487981</v>
      </c>
      <c r="F169" s="664">
        <f t="shared" si="16"/>
        <v>39902.4711039539</v>
      </c>
      <c r="G169" s="702"/>
      <c r="H169" s="703"/>
    </row>
    <row r="170" s="499" customFormat="1" ht="36" customHeight="1" spans="1:8">
      <c r="A170" s="712"/>
      <c r="B170" s="268" t="s">
        <v>787</v>
      </c>
      <c r="C170" s="281" t="s">
        <v>720</v>
      </c>
      <c r="D170" s="208">
        <v>9295.565</v>
      </c>
      <c r="E170" s="664">
        <f>单价汇总!$D$391/100</f>
        <v>18.7358955844695</v>
      </c>
      <c r="F170" s="664">
        <f t="shared" si="16"/>
        <v>174160.735238649</v>
      </c>
      <c r="G170" s="702"/>
      <c r="H170" s="703"/>
    </row>
    <row r="171" s="499" customFormat="1" ht="18" customHeight="1" spans="1:8">
      <c r="A171" s="712"/>
      <c r="B171" s="468" t="s">
        <v>802</v>
      </c>
      <c r="C171" s="281" t="s">
        <v>704</v>
      </c>
      <c r="D171" s="208">
        <v>851.753</v>
      </c>
      <c r="E171" s="542">
        <f>11.5+单价汇总!$D$59/100</f>
        <v>17.8833398357202</v>
      </c>
      <c r="F171" s="664">
        <f t="shared" si="16"/>
        <v>15232.1883550942</v>
      </c>
      <c r="G171" s="702"/>
      <c r="H171" s="703"/>
    </row>
    <row r="172" ht="18" customHeight="1" spans="1:8">
      <c r="A172" s="711">
        <v>8</v>
      </c>
      <c r="B172" s="504" t="s">
        <v>592</v>
      </c>
      <c r="C172" s="329"/>
      <c r="D172" s="705"/>
      <c r="E172" s="705"/>
      <c r="F172" s="705">
        <f>SUM(F173:F174)</f>
        <v>59510.0588092524</v>
      </c>
      <c r="G172" s="702"/>
      <c r="H172" s="703"/>
    </row>
    <row r="173" s="499" customFormat="1" ht="18" customHeight="1" spans="1:8">
      <c r="A173" s="712"/>
      <c r="B173" s="268" t="s">
        <v>803</v>
      </c>
      <c r="C173" s="281" t="s">
        <v>720</v>
      </c>
      <c r="D173" s="207">
        <v>2421</v>
      </c>
      <c r="E173" s="664">
        <f>单价汇总!$D$380/1000</f>
        <v>17.3814019390528</v>
      </c>
      <c r="F173" s="664">
        <f t="shared" ref="F173:F180" si="17">D173*E173</f>
        <v>42080.3740944468</v>
      </c>
      <c r="G173" s="702"/>
      <c r="H173" s="703"/>
    </row>
    <row r="174" s="499" customFormat="1" ht="18" customHeight="1" spans="1:8">
      <c r="A174" s="712"/>
      <c r="B174" s="468" t="s">
        <v>804</v>
      </c>
      <c r="C174" s="281" t="s">
        <v>704</v>
      </c>
      <c r="D174" s="207">
        <v>25.4205</v>
      </c>
      <c r="E174" s="664">
        <f>单价汇总!$D$173/100</f>
        <v>685.654676926322</v>
      </c>
      <c r="F174" s="664">
        <f t="shared" si="17"/>
        <v>17429.6847148056</v>
      </c>
      <c r="G174" s="702"/>
      <c r="H174" s="703"/>
    </row>
    <row r="175" ht="18" customHeight="1" spans="1:8">
      <c r="A175" s="711">
        <v>9</v>
      </c>
      <c r="B175" s="504" t="s">
        <v>594</v>
      </c>
      <c r="C175" s="329"/>
      <c r="D175" s="705"/>
      <c r="E175" s="705"/>
      <c r="F175" s="705">
        <f>SUM(F176:F180)</f>
        <v>101936.432731796</v>
      </c>
      <c r="G175" s="702"/>
      <c r="H175" s="703"/>
    </row>
    <row r="176" ht="18" customHeight="1" spans="1:8">
      <c r="A176" s="712"/>
      <c r="B176" s="713" t="s">
        <v>805</v>
      </c>
      <c r="C176" s="281" t="s">
        <v>146</v>
      </c>
      <c r="D176" s="664">
        <v>557</v>
      </c>
      <c r="E176" s="664">
        <v>65</v>
      </c>
      <c r="F176" s="664">
        <f t="shared" si="17"/>
        <v>36205</v>
      </c>
      <c r="G176" s="702"/>
      <c r="H176" s="703"/>
    </row>
    <row r="177" s="499" customFormat="1" ht="18" customHeight="1" spans="1:8">
      <c r="A177" s="712"/>
      <c r="B177" s="713" t="s">
        <v>806</v>
      </c>
      <c r="C177" s="281" t="s">
        <v>704</v>
      </c>
      <c r="D177" s="664">
        <v>70.182</v>
      </c>
      <c r="E177" s="664">
        <f>单价汇总!$D$125/100</f>
        <v>615.057487475827</v>
      </c>
      <c r="F177" s="664">
        <f t="shared" si="17"/>
        <v>43165.9645860285</v>
      </c>
      <c r="G177" s="702"/>
      <c r="H177" s="703"/>
    </row>
    <row r="178" s="499" customFormat="1" ht="18" customHeight="1" spans="1:8">
      <c r="A178" s="712"/>
      <c r="B178" s="268" t="s">
        <v>549</v>
      </c>
      <c r="C178" s="281" t="s">
        <v>558</v>
      </c>
      <c r="D178" s="208">
        <v>3.5091</v>
      </c>
      <c r="E178" s="228">
        <f>单价汇总!$D$196</f>
        <v>6240.66751713011</v>
      </c>
      <c r="F178" s="664">
        <f t="shared" si="17"/>
        <v>21899.1263843613</v>
      </c>
      <c r="G178" s="702"/>
      <c r="H178" s="703"/>
    </row>
    <row r="179" s="499" customFormat="1" ht="18" customHeight="1" spans="1:8">
      <c r="A179" s="712"/>
      <c r="B179" s="713" t="s">
        <v>703</v>
      </c>
      <c r="C179" s="281" t="s">
        <v>704</v>
      </c>
      <c r="D179" s="664">
        <v>91.2366</v>
      </c>
      <c r="E179" s="660">
        <f>单价汇总!$D$44/100</f>
        <v>3.24922119861723</v>
      </c>
      <c r="F179" s="664">
        <f t="shared" si="17"/>
        <v>296.447894809761</v>
      </c>
      <c r="G179" s="702"/>
      <c r="H179" s="703"/>
    </row>
    <row r="180" s="499" customFormat="1" ht="18" customHeight="1" spans="1:8">
      <c r="A180" s="712"/>
      <c r="B180" s="713" t="s">
        <v>544</v>
      </c>
      <c r="C180" s="281" t="s">
        <v>704</v>
      </c>
      <c r="D180" s="664">
        <v>21.0546</v>
      </c>
      <c r="E180" s="241">
        <f>单价汇总!$D$60/100</f>
        <v>17.5683160257823</v>
      </c>
      <c r="F180" s="664">
        <f t="shared" si="17"/>
        <v>369.893866596436</v>
      </c>
      <c r="G180" s="702"/>
      <c r="H180" s="703"/>
    </row>
    <row r="181" ht="18" customHeight="1" spans="1:8">
      <c r="A181" s="711">
        <v>10</v>
      </c>
      <c r="B181" s="504" t="s">
        <v>807</v>
      </c>
      <c r="C181" s="329"/>
      <c r="D181" s="465"/>
      <c r="E181" s="705"/>
      <c r="F181" s="705">
        <f>SUM(F182:F183)</f>
        <v>20400.5234660172</v>
      </c>
      <c r="G181" s="702"/>
      <c r="H181" s="703"/>
    </row>
    <row r="182" s="499" customFormat="1" ht="18" customHeight="1" spans="1:8">
      <c r="A182" s="712"/>
      <c r="B182" s="669" t="s">
        <v>808</v>
      </c>
      <c r="C182" s="281" t="s">
        <v>720</v>
      </c>
      <c r="D182" s="208">
        <v>2785</v>
      </c>
      <c r="E182" s="664">
        <f>单价汇总!$D$69/100</f>
        <v>1.32514307576918</v>
      </c>
      <c r="F182" s="664">
        <f>D182*E182</f>
        <v>3690.52346601717</v>
      </c>
      <c r="G182" s="702"/>
      <c r="H182" s="703"/>
    </row>
    <row r="183" s="499" customFormat="1" ht="18" customHeight="1" spans="1:8">
      <c r="A183" s="712"/>
      <c r="B183" s="468" t="s">
        <v>809</v>
      </c>
      <c r="C183" s="281" t="s">
        <v>720</v>
      </c>
      <c r="D183" s="664">
        <v>2785</v>
      </c>
      <c r="E183" s="664">
        <v>6</v>
      </c>
      <c r="F183" s="664">
        <f>D183*E183</f>
        <v>16710</v>
      </c>
      <c r="G183" s="702"/>
      <c r="H183" s="703"/>
    </row>
    <row r="184" ht="18" customHeight="1" spans="1:8">
      <c r="A184" s="651" t="s">
        <v>730</v>
      </c>
      <c r="B184" s="706" t="s">
        <v>810</v>
      </c>
      <c r="C184" s="281"/>
      <c r="D184" s="664"/>
      <c r="E184" s="664"/>
      <c r="F184" s="705">
        <f>F190+F199+F201+F213+F229+F232</f>
        <v>6223615.58716079</v>
      </c>
      <c r="G184" s="702"/>
      <c r="H184" s="703"/>
    </row>
    <row r="185" ht="18" customHeight="1" spans="1:8">
      <c r="A185" s="651">
        <v>1</v>
      </c>
      <c r="B185" s="706" t="s">
        <v>777</v>
      </c>
      <c r="C185" s="281"/>
      <c r="D185" s="664"/>
      <c r="E185" s="664"/>
      <c r="F185" s="705">
        <f>SUM(F186:F189)</f>
        <v>364559.106813232</v>
      </c>
      <c r="G185" s="702"/>
      <c r="H185" s="703"/>
    </row>
    <row r="186" s="499" customFormat="1" ht="18" customHeight="1" spans="1:8">
      <c r="A186" s="651"/>
      <c r="B186" s="468" t="s">
        <v>778</v>
      </c>
      <c r="C186" s="707" t="s">
        <v>632</v>
      </c>
      <c r="D186" s="664">
        <v>530.64</v>
      </c>
      <c r="E186" s="664">
        <f>单价汇总!$D$388/100+单价汇总!$D$48/100</f>
        <v>30.0941111505833</v>
      </c>
      <c r="F186" s="664">
        <f>D186*E186</f>
        <v>15969.1391409455</v>
      </c>
      <c r="G186" s="702"/>
      <c r="H186" s="703"/>
    </row>
    <row r="187" s="499" customFormat="1" ht="18" customHeight="1" spans="1:8">
      <c r="A187" s="651"/>
      <c r="B187" s="468" t="s">
        <v>779</v>
      </c>
      <c r="C187" s="707" t="s">
        <v>632</v>
      </c>
      <c r="D187" s="664">
        <v>2894.4</v>
      </c>
      <c r="E187" s="664">
        <f>单价汇总!$D$389/100+单价汇总!$D$48/100</f>
        <v>75.2035339551192</v>
      </c>
      <c r="F187" s="664">
        <f>D187*E187</f>
        <v>217669.108679697</v>
      </c>
      <c r="G187" s="702"/>
      <c r="H187" s="703"/>
    </row>
    <row r="188" s="499" customFormat="1" ht="18" customHeight="1" spans="1:8">
      <c r="A188" s="651"/>
      <c r="B188" s="468" t="s">
        <v>811</v>
      </c>
      <c r="C188" s="707" t="s">
        <v>632</v>
      </c>
      <c r="D188" s="664">
        <v>6809.9775</v>
      </c>
      <c r="E188" s="228">
        <f>单价汇总!$D$48/100</f>
        <v>11.1669319556942</v>
      </c>
      <c r="F188" s="664">
        <f>D188*E188</f>
        <v>76046.5553623085</v>
      </c>
      <c r="G188" s="702"/>
      <c r="H188" s="703"/>
    </row>
    <row r="189" ht="18" customHeight="1" spans="1:8">
      <c r="A189" s="651"/>
      <c r="B189" s="268" t="s">
        <v>812</v>
      </c>
      <c r="C189" s="707" t="s">
        <v>632</v>
      </c>
      <c r="D189" s="664">
        <v>4914</v>
      </c>
      <c r="E189" s="228">
        <f>单价汇总!$D$48/100</f>
        <v>11.1669319556942</v>
      </c>
      <c r="F189" s="664">
        <f>D189*E189</f>
        <v>54874.3036302813</v>
      </c>
      <c r="G189" s="702"/>
      <c r="H189" s="703"/>
    </row>
    <row r="190" ht="18" customHeight="1" spans="1:8">
      <c r="A190" s="712">
        <v>1</v>
      </c>
      <c r="B190" s="271" t="s">
        <v>553</v>
      </c>
      <c r="C190" s="281" t="s">
        <v>80</v>
      </c>
      <c r="D190" s="664">
        <v>2</v>
      </c>
      <c r="E190" s="664"/>
      <c r="F190" s="705">
        <f>SUM(F191:F198)</f>
        <v>137957.380269205</v>
      </c>
      <c r="G190" s="702"/>
      <c r="H190" s="703"/>
    </row>
    <row r="191" s="499" customFormat="1" ht="18" customHeight="1" spans="1:8">
      <c r="A191" s="712"/>
      <c r="B191" s="268" t="s">
        <v>703</v>
      </c>
      <c r="C191" s="270" t="s">
        <v>632</v>
      </c>
      <c r="D191" s="207">
        <v>53.116</v>
      </c>
      <c r="E191" s="660">
        <f>单价汇总!$D$44/100</f>
        <v>3.24922119861723</v>
      </c>
      <c r="F191" s="208">
        <f t="shared" ref="F191:F198" si="18">D191*E191</f>
        <v>172.585633185753</v>
      </c>
      <c r="G191" s="702"/>
      <c r="H191" s="703"/>
    </row>
    <row r="192" s="499" customFormat="1" ht="18" customHeight="1" spans="1:8">
      <c r="A192" s="712"/>
      <c r="B192" s="268" t="s">
        <v>544</v>
      </c>
      <c r="C192" s="270" t="s">
        <v>632</v>
      </c>
      <c r="D192" s="208">
        <v>23.9022</v>
      </c>
      <c r="E192" s="241">
        <f>单价汇总!$D$60/100</f>
        <v>17.5683160257823</v>
      </c>
      <c r="F192" s="208">
        <f t="shared" si="18"/>
        <v>419.921403311454</v>
      </c>
      <c r="G192" s="702"/>
      <c r="H192" s="703"/>
    </row>
    <row r="193" s="499" customFormat="1" ht="18" customHeight="1" spans="1:8">
      <c r="A193" s="712"/>
      <c r="B193" s="268" t="s">
        <v>813</v>
      </c>
      <c r="C193" s="270" t="s">
        <v>632</v>
      </c>
      <c r="D193" s="208">
        <v>27.608525</v>
      </c>
      <c r="E193" s="664">
        <f>E207</f>
        <v>3.8845115638374</v>
      </c>
      <c r="F193" s="664">
        <f t="shared" si="18"/>
        <v>107.245634622994</v>
      </c>
      <c r="G193" s="702"/>
      <c r="H193" s="703"/>
    </row>
    <row r="194" s="499" customFormat="1" ht="18" customHeight="1" spans="1:8">
      <c r="A194" s="712"/>
      <c r="B194" s="268" t="s">
        <v>708</v>
      </c>
      <c r="C194" s="281" t="s">
        <v>704</v>
      </c>
      <c r="D194" s="664">
        <v>61.5009</v>
      </c>
      <c r="E194" s="664">
        <f>单价汇总!$D$125/100</f>
        <v>615.057487475827</v>
      </c>
      <c r="F194" s="664">
        <f t="shared" si="18"/>
        <v>37826.5890315021</v>
      </c>
      <c r="G194" s="702"/>
      <c r="H194" s="703"/>
    </row>
    <row r="195" s="499" customFormat="1" ht="18" customHeight="1" spans="1:8">
      <c r="A195" s="712"/>
      <c r="B195" s="268" t="s">
        <v>549</v>
      </c>
      <c r="C195" s="281" t="s">
        <v>580</v>
      </c>
      <c r="D195" s="664">
        <v>4.920072</v>
      </c>
      <c r="E195" s="230">
        <f>单价汇总!$D$196</f>
        <v>6240.66751713011</v>
      </c>
      <c r="F195" s="664">
        <f t="shared" si="18"/>
        <v>30704.5335123414</v>
      </c>
      <c r="G195" s="702"/>
      <c r="H195" s="703"/>
    </row>
    <row r="196" ht="25" customHeight="1" spans="1:8">
      <c r="A196" s="712"/>
      <c r="B196" s="268" t="s">
        <v>814</v>
      </c>
      <c r="C196" s="281" t="s">
        <v>558</v>
      </c>
      <c r="D196" s="664">
        <v>6.1669728</v>
      </c>
      <c r="E196" s="664">
        <v>9000</v>
      </c>
      <c r="F196" s="664">
        <f t="shared" si="18"/>
        <v>55502.7552</v>
      </c>
      <c r="G196" s="702"/>
      <c r="H196" s="703"/>
    </row>
    <row r="197" s="499" customFormat="1" ht="18" customHeight="1" spans="1:8">
      <c r="A197" s="712"/>
      <c r="B197" s="689" t="s">
        <v>790</v>
      </c>
      <c r="C197" s="281" t="s">
        <v>704</v>
      </c>
      <c r="D197" s="664">
        <v>16</v>
      </c>
      <c r="E197" s="665">
        <f>单价汇总!$D$131/100</f>
        <v>555.068780890099</v>
      </c>
      <c r="F197" s="664">
        <f t="shared" si="18"/>
        <v>8881.10049424158</v>
      </c>
      <c r="G197" s="702"/>
      <c r="H197" s="703"/>
    </row>
    <row r="198" s="499" customFormat="1" ht="18" customHeight="1" spans="1:8">
      <c r="A198" s="712"/>
      <c r="B198" s="689" t="s">
        <v>791</v>
      </c>
      <c r="C198" s="281" t="s">
        <v>720</v>
      </c>
      <c r="D198" s="664">
        <v>112</v>
      </c>
      <c r="E198" s="664">
        <f>材料预算价!$L$10</f>
        <v>38.773655</v>
      </c>
      <c r="F198" s="664">
        <f t="shared" si="18"/>
        <v>4342.64936</v>
      </c>
      <c r="G198" s="702"/>
      <c r="H198" s="703"/>
    </row>
    <row r="199" ht="18" customHeight="1" spans="1:8">
      <c r="A199" s="711">
        <v>2</v>
      </c>
      <c r="B199" s="271" t="s">
        <v>582</v>
      </c>
      <c r="C199" s="329" t="s">
        <v>80</v>
      </c>
      <c r="D199" s="705"/>
      <c r="E199" s="705"/>
      <c r="F199" s="705">
        <f>SUM(F200:F200)</f>
        <v>24492.8192662624</v>
      </c>
      <c r="G199" s="702"/>
      <c r="H199" s="703"/>
    </row>
    <row r="200" s="499" customFormat="1" ht="18" customHeight="1" spans="1:8">
      <c r="A200" s="712"/>
      <c r="B200" s="268" t="s">
        <v>708</v>
      </c>
      <c r="C200" s="281" t="s">
        <v>704</v>
      </c>
      <c r="D200" s="208">
        <v>39.822</v>
      </c>
      <c r="E200" s="664">
        <f>单价汇总!$D$125/100</f>
        <v>615.057487475827</v>
      </c>
      <c r="F200" s="664">
        <f>D200*E200</f>
        <v>24492.8192662624</v>
      </c>
      <c r="G200" s="702"/>
      <c r="H200" s="703"/>
    </row>
    <row r="201" ht="18" customHeight="1" spans="1:8">
      <c r="A201" s="711">
        <v>3</v>
      </c>
      <c r="B201" s="271" t="s">
        <v>792</v>
      </c>
      <c r="C201" s="329"/>
      <c r="D201" s="705"/>
      <c r="E201" s="705"/>
      <c r="F201" s="705">
        <f>SUM(F202:F212)</f>
        <v>2016577.47193595</v>
      </c>
      <c r="G201" s="702"/>
      <c r="H201" s="703"/>
    </row>
    <row r="202" s="499" customFormat="1" ht="18" customHeight="1" spans="1:7">
      <c r="A202" s="712"/>
      <c r="B202" s="534" t="s">
        <v>815</v>
      </c>
      <c r="C202" s="715" t="s">
        <v>743</v>
      </c>
      <c r="D202" s="225">
        <v>8190</v>
      </c>
      <c r="E202" s="228">
        <f>单价汇总!$D$53/100</f>
        <v>30.8909634041515</v>
      </c>
      <c r="F202" s="716">
        <f t="shared" ref="F202:F207" si="19">D202*E202</f>
        <v>252996.990280001</v>
      </c>
      <c r="G202" s="717"/>
    </row>
    <row r="203" s="499" customFormat="1" ht="18" customHeight="1" spans="1:7">
      <c r="A203" s="712"/>
      <c r="B203" s="534" t="s">
        <v>816</v>
      </c>
      <c r="C203" s="715" t="s">
        <v>743</v>
      </c>
      <c r="D203" s="225">
        <v>34399.176</v>
      </c>
      <c r="E203" s="665">
        <f>单价汇总!$D$44/100*1.8</f>
        <v>5.84859815751101</v>
      </c>
      <c r="F203" s="716">
        <f t="shared" si="19"/>
        <v>201186.957373497</v>
      </c>
      <c r="G203" s="717"/>
    </row>
    <row r="204" s="499" customFormat="1" ht="18" customHeight="1" spans="1:7">
      <c r="A204" s="712"/>
      <c r="B204" s="534" t="s">
        <v>817</v>
      </c>
      <c r="C204" s="715" t="s">
        <v>743</v>
      </c>
      <c r="D204" s="225">
        <v>16380.84</v>
      </c>
      <c r="E204" s="228">
        <f>单价汇总!$D$48/100</f>
        <v>11.1669319556942</v>
      </c>
      <c r="F204" s="716">
        <f t="shared" si="19"/>
        <v>182923.725657114</v>
      </c>
      <c r="G204" s="717"/>
    </row>
    <row r="205" s="499" customFormat="1" ht="18" customHeight="1" spans="1:7">
      <c r="A205" s="712"/>
      <c r="B205" s="268" t="s">
        <v>818</v>
      </c>
      <c r="C205" s="715" t="s">
        <v>743</v>
      </c>
      <c r="D205" s="241">
        <v>8190.28</v>
      </c>
      <c r="E205" s="664">
        <f>单价汇总!$D$57/100</f>
        <v>3.8845115638374</v>
      </c>
      <c r="F205" s="208">
        <f t="shared" si="19"/>
        <v>31815.2373710662</v>
      </c>
      <c r="G205" s="717"/>
    </row>
    <row r="206" s="499" customFormat="1" ht="24" customHeight="1" spans="1:7">
      <c r="A206" s="712"/>
      <c r="B206" s="268" t="s">
        <v>819</v>
      </c>
      <c r="C206" s="715" t="s">
        <v>820</v>
      </c>
      <c r="D206" s="241">
        <v>16380.56</v>
      </c>
      <c r="E206" s="664">
        <f>单价汇总!$D$392/100</f>
        <v>21.2443781380446</v>
      </c>
      <c r="F206" s="208">
        <f t="shared" si="19"/>
        <v>347994.810752928</v>
      </c>
      <c r="G206" s="717"/>
    </row>
    <row r="207" s="499" customFormat="1" ht="24" customHeight="1" spans="1:7">
      <c r="A207" s="712"/>
      <c r="B207" s="268" t="s">
        <v>813</v>
      </c>
      <c r="C207" s="270" t="s">
        <v>632</v>
      </c>
      <c r="D207" s="208">
        <v>1638.056</v>
      </c>
      <c r="E207" s="664">
        <f>单价汇总!$D$57/100</f>
        <v>3.8845115638374</v>
      </c>
      <c r="F207" s="664">
        <f t="shared" si="19"/>
        <v>6363.04747421324</v>
      </c>
      <c r="G207" s="717"/>
    </row>
    <row r="208" s="499" customFormat="1" ht="18" customHeight="1" spans="1:7">
      <c r="A208" s="712"/>
      <c r="B208" s="534" t="s">
        <v>821</v>
      </c>
      <c r="C208" s="715" t="s">
        <v>743</v>
      </c>
      <c r="D208" s="225">
        <v>16380.56</v>
      </c>
      <c r="E208" s="664">
        <f>单价汇总!$D$41/100+单价汇总!$D$41/100+单价汇总!$D$56/100</f>
        <v>12.9646643236578</v>
      </c>
      <c r="F208" s="716">
        <f t="shared" ref="F208:F212" si="20">D208*E208</f>
        <v>212368.461833537</v>
      </c>
      <c r="G208" s="717"/>
    </row>
    <row r="209" s="499" customFormat="1" ht="18" customHeight="1" spans="1:7">
      <c r="A209" s="712"/>
      <c r="B209" s="534" t="s">
        <v>822</v>
      </c>
      <c r="C209" s="715" t="s">
        <v>743</v>
      </c>
      <c r="D209" s="241">
        <v>4914</v>
      </c>
      <c r="E209" s="664">
        <f>(单价汇总!$D$402+单价汇总!$D$56)/100</f>
        <v>120.41691176137</v>
      </c>
      <c r="F209" s="208">
        <f t="shared" si="20"/>
        <v>591728.704395373</v>
      </c>
      <c r="G209" s="717"/>
    </row>
    <row r="210" s="499" customFormat="1" ht="18" customHeight="1" spans="1:7">
      <c r="A210" s="712"/>
      <c r="B210" s="718" t="s">
        <v>823</v>
      </c>
      <c r="C210" s="715" t="s">
        <v>743</v>
      </c>
      <c r="D210" s="241">
        <v>183.0816</v>
      </c>
      <c r="E210" s="664">
        <f>单价汇总!$D$125/100</f>
        <v>615.057487475827</v>
      </c>
      <c r="F210" s="208">
        <f t="shared" si="20"/>
        <v>112605.708899054</v>
      </c>
      <c r="G210" s="717"/>
    </row>
    <row r="211" s="499" customFormat="1" ht="18" customHeight="1" spans="1:7">
      <c r="A211" s="712"/>
      <c r="B211" s="268" t="s">
        <v>549</v>
      </c>
      <c r="C211" s="281" t="s">
        <v>558</v>
      </c>
      <c r="D211" s="208">
        <v>9.15408</v>
      </c>
      <c r="E211" s="230">
        <f>单价汇总!$D$196</f>
        <v>6240.66751713011</v>
      </c>
      <c r="F211" s="664">
        <f t="shared" si="20"/>
        <v>57127.5697052104</v>
      </c>
      <c r="G211" s="717"/>
    </row>
    <row r="212" s="499" customFormat="1" ht="15" customHeight="1" spans="1:7">
      <c r="A212" s="712"/>
      <c r="B212" s="499" t="s">
        <v>824</v>
      </c>
      <c r="C212" s="715" t="s">
        <v>743</v>
      </c>
      <c r="D212" s="719">
        <v>127.25</v>
      </c>
      <c r="E212" s="720">
        <f>单价汇总!$D$397/100</f>
        <v>152.976488754055</v>
      </c>
      <c r="F212" s="720">
        <f t="shared" si="20"/>
        <v>19466.2581939535</v>
      </c>
      <c r="G212" s="717"/>
    </row>
    <row r="213" ht="18" customHeight="1" spans="1:8">
      <c r="A213" s="711">
        <v>4</v>
      </c>
      <c r="B213" s="504" t="s">
        <v>796</v>
      </c>
      <c r="C213" s="329"/>
      <c r="D213" s="705"/>
      <c r="E213" s="705"/>
      <c r="F213" s="705">
        <f>SUM(F214:F228)</f>
        <v>3934147.5747828</v>
      </c>
      <c r="G213" s="702"/>
      <c r="H213" s="703"/>
    </row>
    <row r="214" s="499" customFormat="1" ht="18" customHeight="1" spans="1:8">
      <c r="A214" s="711"/>
      <c r="B214" s="534" t="s">
        <v>815</v>
      </c>
      <c r="C214" s="715" t="s">
        <v>820</v>
      </c>
      <c r="D214" s="225">
        <f>D224*0.5</f>
        <v>9648</v>
      </c>
      <c r="E214" s="228">
        <f>单价汇总!$D$53/100</f>
        <v>30.8909634041515</v>
      </c>
      <c r="F214" s="716">
        <f>D214*E214</f>
        <v>298036.014923254</v>
      </c>
      <c r="G214" s="702"/>
      <c r="H214" s="703"/>
    </row>
    <row r="215" s="499" customFormat="1" ht="28" customHeight="1" spans="1:8">
      <c r="A215" s="711"/>
      <c r="B215" s="534" t="s">
        <v>825</v>
      </c>
      <c r="C215" s="715"/>
      <c r="D215" s="241">
        <f>5.3*719</f>
        <v>3810.7</v>
      </c>
      <c r="E215" s="664">
        <f>单价汇总!$D$40/100+单价汇总!$D$56/100</f>
        <v>8.89557242076542</v>
      </c>
      <c r="F215" s="716">
        <f t="shared" ref="F215:F222" si="21">D215*E215</f>
        <v>33898.3578238108</v>
      </c>
      <c r="G215" s="702"/>
      <c r="H215" s="703"/>
    </row>
    <row r="216" s="499" customFormat="1" ht="18" customHeight="1" spans="1:8">
      <c r="A216" s="711"/>
      <c r="B216" s="534" t="s">
        <v>826</v>
      </c>
      <c r="C216" s="715" t="s">
        <v>743</v>
      </c>
      <c r="D216" s="241">
        <f>603*34*1.3-D215</f>
        <v>22841.9</v>
      </c>
      <c r="E216" s="665">
        <f>单价汇总!$D$44/100*1.8</f>
        <v>5.84859815751101</v>
      </c>
      <c r="F216" s="716">
        <f t="shared" si="21"/>
        <v>133593.094254051</v>
      </c>
      <c r="G216" s="702"/>
      <c r="H216" s="703"/>
    </row>
    <row r="217" s="499" customFormat="1" ht="18" customHeight="1" spans="1:8">
      <c r="A217" s="711"/>
      <c r="B217" s="534" t="s">
        <v>817</v>
      </c>
      <c r="C217" s="715" t="s">
        <v>743</v>
      </c>
      <c r="D217" s="225">
        <f>D216-D223-D224</f>
        <v>1616.3</v>
      </c>
      <c r="E217" s="228">
        <f>单价汇总!$D$48/100</f>
        <v>11.1669319556942</v>
      </c>
      <c r="F217" s="716">
        <f t="shared" si="21"/>
        <v>18049.1121199886</v>
      </c>
      <c r="G217" s="702"/>
      <c r="H217" s="703"/>
    </row>
    <row r="218" s="499" customFormat="1" ht="18" customHeight="1" spans="1:8">
      <c r="A218" s="711"/>
      <c r="B218" s="268" t="s">
        <v>799</v>
      </c>
      <c r="C218" s="281" t="s">
        <v>704</v>
      </c>
      <c r="D218" s="241">
        <f>603*32*0.3-D219</f>
        <v>4515.264</v>
      </c>
      <c r="E218" s="664">
        <f>材料预算价!$L$10</f>
        <v>38.773655</v>
      </c>
      <c r="F218" s="664">
        <f t="shared" si="21"/>
        <v>175073.28856992</v>
      </c>
      <c r="G218" s="702"/>
      <c r="H218" s="703"/>
    </row>
    <row r="219" s="499" customFormat="1" ht="18" customHeight="1" spans="1:8">
      <c r="A219" s="711"/>
      <c r="B219" s="268" t="s">
        <v>800</v>
      </c>
      <c r="C219" s="281" t="s">
        <v>704</v>
      </c>
      <c r="D219" s="208">
        <f>603*32/1.5/1.5*(1.65*4*0.075*0.3)</f>
        <v>1273.536</v>
      </c>
      <c r="E219" s="664">
        <f>(单价汇总!$D$187+单价汇总!$D$157*0.9)/100</f>
        <v>699.433907743229</v>
      </c>
      <c r="F219" s="664">
        <f t="shared" si="21"/>
        <v>890754.261131681</v>
      </c>
      <c r="G219" s="702"/>
      <c r="H219" s="703"/>
    </row>
    <row r="220" s="499" customFormat="1" ht="18" customHeight="1" spans="1:8">
      <c r="A220" s="711"/>
      <c r="B220" s="268" t="s">
        <v>549</v>
      </c>
      <c r="C220" s="281" t="s">
        <v>558</v>
      </c>
      <c r="D220" s="208">
        <f>D219/0.15/0.3*2.114/1000+D227*0.05</f>
        <v>82.3958912</v>
      </c>
      <c r="E220" s="230">
        <f>单价汇总!$D$196</f>
        <v>6240.66751713011</v>
      </c>
      <c r="F220" s="664">
        <f t="shared" si="21"/>
        <v>514205.361756827</v>
      </c>
      <c r="G220" s="702"/>
      <c r="H220" s="703"/>
    </row>
    <row r="221" s="499" customFormat="1" ht="18" customHeight="1" spans="1:8">
      <c r="A221" s="711"/>
      <c r="B221" s="718" t="s">
        <v>827</v>
      </c>
      <c r="C221" s="715" t="s">
        <v>743</v>
      </c>
      <c r="D221" s="241">
        <f>603*32*0.1</f>
        <v>1929.6</v>
      </c>
      <c r="E221" s="721">
        <f>单价汇总!D396/100</f>
        <v>58.5593345487981</v>
      </c>
      <c r="F221" s="208">
        <f t="shared" si="21"/>
        <v>112996.091945361</v>
      </c>
      <c r="G221" s="702"/>
      <c r="H221" s="703"/>
    </row>
    <row r="222" s="499" customFormat="1" ht="26" customHeight="1" spans="1:8">
      <c r="A222" s="711"/>
      <c r="B222" s="268" t="s">
        <v>819</v>
      </c>
      <c r="C222" s="281" t="s">
        <v>720</v>
      </c>
      <c r="D222" s="208">
        <f>32*606+718.69*1.5</f>
        <v>20470.035</v>
      </c>
      <c r="E222" s="664">
        <f>单价汇总!$D$393/100</f>
        <v>21.8527891021365</v>
      </c>
      <c r="F222" s="664">
        <f t="shared" si="21"/>
        <v>447327.357768353</v>
      </c>
      <c r="G222" s="702"/>
      <c r="H222" s="703"/>
    </row>
    <row r="223" s="499" customFormat="1" ht="18" customHeight="1" spans="1:8">
      <c r="A223" s="711"/>
      <c r="B223" s="468" t="s">
        <v>828</v>
      </c>
      <c r="C223" s="281" t="s">
        <v>704</v>
      </c>
      <c r="D223" s="208">
        <f>32*603*0.1</f>
        <v>1929.6</v>
      </c>
      <c r="E223" s="664">
        <f>单价汇总!$D$57/100</f>
        <v>3.8845115638374</v>
      </c>
      <c r="F223" s="664">
        <f t="shared" ref="F223:F228" si="22">D223*E223</f>
        <v>7495.55351358065</v>
      </c>
      <c r="G223" s="702"/>
      <c r="H223" s="703"/>
    </row>
    <row r="224" s="499" customFormat="1" ht="18" customHeight="1" spans="1:7">
      <c r="A224" s="711"/>
      <c r="B224" s="534" t="s">
        <v>829</v>
      </c>
      <c r="C224" s="715" t="s">
        <v>743</v>
      </c>
      <c r="D224" s="241">
        <f>603*32*1</f>
        <v>19296</v>
      </c>
      <c r="E224" s="664">
        <f>单价汇总!$D$41/100+单价汇总!$D$41/100+单价汇总!$D$56/100</f>
        <v>12.9646643236578</v>
      </c>
      <c r="F224" s="208">
        <f t="shared" si="22"/>
        <v>250166.162789302</v>
      </c>
      <c r="G224" s="717"/>
    </row>
    <row r="225" s="499" customFormat="1" ht="18" customHeight="1" spans="1:7">
      <c r="A225" s="711"/>
      <c r="B225" s="534" t="s">
        <v>830</v>
      </c>
      <c r="C225" s="715" t="s">
        <v>743</v>
      </c>
      <c r="D225" s="241">
        <f>603*32*0.3</f>
        <v>5788.8</v>
      </c>
      <c r="E225" s="664">
        <f>(单价汇总!$D$402+单价汇总!$D$56)/100</f>
        <v>120.41691176137</v>
      </c>
      <c r="F225" s="208">
        <f t="shared" si="22"/>
        <v>697069.418804219</v>
      </c>
      <c r="G225" s="717"/>
    </row>
    <row r="226" s="499" customFormat="1" ht="18" customHeight="1" spans="1:7">
      <c r="A226" s="711"/>
      <c r="B226" s="534" t="s">
        <v>797</v>
      </c>
      <c r="C226" s="715" t="s">
        <v>820</v>
      </c>
      <c r="D226" s="241"/>
      <c r="E226" s="664">
        <f>单价汇总!$D$66/100</f>
        <v>0.959965556181946</v>
      </c>
      <c r="F226" s="208">
        <f t="shared" si="22"/>
        <v>0</v>
      </c>
      <c r="G226" s="717"/>
    </row>
    <row r="227" s="499" customFormat="1" ht="18" customHeight="1" spans="1:7">
      <c r="A227" s="711"/>
      <c r="B227" s="718" t="s">
        <v>823</v>
      </c>
      <c r="C227" s="715" t="s">
        <v>743</v>
      </c>
      <c r="D227" s="241">
        <f>606*0.56+700*0.4*0.4</f>
        <v>451.36</v>
      </c>
      <c r="E227" s="664">
        <f>单价汇总!$D$125/100</f>
        <v>615.057487475827</v>
      </c>
      <c r="F227" s="208">
        <f t="shared" si="22"/>
        <v>277612.347547089</v>
      </c>
      <c r="G227" s="717"/>
    </row>
    <row r="228" s="499" customFormat="1" ht="18" customHeight="1" spans="1:7">
      <c r="A228" s="711"/>
      <c r="B228" s="499" t="s">
        <v>824</v>
      </c>
      <c r="C228" s="715" t="s">
        <v>743</v>
      </c>
      <c r="D228" s="719">
        <f>606*4.2*0.2</f>
        <v>509.04</v>
      </c>
      <c r="E228" s="722">
        <f>单价汇总!$D$397/100</f>
        <v>152.976488754055</v>
      </c>
      <c r="F228" s="722">
        <f t="shared" si="22"/>
        <v>77871.1518353642</v>
      </c>
      <c r="G228" s="717"/>
    </row>
    <row r="229" ht="18" customHeight="1" spans="1:8">
      <c r="A229" s="711">
        <v>5</v>
      </c>
      <c r="B229" s="504" t="s">
        <v>592</v>
      </c>
      <c r="C229" s="329"/>
      <c r="D229" s="705"/>
      <c r="E229" s="705"/>
      <c r="F229" s="705">
        <f>SUM(F230:F231)</f>
        <v>104540.803933246</v>
      </c>
      <c r="G229" s="702"/>
      <c r="H229" s="703"/>
    </row>
    <row r="230" s="499" customFormat="1" ht="18" customHeight="1" spans="1:8">
      <c r="A230" s="712"/>
      <c r="B230" s="268" t="s">
        <v>803</v>
      </c>
      <c r="C230" s="281" t="s">
        <v>720</v>
      </c>
      <c r="D230" s="207">
        <v>3289.5</v>
      </c>
      <c r="E230" s="664">
        <f>单价汇总!$D$380/1000</f>
        <v>17.3814019390528</v>
      </c>
      <c r="F230" s="664">
        <f>D230*E230</f>
        <v>57176.1216785142</v>
      </c>
      <c r="G230" s="702"/>
      <c r="H230" s="703"/>
    </row>
    <row r="231" s="499" customFormat="1" ht="18" customHeight="1" spans="1:8">
      <c r="A231" s="712"/>
      <c r="B231" s="468" t="s">
        <v>804</v>
      </c>
      <c r="C231" s="281" t="s">
        <v>704</v>
      </c>
      <c r="D231" s="207">
        <v>69.0795</v>
      </c>
      <c r="E231" s="664">
        <f>单价汇总!$D$173/100</f>
        <v>685.654676926322</v>
      </c>
      <c r="F231" s="664">
        <f>D231*E231</f>
        <v>47364.6822547319</v>
      </c>
      <c r="G231" s="702"/>
      <c r="H231" s="703"/>
    </row>
    <row r="232" ht="18" customHeight="1" spans="1:7">
      <c r="A232" s="711">
        <v>6</v>
      </c>
      <c r="B232" s="504" t="s">
        <v>807</v>
      </c>
      <c r="C232" s="329"/>
      <c r="D232" s="465"/>
      <c r="E232" s="705"/>
      <c r="F232" s="705">
        <f>SUM(F233:F234)</f>
        <v>5899.53697332439</v>
      </c>
      <c r="G232" s="717"/>
    </row>
    <row r="233" s="499" customFormat="1" ht="18" customHeight="1" spans="1:7">
      <c r="A233" s="712"/>
      <c r="B233" s="669" t="s">
        <v>808</v>
      </c>
      <c r="C233" s="281" t="s">
        <v>720</v>
      </c>
      <c r="D233" s="208">
        <v>4452</v>
      </c>
      <c r="E233" s="664">
        <f>单价汇总!$D$69/100</f>
        <v>1.32514307576918</v>
      </c>
      <c r="F233" s="664">
        <f>D233*E233</f>
        <v>5899.53697332439</v>
      </c>
      <c r="G233" s="717"/>
    </row>
    <row r="234" ht="18" customHeight="1" spans="1:7">
      <c r="A234" s="723"/>
      <c r="B234" s="724"/>
      <c r="C234" s="289"/>
      <c r="D234" s="725"/>
      <c r="E234" s="725"/>
      <c r="F234" s="725"/>
      <c r="G234" s="726"/>
    </row>
  </sheetData>
  <mergeCells count="3">
    <mergeCell ref="A1:G1"/>
    <mergeCell ref="A2:E2"/>
    <mergeCell ref="D94:E94"/>
  </mergeCells>
  <pageMargins left="0.984027777777778" right="0.786805555555556" top="0.786805555555556" bottom="0.786805555555556" header="0" footer="0"/>
  <pageSetup paperSize="9" orientation="portrait" horizontalDpi="600"/>
  <headerFooter/>
  <colBreaks count="1" manualBreakCount="1">
    <brk id="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7"/>
  <sheetViews>
    <sheetView workbookViewId="0">
      <selection activeCell="G49" sqref="G49"/>
    </sheetView>
  </sheetViews>
  <sheetFormatPr defaultColWidth="9" defaultRowHeight="14.25"/>
  <cols>
    <col min="1" max="1" width="9" style="575" customWidth="1"/>
    <col min="2" max="2" width="24.375" style="512" customWidth="1"/>
    <col min="3" max="3" width="29" style="512" customWidth="1"/>
    <col min="4" max="4" width="5.625" style="512" customWidth="1"/>
    <col min="5" max="5" width="7.375" style="575" customWidth="1"/>
    <col min="6" max="6" width="9" style="576" customWidth="1"/>
    <col min="7" max="7" width="17.125" style="576" customWidth="1"/>
    <col min="8" max="8" width="11.625" style="576" customWidth="1"/>
    <col min="9" max="9" width="10.875" style="576" customWidth="1"/>
    <col min="10" max="10" width="9.875" style="512" customWidth="1"/>
    <col min="11" max="11" width="20.125" style="512" customWidth="1"/>
    <col min="12" max="12" width="7.875" style="512" customWidth="1"/>
    <col min="13" max="13" width="9" style="512"/>
    <col min="14" max="14" width="9.125" style="512" customWidth="1"/>
    <col min="15" max="15" width="17.25" style="512" customWidth="1"/>
    <col min="16" max="16" width="13.5" style="512" customWidth="1"/>
    <col min="17" max="19" width="9" style="512"/>
    <col min="20" max="20" width="5.125" style="512" customWidth="1"/>
    <col min="21" max="256" width="9" style="512"/>
    <col min="257" max="257" width="9" style="512" customWidth="1"/>
    <col min="258" max="258" width="25.75" style="512" customWidth="1"/>
    <col min="259" max="259" width="21.875" style="512" customWidth="1"/>
    <col min="260" max="264" width="9" style="512" customWidth="1"/>
    <col min="265" max="265" width="11.5" style="512" customWidth="1"/>
    <col min="266" max="266" width="9" style="512" customWidth="1"/>
    <col min="267" max="512" width="9" style="512"/>
    <col min="513" max="513" width="9" style="512" customWidth="1"/>
    <col min="514" max="514" width="25.75" style="512" customWidth="1"/>
    <col min="515" max="515" width="21.875" style="512" customWidth="1"/>
    <col min="516" max="520" width="9" style="512" customWidth="1"/>
    <col min="521" max="521" width="11.5" style="512" customWidth="1"/>
    <col min="522" max="522" width="9" style="512" customWidth="1"/>
    <col min="523" max="768" width="9" style="512"/>
    <col min="769" max="769" width="9" style="512" customWidth="1"/>
    <col min="770" max="770" width="25.75" style="512" customWidth="1"/>
    <col min="771" max="771" width="21.875" style="512" customWidth="1"/>
    <col min="772" max="776" width="9" style="512" customWidth="1"/>
    <col min="777" max="777" width="11.5" style="512" customWidth="1"/>
    <col min="778" max="778" width="9" style="512" customWidth="1"/>
    <col min="779" max="1024" width="9" style="512"/>
    <col min="1025" max="1025" width="9" style="512" customWidth="1"/>
    <col min="1026" max="1026" width="25.75" style="512" customWidth="1"/>
    <col min="1027" max="1027" width="21.875" style="512" customWidth="1"/>
    <col min="1028" max="1032" width="9" style="512" customWidth="1"/>
    <col min="1033" max="1033" width="11.5" style="512" customWidth="1"/>
    <col min="1034" max="1034" width="9" style="512" customWidth="1"/>
    <col min="1035" max="1280" width="9" style="512"/>
    <col min="1281" max="1281" width="9" style="512" customWidth="1"/>
    <col min="1282" max="1282" width="25.75" style="512" customWidth="1"/>
    <col min="1283" max="1283" width="21.875" style="512" customWidth="1"/>
    <col min="1284" max="1288" width="9" style="512" customWidth="1"/>
    <col min="1289" max="1289" width="11.5" style="512" customWidth="1"/>
    <col min="1290" max="1290" width="9" style="512" customWidth="1"/>
    <col min="1291" max="1536" width="9" style="512"/>
    <col min="1537" max="1537" width="9" style="512" customWidth="1"/>
    <col min="1538" max="1538" width="25.75" style="512" customWidth="1"/>
    <col min="1539" max="1539" width="21.875" style="512" customWidth="1"/>
    <col min="1540" max="1544" width="9" style="512" customWidth="1"/>
    <col min="1545" max="1545" width="11.5" style="512" customWidth="1"/>
    <col min="1546" max="1546" width="9" style="512" customWidth="1"/>
    <col min="1547" max="1792" width="9" style="512"/>
    <col min="1793" max="1793" width="9" style="512" customWidth="1"/>
    <col min="1794" max="1794" width="25.75" style="512" customWidth="1"/>
    <col min="1795" max="1795" width="21.875" style="512" customWidth="1"/>
    <col min="1796" max="1800" width="9" style="512" customWidth="1"/>
    <col min="1801" max="1801" width="11.5" style="512" customWidth="1"/>
    <col min="1802" max="1802" width="9" style="512" customWidth="1"/>
    <col min="1803" max="2048" width="9" style="512"/>
    <col min="2049" max="2049" width="9" style="512" customWidth="1"/>
    <col min="2050" max="2050" width="25.75" style="512" customWidth="1"/>
    <col min="2051" max="2051" width="21.875" style="512" customWidth="1"/>
    <col min="2052" max="2056" width="9" style="512" customWidth="1"/>
    <col min="2057" max="2057" width="11.5" style="512" customWidth="1"/>
    <col min="2058" max="2058" width="9" style="512" customWidth="1"/>
    <col min="2059" max="2304" width="9" style="512"/>
    <col min="2305" max="2305" width="9" style="512" customWidth="1"/>
    <col min="2306" max="2306" width="25.75" style="512" customWidth="1"/>
    <col min="2307" max="2307" width="21.875" style="512" customWidth="1"/>
    <col min="2308" max="2312" width="9" style="512" customWidth="1"/>
    <col min="2313" max="2313" width="11.5" style="512" customWidth="1"/>
    <col min="2314" max="2314" width="9" style="512" customWidth="1"/>
    <col min="2315" max="2560" width="9" style="512"/>
    <col min="2561" max="2561" width="9" style="512" customWidth="1"/>
    <col min="2562" max="2562" width="25.75" style="512" customWidth="1"/>
    <col min="2563" max="2563" width="21.875" style="512" customWidth="1"/>
    <col min="2564" max="2568" width="9" style="512" customWidth="1"/>
    <col min="2569" max="2569" width="11.5" style="512" customWidth="1"/>
    <col min="2570" max="2570" width="9" style="512" customWidth="1"/>
    <col min="2571" max="2816" width="9" style="512"/>
    <col min="2817" max="2817" width="9" style="512" customWidth="1"/>
    <col min="2818" max="2818" width="25.75" style="512" customWidth="1"/>
    <col min="2819" max="2819" width="21.875" style="512" customWidth="1"/>
    <col min="2820" max="2824" width="9" style="512" customWidth="1"/>
    <col min="2825" max="2825" width="11.5" style="512" customWidth="1"/>
    <col min="2826" max="2826" width="9" style="512" customWidth="1"/>
    <col min="2827" max="3072" width="9" style="512"/>
    <col min="3073" max="3073" width="9" style="512" customWidth="1"/>
    <col min="3074" max="3074" width="25.75" style="512" customWidth="1"/>
    <col min="3075" max="3075" width="21.875" style="512" customWidth="1"/>
    <col min="3076" max="3080" width="9" style="512" customWidth="1"/>
    <col min="3081" max="3081" width="11.5" style="512" customWidth="1"/>
    <col min="3082" max="3082" width="9" style="512" customWidth="1"/>
    <col min="3083" max="3328" width="9" style="512"/>
    <col min="3329" max="3329" width="9" style="512" customWidth="1"/>
    <col min="3330" max="3330" width="25.75" style="512" customWidth="1"/>
    <col min="3331" max="3331" width="21.875" style="512" customWidth="1"/>
    <col min="3332" max="3336" width="9" style="512" customWidth="1"/>
    <col min="3337" max="3337" width="11.5" style="512" customWidth="1"/>
    <col min="3338" max="3338" width="9" style="512" customWidth="1"/>
    <col min="3339" max="3584" width="9" style="512"/>
    <col min="3585" max="3585" width="9" style="512" customWidth="1"/>
    <col min="3586" max="3586" width="25.75" style="512" customWidth="1"/>
    <col min="3587" max="3587" width="21.875" style="512" customWidth="1"/>
    <col min="3588" max="3592" width="9" style="512" customWidth="1"/>
    <col min="3593" max="3593" width="11.5" style="512" customWidth="1"/>
    <col min="3594" max="3594" width="9" style="512" customWidth="1"/>
    <col min="3595" max="3840" width="9" style="512"/>
    <col min="3841" max="3841" width="9" style="512" customWidth="1"/>
    <col min="3842" max="3842" width="25.75" style="512" customWidth="1"/>
    <col min="3843" max="3843" width="21.875" style="512" customWidth="1"/>
    <col min="3844" max="3848" width="9" style="512" customWidth="1"/>
    <col min="3849" max="3849" width="11.5" style="512" customWidth="1"/>
    <col min="3850" max="3850" width="9" style="512" customWidth="1"/>
    <col min="3851" max="4096" width="9" style="512"/>
    <col min="4097" max="4097" width="9" style="512" customWidth="1"/>
    <col min="4098" max="4098" width="25.75" style="512" customWidth="1"/>
    <col min="4099" max="4099" width="21.875" style="512" customWidth="1"/>
    <col min="4100" max="4104" width="9" style="512" customWidth="1"/>
    <col min="4105" max="4105" width="11.5" style="512" customWidth="1"/>
    <col min="4106" max="4106" width="9" style="512" customWidth="1"/>
    <col min="4107" max="4352" width="9" style="512"/>
    <col min="4353" max="4353" width="9" style="512" customWidth="1"/>
    <col min="4354" max="4354" width="25.75" style="512" customWidth="1"/>
    <col min="4355" max="4355" width="21.875" style="512" customWidth="1"/>
    <col min="4356" max="4360" width="9" style="512" customWidth="1"/>
    <col min="4361" max="4361" width="11.5" style="512" customWidth="1"/>
    <col min="4362" max="4362" width="9" style="512" customWidth="1"/>
    <col min="4363" max="4608" width="9" style="512"/>
    <col min="4609" max="4609" width="9" style="512" customWidth="1"/>
    <col min="4610" max="4610" width="25.75" style="512" customWidth="1"/>
    <col min="4611" max="4611" width="21.875" style="512" customWidth="1"/>
    <col min="4612" max="4616" width="9" style="512" customWidth="1"/>
    <col min="4617" max="4617" width="11.5" style="512" customWidth="1"/>
    <col min="4618" max="4618" width="9" style="512" customWidth="1"/>
    <col min="4619" max="4864" width="9" style="512"/>
    <col min="4865" max="4865" width="9" style="512" customWidth="1"/>
    <col min="4866" max="4866" width="25.75" style="512" customWidth="1"/>
    <col min="4867" max="4867" width="21.875" style="512" customWidth="1"/>
    <col min="4868" max="4872" width="9" style="512" customWidth="1"/>
    <col min="4873" max="4873" width="11.5" style="512" customWidth="1"/>
    <col min="4874" max="4874" width="9" style="512" customWidth="1"/>
    <col min="4875" max="5120" width="9" style="512"/>
    <col min="5121" max="5121" width="9" style="512" customWidth="1"/>
    <col min="5122" max="5122" width="25.75" style="512" customWidth="1"/>
    <col min="5123" max="5123" width="21.875" style="512" customWidth="1"/>
    <col min="5124" max="5128" width="9" style="512" customWidth="1"/>
    <col min="5129" max="5129" width="11.5" style="512" customWidth="1"/>
    <col min="5130" max="5130" width="9" style="512" customWidth="1"/>
    <col min="5131" max="5376" width="9" style="512"/>
    <col min="5377" max="5377" width="9" style="512" customWidth="1"/>
    <col min="5378" max="5378" width="25.75" style="512" customWidth="1"/>
    <col min="5379" max="5379" width="21.875" style="512" customWidth="1"/>
    <col min="5380" max="5384" width="9" style="512" customWidth="1"/>
    <col min="5385" max="5385" width="11.5" style="512" customWidth="1"/>
    <col min="5386" max="5386" width="9" style="512" customWidth="1"/>
    <col min="5387" max="5632" width="9" style="512"/>
    <col min="5633" max="5633" width="9" style="512" customWidth="1"/>
    <col min="5634" max="5634" width="25.75" style="512" customWidth="1"/>
    <col min="5635" max="5635" width="21.875" style="512" customWidth="1"/>
    <col min="5636" max="5640" width="9" style="512" customWidth="1"/>
    <col min="5641" max="5641" width="11.5" style="512" customWidth="1"/>
    <col min="5642" max="5642" width="9" style="512" customWidth="1"/>
    <col min="5643" max="5888" width="9" style="512"/>
    <col min="5889" max="5889" width="9" style="512" customWidth="1"/>
    <col min="5890" max="5890" width="25.75" style="512" customWidth="1"/>
    <col min="5891" max="5891" width="21.875" style="512" customWidth="1"/>
    <col min="5892" max="5896" width="9" style="512" customWidth="1"/>
    <col min="5897" max="5897" width="11.5" style="512" customWidth="1"/>
    <col min="5898" max="5898" width="9" style="512" customWidth="1"/>
    <col min="5899" max="6144" width="9" style="512"/>
    <col min="6145" max="6145" width="9" style="512" customWidth="1"/>
    <col min="6146" max="6146" width="25.75" style="512" customWidth="1"/>
    <col min="6147" max="6147" width="21.875" style="512" customWidth="1"/>
    <col min="6148" max="6152" width="9" style="512" customWidth="1"/>
    <col min="6153" max="6153" width="11.5" style="512" customWidth="1"/>
    <col min="6154" max="6154" width="9" style="512" customWidth="1"/>
    <col min="6155" max="6400" width="9" style="512"/>
    <col min="6401" max="6401" width="9" style="512" customWidth="1"/>
    <col min="6402" max="6402" width="25.75" style="512" customWidth="1"/>
    <col min="6403" max="6403" width="21.875" style="512" customWidth="1"/>
    <col min="6404" max="6408" width="9" style="512" customWidth="1"/>
    <col min="6409" max="6409" width="11.5" style="512" customWidth="1"/>
    <col min="6410" max="6410" width="9" style="512" customWidth="1"/>
    <col min="6411" max="6656" width="9" style="512"/>
    <col min="6657" max="6657" width="9" style="512" customWidth="1"/>
    <col min="6658" max="6658" width="25.75" style="512" customWidth="1"/>
    <col min="6659" max="6659" width="21.875" style="512" customWidth="1"/>
    <col min="6660" max="6664" width="9" style="512" customWidth="1"/>
    <col min="6665" max="6665" width="11.5" style="512" customWidth="1"/>
    <col min="6666" max="6666" width="9" style="512" customWidth="1"/>
    <col min="6667" max="6912" width="9" style="512"/>
    <col min="6913" max="6913" width="9" style="512" customWidth="1"/>
    <col min="6914" max="6914" width="25.75" style="512" customWidth="1"/>
    <col min="6915" max="6915" width="21.875" style="512" customWidth="1"/>
    <col min="6916" max="6920" width="9" style="512" customWidth="1"/>
    <col min="6921" max="6921" width="11.5" style="512" customWidth="1"/>
    <col min="6922" max="6922" width="9" style="512" customWidth="1"/>
    <col min="6923" max="7168" width="9" style="512"/>
    <col min="7169" max="7169" width="9" style="512" customWidth="1"/>
    <col min="7170" max="7170" width="25.75" style="512" customWidth="1"/>
    <col min="7171" max="7171" width="21.875" style="512" customWidth="1"/>
    <col min="7172" max="7176" width="9" style="512" customWidth="1"/>
    <col min="7177" max="7177" width="11.5" style="512" customWidth="1"/>
    <col min="7178" max="7178" width="9" style="512" customWidth="1"/>
    <col min="7179" max="7424" width="9" style="512"/>
    <col min="7425" max="7425" width="9" style="512" customWidth="1"/>
    <col min="7426" max="7426" width="25.75" style="512" customWidth="1"/>
    <col min="7427" max="7427" width="21.875" style="512" customWidth="1"/>
    <col min="7428" max="7432" width="9" style="512" customWidth="1"/>
    <col min="7433" max="7433" width="11.5" style="512" customWidth="1"/>
    <col min="7434" max="7434" width="9" style="512" customWidth="1"/>
    <col min="7435" max="7680" width="9" style="512"/>
    <col min="7681" max="7681" width="9" style="512" customWidth="1"/>
    <col min="7682" max="7682" width="25.75" style="512" customWidth="1"/>
    <col min="7683" max="7683" width="21.875" style="512" customWidth="1"/>
    <col min="7684" max="7688" width="9" style="512" customWidth="1"/>
    <col min="7689" max="7689" width="11.5" style="512" customWidth="1"/>
    <col min="7690" max="7690" width="9" style="512" customWidth="1"/>
    <col min="7691" max="7936" width="9" style="512"/>
    <col min="7937" max="7937" width="9" style="512" customWidth="1"/>
    <col min="7938" max="7938" width="25.75" style="512" customWidth="1"/>
    <col min="7939" max="7939" width="21.875" style="512" customWidth="1"/>
    <col min="7940" max="7944" width="9" style="512" customWidth="1"/>
    <col min="7945" max="7945" width="11.5" style="512" customWidth="1"/>
    <col min="7946" max="7946" width="9" style="512" customWidth="1"/>
    <col min="7947" max="8192" width="9" style="512"/>
    <col min="8193" max="8193" width="9" style="512" customWidth="1"/>
    <col min="8194" max="8194" width="25.75" style="512" customWidth="1"/>
    <col min="8195" max="8195" width="21.875" style="512" customWidth="1"/>
    <col min="8196" max="8200" width="9" style="512" customWidth="1"/>
    <col min="8201" max="8201" width="11.5" style="512" customWidth="1"/>
    <col min="8202" max="8202" width="9" style="512" customWidth="1"/>
    <col min="8203" max="8448" width="9" style="512"/>
    <col min="8449" max="8449" width="9" style="512" customWidth="1"/>
    <col min="8450" max="8450" width="25.75" style="512" customWidth="1"/>
    <col min="8451" max="8451" width="21.875" style="512" customWidth="1"/>
    <col min="8452" max="8456" width="9" style="512" customWidth="1"/>
    <col min="8457" max="8457" width="11.5" style="512" customWidth="1"/>
    <col min="8458" max="8458" width="9" style="512" customWidth="1"/>
    <col min="8459" max="8704" width="9" style="512"/>
    <col min="8705" max="8705" width="9" style="512" customWidth="1"/>
    <col min="8706" max="8706" width="25.75" style="512" customWidth="1"/>
    <col min="8707" max="8707" width="21.875" style="512" customWidth="1"/>
    <col min="8708" max="8712" width="9" style="512" customWidth="1"/>
    <col min="8713" max="8713" width="11.5" style="512" customWidth="1"/>
    <col min="8714" max="8714" width="9" style="512" customWidth="1"/>
    <col min="8715" max="8960" width="9" style="512"/>
    <col min="8961" max="8961" width="9" style="512" customWidth="1"/>
    <col min="8962" max="8962" width="25.75" style="512" customWidth="1"/>
    <col min="8963" max="8963" width="21.875" style="512" customWidth="1"/>
    <col min="8964" max="8968" width="9" style="512" customWidth="1"/>
    <col min="8969" max="8969" width="11.5" style="512" customWidth="1"/>
    <col min="8970" max="8970" width="9" style="512" customWidth="1"/>
    <col min="8971" max="9216" width="9" style="512"/>
    <col min="9217" max="9217" width="9" style="512" customWidth="1"/>
    <col min="9218" max="9218" width="25.75" style="512" customWidth="1"/>
    <col min="9219" max="9219" width="21.875" style="512" customWidth="1"/>
    <col min="9220" max="9224" width="9" style="512" customWidth="1"/>
    <col min="9225" max="9225" width="11.5" style="512" customWidth="1"/>
    <col min="9226" max="9226" width="9" style="512" customWidth="1"/>
    <col min="9227" max="9472" width="9" style="512"/>
    <col min="9473" max="9473" width="9" style="512" customWidth="1"/>
    <col min="9474" max="9474" width="25.75" style="512" customWidth="1"/>
    <col min="9475" max="9475" width="21.875" style="512" customWidth="1"/>
    <col min="9476" max="9480" width="9" style="512" customWidth="1"/>
    <col min="9481" max="9481" width="11.5" style="512" customWidth="1"/>
    <col min="9482" max="9482" width="9" style="512" customWidth="1"/>
    <col min="9483" max="9728" width="9" style="512"/>
    <col min="9729" max="9729" width="9" style="512" customWidth="1"/>
    <col min="9730" max="9730" width="25.75" style="512" customWidth="1"/>
    <col min="9731" max="9731" width="21.875" style="512" customWidth="1"/>
    <col min="9732" max="9736" width="9" style="512" customWidth="1"/>
    <col min="9737" max="9737" width="11.5" style="512" customWidth="1"/>
    <col min="9738" max="9738" width="9" style="512" customWidth="1"/>
    <col min="9739" max="9984" width="9" style="512"/>
    <col min="9985" max="9985" width="9" style="512" customWidth="1"/>
    <col min="9986" max="9986" width="25.75" style="512" customWidth="1"/>
    <col min="9987" max="9987" width="21.875" style="512" customWidth="1"/>
    <col min="9988" max="9992" width="9" style="512" customWidth="1"/>
    <col min="9993" max="9993" width="11.5" style="512" customWidth="1"/>
    <col min="9994" max="9994" width="9" style="512" customWidth="1"/>
    <col min="9995" max="10240" width="9" style="512"/>
    <col min="10241" max="10241" width="9" style="512" customWidth="1"/>
    <col min="10242" max="10242" width="25.75" style="512" customWidth="1"/>
    <col min="10243" max="10243" width="21.875" style="512" customWidth="1"/>
    <col min="10244" max="10248" width="9" style="512" customWidth="1"/>
    <col min="10249" max="10249" width="11.5" style="512" customWidth="1"/>
    <col min="10250" max="10250" width="9" style="512" customWidth="1"/>
    <col min="10251" max="10496" width="9" style="512"/>
    <col min="10497" max="10497" width="9" style="512" customWidth="1"/>
    <col min="10498" max="10498" width="25.75" style="512" customWidth="1"/>
    <col min="10499" max="10499" width="21.875" style="512" customWidth="1"/>
    <col min="10500" max="10504" width="9" style="512" customWidth="1"/>
    <col min="10505" max="10505" width="11.5" style="512" customWidth="1"/>
    <col min="10506" max="10506" width="9" style="512" customWidth="1"/>
    <col min="10507" max="10752" width="9" style="512"/>
    <col min="10753" max="10753" width="9" style="512" customWidth="1"/>
    <col min="10754" max="10754" width="25.75" style="512" customWidth="1"/>
    <col min="10755" max="10755" width="21.875" style="512" customWidth="1"/>
    <col min="10756" max="10760" width="9" style="512" customWidth="1"/>
    <col min="10761" max="10761" width="11.5" style="512" customWidth="1"/>
    <col min="10762" max="10762" width="9" style="512" customWidth="1"/>
    <col min="10763" max="11008" width="9" style="512"/>
    <col min="11009" max="11009" width="9" style="512" customWidth="1"/>
    <col min="11010" max="11010" width="25.75" style="512" customWidth="1"/>
    <col min="11011" max="11011" width="21.875" style="512" customWidth="1"/>
    <col min="11012" max="11016" width="9" style="512" customWidth="1"/>
    <col min="11017" max="11017" width="11.5" style="512" customWidth="1"/>
    <col min="11018" max="11018" width="9" style="512" customWidth="1"/>
    <col min="11019" max="11264" width="9" style="512"/>
    <col min="11265" max="11265" width="9" style="512" customWidth="1"/>
    <col min="11266" max="11266" width="25.75" style="512" customWidth="1"/>
    <col min="11267" max="11267" width="21.875" style="512" customWidth="1"/>
    <col min="11268" max="11272" width="9" style="512" customWidth="1"/>
    <col min="11273" max="11273" width="11.5" style="512" customWidth="1"/>
    <col min="11274" max="11274" width="9" style="512" customWidth="1"/>
    <col min="11275" max="11520" width="9" style="512"/>
    <col min="11521" max="11521" width="9" style="512" customWidth="1"/>
    <col min="11522" max="11522" width="25.75" style="512" customWidth="1"/>
    <col min="11523" max="11523" width="21.875" style="512" customWidth="1"/>
    <col min="11524" max="11528" width="9" style="512" customWidth="1"/>
    <col min="11529" max="11529" width="11.5" style="512" customWidth="1"/>
    <col min="11530" max="11530" width="9" style="512" customWidth="1"/>
    <col min="11531" max="11776" width="9" style="512"/>
    <col min="11777" max="11777" width="9" style="512" customWidth="1"/>
    <col min="11778" max="11778" width="25.75" style="512" customWidth="1"/>
    <col min="11779" max="11779" width="21.875" style="512" customWidth="1"/>
    <col min="11780" max="11784" width="9" style="512" customWidth="1"/>
    <col min="11785" max="11785" width="11.5" style="512" customWidth="1"/>
    <col min="11786" max="11786" width="9" style="512" customWidth="1"/>
    <col min="11787" max="12032" width="9" style="512"/>
    <col min="12033" max="12033" width="9" style="512" customWidth="1"/>
    <col min="12034" max="12034" width="25.75" style="512" customWidth="1"/>
    <col min="12035" max="12035" width="21.875" style="512" customWidth="1"/>
    <col min="12036" max="12040" width="9" style="512" customWidth="1"/>
    <col min="12041" max="12041" width="11.5" style="512" customWidth="1"/>
    <col min="12042" max="12042" width="9" style="512" customWidth="1"/>
    <col min="12043" max="12288" width="9" style="512"/>
    <col min="12289" max="12289" width="9" style="512" customWidth="1"/>
    <col min="12290" max="12290" width="25.75" style="512" customWidth="1"/>
    <col min="12291" max="12291" width="21.875" style="512" customWidth="1"/>
    <col min="12292" max="12296" width="9" style="512" customWidth="1"/>
    <col min="12297" max="12297" width="11.5" style="512" customWidth="1"/>
    <col min="12298" max="12298" width="9" style="512" customWidth="1"/>
    <col min="12299" max="12544" width="9" style="512"/>
    <col min="12545" max="12545" width="9" style="512" customWidth="1"/>
    <col min="12546" max="12546" width="25.75" style="512" customWidth="1"/>
    <col min="12547" max="12547" width="21.875" style="512" customWidth="1"/>
    <col min="12548" max="12552" width="9" style="512" customWidth="1"/>
    <col min="12553" max="12553" width="11.5" style="512" customWidth="1"/>
    <col min="12554" max="12554" width="9" style="512" customWidth="1"/>
    <col min="12555" max="12800" width="9" style="512"/>
    <col min="12801" max="12801" width="9" style="512" customWidth="1"/>
    <col min="12802" max="12802" width="25.75" style="512" customWidth="1"/>
    <col min="12803" max="12803" width="21.875" style="512" customWidth="1"/>
    <col min="12804" max="12808" width="9" style="512" customWidth="1"/>
    <col min="12809" max="12809" width="11.5" style="512" customWidth="1"/>
    <col min="12810" max="12810" width="9" style="512" customWidth="1"/>
    <col min="12811" max="13056" width="9" style="512"/>
    <col min="13057" max="13057" width="9" style="512" customWidth="1"/>
    <col min="13058" max="13058" width="25.75" style="512" customWidth="1"/>
    <col min="13059" max="13059" width="21.875" style="512" customWidth="1"/>
    <col min="13060" max="13064" width="9" style="512" customWidth="1"/>
    <col min="13065" max="13065" width="11.5" style="512" customWidth="1"/>
    <col min="13066" max="13066" width="9" style="512" customWidth="1"/>
    <col min="13067" max="13312" width="9" style="512"/>
    <col min="13313" max="13313" width="9" style="512" customWidth="1"/>
    <col min="13314" max="13314" width="25.75" style="512" customWidth="1"/>
    <col min="13315" max="13315" width="21.875" style="512" customWidth="1"/>
    <col min="13316" max="13320" width="9" style="512" customWidth="1"/>
    <col min="13321" max="13321" width="11.5" style="512" customWidth="1"/>
    <col min="13322" max="13322" width="9" style="512" customWidth="1"/>
    <col min="13323" max="13568" width="9" style="512"/>
    <col min="13569" max="13569" width="9" style="512" customWidth="1"/>
    <col min="13570" max="13570" width="25.75" style="512" customWidth="1"/>
    <col min="13571" max="13571" width="21.875" style="512" customWidth="1"/>
    <col min="13572" max="13576" width="9" style="512" customWidth="1"/>
    <col min="13577" max="13577" width="11.5" style="512" customWidth="1"/>
    <col min="13578" max="13578" width="9" style="512" customWidth="1"/>
    <col min="13579" max="13824" width="9" style="512"/>
    <col min="13825" max="13825" width="9" style="512" customWidth="1"/>
    <col min="13826" max="13826" width="25.75" style="512" customWidth="1"/>
    <col min="13827" max="13827" width="21.875" style="512" customWidth="1"/>
    <col min="13828" max="13832" width="9" style="512" customWidth="1"/>
    <col min="13833" max="13833" width="11.5" style="512" customWidth="1"/>
    <col min="13834" max="13834" width="9" style="512" customWidth="1"/>
    <col min="13835" max="14080" width="9" style="512"/>
    <col min="14081" max="14081" width="9" style="512" customWidth="1"/>
    <col min="14082" max="14082" width="25.75" style="512" customWidth="1"/>
    <col min="14083" max="14083" width="21.875" style="512" customWidth="1"/>
    <col min="14084" max="14088" width="9" style="512" customWidth="1"/>
    <col min="14089" max="14089" width="11.5" style="512" customWidth="1"/>
    <col min="14090" max="14090" width="9" style="512" customWidth="1"/>
    <col min="14091" max="14336" width="9" style="512"/>
    <col min="14337" max="14337" width="9" style="512" customWidth="1"/>
    <col min="14338" max="14338" width="25.75" style="512" customWidth="1"/>
    <col min="14339" max="14339" width="21.875" style="512" customWidth="1"/>
    <col min="14340" max="14344" width="9" style="512" customWidth="1"/>
    <col min="14345" max="14345" width="11.5" style="512" customWidth="1"/>
    <col min="14346" max="14346" width="9" style="512" customWidth="1"/>
    <col min="14347" max="14592" width="9" style="512"/>
    <col min="14593" max="14593" width="9" style="512" customWidth="1"/>
    <col min="14594" max="14594" width="25.75" style="512" customWidth="1"/>
    <col min="14595" max="14595" width="21.875" style="512" customWidth="1"/>
    <col min="14596" max="14600" width="9" style="512" customWidth="1"/>
    <col min="14601" max="14601" width="11.5" style="512" customWidth="1"/>
    <col min="14602" max="14602" width="9" style="512" customWidth="1"/>
    <col min="14603" max="14848" width="9" style="512"/>
    <col min="14849" max="14849" width="9" style="512" customWidth="1"/>
    <col min="14850" max="14850" width="25.75" style="512" customWidth="1"/>
    <col min="14851" max="14851" width="21.875" style="512" customWidth="1"/>
    <col min="14852" max="14856" width="9" style="512" customWidth="1"/>
    <col min="14857" max="14857" width="11.5" style="512" customWidth="1"/>
    <col min="14858" max="14858" width="9" style="512" customWidth="1"/>
    <col min="14859" max="15104" width="9" style="512"/>
    <col min="15105" max="15105" width="9" style="512" customWidth="1"/>
    <col min="15106" max="15106" width="25.75" style="512" customWidth="1"/>
    <col min="15107" max="15107" width="21.875" style="512" customWidth="1"/>
    <col min="15108" max="15112" width="9" style="512" customWidth="1"/>
    <col min="15113" max="15113" width="11.5" style="512" customWidth="1"/>
    <col min="15114" max="15114" width="9" style="512" customWidth="1"/>
    <col min="15115" max="15360" width="9" style="512"/>
    <col min="15361" max="15361" width="9" style="512" customWidth="1"/>
    <col min="15362" max="15362" width="25.75" style="512" customWidth="1"/>
    <col min="15363" max="15363" width="21.875" style="512" customWidth="1"/>
    <col min="15364" max="15368" width="9" style="512" customWidth="1"/>
    <col min="15369" max="15369" width="11.5" style="512" customWidth="1"/>
    <col min="15370" max="15370" width="9" style="512" customWidth="1"/>
    <col min="15371" max="15616" width="9" style="512"/>
    <col min="15617" max="15617" width="9" style="512" customWidth="1"/>
    <col min="15618" max="15618" width="25.75" style="512" customWidth="1"/>
    <col min="15619" max="15619" width="21.875" style="512" customWidth="1"/>
    <col min="15620" max="15624" width="9" style="512" customWidth="1"/>
    <col min="15625" max="15625" width="11.5" style="512" customWidth="1"/>
    <col min="15626" max="15626" width="9" style="512" customWidth="1"/>
    <col min="15627" max="15872" width="9" style="512"/>
    <col min="15873" max="15873" width="9" style="512" customWidth="1"/>
    <col min="15874" max="15874" width="25.75" style="512" customWidth="1"/>
    <col min="15875" max="15875" width="21.875" style="512" customWidth="1"/>
    <col min="15876" max="15880" width="9" style="512" customWidth="1"/>
    <col min="15881" max="15881" width="11.5" style="512" customWidth="1"/>
    <col min="15882" max="15882" width="9" style="512" customWidth="1"/>
    <col min="15883" max="16128" width="9" style="512"/>
    <col min="16129" max="16129" width="9" style="512" customWidth="1"/>
    <col min="16130" max="16130" width="25.75" style="512" customWidth="1"/>
    <col min="16131" max="16131" width="21.875" style="512" customWidth="1"/>
    <col min="16132" max="16136" width="9" style="512" customWidth="1"/>
    <col min="16137" max="16137" width="11.5" style="512" customWidth="1"/>
    <col min="16138" max="16138" width="9" style="512" customWidth="1"/>
    <col min="16139" max="16384" width="9" style="512"/>
  </cols>
  <sheetData>
    <row r="1" ht="22.5" customHeight="1" spans="1:10">
      <c r="A1" s="515" t="s">
        <v>831</v>
      </c>
      <c r="B1" s="515"/>
      <c r="C1" s="551"/>
      <c r="D1" s="515"/>
      <c r="E1" s="515"/>
      <c r="F1" s="515"/>
      <c r="G1" s="515"/>
      <c r="H1" s="515"/>
      <c r="I1" s="515"/>
      <c r="J1" s="551"/>
    </row>
    <row r="2" ht="21" customHeight="1" spans="1:10">
      <c r="A2" s="577" t="s">
        <v>832</v>
      </c>
      <c r="B2" s="517"/>
      <c r="C2" s="517"/>
      <c r="D2" s="517"/>
      <c r="E2" s="517"/>
      <c r="F2" s="517"/>
      <c r="G2" s="517"/>
      <c r="H2" s="517"/>
      <c r="I2" s="517"/>
      <c r="J2" s="611"/>
    </row>
    <row r="3" spans="1:10">
      <c r="A3" s="578" t="s">
        <v>291</v>
      </c>
      <c r="B3" s="579" t="s">
        <v>696</v>
      </c>
      <c r="C3" s="579" t="s">
        <v>833</v>
      </c>
      <c r="D3" s="578" t="s">
        <v>55</v>
      </c>
      <c r="E3" s="578" t="s">
        <v>191</v>
      </c>
      <c r="F3" s="578" t="s">
        <v>834</v>
      </c>
      <c r="G3" s="578" t="s">
        <v>835</v>
      </c>
      <c r="H3" s="578" t="s">
        <v>836</v>
      </c>
      <c r="I3" s="578" t="s">
        <v>463</v>
      </c>
      <c r="J3" s="579" t="s">
        <v>119</v>
      </c>
    </row>
    <row r="4" spans="1:10">
      <c r="A4" s="578"/>
      <c r="B4" s="579" t="s">
        <v>463</v>
      </c>
      <c r="C4" s="579"/>
      <c r="D4" s="578"/>
      <c r="E4" s="569"/>
      <c r="F4" s="567"/>
      <c r="G4" s="567">
        <f>G5+G47+G96</f>
        <v>2543771.385</v>
      </c>
      <c r="H4" s="567">
        <f>H5+H47+H96</f>
        <v>410080.70775</v>
      </c>
      <c r="I4" s="567">
        <f>I5+I47+I96</f>
        <v>2923852.09275</v>
      </c>
      <c r="J4" s="612"/>
    </row>
    <row r="5" ht="22.5" customHeight="1" spans="1:10">
      <c r="A5" s="578" t="s">
        <v>472</v>
      </c>
      <c r="B5" s="578" t="s">
        <v>325</v>
      </c>
      <c r="C5" s="578"/>
      <c r="D5" s="578"/>
      <c r="E5" s="569"/>
      <c r="F5" s="567"/>
      <c r="G5" s="567">
        <f>G6+G10</f>
        <v>523638.76</v>
      </c>
      <c r="H5" s="567">
        <f>H6+H10</f>
        <v>78305.814</v>
      </c>
      <c r="I5" s="567">
        <f>I6+I10</f>
        <v>601944.574</v>
      </c>
      <c r="J5" s="612"/>
    </row>
    <row r="6" ht="19.5" customHeight="1" spans="1:10">
      <c r="A6" s="578">
        <v>1.1</v>
      </c>
      <c r="B6" s="579" t="s">
        <v>837</v>
      </c>
      <c r="C6" s="579"/>
      <c r="D6" s="540"/>
      <c r="E6" s="541"/>
      <c r="F6" s="542"/>
      <c r="G6" s="567">
        <f>SUM(G7:G9)</f>
        <v>150200</v>
      </c>
      <c r="H6" s="567">
        <f>SUM(H7:H9)</f>
        <v>22530</v>
      </c>
      <c r="I6" s="567">
        <f>SUM(I7:I9)</f>
        <v>172730</v>
      </c>
      <c r="J6" s="613"/>
    </row>
    <row r="7" ht="37" customHeight="1" spans="1:10">
      <c r="A7" s="540"/>
      <c r="B7" s="580" t="s">
        <v>838</v>
      </c>
      <c r="C7" s="580" t="s">
        <v>839</v>
      </c>
      <c r="D7" s="540" t="s">
        <v>329</v>
      </c>
      <c r="E7" s="581">
        <v>2</v>
      </c>
      <c r="F7" s="542">
        <v>72600</v>
      </c>
      <c r="G7" s="542">
        <f>E7*F7</f>
        <v>145200</v>
      </c>
      <c r="H7" s="542">
        <f>G7*0.15</f>
        <v>21780</v>
      </c>
      <c r="I7" s="542">
        <f t="shared" ref="I7:I9" si="0">G7+H7</f>
        <v>166980</v>
      </c>
      <c r="J7" s="540"/>
    </row>
    <row r="8" ht="37" customHeight="1" spans="1:10">
      <c r="A8" s="540"/>
      <c r="B8" s="580" t="s">
        <v>840</v>
      </c>
      <c r="C8" s="582" t="s">
        <v>841</v>
      </c>
      <c r="D8" s="540" t="s">
        <v>329</v>
      </c>
      <c r="E8" s="541">
        <v>1</v>
      </c>
      <c r="F8" s="542">
        <v>3500</v>
      </c>
      <c r="G8" s="542">
        <f t="shared" ref="G7:G9" si="1">E8*F8</f>
        <v>3500</v>
      </c>
      <c r="H8" s="542">
        <f t="shared" ref="H7:H9" si="2">G8*0.15</f>
        <v>525</v>
      </c>
      <c r="I8" s="542">
        <f t="shared" si="0"/>
        <v>4025</v>
      </c>
      <c r="J8" s="540"/>
    </row>
    <row r="9" ht="27.75" customHeight="1" spans="1:10">
      <c r="A9" s="540"/>
      <c r="B9" s="580" t="s">
        <v>842</v>
      </c>
      <c r="C9" s="580" t="s">
        <v>843</v>
      </c>
      <c r="D9" s="540" t="s">
        <v>329</v>
      </c>
      <c r="E9" s="541">
        <v>1</v>
      </c>
      <c r="F9" s="542">
        <v>1500</v>
      </c>
      <c r="G9" s="542">
        <f t="shared" si="1"/>
        <v>1500</v>
      </c>
      <c r="H9" s="542">
        <f t="shared" si="2"/>
        <v>225</v>
      </c>
      <c r="I9" s="542">
        <f t="shared" si="0"/>
        <v>1725</v>
      </c>
      <c r="J9" s="613"/>
    </row>
    <row r="10" ht="27.75" customHeight="1" spans="1:10">
      <c r="A10" s="579">
        <v>1.2</v>
      </c>
      <c r="B10" s="583" t="s">
        <v>844</v>
      </c>
      <c r="C10" s="584"/>
      <c r="D10" s="583"/>
      <c r="E10" s="583"/>
      <c r="F10" s="585"/>
      <c r="G10" s="586">
        <f>SUM(G11:G46)</f>
        <v>373438.76</v>
      </c>
      <c r="H10" s="586">
        <f>SUM(H11:H46)</f>
        <v>55775.814</v>
      </c>
      <c r="I10" s="586">
        <f>SUM(I11:I46)</f>
        <v>429214.574</v>
      </c>
      <c r="J10" s="613"/>
    </row>
    <row r="11" ht="27.75" customHeight="1" spans="1:10">
      <c r="A11" s="579"/>
      <c r="B11" s="580" t="s">
        <v>845</v>
      </c>
      <c r="C11" s="587"/>
      <c r="D11" s="588" t="s">
        <v>76</v>
      </c>
      <c r="E11" s="228">
        <v>1.5</v>
      </c>
      <c r="F11" s="208">
        <v>120000</v>
      </c>
      <c r="G11" s="542">
        <f t="shared" ref="G11:G26" si="3">E11*F11</f>
        <v>180000</v>
      </c>
      <c r="H11" s="542">
        <f>G11*0.15</f>
        <v>27000</v>
      </c>
      <c r="I11" s="542">
        <f t="shared" ref="I11:I26" si="4">G11+H11</f>
        <v>207000</v>
      </c>
      <c r="J11" s="610"/>
    </row>
    <row r="12" ht="27.75" customHeight="1" spans="1:10">
      <c r="A12" s="540"/>
      <c r="B12" s="589" t="s">
        <v>846</v>
      </c>
      <c r="C12" s="584" t="s">
        <v>847</v>
      </c>
      <c r="D12" s="590" t="s">
        <v>329</v>
      </c>
      <c r="E12" s="590">
        <v>1</v>
      </c>
      <c r="F12" s="542">
        <v>34800</v>
      </c>
      <c r="G12" s="542">
        <f t="shared" si="3"/>
        <v>34800</v>
      </c>
      <c r="H12" s="542">
        <f>G12*0.15</f>
        <v>5220</v>
      </c>
      <c r="I12" s="542">
        <f t="shared" si="4"/>
        <v>40020</v>
      </c>
      <c r="J12" s="610"/>
    </row>
    <row r="13" ht="27.75" customHeight="1" spans="1:10">
      <c r="A13" s="540"/>
      <c r="B13" s="589" t="s">
        <v>848</v>
      </c>
      <c r="C13" s="584" t="s">
        <v>849</v>
      </c>
      <c r="D13" s="591" t="s">
        <v>329</v>
      </c>
      <c r="E13" s="590">
        <v>1</v>
      </c>
      <c r="F13" s="542">
        <v>2500</v>
      </c>
      <c r="G13" s="542">
        <f t="shared" si="3"/>
        <v>2500</v>
      </c>
      <c r="H13" s="542">
        <f>G13*0.15</f>
        <v>375</v>
      </c>
      <c r="I13" s="542">
        <f t="shared" si="4"/>
        <v>2875</v>
      </c>
      <c r="J13" s="610"/>
    </row>
    <row r="14" ht="27.75" customHeight="1" spans="1:10">
      <c r="A14" s="540"/>
      <c r="B14" s="589" t="s">
        <v>850</v>
      </c>
      <c r="C14" s="584" t="s">
        <v>851</v>
      </c>
      <c r="D14" s="591" t="s">
        <v>329</v>
      </c>
      <c r="E14" s="590">
        <v>1</v>
      </c>
      <c r="F14" s="542">
        <v>3000</v>
      </c>
      <c r="G14" s="542">
        <f t="shared" si="3"/>
        <v>3000</v>
      </c>
      <c r="H14" s="542">
        <f>G14*0.15</f>
        <v>450</v>
      </c>
      <c r="I14" s="542">
        <f t="shared" si="4"/>
        <v>3450</v>
      </c>
      <c r="J14" s="610"/>
    </row>
    <row r="15" ht="33" customHeight="1" spans="1:10">
      <c r="A15" s="540"/>
      <c r="B15" s="589" t="s">
        <v>852</v>
      </c>
      <c r="C15" s="584" t="s">
        <v>853</v>
      </c>
      <c r="D15" s="590" t="s">
        <v>329</v>
      </c>
      <c r="E15" s="590">
        <v>2</v>
      </c>
      <c r="F15" s="542">
        <v>35000</v>
      </c>
      <c r="G15" s="542">
        <f t="shared" si="3"/>
        <v>70000</v>
      </c>
      <c r="H15" s="542">
        <f t="shared" ref="H15:H33" si="5">G15*0.15</f>
        <v>10500</v>
      </c>
      <c r="I15" s="542">
        <f t="shared" si="4"/>
        <v>80500</v>
      </c>
      <c r="J15" s="610"/>
    </row>
    <row r="16" ht="33" customHeight="1" spans="1:10">
      <c r="A16" s="540"/>
      <c r="B16" s="589" t="s">
        <v>854</v>
      </c>
      <c r="C16" s="584" t="s">
        <v>855</v>
      </c>
      <c r="D16" s="590" t="s">
        <v>856</v>
      </c>
      <c r="E16" s="590">
        <v>1</v>
      </c>
      <c r="F16" s="542">
        <v>900</v>
      </c>
      <c r="G16" s="542">
        <f t="shared" si="3"/>
        <v>900</v>
      </c>
      <c r="H16" s="542">
        <f t="shared" si="5"/>
        <v>135</v>
      </c>
      <c r="I16" s="542">
        <f t="shared" si="4"/>
        <v>1035</v>
      </c>
      <c r="J16" s="610"/>
    </row>
    <row r="17" ht="33" customHeight="1" spans="1:10">
      <c r="A17" s="540"/>
      <c r="B17" s="589" t="s">
        <v>857</v>
      </c>
      <c r="C17" s="584" t="s">
        <v>858</v>
      </c>
      <c r="D17" s="592" t="s">
        <v>329</v>
      </c>
      <c r="E17" s="590">
        <v>1</v>
      </c>
      <c r="F17" s="542">
        <v>2000</v>
      </c>
      <c r="G17" s="542">
        <f t="shared" si="3"/>
        <v>2000</v>
      </c>
      <c r="H17" s="542">
        <f t="shared" si="5"/>
        <v>300</v>
      </c>
      <c r="I17" s="542">
        <f t="shared" si="4"/>
        <v>2300</v>
      </c>
      <c r="J17" s="610"/>
    </row>
    <row r="18" ht="18" customHeight="1" spans="1:10">
      <c r="A18" s="540"/>
      <c r="B18" s="593" t="s">
        <v>859</v>
      </c>
      <c r="C18" s="594" t="s">
        <v>860</v>
      </c>
      <c r="D18" s="595" t="s">
        <v>329</v>
      </c>
      <c r="E18" s="590">
        <v>1</v>
      </c>
      <c r="F18" s="542">
        <v>120</v>
      </c>
      <c r="G18" s="542">
        <f t="shared" si="3"/>
        <v>120</v>
      </c>
      <c r="H18" s="542">
        <f t="shared" si="5"/>
        <v>18</v>
      </c>
      <c r="I18" s="542">
        <f t="shared" si="4"/>
        <v>138</v>
      </c>
      <c r="J18" s="613"/>
    </row>
    <row r="19" ht="18" customHeight="1" spans="1:10">
      <c r="A19" s="540"/>
      <c r="B19" s="593" t="s">
        <v>861</v>
      </c>
      <c r="C19" s="594" t="s">
        <v>862</v>
      </c>
      <c r="D19" s="595" t="s">
        <v>284</v>
      </c>
      <c r="E19" s="590">
        <v>3</v>
      </c>
      <c r="F19" s="542">
        <v>35</v>
      </c>
      <c r="G19" s="542">
        <f t="shared" si="3"/>
        <v>105</v>
      </c>
      <c r="H19" s="542">
        <f t="shared" si="5"/>
        <v>15.75</v>
      </c>
      <c r="I19" s="542">
        <f t="shared" si="4"/>
        <v>120.75</v>
      </c>
      <c r="J19" s="613"/>
    </row>
    <row r="20" ht="18" customHeight="1" spans="1:10">
      <c r="A20" s="540"/>
      <c r="B20" s="593" t="s">
        <v>863</v>
      </c>
      <c r="C20" s="584" t="s">
        <v>864</v>
      </c>
      <c r="D20" s="592" t="s">
        <v>284</v>
      </c>
      <c r="E20" s="590">
        <v>3</v>
      </c>
      <c r="F20" s="542">
        <v>85</v>
      </c>
      <c r="G20" s="542">
        <f t="shared" si="3"/>
        <v>255</v>
      </c>
      <c r="H20" s="542">
        <f t="shared" si="5"/>
        <v>38.25</v>
      </c>
      <c r="I20" s="542">
        <f t="shared" si="4"/>
        <v>293.25</v>
      </c>
      <c r="J20" s="613"/>
    </row>
    <row r="21" ht="18" customHeight="1" spans="1:10">
      <c r="A21" s="540"/>
      <c r="B21" s="596" t="s">
        <v>865</v>
      </c>
      <c r="C21" s="584" t="s">
        <v>866</v>
      </c>
      <c r="D21" s="592" t="s">
        <v>146</v>
      </c>
      <c r="E21" s="590">
        <v>13</v>
      </c>
      <c r="F21" s="542">
        <v>120</v>
      </c>
      <c r="G21" s="542">
        <f t="shared" si="3"/>
        <v>1560</v>
      </c>
      <c r="H21" s="542">
        <f t="shared" si="5"/>
        <v>234</v>
      </c>
      <c r="I21" s="542">
        <f t="shared" si="4"/>
        <v>1794</v>
      </c>
      <c r="J21" s="613"/>
    </row>
    <row r="22" ht="18" customHeight="1" spans="1:10">
      <c r="A22" s="540"/>
      <c r="B22" s="596" t="s">
        <v>867</v>
      </c>
      <c r="C22" s="584" t="s">
        <v>868</v>
      </c>
      <c r="D22" s="592" t="s">
        <v>329</v>
      </c>
      <c r="E22" s="590">
        <v>1</v>
      </c>
      <c r="F22" s="542">
        <v>750</v>
      </c>
      <c r="G22" s="542">
        <f t="shared" si="3"/>
        <v>750</v>
      </c>
      <c r="H22" s="542">
        <f t="shared" si="5"/>
        <v>112.5</v>
      </c>
      <c r="I22" s="542">
        <f t="shared" si="4"/>
        <v>862.5</v>
      </c>
      <c r="J22" s="613"/>
    </row>
    <row r="23" ht="18" customHeight="1" spans="1:10">
      <c r="A23" s="540"/>
      <c r="B23" s="596" t="s">
        <v>869</v>
      </c>
      <c r="C23" s="584" t="s">
        <v>870</v>
      </c>
      <c r="D23" s="592" t="s">
        <v>871</v>
      </c>
      <c r="E23" s="590">
        <v>3</v>
      </c>
      <c r="F23" s="542">
        <v>200</v>
      </c>
      <c r="G23" s="542">
        <f t="shared" si="3"/>
        <v>600</v>
      </c>
      <c r="H23" s="542">
        <f t="shared" si="5"/>
        <v>90</v>
      </c>
      <c r="I23" s="542">
        <f t="shared" si="4"/>
        <v>690</v>
      </c>
      <c r="J23" s="613"/>
    </row>
    <row r="24" ht="18" customHeight="1" spans="1:10">
      <c r="A24" s="540"/>
      <c r="B24" s="596" t="s">
        <v>872</v>
      </c>
      <c r="C24" s="584" t="s">
        <v>873</v>
      </c>
      <c r="D24" s="592" t="s">
        <v>871</v>
      </c>
      <c r="E24" s="590">
        <v>4</v>
      </c>
      <c r="F24" s="542">
        <v>50</v>
      </c>
      <c r="G24" s="542">
        <f t="shared" si="3"/>
        <v>200</v>
      </c>
      <c r="H24" s="542">
        <f t="shared" si="5"/>
        <v>30</v>
      </c>
      <c r="I24" s="542">
        <f t="shared" si="4"/>
        <v>230</v>
      </c>
      <c r="J24" s="613"/>
    </row>
    <row r="25" ht="18" customHeight="1" spans="1:10">
      <c r="A25" s="540"/>
      <c r="B25" s="597" t="s">
        <v>874</v>
      </c>
      <c r="C25" s="584" t="s">
        <v>875</v>
      </c>
      <c r="D25" s="592" t="s">
        <v>146</v>
      </c>
      <c r="E25" s="590">
        <v>200</v>
      </c>
      <c r="F25" s="542">
        <v>2</v>
      </c>
      <c r="G25" s="542">
        <f t="shared" si="3"/>
        <v>400</v>
      </c>
      <c r="H25" s="542">
        <f t="shared" si="5"/>
        <v>60</v>
      </c>
      <c r="I25" s="542">
        <f t="shared" si="4"/>
        <v>460</v>
      </c>
      <c r="J25" s="613"/>
    </row>
    <row r="26" ht="18" customHeight="1" spans="1:10">
      <c r="A26" s="540"/>
      <c r="B26" s="597" t="s">
        <v>876</v>
      </c>
      <c r="C26" s="584" t="s">
        <v>877</v>
      </c>
      <c r="D26" s="592" t="s">
        <v>146</v>
      </c>
      <c r="E26" s="590">
        <v>100</v>
      </c>
      <c r="F26" s="542">
        <v>5</v>
      </c>
      <c r="G26" s="542">
        <f t="shared" si="3"/>
        <v>500</v>
      </c>
      <c r="H26" s="542">
        <f t="shared" si="5"/>
        <v>75</v>
      </c>
      <c r="I26" s="542">
        <f t="shared" si="4"/>
        <v>575</v>
      </c>
      <c r="J26" s="613"/>
    </row>
    <row r="27" ht="18" customHeight="1" spans="1:10">
      <c r="A27" s="540"/>
      <c r="B27" s="597" t="s">
        <v>878</v>
      </c>
      <c r="C27" s="584" t="s">
        <v>879</v>
      </c>
      <c r="D27" s="592" t="s">
        <v>146</v>
      </c>
      <c r="E27" s="590">
        <v>60</v>
      </c>
      <c r="F27" s="542">
        <v>333.04</v>
      </c>
      <c r="G27" s="542">
        <f t="shared" ref="G27:G46" si="6">E27*F27</f>
        <v>19982.4</v>
      </c>
      <c r="H27" s="542">
        <f t="shared" ref="H27:H45" si="7">G27*0.15</f>
        <v>2997.36</v>
      </c>
      <c r="I27" s="542">
        <f t="shared" ref="I27:I46" si="8">G27+H27</f>
        <v>22979.76</v>
      </c>
      <c r="J27" s="610"/>
    </row>
    <row r="28" ht="18" customHeight="1" spans="1:10">
      <c r="A28" s="540"/>
      <c r="B28" s="597" t="s">
        <v>878</v>
      </c>
      <c r="C28" s="584" t="s">
        <v>880</v>
      </c>
      <c r="D28" s="592" t="s">
        <v>146</v>
      </c>
      <c r="E28" s="590">
        <f>23*2+26*2</f>
        <v>98</v>
      </c>
      <c r="F28" s="542">
        <v>185.12</v>
      </c>
      <c r="G28" s="542">
        <f t="shared" si="6"/>
        <v>18141.76</v>
      </c>
      <c r="H28" s="542">
        <f t="shared" si="7"/>
        <v>2721.264</v>
      </c>
      <c r="I28" s="542">
        <f t="shared" si="8"/>
        <v>20863.024</v>
      </c>
      <c r="J28" s="610"/>
    </row>
    <row r="29" ht="18" customHeight="1" spans="1:10">
      <c r="A29" s="540"/>
      <c r="B29" s="597" t="s">
        <v>878</v>
      </c>
      <c r="C29" s="584" t="s">
        <v>881</v>
      </c>
      <c r="D29" s="592" t="s">
        <v>146</v>
      </c>
      <c r="E29" s="590">
        <v>10</v>
      </c>
      <c r="F29" s="542">
        <v>60.28</v>
      </c>
      <c r="G29" s="542">
        <f t="shared" si="6"/>
        <v>602.8</v>
      </c>
      <c r="H29" s="542">
        <f t="shared" si="7"/>
        <v>90.42</v>
      </c>
      <c r="I29" s="542">
        <f t="shared" si="8"/>
        <v>693.22</v>
      </c>
      <c r="J29" s="610"/>
    </row>
    <row r="30" ht="18" customHeight="1" spans="1:10">
      <c r="A30" s="540"/>
      <c r="B30" s="597" t="s">
        <v>878</v>
      </c>
      <c r="C30" s="598" t="s">
        <v>882</v>
      </c>
      <c r="D30" s="592" t="s">
        <v>146</v>
      </c>
      <c r="E30" s="590">
        <v>12</v>
      </c>
      <c r="F30" s="542">
        <v>25.68</v>
      </c>
      <c r="G30" s="542">
        <f t="shared" si="6"/>
        <v>308.16</v>
      </c>
      <c r="H30" s="542">
        <f t="shared" si="7"/>
        <v>46.224</v>
      </c>
      <c r="I30" s="542">
        <f t="shared" si="8"/>
        <v>354.384</v>
      </c>
      <c r="J30" s="610"/>
    </row>
    <row r="31" ht="18" customHeight="1" spans="1:10">
      <c r="A31" s="540"/>
      <c r="B31" s="597" t="s">
        <v>878</v>
      </c>
      <c r="C31" s="584" t="s">
        <v>883</v>
      </c>
      <c r="D31" s="592" t="s">
        <v>146</v>
      </c>
      <c r="E31" s="590">
        <v>17</v>
      </c>
      <c r="F31" s="542">
        <v>9.31</v>
      </c>
      <c r="G31" s="542">
        <f t="shared" si="6"/>
        <v>158.27</v>
      </c>
      <c r="H31" s="542">
        <f t="shared" si="7"/>
        <v>23.7405</v>
      </c>
      <c r="I31" s="542">
        <f t="shared" si="8"/>
        <v>182.0105</v>
      </c>
      <c r="J31" s="610"/>
    </row>
    <row r="32" ht="18" customHeight="1" spans="1:10">
      <c r="A32" s="540"/>
      <c r="B32" s="597" t="s">
        <v>878</v>
      </c>
      <c r="C32" s="584" t="s">
        <v>884</v>
      </c>
      <c r="D32" s="592" t="s">
        <v>146</v>
      </c>
      <c r="E32" s="590">
        <v>15</v>
      </c>
      <c r="F32" s="542">
        <v>11</v>
      </c>
      <c r="G32" s="542">
        <f t="shared" si="6"/>
        <v>165</v>
      </c>
      <c r="H32" s="542">
        <f t="shared" si="7"/>
        <v>24.75</v>
      </c>
      <c r="I32" s="542">
        <f t="shared" si="8"/>
        <v>189.75</v>
      </c>
      <c r="J32" s="610"/>
    </row>
    <row r="33" ht="18" customHeight="1" spans="1:10">
      <c r="A33" s="540"/>
      <c r="B33" s="597" t="s">
        <v>878</v>
      </c>
      <c r="C33" s="584" t="s">
        <v>885</v>
      </c>
      <c r="D33" s="592" t="s">
        <v>146</v>
      </c>
      <c r="E33" s="590">
        <v>7</v>
      </c>
      <c r="F33" s="542">
        <v>14.01</v>
      </c>
      <c r="G33" s="542">
        <f t="shared" si="6"/>
        <v>98.07</v>
      </c>
      <c r="H33" s="542">
        <f t="shared" si="7"/>
        <v>14.7105</v>
      </c>
      <c r="I33" s="542">
        <f t="shared" si="8"/>
        <v>112.7805</v>
      </c>
      <c r="J33" s="610"/>
    </row>
    <row r="34" ht="18" customHeight="1" spans="1:10">
      <c r="A34" s="540"/>
      <c r="B34" s="597" t="s">
        <v>886</v>
      </c>
      <c r="C34" s="584" t="s">
        <v>887</v>
      </c>
      <c r="D34" s="592" t="s">
        <v>146</v>
      </c>
      <c r="E34" s="590">
        <f>E27</f>
        <v>60</v>
      </c>
      <c r="F34" s="542">
        <v>51</v>
      </c>
      <c r="G34" s="542">
        <f t="shared" si="6"/>
        <v>3060</v>
      </c>
      <c r="H34" s="542">
        <f t="shared" si="7"/>
        <v>459</v>
      </c>
      <c r="I34" s="542">
        <f t="shared" si="8"/>
        <v>3519</v>
      </c>
      <c r="J34" s="610"/>
    </row>
    <row r="35" ht="18" customHeight="1" spans="1:10">
      <c r="A35" s="540"/>
      <c r="B35" s="597" t="s">
        <v>886</v>
      </c>
      <c r="C35" s="584" t="s">
        <v>888</v>
      </c>
      <c r="D35" s="592" t="s">
        <v>146</v>
      </c>
      <c r="E35" s="590">
        <f>E28</f>
        <v>98</v>
      </c>
      <c r="F35" s="542">
        <v>42</v>
      </c>
      <c r="G35" s="542">
        <f t="shared" si="6"/>
        <v>4116</v>
      </c>
      <c r="H35" s="542">
        <f t="shared" si="7"/>
        <v>617.4</v>
      </c>
      <c r="I35" s="542">
        <f t="shared" si="8"/>
        <v>4733.4</v>
      </c>
      <c r="J35" s="610"/>
    </row>
    <row r="36" ht="18" customHeight="1" spans="1:10">
      <c r="A36" s="540"/>
      <c r="B36" s="597" t="s">
        <v>886</v>
      </c>
      <c r="C36" s="584" t="s">
        <v>889</v>
      </c>
      <c r="D36" s="592" t="s">
        <v>146</v>
      </c>
      <c r="E36" s="590">
        <f>E29</f>
        <v>10</v>
      </c>
      <c r="F36" s="542">
        <v>34</v>
      </c>
      <c r="G36" s="542">
        <f t="shared" si="6"/>
        <v>340</v>
      </c>
      <c r="H36" s="542">
        <f t="shared" si="7"/>
        <v>51</v>
      </c>
      <c r="I36" s="542">
        <f t="shared" si="8"/>
        <v>391</v>
      </c>
      <c r="J36" s="610"/>
    </row>
    <row r="37" ht="18" customHeight="1" spans="1:10">
      <c r="A37" s="540"/>
      <c r="B37" s="597" t="s">
        <v>886</v>
      </c>
      <c r="C37" s="584" t="s">
        <v>890</v>
      </c>
      <c r="D37" s="592" t="s">
        <v>146</v>
      </c>
      <c r="E37" s="590">
        <f>E31</f>
        <v>17</v>
      </c>
      <c r="F37" s="542">
        <v>27</v>
      </c>
      <c r="G37" s="542">
        <f t="shared" si="6"/>
        <v>459</v>
      </c>
      <c r="H37" s="542">
        <f t="shared" si="7"/>
        <v>68.85</v>
      </c>
      <c r="I37" s="542">
        <f t="shared" si="8"/>
        <v>527.85</v>
      </c>
      <c r="J37" s="610"/>
    </row>
    <row r="38" ht="18" customHeight="1" spans="1:10">
      <c r="A38" s="540"/>
      <c r="B38" s="597" t="s">
        <v>886</v>
      </c>
      <c r="C38" s="584" t="s">
        <v>891</v>
      </c>
      <c r="D38" s="592" t="s">
        <v>146</v>
      </c>
      <c r="E38" s="590">
        <f>E31+E32+E33</f>
        <v>39</v>
      </c>
      <c r="F38" s="542">
        <v>18</v>
      </c>
      <c r="G38" s="542">
        <f t="shared" si="6"/>
        <v>702</v>
      </c>
      <c r="H38" s="542">
        <f t="shared" si="7"/>
        <v>105.3</v>
      </c>
      <c r="I38" s="542">
        <f t="shared" si="8"/>
        <v>807.3</v>
      </c>
      <c r="J38" s="610"/>
    </row>
    <row r="39" ht="18" customHeight="1" spans="1:10">
      <c r="A39" s="540"/>
      <c r="B39" s="597" t="s">
        <v>892</v>
      </c>
      <c r="C39" s="584" t="s">
        <v>893</v>
      </c>
      <c r="D39" s="592" t="s">
        <v>329</v>
      </c>
      <c r="E39" s="590">
        <v>1</v>
      </c>
      <c r="F39" s="542">
        <v>110</v>
      </c>
      <c r="G39" s="542">
        <f t="shared" si="6"/>
        <v>110</v>
      </c>
      <c r="H39" s="542">
        <f t="shared" si="7"/>
        <v>16.5</v>
      </c>
      <c r="I39" s="542">
        <f t="shared" si="8"/>
        <v>126.5</v>
      </c>
      <c r="J39" s="613"/>
    </row>
    <row r="40" ht="18" customHeight="1" spans="1:10">
      <c r="A40" s="540"/>
      <c r="B40" s="597" t="s">
        <v>894</v>
      </c>
      <c r="C40" s="584" t="s">
        <v>895</v>
      </c>
      <c r="D40" s="592" t="s">
        <v>896</v>
      </c>
      <c r="E40" s="590">
        <v>14</v>
      </c>
      <c r="F40" s="542">
        <v>300</v>
      </c>
      <c r="G40" s="542">
        <f t="shared" si="6"/>
        <v>4200</v>
      </c>
      <c r="H40" s="542">
        <f t="shared" si="7"/>
        <v>630</v>
      </c>
      <c r="I40" s="542">
        <f t="shared" si="8"/>
        <v>4830</v>
      </c>
      <c r="J40" s="613"/>
    </row>
    <row r="41" ht="18" customHeight="1" spans="1:10">
      <c r="A41" s="540"/>
      <c r="B41" s="597" t="s">
        <v>897</v>
      </c>
      <c r="C41" s="584" t="s">
        <v>898</v>
      </c>
      <c r="D41" s="592" t="s">
        <v>146</v>
      </c>
      <c r="E41" s="590">
        <v>300</v>
      </c>
      <c r="F41" s="542">
        <v>50</v>
      </c>
      <c r="G41" s="542">
        <f t="shared" si="6"/>
        <v>15000</v>
      </c>
      <c r="H41" s="542">
        <f t="shared" si="7"/>
        <v>2250</v>
      </c>
      <c r="I41" s="542">
        <f t="shared" si="8"/>
        <v>17250</v>
      </c>
      <c r="J41" s="613"/>
    </row>
    <row r="42" ht="18" customHeight="1" spans="1:10">
      <c r="A42" s="540"/>
      <c r="B42" s="597" t="s">
        <v>897</v>
      </c>
      <c r="C42" s="584" t="s">
        <v>899</v>
      </c>
      <c r="D42" s="592" t="s">
        <v>146</v>
      </c>
      <c r="E42" s="590">
        <v>50</v>
      </c>
      <c r="F42" s="542">
        <v>45</v>
      </c>
      <c r="G42" s="542">
        <f t="shared" si="6"/>
        <v>2250</v>
      </c>
      <c r="H42" s="542">
        <f t="shared" si="7"/>
        <v>337.5</v>
      </c>
      <c r="I42" s="542">
        <f t="shared" si="8"/>
        <v>2587.5</v>
      </c>
      <c r="J42" s="613"/>
    </row>
    <row r="43" ht="18" customHeight="1" spans="1:10">
      <c r="A43" s="540"/>
      <c r="B43" s="597" t="s">
        <v>897</v>
      </c>
      <c r="C43" s="584" t="s">
        <v>900</v>
      </c>
      <c r="D43" s="592" t="s">
        <v>146</v>
      </c>
      <c r="E43" s="590">
        <v>15</v>
      </c>
      <c r="F43" s="542">
        <v>17.02</v>
      </c>
      <c r="G43" s="542">
        <f t="shared" si="6"/>
        <v>255.3</v>
      </c>
      <c r="H43" s="542">
        <f t="shared" si="7"/>
        <v>38.295</v>
      </c>
      <c r="I43" s="542">
        <f t="shared" si="8"/>
        <v>293.595</v>
      </c>
      <c r="J43" s="613"/>
    </row>
    <row r="44" ht="34.5" customHeight="1" spans="1:10">
      <c r="A44" s="540"/>
      <c r="B44" s="597" t="s">
        <v>901</v>
      </c>
      <c r="C44" s="584" t="s">
        <v>902</v>
      </c>
      <c r="D44" s="592" t="s">
        <v>146</v>
      </c>
      <c r="E44" s="590">
        <v>60</v>
      </c>
      <c r="F44" s="542">
        <v>45</v>
      </c>
      <c r="G44" s="542">
        <f t="shared" si="6"/>
        <v>2700</v>
      </c>
      <c r="H44" s="542">
        <f t="shared" si="7"/>
        <v>405</v>
      </c>
      <c r="I44" s="542">
        <f t="shared" si="8"/>
        <v>3105</v>
      </c>
      <c r="J44" s="613"/>
    </row>
    <row r="45" spans="1:10">
      <c r="A45" s="540"/>
      <c r="B45" s="599" t="s">
        <v>903</v>
      </c>
      <c r="C45" s="587" t="s">
        <v>904</v>
      </c>
      <c r="D45" s="588" t="s">
        <v>905</v>
      </c>
      <c r="E45" s="600">
        <v>10</v>
      </c>
      <c r="F45" s="542">
        <v>150</v>
      </c>
      <c r="G45" s="542">
        <f t="shared" si="6"/>
        <v>1500</v>
      </c>
      <c r="H45" s="542">
        <f t="shared" si="7"/>
        <v>225</v>
      </c>
      <c r="I45" s="542">
        <f t="shared" si="8"/>
        <v>1725</v>
      </c>
      <c r="J45" s="613"/>
    </row>
    <row r="46" ht="18.75" customHeight="1" spans="1:10">
      <c r="A46" s="540"/>
      <c r="B46" s="599" t="s">
        <v>906</v>
      </c>
      <c r="C46" s="587" t="s">
        <v>907</v>
      </c>
      <c r="D46" s="588" t="s">
        <v>552</v>
      </c>
      <c r="E46" s="600">
        <v>4</v>
      </c>
      <c r="F46" s="542">
        <v>400</v>
      </c>
      <c r="G46" s="542">
        <f t="shared" si="6"/>
        <v>1600</v>
      </c>
      <c r="H46" s="542"/>
      <c r="I46" s="542">
        <f t="shared" si="8"/>
        <v>1600</v>
      </c>
      <c r="J46" s="613"/>
    </row>
    <row r="47" spans="1:10">
      <c r="A47" s="578" t="s">
        <v>472</v>
      </c>
      <c r="B47" s="578" t="s">
        <v>335</v>
      </c>
      <c r="C47" s="578"/>
      <c r="D47" s="578"/>
      <c r="E47" s="569"/>
      <c r="F47" s="567"/>
      <c r="G47" s="567">
        <f>G48+G54</f>
        <v>1709632.625</v>
      </c>
      <c r="H47" s="567">
        <f>H48+H54</f>
        <v>285199.89375</v>
      </c>
      <c r="I47" s="567">
        <f>I48+I54</f>
        <v>1964832.51875</v>
      </c>
      <c r="J47" s="612"/>
    </row>
    <row r="48" spans="1:10">
      <c r="A48" s="578">
        <v>1.1</v>
      </c>
      <c r="B48" s="579" t="s">
        <v>837</v>
      </c>
      <c r="C48" s="579"/>
      <c r="D48" s="540"/>
      <c r="E48" s="541"/>
      <c r="F48" s="542"/>
      <c r="G48" s="567">
        <f>SUM(G49:G53)</f>
        <v>733830</v>
      </c>
      <c r="H48" s="567">
        <f>SUM(H49:H53)</f>
        <v>110074.5</v>
      </c>
      <c r="I48" s="567">
        <f>SUM(I49:I53)</f>
        <v>843904.5</v>
      </c>
      <c r="J48" s="613"/>
    </row>
    <row r="49" ht="36.75" spans="1:11">
      <c r="A49" s="540"/>
      <c r="B49" s="580" t="s">
        <v>838</v>
      </c>
      <c r="C49" s="580" t="s">
        <v>908</v>
      </c>
      <c r="D49" s="540" t="s">
        <v>329</v>
      </c>
      <c r="E49" s="581">
        <v>3</v>
      </c>
      <c r="F49" s="542">
        <v>121250</v>
      </c>
      <c r="G49" s="542">
        <f t="shared" ref="G49:G53" si="9">E49*F49</f>
        <v>363750</v>
      </c>
      <c r="H49" s="542">
        <f t="shared" ref="H49:H53" si="10">G49*0.15</f>
        <v>54562.5</v>
      </c>
      <c r="I49" s="542">
        <f t="shared" ref="I49:I53" si="11">G49+H49</f>
        <v>418312.5</v>
      </c>
      <c r="J49" s="540"/>
      <c r="K49" s="614"/>
    </row>
    <row r="50" ht="24" spans="1:11">
      <c r="A50" s="540"/>
      <c r="B50" s="580" t="s">
        <v>838</v>
      </c>
      <c r="C50" s="580" t="s">
        <v>909</v>
      </c>
      <c r="D50" s="540" t="s">
        <v>329</v>
      </c>
      <c r="E50" s="581">
        <v>3</v>
      </c>
      <c r="F50" s="542">
        <v>34100</v>
      </c>
      <c r="G50" s="542">
        <f t="shared" si="9"/>
        <v>102300</v>
      </c>
      <c r="H50" s="542">
        <f t="shared" si="10"/>
        <v>15345</v>
      </c>
      <c r="I50" s="542">
        <f t="shared" si="11"/>
        <v>117645</v>
      </c>
      <c r="J50" s="540"/>
      <c r="K50" s="614"/>
    </row>
    <row r="51" spans="1:10">
      <c r="A51" s="540"/>
      <c r="B51" s="580" t="s">
        <v>842</v>
      </c>
      <c r="C51" s="580" t="s">
        <v>843</v>
      </c>
      <c r="D51" s="540" t="s">
        <v>329</v>
      </c>
      <c r="E51" s="541">
        <v>1</v>
      </c>
      <c r="F51" s="542">
        <v>1500</v>
      </c>
      <c r="G51" s="542">
        <f t="shared" si="9"/>
        <v>1500</v>
      </c>
      <c r="H51" s="542">
        <f t="shared" si="10"/>
        <v>225</v>
      </c>
      <c r="I51" s="542">
        <f t="shared" si="11"/>
        <v>1725</v>
      </c>
      <c r="J51" s="613"/>
    </row>
    <row r="52" ht="27" spans="1:10">
      <c r="A52" s="540"/>
      <c r="B52" s="601" t="s">
        <v>910</v>
      </c>
      <c r="C52" s="602" t="s">
        <v>911</v>
      </c>
      <c r="D52" s="603" t="s">
        <v>552</v>
      </c>
      <c r="E52" s="604">
        <v>2</v>
      </c>
      <c r="F52" s="581">
        <v>43850</v>
      </c>
      <c r="G52" s="542">
        <f t="shared" si="9"/>
        <v>87700</v>
      </c>
      <c r="H52" s="542">
        <f t="shared" si="10"/>
        <v>13155</v>
      </c>
      <c r="I52" s="542">
        <f t="shared" si="11"/>
        <v>100855</v>
      </c>
      <c r="J52" s="613"/>
    </row>
    <row r="53" ht="27" spans="1:10">
      <c r="A53" s="540"/>
      <c r="B53" s="601" t="s">
        <v>912</v>
      </c>
      <c r="C53" s="602" t="s">
        <v>913</v>
      </c>
      <c r="D53" s="603" t="s">
        <v>552</v>
      </c>
      <c r="E53" s="604">
        <v>2</v>
      </c>
      <c r="F53" s="581">
        <v>89290</v>
      </c>
      <c r="G53" s="542">
        <f t="shared" si="9"/>
        <v>178580</v>
      </c>
      <c r="H53" s="542">
        <f t="shared" si="10"/>
        <v>26787</v>
      </c>
      <c r="I53" s="542">
        <f t="shared" si="11"/>
        <v>205367</v>
      </c>
      <c r="J53" s="613"/>
    </row>
    <row r="54" spans="1:10">
      <c r="A54" s="579">
        <v>1.2</v>
      </c>
      <c r="B54" s="579" t="s">
        <v>914</v>
      </c>
      <c r="C54" s="605"/>
      <c r="D54" s="540"/>
      <c r="E54" s="541"/>
      <c r="F54" s="581"/>
      <c r="G54" s="567">
        <f>SUM(G55:G95)</f>
        <v>975802.625</v>
      </c>
      <c r="H54" s="567">
        <f>SUM(H55:H95)</f>
        <v>175125.39375</v>
      </c>
      <c r="I54" s="567">
        <f>SUM(I55:I95)</f>
        <v>1120928.01875</v>
      </c>
      <c r="J54" s="613"/>
    </row>
    <row r="55" ht="27" customHeight="1" spans="1:10">
      <c r="A55" s="540"/>
      <c r="B55" s="606" t="s">
        <v>915</v>
      </c>
      <c r="C55" s="580" t="s">
        <v>916</v>
      </c>
      <c r="D55" s="540" t="s">
        <v>329</v>
      </c>
      <c r="E55" s="541">
        <v>1</v>
      </c>
      <c r="F55" s="581">
        <v>193896.875</v>
      </c>
      <c r="G55" s="542">
        <f>E55*F55</f>
        <v>193896.875</v>
      </c>
      <c r="H55" s="542">
        <f>G55*0.15</f>
        <v>29084.53125</v>
      </c>
      <c r="I55" s="542">
        <f>G55+H55</f>
        <v>222981.40625</v>
      </c>
      <c r="J55" s="610" t="s">
        <v>917</v>
      </c>
    </row>
    <row r="56" spans="1:10">
      <c r="A56" s="540"/>
      <c r="B56" s="268" t="s">
        <v>918</v>
      </c>
      <c r="C56" s="269" t="s">
        <v>919</v>
      </c>
      <c r="D56" s="607" t="s">
        <v>80</v>
      </c>
      <c r="E56" s="608">
        <v>1</v>
      </c>
      <c r="F56" s="581">
        <v>30000</v>
      </c>
      <c r="G56" s="600">
        <f>F56*10%</f>
        <v>3000</v>
      </c>
      <c r="H56" s="600">
        <f>E56*F56</f>
        <v>30000</v>
      </c>
      <c r="I56" s="600">
        <f>E56*G56</f>
        <v>3000</v>
      </c>
      <c r="J56" s="610"/>
    </row>
    <row r="57" spans="1:10">
      <c r="A57" s="540"/>
      <c r="B57" s="606" t="s">
        <v>920</v>
      </c>
      <c r="C57" s="580"/>
      <c r="D57" s="540" t="s">
        <v>284</v>
      </c>
      <c r="E57" s="541">
        <v>1</v>
      </c>
      <c r="F57" s="581">
        <v>70978.75</v>
      </c>
      <c r="G57" s="542">
        <f t="shared" ref="G57:G68" si="12">E57*F57</f>
        <v>70978.75</v>
      </c>
      <c r="H57" s="542">
        <f>G57*0.15</f>
        <v>10646.8125</v>
      </c>
      <c r="I57" s="542">
        <f t="shared" ref="I57:I68" si="13">G57+H57</f>
        <v>81625.5625</v>
      </c>
      <c r="J57" s="610"/>
    </row>
    <row r="58" ht="24" spans="1:10">
      <c r="A58" s="540"/>
      <c r="B58" s="580" t="s">
        <v>845</v>
      </c>
      <c r="C58" s="587"/>
      <c r="D58" s="588" t="s">
        <v>76</v>
      </c>
      <c r="E58" s="609">
        <v>2</v>
      </c>
      <c r="F58" s="581">
        <v>120000</v>
      </c>
      <c r="G58" s="542">
        <f t="shared" si="12"/>
        <v>240000</v>
      </c>
      <c r="H58" s="542">
        <f>G58*0.15</f>
        <v>36000</v>
      </c>
      <c r="I58" s="542">
        <f t="shared" si="13"/>
        <v>276000</v>
      </c>
      <c r="J58" s="610" t="s">
        <v>921</v>
      </c>
    </row>
    <row r="59" spans="1:10">
      <c r="A59" s="540"/>
      <c r="B59" s="580" t="s">
        <v>922</v>
      </c>
      <c r="C59" s="580" t="s">
        <v>923</v>
      </c>
      <c r="D59" s="610" t="s">
        <v>329</v>
      </c>
      <c r="E59" s="581">
        <v>2</v>
      </c>
      <c r="F59" s="581">
        <v>102000</v>
      </c>
      <c r="G59" s="542">
        <f t="shared" si="12"/>
        <v>204000</v>
      </c>
      <c r="H59" s="542">
        <f t="shared" ref="H59:H78" si="14">G59*0.15</f>
        <v>30600</v>
      </c>
      <c r="I59" s="542">
        <f t="shared" si="13"/>
        <v>234600</v>
      </c>
      <c r="J59" s="610" t="s">
        <v>924</v>
      </c>
    </row>
    <row r="60" spans="1:10">
      <c r="A60" s="540"/>
      <c r="B60" s="580" t="s">
        <v>922</v>
      </c>
      <c r="C60" s="580" t="s">
        <v>925</v>
      </c>
      <c r="D60" s="610" t="s">
        <v>329</v>
      </c>
      <c r="E60" s="581">
        <v>2</v>
      </c>
      <c r="F60" s="581">
        <v>33600</v>
      </c>
      <c r="G60" s="542">
        <f t="shared" si="12"/>
        <v>67200</v>
      </c>
      <c r="H60" s="542">
        <f t="shared" si="14"/>
        <v>10080</v>
      </c>
      <c r="I60" s="542">
        <f t="shared" si="13"/>
        <v>77280</v>
      </c>
      <c r="J60" s="610" t="s">
        <v>924</v>
      </c>
    </row>
    <row r="61" spans="1:10">
      <c r="A61" s="540"/>
      <c r="B61" s="589" t="s">
        <v>854</v>
      </c>
      <c r="C61" s="584" t="s">
        <v>855</v>
      </c>
      <c r="D61" s="590" t="s">
        <v>856</v>
      </c>
      <c r="E61" s="581">
        <v>1</v>
      </c>
      <c r="F61" s="581">
        <v>900</v>
      </c>
      <c r="G61" s="542">
        <f t="shared" si="12"/>
        <v>900</v>
      </c>
      <c r="H61" s="542">
        <f t="shared" si="14"/>
        <v>135</v>
      </c>
      <c r="I61" s="542">
        <f t="shared" si="13"/>
        <v>1035</v>
      </c>
      <c r="J61" s="610"/>
    </row>
    <row r="62" spans="1:10">
      <c r="A62" s="540"/>
      <c r="B62" s="589" t="s">
        <v>857</v>
      </c>
      <c r="C62" s="584" t="s">
        <v>858</v>
      </c>
      <c r="D62" s="592" t="s">
        <v>329</v>
      </c>
      <c r="E62" s="581">
        <v>1</v>
      </c>
      <c r="F62" s="581">
        <v>2000</v>
      </c>
      <c r="G62" s="542">
        <f t="shared" si="12"/>
        <v>2000</v>
      </c>
      <c r="H62" s="542">
        <f t="shared" si="14"/>
        <v>300</v>
      </c>
      <c r="I62" s="542">
        <f t="shared" si="13"/>
        <v>2300</v>
      </c>
      <c r="J62" s="610"/>
    </row>
    <row r="63" spans="1:10">
      <c r="A63" s="540"/>
      <c r="B63" s="593" t="s">
        <v>926</v>
      </c>
      <c r="C63" s="594" t="s">
        <v>860</v>
      </c>
      <c r="D63" s="595" t="s">
        <v>329</v>
      </c>
      <c r="E63" s="581">
        <v>2</v>
      </c>
      <c r="F63" s="581">
        <v>120</v>
      </c>
      <c r="G63" s="542">
        <f t="shared" si="12"/>
        <v>240</v>
      </c>
      <c r="H63" s="542">
        <f t="shared" si="14"/>
        <v>36</v>
      </c>
      <c r="I63" s="542">
        <f t="shared" si="13"/>
        <v>276</v>
      </c>
      <c r="J63" s="613"/>
    </row>
    <row r="64" spans="1:10">
      <c r="A64" s="540"/>
      <c r="B64" s="593" t="s">
        <v>861</v>
      </c>
      <c r="C64" s="594" t="s">
        <v>862</v>
      </c>
      <c r="D64" s="595" t="s">
        <v>284</v>
      </c>
      <c r="E64" s="581">
        <v>4</v>
      </c>
      <c r="F64" s="581">
        <v>35</v>
      </c>
      <c r="G64" s="542">
        <f t="shared" si="12"/>
        <v>140</v>
      </c>
      <c r="H64" s="542">
        <f t="shared" si="14"/>
        <v>21</v>
      </c>
      <c r="I64" s="542">
        <f t="shared" si="13"/>
        <v>161</v>
      </c>
      <c r="J64" s="613"/>
    </row>
    <row r="65" spans="1:10">
      <c r="A65" s="540"/>
      <c r="B65" s="593" t="s">
        <v>863</v>
      </c>
      <c r="C65" s="584" t="s">
        <v>864</v>
      </c>
      <c r="D65" s="592" t="s">
        <v>284</v>
      </c>
      <c r="E65" s="581">
        <v>4</v>
      </c>
      <c r="F65" s="581">
        <v>85</v>
      </c>
      <c r="G65" s="542">
        <f t="shared" si="12"/>
        <v>340</v>
      </c>
      <c r="H65" s="542">
        <f t="shared" si="14"/>
        <v>51</v>
      </c>
      <c r="I65" s="542">
        <f t="shared" si="13"/>
        <v>391</v>
      </c>
      <c r="J65" s="613"/>
    </row>
    <row r="66" spans="1:10">
      <c r="A66" s="540"/>
      <c r="B66" s="596" t="s">
        <v>865</v>
      </c>
      <c r="C66" s="584"/>
      <c r="D66" s="592" t="s">
        <v>146</v>
      </c>
      <c r="E66" s="581">
        <v>24</v>
      </c>
      <c r="F66" s="581">
        <v>120</v>
      </c>
      <c r="G66" s="542">
        <f t="shared" si="12"/>
        <v>2880</v>
      </c>
      <c r="H66" s="542">
        <f t="shared" si="14"/>
        <v>432</v>
      </c>
      <c r="I66" s="542">
        <f t="shared" si="13"/>
        <v>3312</v>
      </c>
      <c r="J66" s="613"/>
    </row>
    <row r="67" spans="1:10">
      <c r="A67" s="540"/>
      <c r="B67" s="596" t="s">
        <v>867</v>
      </c>
      <c r="C67" s="584" t="s">
        <v>868</v>
      </c>
      <c r="D67" s="592" t="s">
        <v>329</v>
      </c>
      <c r="E67" s="581">
        <v>1</v>
      </c>
      <c r="F67" s="581">
        <v>750</v>
      </c>
      <c r="G67" s="542">
        <f t="shared" si="12"/>
        <v>750</v>
      </c>
      <c r="H67" s="542">
        <f t="shared" si="14"/>
        <v>112.5</v>
      </c>
      <c r="I67" s="542">
        <f t="shared" si="13"/>
        <v>862.5</v>
      </c>
      <c r="J67" s="613"/>
    </row>
    <row r="68" spans="1:10">
      <c r="A68" s="540"/>
      <c r="B68" s="596" t="s">
        <v>927</v>
      </c>
      <c r="C68" s="584" t="s">
        <v>870</v>
      </c>
      <c r="D68" s="592" t="s">
        <v>871</v>
      </c>
      <c r="E68" s="581">
        <v>8</v>
      </c>
      <c r="F68" s="581">
        <v>200</v>
      </c>
      <c r="G68" s="542">
        <f t="shared" si="12"/>
        <v>1600</v>
      </c>
      <c r="H68" s="542">
        <f t="shared" si="14"/>
        <v>240</v>
      </c>
      <c r="I68" s="542">
        <f t="shared" si="13"/>
        <v>1840</v>
      </c>
      <c r="J68" s="613"/>
    </row>
    <row r="69" spans="1:10">
      <c r="A69" s="540"/>
      <c r="B69" s="596" t="s">
        <v>872</v>
      </c>
      <c r="C69" s="584" t="s">
        <v>873</v>
      </c>
      <c r="D69" s="592" t="s">
        <v>871</v>
      </c>
      <c r="E69" s="581">
        <v>4</v>
      </c>
      <c r="F69" s="581">
        <v>50</v>
      </c>
      <c r="G69" s="542">
        <f t="shared" ref="G69:G95" si="15">E69*F69</f>
        <v>200</v>
      </c>
      <c r="H69" s="542">
        <f t="shared" ref="H69:H93" si="16">G69*0.15</f>
        <v>30</v>
      </c>
      <c r="I69" s="542">
        <f t="shared" ref="I69:I95" si="17">G69+H69</f>
        <v>230</v>
      </c>
      <c r="J69" s="613"/>
    </row>
    <row r="70" spans="1:10">
      <c r="A70" s="540"/>
      <c r="B70" s="597" t="s">
        <v>874</v>
      </c>
      <c r="C70" s="584" t="s">
        <v>875</v>
      </c>
      <c r="D70" s="592" t="s">
        <v>146</v>
      </c>
      <c r="E70" s="581">
        <v>500</v>
      </c>
      <c r="F70" s="581">
        <v>2</v>
      </c>
      <c r="G70" s="542">
        <f t="shared" si="15"/>
        <v>1000</v>
      </c>
      <c r="H70" s="542">
        <f t="shared" si="16"/>
        <v>150</v>
      </c>
      <c r="I70" s="542">
        <f t="shared" si="17"/>
        <v>1150</v>
      </c>
      <c r="J70" s="613"/>
    </row>
    <row r="71" spans="1:10">
      <c r="A71" s="540"/>
      <c r="B71" s="597" t="s">
        <v>876</v>
      </c>
      <c r="C71" s="584" t="s">
        <v>877</v>
      </c>
      <c r="D71" s="592" t="s">
        <v>146</v>
      </c>
      <c r="E71" s="581">
        <v>100</v>
      </c>
      <c r="F71" s="581">
        <v>5</v>
      </c>
      <c r="G71" s="542">
        <f t="shared" si="15"/>
        <v>500</v>
      </c>
      <c r="H71" s="542">
        <f t="shared" si="16"/>
        <v>75</v>
      </c>
      <c r="I71" s="542">
        <f t="shared" si="17"/>
        <v>575</v>
      </c>
      <c r="J71" s="613"/>
    </row>
    <row r="72" spans="1:10">
      <c r="A72" s="540"/>
      <c r="B72" s="597" t="s">
        <v>878</v>
      </c>
      <c r="C72" s="584" t="s">
        <v>928</v>
      </c>
      <c r="D72" s="592" t="s">
        <v>146</v>
      </c>
      <c r="E72" s="581">
        <v>50</v>
      </c>
      <c r="F72" s="581">
        <v>300</v>
      </c>
      <c r="G72" s="542">
        <f t="shared" si="15"/>
        <v>15000</v>
      </c>
      <c r="H72" s="542">
        <f t="shared" si="16"/>
        <v>2250</v>
      </c>
      <c r="I72" s="542">
        <f t="shared" si="17"/>
        <v>17250</v>
      </c>
      <c r="J72" s="610"/>
    </row>
    <row r="73" spans="1:10">
      <c r="A73" s="540"/>
      <c r="B73" s="597" t="s">
        <v>878</v>
      </c>
      <c r="C73" s="584" t="s">
        <v>929</v>
      </c>
      <c r="D73" s="592" t="s">
        <v>146</v>
      </c>
      <c r="E73" s="581">
        <v>35</v>
      </c>
      <c r="F73" s="581">
        <v>124</v>
      </c>
      <c r="G73" s="542">
        <f t="shared" si="15"/>
        <v>4340</v>
      </c>
      <c r="H73" s="542">
        <f t="shared" si="16"/>
        <v>651</v>
      </c>
      <c r="I73" s="542">
        <f t="shared" si="17"/>
        <v>4991</v>
      </c>
      <c r="J73" s="610"/>
    </row>
    <row r="74" spans="1:10">
      <c r="A74" s="540"/>
      <c r="B74" s="597" t="s">
        <v>878</v>
      </c>
      <c r="C74" s="584" t="s">
        <v>930</v>
      </c>
      <c r="D74" s="592" t="s">
        <v>146</v>
      </c>
      <c r="E74" s="581">
        <f>30*2+29*2</f>
        <v>118</v>
      </c>
      <c r="F74" s="581">
        <v>486</v>
      </c>
      <c r="G74" s="542">
        <f t="shared" si="15"/>
        <v>57348</v>
      </c>
      <c r="H74" s="542">
        <f t="shared" si="16"/>
        <v>8602.2</v>
      </c>
      <c r="I74" s="542">
        <f t="shared" si="17"/>
        <v>65950.2</v>
      </c>
      <c r="J74" s="610"/>
    </row>
    <row r="75" spans="1:10">
      <c r="A75" s="540"/>
      <c r="B75" s="597" t="s">
        <v>878</v>
      </c>
      <c r="C75" s="584" t="s">
        <v>931</v>
      </c>
      <c r="D75" s="592" t="s">
        <v>146</v>
      </c>
      <c r="E75" s="581">
        <f>29+28</f>
        <v>57</v>
      </c>
      <c r="F75" s="581">
        <v>150</v>
      </c>
      <c r="G75" s="542">
        <f t="shared" si="15"/>
        <v>8550</v>
      </c>
      <c r="H75" s="542">
        <f t="shared" si="16"/>
        <v>1282.5</v>
      </c>
      <c r="I75" s="542">
        <f t="shared" si="17"/>
        <v>9832.5</v>
      </c>
      <c r="J75" s="610"/>
    </row>
    <row r="76" spans="1:10">
      <c r="A76" s="540"/>
      <c r="B76" s="597" t="s">
        <v>878</v>
      </c>
      <c r="C76" s="584" t="s">
        <v>929</v>
      </c>
      <c r="D76" s="592" t="s">
        <v>146</v>
      </c>
      <c r="E76" s="581">
        <v>30</v>
      </c>
      <c r="F76" s="581">
        <v>124</v>
      </c>
      <c r="G76" s="542">
        <f t="shared" si="15"/>
        <v>3720</v>
      </c>
      <c r="H76" s="542">
        <f t="shared" si="16"/>
        <v>558</v>
      </c>
      <c r="I76" s="542">
        <f t="shared" si="17"/>
        <v>4278</v>
      </c>
      <c r="J76" s="610"/>
    </row>
    <row r="77" spans="1:10">
      <c r="A77" s="540"/>
      <c r="B77" s="597" t="s">
        <v>878</v>
      </c>
      <c r="C77" s="584" t="s">
        <v>932</v>
      </c>
      <c r="D77" s="592" t="s">
        <v>146</v>
      </c>
      <c r="E77" s="581">
        <f>30+30</f>
        <v>60</v>
      </c>
      <c r="F77" s="581">
        <v>450</v>
      </c>
      <c r="G77" s="542">
        <f t="shared" si="15"/>
        <v>27000</v>
      </c>
      <c r="H77" s="542">
        <f t="shared" si="16"/>
        <v>4050</v>
      </c>
      <c r="I77" s="542">
        <f t="shared" si="17"/>
        <v>31050</v>
      </c>
      <c r="J77" s="610"/>
    </row>
    <row r="78" spans="1:10">
      <c r="A78" s="540"/>
      <c r="B78" s="597" t="s">
        <v>878</v>
      </c>
      <c r="C78" s="584" t="s">
        <v>933</v>
      </c>
      <c r="D78" s="592" t="s">
        <v>146</v>
      </c>
      <c r="E78" s="581">
        <f>35+39</f>
        <v>74</v>
      </c>
      <c r="F78" s="581">
        <v>128</v>
      </c>
      <c r="G78" s="542">
        <f t="shared" si="15"/>
        <v>9472</v>
      </c>
      <c r="H78" s="542">
        <f t="shared" si="16"/>
        <v>1420.8</v>
      </c>
      <c r="I78" s="542">
        <f t="shared" si="17"/>
        <v>10892.8</v>
      </c>
      <c r="J78" s="610"/>
    </row>
    <row r="79" spans="1:10">
      <c r="A79" s="540"/>
      <c r="B79" s="597" t="s">
        <v>878</v>
      </c>
      <c r="C79" s="584" t="s">
        <v>882</v>
      </c>
      <c r="D79" s="592" t="s">
        <v>146</v>
      </c>
      <c r="E79" s="581">
        <v>12</v>
      </c>
      <c r="F79" s="581">
        <v>26</v>
      </c>
      <c r="G79" s="542">
        <f t="shared" si="15"/>
        <v>312</v>
      </c>
      <c r="H79" s="542">
        <f t="shared" si="16"/>
        <v>46.8</v>
      </c>
      <c r="I79" s="542">
        <f t="shared" si="17"/>
        <v>358.8</v>
      </c>
      <c r="J79" s="610"/>
    </row>
    <row r="80" spans="1:10">
      <c r="A80" s="540"/>
      <c r="B80" s="597" t="s">
        <v>878</v>
      </c>
      <c r="C80" s="584" t="s">
        <v>885</v>
      </c>
      <c r="D80" s="592" t="s">
        <v>146</v>
      </c>
      <c r="E80" s="581">
        <f>22+8</f>
        <v>30</v>
      </c>
      <c r="F80" s="581">
        <v>15</v>
      </c>
      <c r="G80" s="542">
        <f t="shared" si="15"/>
        <v>450</v>
      </c>
      <c r="H80" s="542">
        <f t="shared" si="16"/>
        <v>67.5</v>
      </c>
      <c r="I80" s="542">
        <f t="shared" si="17"/>
        <v>517.5</v>
      </c>
      <c r="J80" s="610"/>
    </row>
    <row r="81" spans="1:10">
      <c r="A81" s="540"/>
      <c r="B81" s="597" t="s">
        <v>878</v>
      </c>
      <c r="C81" s="584" t="s">
        <v>883</v>
      </c>
      <c r="D81" s="592" t="s">
        <v>146</v>
      </c>
      <c r="E81" s="581">
        <f>28</f>
        <v>28</v>
      </c>
      <c r="F81" s="581">
        <v>10</v>
      </c>
      <c r="G81" s="542">
        <f t="shared" si="15"/>
        <v>280</v>
      </c>
      <c r="H81" s="542">
        <f t="shared" si="16"/>
        <v>42</v>
      </c>
      <c r="I81" s="542">
        <f t="shared" si="17"/>
        <v>322</v>
      </c>
      <c r="J81" s="610"/>
    </row>
    <row r="82" spans="1:10">
      <c r="A82" s="540"/>
      <c r="B82" s="597" t="s">
        <v>878</v>
      </c>
      <c r="C82" s="584" t="s">
        <v>884</v>
      </c>
      <c r="D82" s="592" t="s">
        <v>146</v>
      </c>
      <c r="E82" s="581">
        <v>19</v>
      </c>
      <c r="F82" s="581">
        <v>11</v>
      </c>
      <c r="G82" s="542">
        <f t="shared" si="15"/>
        <v>209</v>
      </c>
      <c r="H82" s="542">
        <f t="shared" si="16"/>
        <v>31.35</v>
      </c>
      <c r="I82" s="542">
        <f t="shared" si="17"/>
        <v>240.35</v>
      </c>
      <c r="J82" s="610"/>
    </row>
    <row r="83" spans="1:10">
      <c r="A83" s="540"/>
      <c r="B83" s="597" t="s">
        <v>878</v>
      </c>
      <c r="C83" s="584" t="s">
        <v>934</v>
      </c>
      <c r="D83" s="592" t="s">
        <v>146</v>
      </c>
      <c r="E83" s="581">
        <v>45</v>
      </c>
      <c r="F83" s="581">
        <v>30</v>
      </c>
      <c r="G83" s="542">
        <f t="shared" si="15"/>
        <v>1350</v>
      </c>
      <c r="H83" s="542">
        <f t="shared" si="16"/>
        <v>202.5</v>
      </c>
      <c r="I83" s="542">
        <f t="shared" si="17"/>
        <v>1552.5</v>
      </c>
      <c r="J83" s="610"/>
    </row>
    <row r="84" spans="1:10">
      <c r="A84" s="540"/>
      <c r="B84" s="597" t="s">
        <v>886</v>
      </c>
      <c r="C84" s="584" t="s">
        <v>887</v>
      </c>
      <c r="D84" s="592" t="s">
        <v>146</v>
      </c>
      <c r="E84" s="581">
        <f>E74+E77</f>
        <v>178</v>
      </c>
      <c r="F84" s="581">
        <v>51</v>
      </c>
      <c r="G84" s="542">
        <f t="shared" si="15"/>
        <v>9078</v>
      </c>
      <c r="H84" s="542">
        <f t="shared" si="16"/>
        <v>1361.7</v>
      </c>
      <c r="I84" s="542">
        <f t="shared" si="17"/>
        <v>10439.7</v>
      </c>
      <c r="J84" s="610"/>
    </row>
    <row r="85" spans="1:10">
      <c r="A85" s="540"/>
      <c r="B85" s="597" t="s">
        <v>886</v>
      </c>
      <c r="C85" s="584" t="s">
        <v>889</v>
      </c>
      <c r="D85" s="592" t="s">
        <v>146</v>
      </c>
      <c r="E85" s="581">
        <f>E73+E78+E75+E76</f>
        <v>196</v>
      </c>
      <c r="F85" s="581">
        <v>34</v>
      </c>
      <c r="G85" s="542">
        <f t="shared" si="15"/>
        <v>6664</v>
      </c>
      <c r="H85" s="542">
        <f t="shared" si="16"/>
        <v>999.6</v>
      </c>
      <c r="I85" s="542">
        <f t="shared" si="17"/>
        <v>7663.6</v>
      </c>
      <c r="J85" s="610"/>
    </row>
    <row r="86" spans="1:10">
      <c r="A86" s="540"/>
      <c r="B86" s="597" t="s">
        <v>886</v>
      </c>
      <c r="C86" s="584" t="s">
        <v>890</v>
      </c>
      <c r="D86" s="592" t="s">
        <v>146</v>
      </c>
      <c r="E86" s="581">
        <f>E79+E82+E83</f>
        <v>76</v>
      </c>
      <c r="F86" s="581">
        <v>27</v>
      </c>
      <c r="G86" s="542">
        <f t="shared" si="15"/>
        <v>2052</v>
      </c>
      <c r="H86" s="542">
        <f t="shared" si="16"/>
        <v>307.8</v>
      </c>
      <c r="I86" s="542">
        <f t="shared" si="17"/>
        <v>2359.8</v>
      </c>
      <c r="J86" s="610"/>
    </row>
    <row r="87" spans="1:10">
      <c r="A87" s="540"/>
      <c r="B87" s="597" t="s">
        <v>886</v>
      </c>
      <c r="C87" s="584" t="s">
        <v>935</v>
      </c>
      <c r="D87" s="592" t="s">
        <v>146</v>
      </c>
      <c r="E87" s="581">
        <f>E82+E80</f>
        <v>49</v>
      </c>
      <c r="F87" s="581">
        <v>18</v>
      </c>
      <c r="G87" s="542">
        <f t="shared" si="15"/>
        <v>882</v>
      </c>
      <c r="H87" s="542">
        <f t="shared" si="16"/>
        <v>132.3</v>
      </c>
      <c r="I87" s="542">
        <f t="shared" si="17"/>
        <v>1014.3</v>
      </c>
      <c r="J87" s="610"/>
    </row>
    <row r="88" spans="1:10">
      <c r="A88" s="540"/>
      <c r="B88" s="597" t="s">
        <v>892</v>
      </c>
      <c r="C88" s="584" t="s">
        <v>893</v>
      </c>
      <c r="D88" s="592" t="s">
        <v>329</v>
      </c>
      <c r="E88" s="581">
        <v>2</v>
      </c>
      <c r="F88" s="581">
        <v>110</v>
      </c>
      <c r="G88" s="542">
        <f t="shared" si="15"/>
        <v>220</v>
      </c>
      <c r="H88" s="542">
        <f t="shared" si="16"/>
        <v>33</v>
      </c>
      <c r="I88" s="542">
        <f t="shared" si="17"/>
        <v>253</v>
      </c>
      <c r="J88" s="613"/>
    </row>
    <row r="89" spans="1:10">
      <c r="A89" s="540"/>
      <c r="B89" s="597" t="s">
        <v>894</v>
      </c>
      <c r="C89" s="584" t="s">
        <v>895</v>
      </c>
      <c r="D89" s="592" t="s">
        <v>896</v>
      </c>
      <c r="E89" s="581">
        <v>18</v>
      </c>
      <c r="F89" s="581">
        <v>300</v>
      </c>
      <c r="G89" s="542">
        <f t="shared" si="15"/>
        <v>5400</v>
      </c>
      <c r="H89" s="542">
        <f t="shared" si="16"/>
        <v>810</v>
      </c>
      <c r="I89" s="542">
        <f t="shared" si="17"/>
        <v>6210</v>
      </c>
      <c r="J89" s="613"/>
    </row>
    <row r="90" spans="1:10">
      <c r="A90" s="540"/>
      <c r="B90" s="597" t="s">
        <v>897</v>
      </c>
      <c r="C90" s="584" t="s">
        <v>936</v>
      </c>
      <c r="D90" s="592" t="s">
        <v>146</v>
      </c>
      <c r="E90" s="581">
        <v>15</v>
      </c>
      <c r="F90" s="581">
        <v>120</v>
      </c>
      <c r="G90" s="542">
        <f t="shared" si="15"/>
        <v>1800</v>
      </c>
      <c r="H90" s="542">
        <f t="shared" si="16"/>
        <v>270</v>
      </c>
      <c r="I90" s="542">
        <f t="shared" si="17"/>
        <v>2070</v>
      </c>
      <c r="J90" s="613"/>
    </row>
    <row r="91" spans="1:10">
      <c r="A91" s="540"/>
      <c r="B91" s="597" t="s">
        <v>897</v>
      </c>
      <c r="C91" s="584" t="s">
        <v>898</v>
      </c>
      <c r="D91" s="592" t="s">
        <v>146</v>
      </c>
      <c r="E91" s="581">
        <v>400</v>
      </c>
      <c r="F91" s="581">
        <v>50</v>
      </c>
      <c r="G91" s="542">
        <f t="shared" si="15"/>
        <v>20000</v>
      </c>
      <c r="H91" s="542">
        <f t="shared" si="16"/>
        <v>3000</v>
      </c>
      <c r="I91" s="542">
        <f t="shared" si="17"/>
        <v>23000</v>
      </c>
      <c r="J91" s="613"/>
    </row>
    <row r="92" spans="1:10">
      <c r="A92" s="540"/>
      <c r="B92" s="597" t="s">
        <v>897</v>
      </c>
      <c r="C92" s="584" t="s">
        <v>899</v>
      </c>
      <c r="D92" s="592" t="s">
        <v>146</v>
      </c>
      <c r="E92" s="581">
        <v>70</v>
      </c>
      <c r="F92" s="581">
        <v>45</v>
      </c>
      <c r="G92" s="542">
        <f t="shared" si="15"/>
        <v>3150</v>
      </c>
      <c r="H92" s="542">
        <f t="shared" si="16"/>
        <v>472.5</v>
      </c>
      <c r="I92" s="542">
        <f t="shared" si="17"/>
        <v>3622.5</v>
      </c>
      <c r="J92" s="613"/>
    </row>
    <row r="93" spans="1:10">
      <c r="A93" s="540"/>
      <c r="B93" s="597" t="s">
        <v>901</v>
      </c>
      <c r="C93" s="584" t="s">
        <v>902</v>
      </c>
      <c r="D93" s="592" t="s">
        <v>146</v>
      </c>
      <c r="E93" s="581">
        <v>80</v>
      </c>
      <c r="F93" s="581">
        <v>45</v>
      </c>
      <c r="G93" s="542">
        <f t="shared" si="15"/>
        <v>3600</v>
      </c>
      <c r="H93" s="542">
        <f t="shared" si="16"/>
        <v>540</v>
      </c>
      <c r="I93" s="542">
        <f t="shared" si="17"/>
        <v>4140</v>
      </c>
      <c r="J93" s="613"/>
    </row>
    <row r="94" spans="1:10">
      <c r="A94" s="540"/>
      <c r="B94" s="599" t="s">
        <v>903</v>
      </c>
      <c r="C94" s="587" t="s">
        <v>904</v>
      </c>
      <c r="D94" s="588" t="s">
        <v>905</v>
      </c>
      <c r="E94" s="600">
        <v>14</v>
      </c>
      <c r="F94" s="581">
        <v>150</v>
      </c>
      <c r="G94" s="542">
        <f t="shared" si="15"/>
        <v>2100</v>
      </c>
      <c r="H94" s="542"/>
      <c r="I94" s="542">
        <f t="shared" si="17"/>
        <v>2100</v>
      </c>
      <c r="J94" s="613"/>
    </row>
    <row r="95" spans="1:10">
      <c r="A95" s="540"/>
      <c r="B95" s="599" t="s">
        <v>906</v>
      </c>
      <c r="C95" s="587" t="s">
        <v>907</v>
      </c>
      <c r="D95" s="588" t="s">
        <v>552</v>
      </c>
      <c r="E95" s="600">
        <v>8</v>
      </c>
      <c r="F95" s="581">
        <v>400</v>
      </c>
      <c r="G95" s="542">
        <f t="shared" si="15"/>
        <v>3200</v>
      </c>
      <c r="H95" s="542"/>
      <c r="I95" s="542">
        <f t="shared" si="17"/>
        <v>3200</v>
      </c>
      <c r="J95" s="613"/>
    </row>
    <row r="96" spans="1:10">
      <c r="A96" s="615" t="s">
        <v>476</v>
      </c>
      <c r="B96" s="615" t="s">
        <v>937</v>
      </c>
      <c r="C96" s="616"/>
      <c r="D96" s="615"/>
      <c r="E96" s="615"/>
      <c r="F96" s="617"/>
      <c r="G96" s="617">
        <f>G97+G102+G127+G137</f>
        <v>310500</v>
      </c>
      <c r="H96" s="617">
        <f>H97+H102+H127+H137</f>
        <v>46575</v>
      </c>
      <c r="I96" s="617">
        <f>I97+I102+I127+I137</f>
        <v>357075</v>
      </c>
      <c r="J96" s="598"/>
    </row>
    <row r="97" spans="1:10">
      <c r="A97" s="615" t="s">
        <v>938</v>
      </c>
      <c r="B97" s="615" t="s">
        <v>939</v>
      </c>
      <c r="C97" s="616"/>
      <c r="D97" s="615"/>
      <c r="E97" s="615"/>
      <c r="F97" s="617"/>
      <c r="G97" s="617">
        <f>SUM(G98:G101)</f>
        <v>22300</v>
      </c>
      <c r="H97" s="617">
        <f>SUM(H98:H101)</f>
        <v>3345</v>
      </c>
      <c r="I97" s="617">
        <f>SUM(I98:I101)</f>
        <v>25645</v>
      </c>
      <c r="J97" s="598"/>
    </row>
    <row r="98" ht="108" spans="1:11">
      <c r="A98" s="618">
        <v>1</v>
      </c>
      <c r="B98" s="618" t="s">
        <v>940</v>
      </c>
      <c r="C98" s="619" t="s">
        <v>941</v>
      </c>
      <c r="D98" s="618" t="s">
        <v>329</v>
      </c>
      <c r="E98" s="618">
        <v>2</v>
      </c>
      <c r="F98" s="620">
        <v>3400</v>
      </c>
      <c r="G98" s="620">
        <f t="shared" ref="G98:G101" si="18">F98*E98</f>
        <v>6800</v>
      </c>
      <c r="H98" s="621">
        <f>G98*0.15</f>
        <v>1020</v>
      </c>
      <c r="I98" s="622">
        <f>G98+H98</f>
        <v>7820</v>
      </c>
      <c r="J98" s="598"/>
      <c r="K98" s="623"/>
    </row>
    <row r="99" ht="60" spans="1:10">
      <c r="A99" s="618">
        <v>2</v>
      </c>
      <c r="B99" s="618" t="s">
        <v>942</v>
      </c>
      <c r="C99" s="619" t="s">
        <v>943</v>
      </c>
      <c r="D99" s="618" t="s">
        <v>552</v>
      </c>
      <c r="E99" s="618">
        <v>2</v>
      </c>
      <c r="F99" s="620">
        <v>5000</v>
      </c>
      <c r="G99" s="620">
        <f t="shared" si="18"/>
        <v>10000</v>
      </c>
      <c r="H99" s="621">
        <f>G99*0.15</f>
        <v>1500</v>
      </c>
      <c r="I99" s="622">
        <f>G99+H99</f>
        <v>11500</v>
      </c>
      <c r="J99" s="598"/>
    </row>
    <row r="100" spans="1:10">
      <c r="A100" s="618"/>
      <c r="B100" s="618" t="s">
        <v>944</v>
      </c>
      <c r="C100" s="619" t="s">
        <v>945</v>
      </c>
      <c r="D100" s="618" t="s">
        <v>946</v>
      </c>
      <c r="E100" s="618">
        <v>2</v>
      </c>
      <c r="F100" s="620">
        <v>2000</v>
      </c>
      <c r="G100" s="620">
        <f t="shared" si="18"/>
        <v>4000</v>
      </c>
      <c r="H100" s="621">
        <f>G100*0.15</f>
        <v>600</v>
      </c>
      <c r="I100" s="622">
        <f>G100+H100</f>
        <v>4600</v>
      </c>
      <c r="J100" s="598"/>
    </row>
    <row r="101" spans="1:10">
      <c r="A101" s="618"/>
      <c r="B101" s="618" t="s">
        <v>947</v>
      </c>
      <c r="C101" s="619" t="s">
        <v>948</v>
      </c>
      <c r="D101" s="618" t="s">
        <v>552</v>
      </c>
      <c r="E101" s="618">
        <v>1</v>
      </c>
      <c r="F101" s="620">
        <v>1500</v>
      </c>
      <c r="G101" s="620">
        <f t="shared" si="18"/>
        <v>1500</v>
      </c>
      <c r="H101" s="621">
        <f>G101*0.15</f>
        <v>225</v>
      </c>
      <c r="I101" s="622">
        <f>G101+H101</f>
        <v>1725</v>
      </c>
      <c r="J101" s="598"/>
    </row>
    <row r="102" ht="24" spans="1:10">
      <c r="A102" s="615" t="s">
        <v>949</v>
      </c>
      <c r="B102" s="615" t="s">
        <v>950</v>
      </c>
      <c r="C102" s="616"/>
      <c r="D102" s="615"/>
      <c r="E102" s="615"/>
      <c r="F102" s="617"/>
      <c r="G102" s="617">
        <f>SUM(G103:G126)</f>
        <v>194900</v>
      </c>
      <c r="H102" s="617">
        <f>SUM(H103:H126)</f>
        <v>29235</v>
      </c>
      <c r="I102" s="617">
        <f>SUM(I103:I126)</f>
        <v>224135</v>
      </c>
      <c r="J102" s="598"/>
    </row>
    <row r="103" ht="36" spans="1:10">
      <c r="A103" s="618">
        <v>1</v>
      </c>
      <c r="B103" s="618" t="s">
        <v>951</v>
      </c>
      <c r="C103" s="619" t="s">
        <v>952</v>
      </c>
      <c r="D103" s="618" t="s">
        <v>329</v>
      </c>
      <c r="E103" s="618">
        <v>2</v>
      </c>
      <c r="F103" s="620">
        <v>8000</v>
      </c>
      <c r="G103" s="620">
        <f t="shared" ref="G103:G126" si="19">F103*E103</f>
        <v>16000</v>
      </c>
      <c r="H103" s="621">
        <f>G103*0.15</f>
        <v>2400</v>
      </c>
      <c r="I103" s="622">
        <f>G103+H103</f>
        <v>18400</v>
      </c>
      <c r="J103" s="598"/>
    </row>
    <row r="104" spans="1:10">
      <c r="A104" s="618">
        <v>2</v>
      </c>
      <c r="B104" s="618" t="s">
        <v>953</v>
      </c>
      <c r="C104" s="619" t="s">
        <v>954</v>
      </c>
      <c r="D104" s="618" t="s">
        <v>329</v>
      </c>
      <c r="E104" s="618">
        <v>1</v>
      </c>
      <c r="F104" s="620">
        <v>4500</v>
      </c>
      <c r="G104" s="620">
        <f t="shared" si="19"/>
        <v>4500</v>
      </c>
      <c r="H104" s="621">
        <f t="shared" ref="H104:H126" si="20">G104*0.15</f>
        <v>675</v>
      </c>
      <c r="I104" s="622">
        <f t="shared" ref="I104:I126" si="21">G104+H104</f>
        <v>5175</v>
      </c>
      <c r="J104" s="598"/>
    </row>
    <row r="105" spans="1:10">
      <c r="A105" s="618">
        <v>3</v>
      </c>
      <c r="B105" s="618" t="s">
        <v>955</v>
      </c>
      <c r="C105" s="619" t="s">
        <v>956</v>
      </c>
      <c r="D105" s="618" t="s">
        <v>329</v>
      </c>
      <c r="E105" s="618">
        <v>1</v>
      </c>
      <c r="F105" s="620">
        <v>4500</v>
      </c>
      <c r="G105" s="620">
        <f t="shared" si="19"/>
        <v>4500</v>
      </c>
      <c r="H105" s="621">
        <f t="shared" si="20"/>
        <v>675</v>
      </c>
      <c r="I105" s="622">
        <f t="shared" si="21"/>
        <v>5175</v>
      </c>
      <c r="J105" s="598"/>
    </row>
    <row r="106" spans="1:10">
      <c r="A106" s="618">
        <v>4</v>
      </c>
      <c r="B106" s="618" t="s">
        <v>957</v>
      </c>
      <c r="C106" s="619" t="s">
        <v>958</v>
      </c>
      <c r="D106" s="618" t="s">
        <v>552</v>
      </c>
      <c r="E106" s="618">
        <v>1</v>
      </c>
      <c r="F106" s="620">
        <v>4000</v>
      </c>
      <c r="G106" s="620">
        <f t="shared" si="19"/>
        <v>4000</v>
      </c>
      <c r="H106" s="621">
        <f t="shared" si="20"/>
        <v>600</v>
      </c>
      <c r="I106" s="622">
        <f t="shared" si="21"/>
        <v>4600</v>
      </c>
      <c r="J106" s="598"/>
    </row>
    <row r="107" ht="24" spans="1:10">
      <c r="A107" s="618">
        <v>5</v>
      </c>
      <c r="B107" s="618" t="s">
        <v>959</v>
      </c>
      <c r="C107" s="619" t="s">
        <v>960</v>
      </c>
      <c r="D107" s="618" t="s">
        <v>329</v>
      </c>
      <c r="E107" s="618">
        <v>1</v>
      </c>
      <c r="F107" s="620">
        <v>1000</v>
      </c>
      <c r="G107" s="620">
        <f t="shared" si="19"/>
        <v>1000</v>
      </c>
      <c r="H107" s="621">
        <f t="shared" si="20"/>
        <v>150</v>
      </c>
      <c r="I107" s="622">
        <f t="shared" si="21"/>
        <v>1150</v>
      </c>
      <c r="J107" s="598"/>
    </row>
    <row r="108" ht="24" spans="1:10">
      <c r="A108" s="618">
        <v>6</v>
      </c>
      <c r="B108" s="618" t="s">
        <v>961</v>
      </c>
      <c r="C108" s="619" t="s">
        <v>962</v>
      </c>
      <c r="D108" s="618" t="s">
        <v>163</v>
      </c>
      <c r="E108" s="618">
        <v>1</v>
      </c>
      <c r="F108" s="620">
        <v>20000</v>
      </c>
      <c r="G108" s="620">
        <f t="shared" si="19"/>
        <v>20000</v>
      </c>
      <c r="H108" s="621">
        <f t="shared" si="20"/>
        <v>3000</v>
      </c>
      <c r="I108" s="622">
        <f t="shared" si="21"/>
        <v>23000</v>
      </c>
      <c r="J108" s="598"/>
    </row>
    <row r="109" ht="84" spans="1:10">
      <c r="A109" s="618">
        <v>7</v>
      </c>
      <c r="B109" s="618" t="s">
        <v>963</v>
      </c>
      <c r="C109" s="619" t="s">
        <v>964</v>
      </c>
      <c r="D109" s="618" t="s">
        <v>329</v>
      </c>
      <c r="E109" s="618">
        <v>1</v>
      </c>
      <c r="F109" s="620">
        <v>2000</v>
      </c>
      <c r="G109" s="620">
        <f t="shared" si="19"/>
        <v>2000</v>
      </c>
      <c r="H109" s="621">
        <f t="shared" si="20"/>
        <v>300</v>
      </c>
      <c r="I109" s="622">
        <f t="shared" si="21"/>
        <v>2300</v>
      </c>
      <c r="J109" s="598"/>
    </row>
    <row r="110" spans="1:10">
      <c r="A110" s="618">
        <v>8</v>
      </c>
      <c r="B110" s="618" t="s">
        <v>965</v>
      </c>
      <c r="C110" s="619" t="s">
        <v>966</v>
      </c>
      <c r="D110" s="618" t="s">
        <v>856</v>
      </c>
      <c r="E110" s="618">
        <v>1</v>
      </c>
      <c r="F110" s="620">
        <v>3000</v>
      </c>
      <c r="G110" s="620">
        <f t="shared" si="19"/>
        <v>3000</v>
      </c>
      <c r="H110" s="621">
        <f t="shared" si="20"/>
        <v>450</v>
      </c>
      <c r="I110" s="622">
        <f t="shared" si="21"/>
        <v>3450</v>
      </c>
      <c r="J110" s="598"/>
    </row>
    <row r="111" ht="24" spans="1:10">
      <c r="A111" s="618">
        <v>9</v>
      </c>
      <c r="B111" s="618" t="s">
        <v>967</v>
      </c>
      <c r="C111" s="619" t="s">
        <v>968</v>
      </c>
      <c r="D111" s="618" t="s">
        <v>552</v>
      </c>
      <c r="E111" s="618">
        <v>1</v>
      </c>
      <c r="F111" s="620">
        <v>20000</v>
      </c>
      <c r="G111" s="620">
        <f t="shared" si="19"/>
        <v>20000</v>
      </c>
      <c r="H111" s="621">
        <f t="shared" si="20"/>
        <v>3000</v>
      </c>
      <c r="I111" s="622">
        <f t="shared" si="21"/>
        <v>23000</v>
      </c>
      <c r="J111" s="598"/>
    </row>
    <row r="112" ht="216" spans="1:10">
      <c r="A112" s="618">
        <v>10</v>
      </c>
      <c r="B112" s="618" t="s">
        <v>969</v>
      </c>
      <c r="C112" s="619" t="s">
        <v>970</v>
      </c>
      <c r="D112" s="618" t="s">
        <v>329</v>
      </c>
      <c r="E112" s="618">
        <v>1</v>
      </c>
      <c r="F112" s="620">
        <v>20000</v>
      </c>
      <c r="G112" s="620">
        <f t="shared" si="19"/>
        <v>20000</v>
      </c>
      <c r="H112" s="621">
        <f t="shared" si="20"/>
        <v>3000</v>
      </c>
      <c r="I112" s="622">
        <f t="shared" si="21"/>
        <v>23000</v>
      </c>
      <c r="J112" s="598"/>
    </row>
    <row r="113" ht="156" spans="1:10">
      <c r="A113" s="618">
        <v>11</v>
      </c>
      <c r="B113" s="618" t="s">
        <v>971</v>
      </c>
      <c r="C113" s="619" t="s">
        <v>972</v>
      </c>
      <c r="D113" s="618" t="s">
        <v>329</v>
      </c>
      <c r="E113" s="618">
        <v>3</v>
      </c>
      <c r="F113" s="620">
        <v>3400</v>
      </c>
      <c r="G113" s="620">
        <f t="shared" si="19"/>
        <v>10200</v>
      </c>
      <c r="H113" s="621">
        <f t="shared" si="20"/>
        <v>1530</v>
      </c>
      <c r="I113" s="622">
        <f t="shared" si="21"/>
        <v>11730</v>
      </c>
      <c r="J113" s="598"/>
    </row>
    <row r="114" ht="96" spans="1:10">
      <c r="A114" s="618">
        <v>12</v>
      </c>
      <c r="B114" s="618" t="s">
        <v>973</v>
      </c>
      <c r="C114" s="619" t="s">
        <v>974</v>
      </c>
      <c r="D114" s="618" t="s">
        <v>329</v>
      </c>
      <c r="E114" s="618">
        <v>2</v>
      </c>
      <c r="F114" s="620">
        <v>2000</v>
      </c>
      <c r="G114" s="620">
        <f t="shared" si="19"/>
        <v>4000</v>
      </c>
      <c r="H114" s="621">
        <f t="shared" si="20"/>
        <v>600</v>
      </c>
      <c r="I114" s="622">
        <f t="shared" si="21"/>
        <v>4600</v>
      </c>
      <c r="J114" s="598"/>
    </row>
    <row r="115" ht="24" spans="1:10">
      <c r="A115" s="618">
        <v>13</v>
      </c>
      <c r="B115" s="618" t="s">
        <v>975</v>
      </c>
      <c r="C115" s="619" t="s">
        <v>976</v>
      </c>
      <c r="D115" s="618" t="s">
        <v>329</v>
      </c>
      <c r="E115" s="618">
        <v>1</v>
      </c>
      <c r="F115" s="620">
        <v>3500</v>
      </c>
      <c r="G115" s="620">
        <f t="shared" si="19"/>
        <v>3500</v>
      </c>
      <c r="H115" s="621">
        <f t="shared" si="20"/>
        <v>525</v>
      </c>
      <c r="I115" s="622">
        <f t="shared" si="21"/>
        <v>4025</v>
      </c>
      <c r="J115" s="598"/>
    </row>
    <row r="116" spans="1:10">
      <c r="A116" s="618">
        <v>14</v>
      </c>
      <c r="B116" s="618" t="s">
        <v>977</v>
      </c>
      <c r="C116" s="619" t="s">
        <v>978</v>
      </c>
      <c r="D116" s="618" t="s">
        <v>979</v>
      </c>
      <c r="E116" s="618">
        <v>3</v>
      </c>
      <c r="F116" s="620">
        <v>800</v>
      </c>
      <c r="G116" s="620">
        <f t="shared" si="19"/>
        <v>2400</v>
      </c>
      <c r="H116" s="621">
        <f t="shared" si="20"/>
        <v>360</v>
      </c>
      <c r="I116" s="622">
        <f t="shared" si="21"/>
        <v>2760</v>
      </c>
      <c r="J116" s="598"/>
    </row>
    <row r="117" ht="108" spans="1:10">
      <c r="A117" s="618">
        <v>15</v>
      </c>
      <c r="B117" s="618" t="s">
        <v>980</v>
      </c>
      <c r="C117" s="619" t="s">
        <v>981</v>
      </c>
      <c r="D117" s="618" t="s">
        <v>329</v>
      </c>
      <c r="E117" s="618">
        <v>1</v>
      </c>
      <c r="F117" s="620">
        <v>30000</v>
      </c>
      <c r="G117" s="620">
        <f t="shared" si="19"/>
        <v>30000</v>
      </c>
      <c r="H117" s="621">
        <f t="shared" si="20"/>
        <v>4500</v>
      </c>
      <c r="I117" s="622">
        <f t="shared" si="21"/>
        <v>34500</v>
      </c>
      <c r="J117" s="598"/>
    </row>
    <row r="118" ht="84" spans="1:10">
      <c r="A118" s="618">
        <v>16</v>
      </c>
      <c r="B118" s="618" t="s">
        <v>982</v>
      </c>
      <c r="C118" s="619" t="s">
        <v>983</v>
      </c>
      <c r="D118" s="618" t="s">
        <v>284</v>
      </c>
      <c r="E118" s="618">
        <v>1</v>
      </c>
      <c r="F118" s="620">
        <v>3000</v>
      </c>
      <c r="G118" s="620">
        <f t="shared" si="19"/>
        <v>3000</v>
      </c>
      <c r="H118" s="621">
        <f t="shared" si="20"/>
        <v>450</v>
      </c>
      <c r="I118" s="622">
        <f t="shared" si="21"/>
        <v>3450</v>
      </c>
      <c r="J118" s="598"/>
    </row>
    <row r="119" ht="84" spans="1:10">
      <c r="A119" s="618">
        <v>17</v>
      </c>
      <c r="B119" s="618" t="s">
        <v>984</v>
      </c>
      <c r="C119" s="619" t="s">
        <v>985</v>
      </c>
      <c r="D119" s="618" t="s">
        <v>284</v>
      </c>
      <c r="E119" s="618">
        <v>4</v>
      </c>
      <c r="F119" s="620">
        <v>1000</v>
      </c>
      <c r="G119" s="620">
        <f t="shared" si="19"/>
        <v>4000</v>
      </c>
      <c r="H119" s="621">
        <f t="shared" si="20"/>
        <v>600</v>
      </c>
      <c r="I119" s="622">
        <f t="shared" si="21"/>
        <v>4600</v>
      </c>
      <c r="J119" s="598"/>
    </row>
    <row r="120" ht="108" spans="1:10">
      <c r="A120" s="618">
        <v>18</v>
      </c>
      <c r="B120" s="618" t="s">
        <v>986</v>
      </c>
      <c r="C120" s="619" t="s">
        <v>941</v>
      </c>
      <c r="D120" s="618" t="s">
        <v>329</v>
      </c>
      <c r="E120" s="618">
        <v>3</v>
      </c>
      <c r="F120" s="620">
        <v>2400</v>
      </c>
      <c r="G120" s="620">
        <f t="shared" si="19"/>
        <v>7200</v>
      </c>
      <c r="H120" s="621">
        <f t="shared" si="20"/>
        <v>1080</v>
      </c>
      <c r="I120" s="622">
        <f t="shared" si="21"/>
        <v>8280</v>
      </c>
      <c r="J120" s="598"/>
    </row>
    <row r="121" ht="60" spans="1:10">
      <c r="A121" s="618">
        <v>19</v>
      </c>
      <c r="B121" s="618" t="s">
        <v>942</v>
      </c>
      <c r="C121" s="619" t="s">
        <v>943</v>
      </c>
      <c r="D121" s="618" t="s">
        <v>552</v>
      </c>
      <c r="E121" s="618">
        <v>2</v>
      </c>
      <c r="F121" s="620">
        <v>8000</v>
      </c>
      <c r="G121" s="620">
        <f t="shared" si="19"/>
        <v>16000</v>
      </c>
      <c r="H121" s="621">
        <f t="shared" si="20"/>
        <v>2400</v>
      </c>
      <c r="I121" s="622">
        <f t="shared" si="21"/>
        <v>18400</v>
      </c>
      <c r="J121" s="598"/>
    </row>
    <row r="122" spans="1:10">
      <c r="A122" s="618">
        <v>20</v>
      </c>
      <c r="B122" s="618" t="s">
        <v>944</v>
      </c>
      <c r="C122" s="619" t="s">
        <v>945</v>
      </c>
      <c r="D122" s="618" t="s">
        <v>946</v>
      </c>
      <c r="E122" s="618">
        <v>3</v>
      </c>
      <c r="F122" s="620">
        <v>1200</v>
      </c>
      <c r="G122" s="620">
        <f t="shared" si="19"/>
        <v>3600</v>
      </c>
      <c r="H122" s="621">
        <f t="shared" si="20"/>
        <v>540</v>
      </c>
      <c r="I122" s="622">
        <f t="shared" si="21"/>
        <v>4140</v>
      </c>
      <c r="J122" s="598"/>
    </row>
    <row r="123" ht="24" spans="1:10">
      <c r="A123" s="618">
        <v>21</v>
      </c>
      <c r="B123" s="618" t="s">
        <v>987</v>
      </c>
      <c r="C123" s="619" t="s">
        <v>988</v>
      </c>
      <c r="D123" s="618" t="s">
        <v>552</v>
      </c>
      <c r="E123" s="618">
        <v>1</v>
      </c>
      <c r="F123" s="620">
        <v>1500</v>
      </c>
      <c r="G123" s="620">
        <f t="shared" si="19"/>
        <v>1500</v>
      </c>
      <c r="H123" s="621">
        <f t="shared" si="20"/>
        <v>225</v>
      </c>
      <c r="I123" s="622">
        <f t="shared" si="21"/>
        <v>1725</v>
      </c>
      <c r="J123" s="598"/>
    </row>
    <row r="124" ht="24" spans="1:10">
      <c r="A124" s="618">
        <v>22</v>
      </c>
      <c r="B124" s="618" t="s">
        <v>947</v>
      </c>
      <c r="C124" s="619" t="s">
        <v>989</v>
      </c>
      <c r="D124" s="618" t="s">
        <v>552</v>
      </c>
      <c r="E124" s="618">
        <v>1</v>
      </c>
      <c r="F124" s="620">
        <v>1500</v>
      </c>
      <c r="G124" s="620">
        <f t="shared" si="19"/>
        <v>1500</v>
      </c>
      <c r="H124" s="621">
        <f t="shared" si="20"/>
        <v>225</v>
      </c>
      <c r="I124" s="622">
        <f t="shared" si="21"/>
        <v>1725</v>
      </c>
      <c r="J124" s="598"/>
    </row>
    <row r="125" spans="1:10">
      <c r="A125" s="618">
        <v>23</v>
      </c>
      <c r="B125" s="618" t="s">
        <v>990</v>
      </c>
      <c r="C125" s="619" t="s">
        <v>991</v>
      </c>
      <c r="D125" s="618" t="s">
        <v>163</v>
      </c>
      <c r="E125" s="618">
        <v>1</v>
      </c>
      <c r="F125" s="620">
        <v>10000</v>
      </c>
      <c r="G125" s="620">
        <f t="shared" si="19"/>
        <v>10000</v>
      </c>
      <c r="H125" s="621">
        <f t="shared" si="20"/>
        <v>1500</v>
      </c>
      <c r="I125" s="622">
        <f t="shared" si="21"/>
        <v>11500</v>
      </c>
      <c r="J125" s="598"/>
    </row>
    <row r="126" spans="1:10">
      <c r="A126" s="618">
        <v>24</v>
      </c>
      <c r="B126" s="618" t="s">
        <v>992</v>
      </c>
      <c r="C126" s="619" t="s">
        <v>993</v>
      </c>
      <c r="D126" s="618" t="s">
        <v>994</v>
      </c>
      <c r="E126" s="618">
        <v>1</v>
      </c>
      <c r="F126" s="620">
        <v>3000</v>
      </c>
      <c r="G126" s="620">
        <f t="shared" si="19"/>
        <v>3000</v>
      </c>
      <c r="H126" s="621">
        <f t="shared" si="20"/>
        <v>450</v>
      </c>
      <c r="I126" s="622">
        <f t="shared" si="21"/>
        <v>3450</v>
      </c>
      <c r="J126" s="598"/>
    </row>
    <row r="127" ht="24" spans="1:10">
      <c r="A127" s="615" t="s">
        <v>995</v>
      </c>
      <c r="B127" s="615" t="s">
        <v>996</v>
      </c>
      <c r="C127" s="616"/>
      <c r="D127" s="615"/>
      <c r="E127" s="615"/>
      <c r="F127" s="617"/>
      <c r="G127" s="617">
        <f>SUM(G128:G136)</f>
        <v>61300</v>
      </c>
      <c r="H127" s="617">
        <f>SUM(H128:H136)</f>
        <v>9195</v>
      </c>
      <c r="I127" s="617">
        <f>SUM(I128:I136)</f>
        <v>70495</v>
      </c>
      <c r="J127" s="598"/>
    </row>
    <row r="128" ht="108" spans="1:10">
      <c r="A128" s="618">
        <v>1</v>
      </c>
      <c r="B128" s="618" t="s">
        <v>980</v>
      </c>
      <c r="C128" s="619" t="s">
        <v>981</v>
      </c>
      <c r="D128" s="618" t="s">
        <v>329</v>
      </c>
      <c r="E128" s="618">
        <v>1</v>
      </c>
      <c r="F128" s="620">
        <v>34000</v>
      </c>
      <c r="G128" s="620">
        <f t="shared" ref="G128:G130" si="22">F128*E128</f>
        <v>34000</v>
      </c>
      <c r="H128" s="621">
        <f t="shared" ref="H128:H130" si="23">G128*0.15</f>
        <v>5100</v>
      </c>
      <c r="I128" s="622">
        <f t="shared" ref="I128:I130" si="24">G128+H128</f>
        <v>39100</v>
      </c>
      <c r="J128" s="598"/>
    </row>
    <row r="129" ht="84" spans="1:10">
      <c r="A129" s="618">
        <v>2</v>
      </c>
      <c r="B129" s="618" t="s">
        <v>984</v>
      </c>
      <c r="C129" s="619" t="s">
        <v>985</v>
      </c>
      <c r="D129" s="618" t="s">
        <v>284</v>
      </c>
      <c r="E129" s="618">
        <v>2</v>
      </c>
      <c r="F129" s="620">
        <v>1000</v>
      </c>
      <c r="G129" s="620">
        <f t="shared" si="22"/>
        <v>2000</v>
      </c>
      <c r="H129" s="621">
        <f t="shared" si="23"/>
        <v>300</v>
      </c>
      <c r="I129" s="622">
        <f t="shared" si="24"/>
        <v>2300</v>
      </c>
      <c r="J129" s="598"/>
    </row>
    <row r="130" ht="96" spans="1:10">
      <c r="A130" s="618">
        <v>3</v>
      </c>
      <c r="B130" s="618" t="s">
        <v>973</v>
      </c>
      <c r="C130" s="619" t="s">
        <v>974</v>
      </c>
      <c r="D130" s="618" t="s">
        <v>329</v>
      </c>
      <c r="E130" s="618">
        <v>2</v>
      </c>
      <c r="F130" s="620">
        <v>2000</v>
      </c>
      <c r="G130" s="620">
        <f t="shared" si="22"/>
        <v>4000</v>
      </c>
      <c r="H130" s="621">
        <f t="shared" si="23"/>
        <v>600</v>
      </c>
      <c r="I130" s="622">
        <f t="shared" si="24"/>
        <v>4600</v>
      </c>
      <c r="J130" s="598"/>
    </row>
    <row r="131" ht="108" spans="1:10">
      <c r="A131" s="618">
        <v>4</v>
      </c>
      <c r="B131" s="618" t="s">
        <v>986</v>
      </c>
      <c r="C131" s="619" t="s">
        <v>941</v>
      </c>
      <c r="D131" s="618" t="s">
        <v>329</v>
      </c>
      <c r="E131" s="618">
        <v>2</v>
      </c>
      <c r="F131" s="620">
        <v>2400</v>
      </c>
      <c r="G131" s="620">
        <f t="shared" ref="G131:G136" si="25">F131*E131</f>
        <v>4800</v>
      </c>
      <c r="H131" s="621">
        <f t="shared" ref="H131:H137" si="26">G131*0.15</f>
        <v>720</v>
      </c>
      <c r="I131" s="622">
        <f t="shared" ref="I131:I137" si="27">G131+H131</f>
        <v>5520</v>
      </c>
      <c r="J131" s="598"/>
    </row>
    <row r="132" ht="60" spans="1:10">
      <c r="A132" s="618">
        <v>5</v>
      </c>
      <c r="B132" s="618" t="s">
        <v>942</v>
      </c>
      <c r="C132" s="619" t="s">
        <v>943</v>
      </c>
      <c r="D132" s="618" t="s">
        <v>552</v>
      </c>
      <c r="E132" s="618">
        <v>1</v>
      </c>
      <c r="F132" s="620">
        <v>5000</v>
      </c>
      <c r="G132" s="620">
        <f t="shared" si="25"/>
        <v>5000</v>
      </c>
      <c r="H132" s="621">
        <f t="shared" si="26"/>
        <v>750</v>
      </c>
      <c r="I132" s="622">
        <f t="shared" si="27"/>
        <v>5750</v>
      </c>
      <c r="J132" s="598"/>
    </row>
    <row r="133" spans="1:10">
      <c r="A133" s="618">
        <v>6</v>
      </c>
      <c r="B133" s="618" t="s">
        <v>944</v>
      </c>
      <c r="C133" s="619" t="s">
        <v>945</v>
      </c>
      <c r="D133" s="618" t="s">
        <v>946</v>
      </c>
      <c r="E133" s="618">
        <v>3</v>
      </c>
      <c r="F133" s="620">
        <v>2000</v>
      </c>
      <c r="G133" s="620">
        <f t="shared" si="25"/>
        <v>6000</v>
      </c>
      <c r="H133" s="621">
        <f t="shared" si="26"/>
        <v>900</v>
      </c>
      <c r="I133" s="622">
        <f t="shared" si="27"/>
        <v>6900</v>
      </c>
      <c r="J133" s="598"/>
    </row>
    <row r="134" spans="1:10">
      <c r="A134" s="618">
        <v>7</v>
      </c>
      <c r="B134" s="618" t="s">
        <v>947</v>
      </c>
      <c r="C134" s="619" t="s">
        <v>997</v>
      </c>
      <c r="D134" s="618" t="s">
        <v>552</v>
      </c>
      <c r="E134" s="618">
        <v>1</v>
      </c>
      <c r="F134" s="620">
        <v>1500</v>
      </c>
      <c r="G134" s="620">
        <f t="shared" si="25"/>
        <v>1500</v>
      </c>
      <c r="H134" s="621">
        <f t="shared" si="26"/>
        <v>225</v>
      </c>
      <c r="I134" s="622">
        <f t="shared" si="27"/>
        <v>1725</v>
      </c>
      <c r="J134" s="598"/>
    </row>
    <row r="135" spans="1:10">
      <c r="A135" s="618">
        <v>8</v>
      </c>
      <c r="B135" s="618" t="s">
        <v>990</v>
      </c>
      <c r="C135" s="619" t="s">
        <v>991</v>
      </c>
      <c r="D135" s="618" t="s">
        <v>163</v>
      </c>
      <c r="E135" s="618">
        <v>1</v>
      </c>
      <c r="F135" s="620">
        <v>3000</v>
      </c>
      <c r="G135" s="620">
        <f t="shared" si="25"/>
        <v>3000</v>
      </c>
      <c r="H135" s="621">
        <f t="shared" si="26"/>
        <v>450</v>
      </c>
      <c r="I135" s="622">
        <f t="shared" si="27"/>
        <v>3450</v>
      </c>
      <c r="J135" s="598"/>
    </row>
    <row r="136" spans="1:10">
      <c r="A136" s="618">
        <v>9</v>
      </c>
      <c r="B136" s="618" t="s">
        <v>992</v>
      </c>
      <c r="C136" s="619" t="s">
        <v>993</v>
      </c>
      <c r="D136" s="618" t="s">
        <v>994</v>
      </c>
      <c r="E136" s="618">
        <v>1</v>
      </c>
      <c r="F136" s="620">
        <v>1000</v>
      </c>
      <c r="G136" s="620">
        <f t="shared" si="25"/>
        <v>1000</v>
      </c>
      <c r="H136" s="621">
        <f t="shared" si="26"/>
        <v>150</v>
      </c>
      <c r="I136" s="622">
        <f t="shared" si="27"/>
        <v>1150</v>
      </c>
      <c r="J136" s="598"/>
    </row>
    <row r="137" ht="24" customHeight="1" spans="1:10">
      <c r="A137" s="615" t="s">
        <v>998</v>
      </c>
      <c r="B137" s="615" t="s">
        <v>999</v>
      </c>
      <c r="C137" s="616"/>
      <c r="D137" s="615"/>
      <c r="E137" s="615"/>
      <c r="F137" s="617"/>
      <c r="G137" s="617">
        <f>32000</f>
        <v>32000</v>
      </c>
      <c r="H137" s="621">
        <f t="shared" si="26"/>
        <v>4800</v>
      </c>
      <c r="I137" s="622">
        <f t="shared" si="27"/>
        <v>36800</v>
      </c>
      <c r="J137" s="598"/>
    </row>
  </sheetData>
  <mergeCells count="7">
    <mergeCell ref="A1:J1"/>
    <mergeCell ref="A2:J2"/>
    <mergeCell ref="B5:C5"/>
    <mergeCell ref="B47:C47"/>
    <mergeCell ref="J27:J38"/>
    <mergeCell ref="J72:J87"/>
    <mergeCell ref="K49:K50"/>
  </mergeCells>
  <pageMargins left="0.707638888888889" right="0.707638888888889" top="0.747916666666667" bottom="0.747916666666667" header="0.313888888888889" footer="0.313888888888889"/>
  <pageSetup paperSize="9" scale="95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7"/>
  <sheetViews>
    <sheetView workbookViewId="0">
      <selection activeCell="F10" sqref="F10"/>
    </sheetView>
  </sheetViews>
  <sheetFormatPr defaultColWidth="9" defaultRowHeight="14.25"/>
  <cols>
    <col min="1" max="1" width="6.625" style="512" customWidth="1"/>
    <col min="2" max="2" width="33.675" style="512" customWidth="1"/>
    <col min="3" max="3" width="14.1083333333333" style="514" customWidth="1"/>
    <col min="4" max="5" width="9" style="512" customWidth="1"/>
    <col min="6" max="6" width="11.25" style="512" customWidth="1"/>
    <col min="7" max="7" width="9" style="512" customWidth="1"/>
    <col min="8" max="8" width="9.375" style="512" customWidth="1"/>
    <col min="9" max="9" width="9" style="512" customWidth="1"/>
    <col min="10" max="10" width="10.875" style="512" customWidth="1"/>
    <col min="11" max="11" width="10.375" style="512"/>
    <col min="12" max="12" width="9" style="512"/>
    <col min="13" max="14" width="10.375" style="512"/>
    <col min="15" max="15" width="12.625" style="512"/>
    <col min="16" max="256" width="9" style="512"/>
    <col min="257" max="257" width="6.625" style="512" customWidth="1"/>
    <col min="258" max="258" width="33.875" style="512" customWidth="1"/>
    <col min="259" max="259" width="16" style="512" customWidth="1"/>
    <col min="260" max="263" width="9" style="512" customWidth="1"/>
    <col min="264" max="264" width="9.375" style="512" customWidth="1"/>
    <col min="265" max="265" width="9" style="512" customWidth="1"/>
    <col min="266" max="266" width="10.875" style="512" customWidth="1"/>
    <col min="267" max="512" width="9" style="512"/>
    <col min="513" max="513" width="6.625" style="512" customWidth="1"/>
    <col min="514" max="514" width="33.875" style="512" customWidth="1"/>
    <col min="515" max="515" width="16" style="512" customWidth="1"/>
    <col min="516" max="519" width="9" style="512" customWidth="1"/>
    <col min="520" max="520" width="9.375" style="512" customWidth="1"/>
    <col min="521" max="521" width="9" style="512" customWidth="1"/>
    <col min="522" max="522" width="10.875" style="512" customWidth="1"/>
    <col min="523" max="768" width="9" style="512"/>
    <col min="769" max="769" width="6.625" style="512" customWidth="1"/>
    <col min="770" max="770" width="33.875" style="512" customWidth="1"/>
    <col min="771" max="771" width="16" style="512" customWidth="1"/>
    <col min="772" max="775" width="9" style="512" customWidth="1"/>
    <col min="776" max="776" width="9.375" style="512" customWidth="1"/>
    <col min="777" max="777" width="9" style="512" customWidth="1"/>
    <col min="778" max="778" width="10.875" style="512" customWidth="1"/>
    <col min="779" max="1024" width="9" style="512"/>
    <col min="1025" max="1025" width="6.625" style="512" customWidth="1"/>
    <col min="1026" max="1026" width="33.875" style="512" customWidth="1"/>
    <col min="1027" max="1027" width="16" style="512" customWidth="1"/>
    <col min="1028" max="1031" width="9" style="512" customWidth="1"/>
    <col min="1032" max="1032" width="9.375" style="512" customWidth="1"/>
    <col min="1033" max="1033" width="9" style="512" customWidth="1"/>
    <col min="1034" max="1034" width="10.875" style="512" customWidth="1"/>
    <col min="1035" max="1280" width="9" style="512"/>
    <col min="1281" max="1281" width="6.625" style="512" customWidth="1"/>
    <col min="1282" max="1282" width="33.875" style="512" customWidth="1"/>
    <col min="1283" max="1283" width="16" style="512" customWidth="1"/>
    <col min="1284" max="1287" width="9" style="512" customWidth="1"/>
    <col min="1288" max="1288" width="9.375" style="512" customWidth="1"/>
    <col min="1289" max="1289" width="9" style="512" customWidth="1"/>
    <col min="1290" max="1290" width="10.875" style="512" customWidth="1"/>
    <col min="1291" max="1536" width="9" style="512"/>
    <col min="1537" max="1537" width="6.625" style="512" customWidth="1"/>
    <col min="1538" max="1538" width="33.875" style="512" customWidth="1"/>
    <col min="1539" max="1539" width="16" style="512" customWidth="1"/>
    <col min="1540" max="1543" width="9" style="512" customWidth="1"/>
    <col min="1544" max="1544" width="9.375" style="512" customWidth="1"/>
    <col min="1545" max="1545" width="9" style="512" customWidth="1"/>
    <col min="1546" max="1546" width="10.875" style="512" customWidth="1"/>
    <col min="1547" max="1792" width="9" style="512"/>
    <col min="1793" max="1793" width="6.625" style="512" customWidth="1"/>
    <col min="1794" max="1794" width="33.875" style="512" customWidth="1"/>
    <col min="1795" max="1795" width="16" style="512" customWidth="1"/>
    <col min="1796" max="1799" width="9" style="512" customWidth="1"/>
    <col min="1800" max="1800" width="9.375" style="512" customWidth="1"/>
    <col min="1801" max="1801" width="9" style="512" customWidth="1"/>
    <col min="1802" max="1802" width="10.875" style="512" customWidth="1"/>
    <col min="1803" max="2048" width="9" style="512"/>
    <col min="2049" max="2049" width="6.625" style="512" customWidth="1"/>
    <col min="2050" max="2050" width="33.875" style="512" customWidth="1"/>
    <col min="2051" max="2051" width="16" style="512" customWidth="1"/>
    <col min="2052" max="2055" width="9" style="512" customWidth="1"/>
    <col min="2056" max="2056" width="9.375" style="512" customWidth="1"/>
    <col min="2057" max="2057" width="9" style="512" customWidth="1"/>
    <col min="2058" max="2058" width="10.875" style="512" customWidth="1"/>
    <col min="2059" max="2304" width="9" style="512"/>
    <col min="2305" max="2305" width="6.625" style="512" customWidth="1"/>
    <col min="2306" max="2306" width="33.875" style="512" customWidth="1"/>
    <col min="2307" max="2307" width="16" style="512" customWidth="1"/>
    <col min="2308" max="2311" width="9" style="512" customWidth="1"/>
    <col min="2312" max="2312" width="9.375" style="512" customWidth="1"/>
    <col min="2313" max="2313" width="9" style="512" customWidth="1"/>
    <col min="2314" max="2314" width="10.875" style="512" customWidth="1"/>
    <col min="2315" max="2560" width="9" style="512"/>
    <col min="2561" max="2561" width="6.625" style="512" customWidth="1"/>
    <col min="2562" max="2562" width="33.875" style="512" customWidth="1"/>
    <col min="2563" max="2563" width="16" style="512" customWidth="1"/>
    <col min="2564" max="2567" width="9" style="512" customWidth="1"/>
    <col min="2568" max="2568" width="9.375" style="512" customWidth="1"/>
    <col min="2569" max="2569" width="9" style="512" customWidth="1"/>
    <col min="2570" max="2570" width="10.875" style="512" customWidth="1"/>
    <col min="2571" max="2816" width="9" style="512"/>
    <col min="2817" max="2817" width="6.625" style="512" customWidth="1"/>
    <col min="2818" max="2818" width="33.875" style="512" customWidth="1"/>
    <col min="2819" max="2819" width="16" style="512" customWidth="1"/>
    <col min="2820" max="2823" width="9" style="512" customWidth="1"/>
    <col min="2824" max="2824" width="9.375" style="512" customWidth="1"/>
    <col min="2825" max="2825" width="9" style="512" customWidth="1"/>
    <col min="2826" max="2826" width="10.875" style="512" customWidth="1"/>
    <col min="2827" max="3072" width="9" style="512"/>
    <col min="3073" max="3073" width="6.625" style="512" customWidth="1"/>
    <col min="3074" max="3074" width="33.875" style="512" customWidth="1"/>
    <col min="3075" max="3075" width="16" style="512" customWidth="1"/>
    <col min="3076" max="3079" width="9" style="512" customWidth="1"/>
    <col min="3080" max="3080" width="9.375" style="512" customWidth="1"/>
    <col min="3081" max="3081" width="9" style="512" customWidth="1"/>
    <col min="3082" max="3082" width="10.875" style="512" customWidth="1"/>
    <col min="3083" max="3328" width="9" style="512"/>
    <col min="3329" max="3329" width="6.625" style="512" customWidth="1"/>
    <col min="3330" max="3330" width="33.875" style="512" customWidth="1"/>
    <col min="3331" max="3331" width="16" style="512" customWidth="1"/>
    <col min="3332" max="3335" width="9" style="512" customWidth="1"/>
    <col min="3336" max="3336" width="9.375" style="512" customWidth="1"/>
    <col min="3337" max="3337" width="9" style="512" customWidth="1"/>
    <col min="3338" max="3338" width="10.875" style="512" customWidth="1"/>
    <col min="3339" max="3584" width="9" style="512"/>
    <col min="3585" max="3585" width="6.625" style="512" customWidth="1"/>
    <col min="3586" max="3586" width="33.875" style="512" customWidth="1"/>
    <col min="3587" max="3587" width="16" style="512" customWidth="1"/>
    <col min="3588" max="3591" width="9" style="512" customWidth="1"/>
    <col min="3592" max="3592" width="9.375" style="512" customWidth="1"/>
    <col min="3593" max="3593" width="9" style="512" customWidth="1"/>
    <col min="3594" max="3594" width="10.875" style="512" customWidth="1"/>
    <col min="3595" max="3840" width="9" style="512"/>
    <col min="3841" max="3841" width="6.625" style="512" customWidth="1"/>
    <col min="3842" max="3842" width="33.875" style="512" customWidth="1"/>
    <col min="3843" max="3843" width="16" style="512" customWidth="1"/>
    <col min="3844" max="3847" width="9" style="512" customWidth="1"/>
    <col min="3848" max="3848" width="9.375" style="512" customWidth="1"/>
    <col min="3849" max="3849" width="9" style="512" customWidth="1"/>
    <col min="3850" max="3850" width="10.875" style="512" customWidth="1"/>
    <col min="3851" max="4096" width="9" style="512"/>
    <col min="4097" max="4097" width="6.625" style="512" customWidth="1"/>
    <col min="4098" max="4098" width="33.875" style="512" customWidth="1"/>
    <col min="4099" max="4099" width="16" style="512" customWidth="1"/>
    <col min="4100" max="4103" width="9" style="512" customWidth="1"/>
    <col min="4104" max="4104" width="9.375" style="512" customWidth="1"/>
    <col min="4105" max="4105" width="9" style="512" customWidth="1"/>
    <col min="4106" max="4106" width="10.875" style="512" customWidth="1"/>
    <col min="4107" max="4352" width="9" style="512"/>
    <col min="4353" max="4353" width="6.625" style="512" customWidth="1"/>
    <col min="4354" max="4354" width="33.875" style="512" customWidth="1"/>
    <col min="4355" max="4355" width="16" style="512" customWidth="1"/>
    <col min="4356" max="4359" width="9" style="512" customWidth="1"/>
    <col min="4360" max="4360" width="9.375" style="512" customWidth="1"/>
    <col min="4361" max="4361" width="9" style="512" customWidth="1"/>
    <col min="4362" max="4362" width="10.875" style="512" customWidth="1"/>
    <col min="4363" max="4608" width="9" style="512"/>
    <col min="4609" max="4609" width="6.625" style="512" customWidth="1"/>
    <col min="4610" max="4610" width="33.875" style="512" customWidth="1"/>
    <col min="4611" max="4611" width="16" style="512" customWidth="1"/>
    <col min="4612" max="4615" width="9" style="512" customWidth="1"/>
    <col min="4616" max="4616" width="9.375" style="512" customWidth="1"/>
    <col min="4617" max="4617" width="9" style="512" customWidth="1"/>
    <col min="4618" max="4618" width="10.875" style="512" customWidth="1"/>
    <col min="4619" max="4864" width="9" style="512"/>
    <col min="4865" max="4865" width="6.625" style="512" customWidth="1"/>
    <col min="4866" max="4866" width="33.875" style="512" customWidth="1"/>
    <col min="4867" max="4867" width="16" style="512" customWidth="1"/>
    <col min="4868" max="4871" width="9" style="512" customWidth="1"/>
    <col min="4872" max="4872" width="9.375" style="512" customWidth="1"/>
    <col min="4873" max="4873" width="9" style="512" customWidth="1"/>
    <col min="4874" max="4874" width="10.875" style="512" customWidth="1"/>
    <col min="4875" max="5120" width="9" style="512"/>
    <col min="5121" max="5121" width="6.625" style="512" customWidth="1"/>
    <col min="5122" max="5122" width="33.875" style="512" customWidth="1"/>
    <col min="5123" max="5123" width="16" style="512" customWidth="1"/>
    <col min="5124" max="5127" width="9" style="512" customWidth="1"/>
    <col min="5128" max="5128" width="9.375" style="512" customWidth="1"/>
    <col min="5129" max="5129" width="9" style="512" customWidth="1"/>
    <col min="5130" max="5130" width="10.875" style="512" customWidth="1"/>
    <col min="5131" max="5376" width="9" style="512"/>
    <col min="5377" max="5377" width="6.625" style="512" customWidth="1"/>
    <col min="5378" max="5378" width="33.875" style="512" customWidth="1"/>
    <col min="5379" max="5379" width="16" style="512" customWidth="1"/>
    <col min="5380" max="5383" width="9" style="512" customWidth="1"/>
    <col min="5384" max="5384" width="9.375" style="512" customWidth="1"/>
    <col min="5385" max="5385" width="9" style="512" customWidth="1"/>
    <col min="5386" max="5386" width="10.875" style="512" customWidth="1"/>
    <col min="5387" max="5632" width="9" style="512"/>
    <col min="5633" max="5633" width="6.625" style="512" customWidth="1"/>
    <col min="5634" max="5634" width="33.875" style="512" customWidth="1"/>
    <col min="5635" max="5635" width="16" style="512" customWidth="1"/>
    <col min="5636" max="5639" width="9" style="512" customWidth="1"/>
    <col min="5640" max="5640" width="9.375" style="512" customWidth="1"/>
    <col min="5641" max="5641" width="9" style="512" customWidth="1"/>
    <col min="5642" max="5642" width="10.875" style="512" customWidth="1"/>
    <col min="5643" max="5888" width="9" style="512"/>
    <col min="5889" max="5889" width="6.625" style="512" customWidth="1"/>
    <col min="5890" max="5890" width="33.875" style="512" customWidth="1"/>
    <col min="5891" max="5891" width="16" style="512" customWidth="1"/>
    <col min="5892" max="5895" width="9" style="512" customWidth="1"/>
    <col min="5896" max="5896" width="9.375" style="512" customWidth="1"/>
    <col min="5897" max="5897" width="9" style="512" customWidth="1"/>
    <col min="5898" max="5898" width="10.875" style="512" customWidth="1"/>
    <col min="5899" max="6144" width="9" style="512"/>
    <col min="6145" max="6145" width="6.625" style="512" customWidth="1"/>
    <col min="6146" max="6146" width="33.875" style="512" customWidth="1"/>
    <col min="6147" max="6147" width="16" style="512" customWidth="1"/>
    <col min="6148" max="6151" width="9" style="512" customWidth="1"/>
    <col min="6152" max="6152" width="9.375" style="512" customWidth="1"/>
    <col min="6153" max="6153" width="9" style="512" customWidth="1"/>
    <col min="6154" max="6154" width="10.875" style="512" customWidth="1"/>
    <col min="6155" max="6400" width="9" style="512"/>
    <col min="6401" max="6401" width="6.625" style="512" customWidth="1"/>
    <col min="6402" max="6402" width="33.875" style="512" customWidth="1"/>
    <col min="6403" max="6403" width="16" style="512" customWidth="1"/>
    <col min="6404" max="6407" width="9" style="512" customWidth="1"/>
    <col min="6408" max="6408" width="9.375" style="512" customWidth="1"/>
    <col min="6409" max="6409" width="9" style="512" customWidth="1"/>
    <col min="6410" max="6410" width="10.875" style="512" customWidth="1"/>
    <col min="6411" max="6656" width="9" style="512"/>
    <col min="6657" max="6657" width="6.625" style="512" customWidth="1"/>
    <col min="6658" max="6658" width="33.875" style="512" customWidth="1"/>
    <col min="6659" max="6659" width="16" style="512" customWidth="1"/>
    <col min="6660" max="6663" width="9" style="512" customWidth="1"/>
    <col min="6664" max="6664" width="9.375" style="512" customWidth="1"/>
    <col min="6665" max="6665" width="9" style="512" customWidth="1"/>
    <col min="6666" max="6666" width="10.875" style="512" customWidth="1"/>
    <col min="6667" max="6912" width="9" style="512"/>
    <col min="6913" max="6913" width="6.625" style="512" customWidth="1"/>
    <col min="6914" max="6914" width="33.875" style="512" customWidth="1"/>
    <col min="6915" max="6915" width="16" style="512" customWidth="1"/>
    <col min="6916" max="6919" width="9" style="512" customWidth="1"/>
    <col min="6920" max="6920" width="9.375" style="512" customWidth="1"/>
    <col min="6921" max="6921" width="9" style="512" customWidth="1"/>
    <col min="6922" max="6922" width="10.875" style="512" customWidth="1"/>
    <col min="6923" max="7168" width="9" style="512"/>
    <col min="7169" max="7169" width="6.625" style="512" customWidth="1"/>
    <col min="7170" max="7170" width="33.875" style="512" customWidth="1"/>
    <col min="7171" max="7171" width="16" style="512" customWidth="1"/>
    <col min="7172" max="7175" width="9" style="512" customWidth="1"/>
    <col min="7176" max="7176" width="9.375" style="512" customWidth="1"/>
    <col min="7177" max="7177" width="9" style="512" customWidth="1"/>
    <col min="7178" max="7178" width="10.875" style="512" customWidth="1"/>
    <col min="7179" max="7424" width="9" style="512"/>
    <col min="7425" max="7425" width="6.625" style="512" customWidth="1"/>
    <col min="7426" max="7426" width="33.875" style="512" customWidth="1"/>
    <col min="7427" max="7427" width="16" style="512" customWidth="1"/>
    <col min="7428" max="7431" width="9" style="512" customWidth="1"/>
    <col min="7432" max="7432" width="9.375" style="512" customWidth="1"/>
    <col min="7433" max="7433" width="9" style="512" customWidth="1"/>
    <col min="7434" max="7434" width="10.875" style="512" customWidth="1"/>
    <col min="7435" max="7680" width="9" style="512"/>
    <col min="7681" max="7681" width="6.625" style="512" customWidth="1"/>
    <col min="7682" max="7682" width="33.875" style="512" customWidth="1"/>
    <col min="7683" max="7683" width="16" style="512" customWidth="1"/>
    <col min="7684" max="7687" width="9" style="512" customWidth="1"/>
    <col min="7688" max="7688" width="9.375" style="512" customWidth="1"/>
    <col min="7689" max="7689" width="9" style="512" customWidth="1"/>
    <col min="7690" max="7690" width="10.875" style="512" customWidth="1"/>
    <col min="7691" max="7936" width="9" style="512"/>
    <col min="7937" max="7937" width="6.625" style="512" customWidth="1"/>
    <col min="7938" max="7938" width="33.875" style="512" customWidth="1"/>
    <col min="7939" max="7939" width="16" style="512" customWidth="1"/>
    <col min="7940" max="7943" width="9" style="512" customWidth="1"/>
    <col min="7944" max="7944" width="9.375" style="512" customWidth="1"/>
    <col min="7945" max="7945" width="9" style="512" customWidth="1"/>
    <col min="7946" max="7946" width="10.875" style="512" customWidth="1"/>
    <col min="7947" max="8192" width="9" style="512"/>
    <col min="8193" max="8193" width="6.625" style="512" customWidth="1"/>
    <col min="8194" max="8194" width="33.875" style="512" customWidth="1"/>
    <col min="8195" max="8195" width="16" style="512" customWidth="1"/>
    <col min="8196" max="8199" width="9" style="512" customWidth="1"/>
    <col min="8200" max="8200" width="9.375" style="512" customWidth="1"/>
    <col min="8201" max="8201" width="9" style="512" customWidth="1"/>
    <col min="8202" max="8202" width="10.875" style="512" customWidth="1"/>
    <col min="8203" max="8448" width="9" style="512"/>
    <col min="8449" max="8449" width="6.625" style="512" customWidth="1"/>
    <col min="8450" max="8450" width="33.875" style="512" customWidth="1"/>
    <col min="8451" max="8451" width="16" style="512" customWidth="1"/>
    <col min="8452" max="8455" width="9" style="512" customWidth="1"/>
    <col min="8456" max="8456" width="9.375" style="512" customWidth="1"/>
    <col min="8457" max="8457" width="9" style="512" customWidth="1"/>
    <col min="8458" max="8458" width="10.875" style="512" customWidth="1"/>
    <col min="8459" max="8704" width="9" style="512"/>
    <col min="8705" max="8705" width="6.625" style="512" customWidth="1"/>
    <col min="8706" max="8706" width="33.875" style="512" customWidth="1"/>
    <col min="8707" max="8707" width="16" style="512" customWidth="1"/>
    <col min="8708" max="8711" width="9" style="512" customWidth="1"/>
    <col min="8712" max="8712" width="9.375" style="512" customWidth="1"/>
    <col min="8713" max="8713" width="9" style="512" customWidth="1"/>
    <col min="8714" max="8714" width="10.875" style="512" customWidth="1"/>
    <col min="8715" max="8960" width="9" style="512"/>
    <col min="8961" max="8961" width="6.625" style="512" customWidth="1"/>
    <col min="8962" max="8962" width="33.875" style="512" customWidth="1"/>
    <col min="8963" max="8963" width="16" style="512" customWidth="1"/>
    <col min="8964" max="8967" width="9" style="512" customWidth="1"/>
    <col min="8968" max="8968" width="9.375" style="512" customWidth="1"/>
    <col min="8969" max="8969" width="9" style="512" customWidth="1"/>
    <col min="8970" max="8970" width="10.875" style="512" customWidth="1"/>
    <col min="8971" max="9216" width="9" style="512"/>
    <col min="9217" max="9217" width="6.625" style="512" customWidth="1"/>
    <col min="9218" max="9218" width="33.875" style="512" customWidth="1"/>
    <col min="9219" max="9219" width="16" style="512" customWidth="1"/>
    <col min="9220" max="9223" width="9" style="512" customWidth="1"/>
    <col min="9224" max="9224" width="9.375" style="512" customWidth="1"/>
    <col min="9225" max="9225" width="9" style="512" customWidth="1"/>
    <col min="9226" max="9226" width="10.875" style="512" customWidth="1"/>
    <col min="9227" max="9472" width="9" style="512"/>
    <col min="9473" max="9473" width="6.625" style="512" customWidth="1"/>
    <col min="9474" max="9474" width="33.875" style="512" customWidth="1"/>
    <col min="9475" max="9475" width="16" style="512" customWidth="1"/>
    <col min="9476" max="9479" width="9" style="512" customWidth="1"/>
    <col min="9480" max="9480" width="9.375" style="512" customWidth="1"/>
    <col min="9481" max="9481" width="9" style="512" customWidth="1"/>
    <col min="9482" max="9482" width="10.875" style="512" customWidth="1"/>
    <col min="9483" max="9728" width="9" style="512"/>
    <col min="9729" max="9729" width="6.625" style="512" customWidth="1"/>
    <col min="9730" max="9730" width="33.875" style="512" customWidth="1"/>
    <col min="9731" max="9731" width="16" style="512" customWidth="1"/>
    <col min="9732" max="9735" width="9" style="512" customWidth="1"/>
    <col min="9736" max="9736" width="9.375" style="512" customWidth="1"/>
    <col min="9737" max="9737" width="9" style="512" customWidth="1"/>
    <col min="9738" max="9738" width="10.875" style="512" customWidth="1"/>
    <col min="9739" max="9984" width="9" style="512"/>
    <col min="9985" max="9985" width="6.625" style="512" customWidth="1"/>
    <col min="9986" max="9986" width="33.875" style="512" customWidth="1"/>
    <col min="9987" max="9987" width="16" style="512" customWidth="1"/>
    <col min="9988" max="9991" width="9" style="512" customWidth="1"/>
    <col min="9992" max="9992" width="9.375" style="512" customWidth="1"/>
    <col min="9993" max="9993" width="9" style="512" customWidth="1"/>
    <col min="9994" max="9994" width="10.875" style="512" customWidth="1"/>
    <col min="9995" max="10240" width="9" style="512"/>
    <col min="10241" max="10241" width="6.625" style="512" customWidth="1"/>
    <col min="10242" max="10242" width="33.875" style="512" customWidth="1"/>
    <col min="10243" max="10243" width="16" style="512" customWidth="1"/>
    <col min="10244" max="10247" width="9" style="512" customWidth="1"/>
    <col min="10248" max="10248" width="9.375" style="512" customWidth="1"/>
    <col min="10249" max="10249" width="9" style="512" customWidth="1"/>
    <col min="10250" max="10250" width="10.875" style="512" customWidth="1"/>
    <col min="10251" max="10496" width="9" style="512"/>
    <col min="10497" max="10497" width="6.625" style="512" customWidth="1"/>
    <col min="10498" max="10498" width="33.875" style="512" customWidth="1"/>
    <col min="10499" max="10499" width="16" style="512" customWidth="1"/>
    <col min="10500" max="10503" width="9" style="512" customWidth="1"/>
    <col min="10504" max="10504" width="9.375" style="512" customWidth="1"/>
    <col min="10505" max="10505" width="9" style="512" customWidth="1"/>
    <col min="10506" max="10506" width="10.875" style="512" customWidth="1"/>
    <col min="10507" max="10752" width="9" style="512"/>
    <col min="10753" max="10753" width="6.625" style="512" customWidth="1"/>
    <col min="10754" max="10754" width="33.875" style="512" customWidth="1"/>
    <col min="10755" max="10755" width="16" style="512" customWidth="1"/>
    <col min="10756" max="10759" width="9" style="512" customWidth="1"/>
    <col min="10760" max="10760" width="9.375" style="512" customWidth="1"/>
    <col min="10761" max="10761" width="9" style="512" customWidth="1"/>
    <col min="10762" max="10762" width="10.875" style="512" customWidth="1"/>
    <col min="10763" max="11008" width="9" style="512"/>
    <col min="11009" max="11009" width="6.625" style="512" customWidth="1"/>
    <col min="11010" max="11010" width="33.875" style="512" customWidth="1"/>
    <col min="11011" max="11011" width="16" style="512" customWidth="1"/>
    <col min="11012" max="11015" width="9" style="512" customWidth="1"/>
    <col min="11016" max="11016" width="9.375" style="512" customWidth="1"/>
    <col min="11017" max="11017" width="9" style="512" customWidth="1"/>
    <col min="11018" max="11018" width="10.875" style="512" customWidth="1"/>
    <col min="11019" max="11264" width="9" style="512"/>
    <col min="11265" max="11265" width="6.625" style="512" customWidth="1"/>
    <col min="11266" max="11266" width="33.875" style="512" customWidth="1"/>
    <col min="11267" max="11267" width="16" style="512" customWidth="1"/>
    <col min="11268" max="11271" width="9" style="512" customWidth="1"/>
    <col min="11272" max="11272" width="9.375" style="512" customWidth="1"/>
    <col min="11273" max="11273" width="9" style="512" customWidth="1"/>
    <col min="11274" max="11274" width="10.875" style="512" customWidth="1"/>
    <col min="11275" max="11520" width="9" style="512"/>
    <col min="11521" max="11521" width="6.625" style="512" customWidth="1"/>
    <col min="11522" max="11522" width="33.875" style="512" customWidth="1"/>
    <col min="11523" max="11523" width="16" style="512" customWidth="1"/>
    <col min="11524" max="11527" width="9" style="512" customWidth="1"/>
    <col min="11528" max="11528" width="9.375" style="512" customWidth="1"/>
    <col min="11529" max="11529" width="9" style="512" customWidth="1"/>
    <col min="11530" max="11530" width="10.875" style="512" customWidth="1"/>
    <col min="11531" max="11776" width="9" style="512"/>
    <col min="11777" max="11777" width="6.625" style="512" customWidth="1"/>
    <col min="11778" max="11778" width="33.875" style="512" customWidth="1"/>
    <col min="11779" max="11779" width="16" style="512" customWidth="1"/>
    <col min="11780" max="11783" width="9" style="512" customWidth="1"/>
    <col min="11784" max="11784" width="9.375" style="512" customWidth="1"/>
    <col min="11785" max="11785" width="9" style="512" customWidth="1"/>
    <col min="11786" max="11786" width="10.875" style="512" customWidth="1"/>
    <col min="11787" max="12032" width="9" style="512"/>
    <col min="12033" max="12033" width="6.625" style="512" customWidth="1"/>
    <col min="12034" max="12034" width="33.875" style="512" customWidth="1"/>
    <col min="12035" max="12035" width="16" style="512" customWidth="1"/>
    <col min="12036" max="12039" width="9" style="512" customWidth="1"/>
    <col min="12040" max="12040" width="9.375" style="512" customWidth="1"/>
    <col min="12041" max="12041" width="9" style="512" customWidth="1"/>
    <col min="12042" max="12042" width="10.875" style="512" customWidth="1"/>
    <col min="12043" max="12288" width="9" style="512"/>
    <col min="12289" max="12289" width="6.625" style="512" customWidth="1"/>
    <col min="12290" max="12290" width="33.875" style="512" customWidth="1"/>
    <col min="12291" max="12291" width="16" style="512" customWidth="1"/>
    <col min="12292" max="12295" width="9" style="512" customWidth="1"/>
    <col min="12296" max="12296" width="9.375" style="512" customWidth="1"/>
    <col min="12297" max="12297" width="9" style="512" customWidth="1"/>
    <col min="12298" max="12298" width="10.875" style="512" customWidth="1"/>
    <col min="12299" max="12544" width="9" style="512"/>
    <col min="12545" max="12545" width="6.625" style="512" customWidth="1"/>
    <col min="12546" max="12546" width="33.875" style="512" customWidth="1"/>
    <col min="12547" max="12547" width="16" style="512" customWidth="1"/>
    <col min="12548" max="12551" width="9" style="512" customWidth="1"/>
    <col min="12552" max="12552" width="9.375" style="512" customWidth="1"/>
    <col min="12553" max="12553" width="9" style="512" customWidth="1"/>
    <col min="12554" max="12554" width="10.875" style="512" customWidth="1"/>
    <col min="12555" max="12800" width="9" style="512"/>
    <col min="12801" max="12801" width="6.625" style="512" customWidth="1"/>
    <col min="12802" max="12802" width="33.875" style="512" customWidth="1"/>
    <col min="12803" max="12803" width="16" style="512" customWidth="1"/>
    <col min="12804" max="12807" width="9" style="512" customWidth="1"/>
    <col min="12808" max="12808" width="9.375" style="512" customWidth="1"/>
    <col min="12809" max="12809" width="9" style="512" customWidth="1"/>
    <col min="12810" max="12810" width="10.875" style="512" customWidth="1"/>
    <col min="12811" max="13056" width="9" style="512"/>
    <col min="13057" max="13057" width="6.625" style="512" customWidth="1"/>
    <col min="13058" max="13058" width="33.875" style="512" customWidth="1"/>
    <col min="13059" max="13059" width="16" style="512" customWidth="1"/>
    <col min="13060" max="13063" width="9" style="512" customWidth="1"/>
    <col min="13064" max="13064" width="9.375" style="512" customWidth="1"/>
    <col min="13065" max="13065" width="9" style="512" customWidth="1"/>
    <col min="13066" max="13066" width="10.875" style="512" customWidth="1"/>
    <col min="13067" max="13312" width="9" style="512"/>
    <col min="13313" max="13313" width="6.625" style="512" customWidth="1"/>
    <col min="13314" max="13314" width="33.875" style="512" customWidth="1"/>
    <col min="13315" max="13315" width="16" style="512" customWidth="1"/>
    <col min="13316" max="13319" width="9" style="512" customWidth="1"/>
    <col min="13320" max="13320" width="9.375" style="512" customWidth="1"/>
    <col min="13321" max="13321" width="9" style="512" customWidth="1"/>
    <col min="13322" max="13322" width="10.875" style="512" customWidth="1"/>
    <col min="13323" max="13568" width="9" style="512"/>
    <col min="13569" max="13569" width="6.625" style="512" customWidth="1"/>
    <col min="13570" max="13570" width="33.875" style="512" customWidth="1"/>
    <col min="13571" max="13571" width="16" style="512" customWidth="1"/>
    <col min="13572" max="13575" width="9" style="512" customWidth="1"/>
    <col min="13576" max="13576" width="9.375" style="512" customWidth="1"/>
    <col min="13577" max="13577" width="9" style="512" customWidth="1"/>
    <col min="13578" max="13578" width="10.875" style="512" customWidth="1"/>
    <col min="13579" max="13824" width="9" style="512"/>
    <col min="13825" max="13825" width="6.625" style="512" customWidth="1"/>
    <col min="13826" max="13826" width="33.875" style="512" customWidth="1"/>
    <col min="13827" max="13827" width="16" style="512" customWidth="1"/>
    <col min="13828" max="13831" width="9" style="512" customWidth="1"/>
    <col min="13832" max="13832" width="9.375" style="512" customWidth="1"/>
    <col min="13833" max="13833" width="9" style="512" customWidth="1"/>
    <col min="13834" max="13834" width="10.875" style="512" customWidth="1"/>
    <col min="13835" max="14080" width="9" style="512"/>
    <col min="14081" max="14081" width="6.625" style="512" customWidth="1"/>
    <col min="14082" max="14082" width="33.875" style="512" customWidth="1"/>
    <col min="14083" max="14083" width="16" style="512" customWidth="1"/>
    <col min="14084" max="14087" width="9" style="512" customWidth="1"/>
    <col min="14088" max="14088" width="9.375" style="512" customWidth="1"/>
    <col min="14089" max="14089" width="9" style="512" customWidth="1"/>
    <col min="14090" max="14090" width="10.875" style="512" customWidth="1"/>
    <col min="14091" max="14336" width="9" style="512"/>
    <col min="14337" max="14337" width="6.625" style="512" customWidth="1"/>
    <col min="14338" max="14338" width="33.875" style="512" customWidth="1"/>
    <col min="14339" max="14339" width="16" style="512" customWidth="1"/>
    <col min="14340" max="14343" width="9" style="512" customWidth="1"/>
    <col min="14344" max="14344" width="9.375" style="512" customWidth="1"/>
    <col min="14345" max="14345" width="9" style="512" customWidth="1"/>
    <col min="14346" max="14346" width="10.875" style="512" customWidth="1"/>
    <col min="14347" max="14592" width="9" style="512"/>
    <col min="14593" max="14593" width="6.625" style="512" customWidth="1"/>
    <col min="14594" max="14594" width="33.875" style="512" customWidth="1"/>
    <col min="14595" max="14595" width="16" style="512" customWidth="1"/>
    <col min="14596" max="14599" width="9" style="512" customWidth="1"/>
    <col min="14600" max="14600" width="9.375" style="512" customWidth="1"/>
    <col min="14601" max="14601" width="9" style="512" customWidth="1"/>
    <col min="14602" max="14602" width="10.875" style="512" customWidth="1"/>
    <col min="14603" max="14848" width="9" style="512"/>
    <col min="14849" max="14849" width="6.625" style="512" customWidth="1"/>
    <col min="14850" max="14850" width="33.875" style="512" customWidth="1"/>
    <col min="14851" max="14851" width="16" style="512" customWidth="1"/>
    <col min="14852" max="14855" width="9" style="512" customWidth="1"/>
    <col min="14856" max="14856" width="9.375" style="512" customWidth="1"/>
    <col min="14857" max="14857" width="9" style="512" customWidth="1"/>
    <col min="14858" max="14858" width="10.875" style="512" customWidth="1"/>
    <col min="14859" max="15104" width="9" style="512"/>
    <col min="15105" max="15105" width="6.625" style="512" customWidth="1"/>
    <col min="15106" max="15106" width="33.875" style="512" customWidth="1"/>
    <col min="15107" max="15107" width="16" style="512" customWidth="1"/>
    <col min="15108" max="15111" width="9" style="512" customWidth="1"/>
    <col min="15112" max="15112" width="9.375" style="512" customWidth="1"/>
    <col min="15113" max="15113" width="9" style="512" customWidth="1"/>
    <col min="15114" max="15114" width="10.875" style="512" customWidth="1"/>
    <col min="15115" max="15360" width="9" style="512"/>
    <col min="15361" max="15361" width="6.625" style="512" customWidth="1"/>
    <col min="15362" max="15362" width="33.875" style="512" customWidth="1"/>
    <col min="15363" max="15363" width="16" style="512" customWidth="1"/>
    <col min="15364" max="15367" width="9" style="512" customWidth="1"/>
    <col min="15368" max="15368" width="9.375" style="512" customWidth="1"/>
    <col min="15369" max="15369" width="9" style="512" customWidth="1"/>
    <col min="15370" max="15370" width="10.875" style="512" customWidth="1"/>
    <col min="15371" max="15616" width="9" style="512"/>
    <col min="15617" max="15617" width="6.625" style="512" customWidth="1"/>
    <col min="15618" max="15618" width="33.875" style="512" customWidth="1"/>
    <col min="15619" max="15619" width="16" style="512" customWidth="1"/>
    <col min="15620" max="15623" width="9" style="512" customWidth="1"/>
    <col min="15624" max="15624" width="9.375" style="512" customWidth="1"/>
    <col min="15625" max="15625" width="9" style="512" customWidth="1"/>
    <col min="15626" max="15626" width="10.875" style="512" customWidth="1"/>
    <col min="15627" max="15872" width="9" style="512"/>
    <col min="15873" max="15873" width="6.625" style="512" customWidth="1"/>
    <col min="15874" max="15874" width="33.875" style="512" customWidth="1"/>
    <col min="15875" max="15875" width="16" style="512" customWidth="1"/>
    <col min="15876" max="15879" width="9" style="512" customWidth="1"/>
    <col min="15880" max="15880" width="9.375" style="512" customWidth="1"/>
    <col min="15881" max="15881" width="9" style="512" customWidth="1"/>
    <col min="15882" max="15882" width="10.875" style="512" customWidth="1"/>
    <col min="15883" max="16128" width="9" style="512"/>
    <col min="16129" max="16129" width="6.625" style="512" customWidth="1"/>
    <col min="16130" max="16130" width="33.875" style="512" customWidth="1"/>
    <col min="16131" max="16131" width="16" style="512" customWidth="1"/>
    <col min="16132" max="16135" width="9" style="512" customWidth="1"/>
    <col min="16136" max="16136" width="9.375" style="512" customWidth="1"/>
    <col min="16137" max="16137" width="9" style="512" customWidth="1"/>
    <col min="16138" max="16138" width="10.875" style="512" customWidth="1"/>
    <col min="16139" max="16384" width="9" style="512"/>
  </cols>
  <sheetData>
    <row r="1" ht="24.75" customHeight="1" spans="1:10">
      <c r="A1" s="515" t="s">
        <v>1000</v>
      </c>
      <c r="B1" s="515"/>
      <c r="C1" s="516"/>
      <c r="D1" s="515"/>
      <c r="E1" s="515"/>
      <c r="F1" s="515"/>
      <c r="G1" s="515"/>
      <c r="H1" s="515"/>
      <c r="I1" s="515"/>
      <c r="J1" s="551"/>
    </row>
    <row r="2" ht="19.5" customHeight="1" spans="1:10">
      <c r="A2" s="517" t="s">
        <v>1001</v>
      </c>
      <c r="B2" s="517"/>
      <c r="C2" s="518"/>
      <c r="D2" s="517"/>
      <c r="E2" s="517"/>
      <c r="F2" s="517"/>
      <c r="G2" s="517"/>
      <c r="H2" s="517"/>
      <c r="I2" s="517"/>
      <c r="J2" s="517"/>
    </row>
    <row r="3" ht="17" customHeight="1" spans="1:10">
      <c r="A3" s="519" t="s">
        <v>291</v>
      </c>
      <c r="B3" s="520" t="s">
        <v>531</v>
      </c>
      <c r="C3" s="520" t="s">
        <v>532</v>
      </c>
      <c r="D3" s="520" t="s">
        <v>55</v>
      </c>
      <c r="E3" s="520" t="s">
        <v>191</v>
      </c>
      <c r="F3" s="521" t="s">
        <v>697</v>
      </c>
      <c r="G3" s="522"/>
      <c r="H3" s="521" t="s">
        <v>1002</v>
      </c>
      <c r="I3" s="522"/>
      <c r="J3" s="552" t="s">
        <v>119</v>
      </c>
    </row>
    <row r="4" ht="17" customHeight="1" spans="1:10">
      <c r="A4" s="523"/>
      <c r="B4" s="524"/>
      <c r="C4" s="524"/>
      <c r="D4" s="524"/>
      <c r="E4" s="524"/>
      <c r="F4" s="525" t="s">
        <v>835</v>
      </c>
      <c r="G4" s="525" t="s">
        <v>1003</v>
      </c>
      <c r="H4" s="525" t="s">
        <v>835</v>
      </c>
      <c r="I4" s="525" t="s">
        <v>1003</v>
      </c>
      <c r="J4" s="553"/>
    </row>
    <row r="5" ht="17" customHeight="1" spans="1:10">
      <c r="A5" s="523" t="s">
        <v>463</v>
      </c>
      <c r="B5" s="524"/>
      <c r="C5" s="524"/>
      <c r="D5" s="524"/>
      <c r="E5" s="526"/>
      <c r="F5" s="527"/>
      <c r="G5" s="527"/>
      <c r="H5" s="528">
        <f>H6+H72+H30</f>
        <v>1182148.840115</v>
      </c>
      <c r="I5" s="528">
        <f>I6+I72+I30</f>
        <v>110126.58117</v>
      </c>
      <c r="J5" s="554"/>
    </row>
    <row r="6" ht="17" customHeight="1" spans="1:13">
      <c r="A6" s="529">
        <v>1</v>
      </c>
      <c r="B6" s="524" t="s">
        <v>325</v>
      </c>
      <c r="C6" s="524"/>
      <c r="D6" s="530"/>
      <c r="E6" s="531"/>
      <c r="F6" s="532"/>
      <c r="G6" s="532"/>
      <c r="H6" s="506">
        <f>SUM(H7:H29)</f>
        <v>306609.4</v>
      </c>
      <c r="I6" s="506">
        <f>SUM(I7:I29)</f>
        <v>29308.8</v>
      </c>
      <c r="J6" s="555"/>
      <c r="M6" s="262"/>
    </row>
    <row r="7" ht="17" customHeight="1" spans="1:13">
      <c r="A7" s="533"/>
      <c r="B7" s="534" t="s">
        <v>1004</v>
      </c>
      <c r="C7" s="535" t="s">
        <v>1005</v>
      </c>
      <c r="D7" s="207" t="s">
        <v>558</v>
      </c>
      <c r="E7" s="536">
        <f>122.7*10*2/1000+102.78*20*2/1000</f>
        <v>6.5652</v>
      </c>
      <c r="F7" s="537">
        <v>9500</v>
      </c>
      <c r="G7" s="538"/>
      <c r="H7" s="230">
        <f t="shared" ref="H7:H29" si="0">E7*F7</f>
        <v>62369.4</v>
      </c>
      <c r="I7" s="223"/>
      <c r="J7" s="556"/>
      <c r="M7" s="262"/>
    </row>
    <row r="8" ht="17" customHeight="1" spans="1:10">
      <c r="A8" s="533"/>
      <c r="B8" s="539" t="s">
        <v>1006</v>
      </c>
      <c r="C8" s="222" t="s">
        <v>1007</v>
      </c>
      <c r="D8" s="540" t="s">
        <v>284</v>
      </c>
      <c r="E8" s="541">
        <v>2</v>
      </c>
      <c r="F8" s="542">
        <v>13780</v>
      </c>
      <c r="G8" s="542">
        <f>F8*0.12</f>
        <v>1653.6</v>
      </c>
      <c r="H8" s="542">
        <f t="shared" si="0"/>
        <v>27560</v>
      </c>
      <c r="I8" s="542">
        <f t="shared" ref="I8:I29" si="1">E8*G8</f>
        <v>3307.2</v>
      </c>
      <c r="J8" s="557"/>
    </row>
    <row r="9" ht="17" customHeight="1" spans="1:10">
      <c r="A9" s="533"/>
      <c r="B9" s="539" t="s">
        <v>1008</v>
      </c>
      <c r="C9" s="222" t="s">
        <v>1007</v>
      </c>
      <c r="D9" s="540" t="s">
        <v>284</v>
      </c>
      <c r="E9" s="541">
        <v>2</v>
      </c>
      <c r="F9" s="542">
        <v>11550</v>
      </c>
      <c r="G9" s="542">
        <f t="shared" ref="G9:G29" si="2">F9*0.12</f>
        <v>1386</v>
      </c>
      <c r="H9" s="542">
        <f t="shared" si="0"/>
        <v>23100</v>
      </c>
      <c r="I9" s="542">
        <f t="shared" si="1"/>
        <v>2772</v>
      </c>
      <c r="J9" s="557"/>
    </row>
    <row r="10" ht="17" customHeight="1" spans="1:10">
      <c r="A10" s="533"/>
      <c r="B10" s="539" t="s">
        <v>1009</v>
      </c>
      <c r="C10" s="222" t="s">
        <v>1010</v>
      </c>
      <c r="D10" s="540" t="s">
        <v>284</v>
      </c>
      <c r="E10" s="541">
        <v>7</v>
      </c>
      <c r="F10" s="542">
        <v>110</v>
      </c>
      <c r="G10" s="542">
        <f t="shared" si="2"/>
        <v>13.2</v>
      </c>
      <c r="H10" s="542">
        <f t="shared" si="0"/>
        <v>770</v>
      </c>
      <c r="I10" s="542">
        <f t="shared" si="1"/>
        <v>92.4</v>
      </c>
      <c r="J10" s="557"/>
    </row>
    <row r="11" ht="17" customHeight="1" spans="1:10">
      <c r="A11" s="533"/>
      <c r="B11" s="539" t="s">
        <v>1011</v>
      </c>
      <c r="C11" s="222" t="s">
        <v>1012</v>
      </c>
      <c r="D11" s="540" t="s">
        <v>284</v>
      </c>
      <c r="E11" s="541">
        <v>3</v>
      </c>
      <c r="F11" s="542">
        <v>1800</v>
      </c>
      <c r="G11" s="542">
        <f t="shared" si="2"/>
        <v>216</v>
      </c>
      <c r="H11" s="542">
        <f t="shared" si="0"/>
        <v>5400</v>
      </c>
      <c r="I11" s="542">
        <f t="shared" si="1"/>
        <v>648</v>
      </c>
      <c r="J11" s="557"/>
    </row>
    <row r="12" ht="17" customHeight="1" spans="1:10">
      <c r="A12" s="533"/>
      <c r="B12" s="539" t="s">
        <v>1013</v>
      </c>
      <c r="C12" s="222" t="s">
        <v>1012</v>
      </c>
      <c r="D12" s="540" t="s">
        <v>284</v>
      </c>
      <c r="E12" s="541">
        <v>3</v>
      </c>
      <c r="F12" s="542">
        <v>1650</v>
      </c>
      <c r="G12" s="542">
        <f t="shared" si="2"/>
        <v>198</v>
      </c>
      <c r="H12" s="542">
        <f t="shared" si="0"/>
        <v>4950</v>
      </c>
      <c r="I12" s="542">
        <f t="shared" si="1"/>
        <v>594</v>
      </c>
      <c r="J12" s="557"/>
    </row>
    <row r="13" s="512" customFormat="1" ht="17" customHeight="1" spans="1:10">
      <c r="A13" s="533"/>
      <c r="B13" s="539" t="s">
        <v>1014</v>
      </c>
      <c r="C13" s="222" t="s">
        <v>1015</v>
      </c>
      <c r="D13" s="540" t="s">
        <v>284</v>
      </c>
      <c r="E13" s="541">
        <v>2</v>
      </c>
      <c r="F13" s="542">
        <v>26500</v>
      </c>
      <c r="G13" s="542">
        <f t="shared" si="2"/>
        <v>3180</v>
      </c>
      <c r="H13" s="542">
        <f t="shared" si="0"/>
        <v>53000</v>
      </c>
      <c r="I13" s="542">
        <f t="shared" si="1"/>
        <v>6360</v>
      </c>
      <c r="J13" s="557"/>
    </row>
    <row r="14" ht="17" customHeight="1" spans="1:10">
      <c r="A14" s="533"/>
      <c r="B14" s="543" t="s">
        <v>1016</v>
      </c>
      <c r="C14" s="222"/>
      <c r="D14" s="540" t="s">
        <v>284</v>
      </c>
      <c r="E14" s="541">
        <v>4</v>
      </c>
      <c r="F14" s="542">
        <v>200</v>
      </c>
      <c r="G14" s="542">
        <f t="shared" si="2"/>
        <v>24</v>
      </c>
      <c r="H14" s="542">
        <f t="shared" si="0"/>
        <v>800</v>
      </c>
      <c r="I14" s="542">
        <f t="shared" si="1"/>
        <v>96</v>
      </c>
      <c r="J14" s="558" t="s">
        <v>1017</v>
      </c>
    </row>
    <row r="15" ht="17" customHeight="1" spans="1:10">
      <c r="A15" s="533"/>
      <c r="B15" s="543" t="s">
        <v>1018</v>
      </c>
      <c r="C15" s="222"/>
      <c r="D15" s="540" t="s">
        <v>284</v>
      </c>
      <c r="E15" s="541">
        <v>4</v>
      </c>
      <c r="F15" s="542">
        <v>145</v>
      </c>
      <c r="G15" s="542">
        <f t="shared" si="2"/>
        <v>17.4</v>
      </c>
      <c r="H15" s="542">
        <f t="shared" si="0"/>
        <v>580</v>
      </c>
      <c r="I15" s="542">
        <f t="shared" si="1"/>
        <v>69.6</v>
      </c>
      <c r="J15" s="558" t="s">
        <v>1017</v>
      </c>
    </row>
    <row r="16" ht="17" customHeight="1" spans="1:10">
      <c r="A16" s="533"/>
      <c r="B16" s="539" t="s">
        <v>1019</v>
      </c>
      <c r="C16" s="222"/>
      <c r="D16" s="540" t="s">
        <v>284</v>
      </c>
      <c r="E16" s="541">
        <v>2</v>
      </c>
      <c r="F16" s="542">
        <v>1200</v>
      </c>
      <c r="G16" s="542">
        <f t="shared" si="2"/>
        <v>144</v>
      </c>
      <c r="H16" s="542">
        <f t="shared" si="0"/>
        <v>2400</v>
      </c>
      <c r="I16" s="542">
        <f t="shared" si="1"/>
        <v>288</v>
      </c>
      <c r="J16" s="557"/>
    </row>
    <row r="17" ht="17" customHeight="1" spans="1:10">
      <c r="A17" s="533"/>
      <c r="B17" s="543" t="s">
        <v>1020</v>
      </c>
      <c r="C17" s="222"/>
      <c r="D17" s="540" t="s">
        <v>284</v>
      </c>
      <c r="E17" s="541">
        <v>2</v>
      </c>
      <c r="F17" s="542">
        <v>920</v>
      </c>
      <c r="G17" s="542">
        <f t="shared" si="2"/>
        <v>110.4</v>
      </c>
      <c r="H17" s="542">
        <f t="shared" si="0"/>
        <v>1840</v>
      </c>
      <c r="I17" s="542">
        <f t="shared" si="1"/>
        <v>220.8</v>
      </c>
      <c r="J17" s="557"/>
    </row>
    <row r="18" ht="17" customHeight="1" spans="1:10">
      <c r="A18" s="533"/>
      <c r="B18" s="543" t="s">
        <v>1021</v>
      </c>
      <c r="C18" s="222"/>
      <c r="D18" s="540" t="s">
        <v>284</v>
      </c>
      <c r="E18" s="541">
        <v>2</v>
      </c>
      <c r="F18" s="542">
        <v>770</v>
      </c>
      <c r="G18" s="542">
        <f t="shared" si="2"/>
        <v>92.4</v>
      </c>
      <c r="H18" s="542">
        <f t="shared" si="0"/>
        <v>1540</v>
      </c>
      <c r="I18" s="542">
        <f t="shared" si="1"/>
        <v>184.8</v>
      </c>
      <c r="J18" s="557"/>
    </row>
    <row r="19" ht="17" customHeight="1" spans="1:10">
      <c r="A19" s="533"/>
      <c r="B19" s="543" t="s">
        <v>1022</v>
      </c>
      <c r="C19" s="222"/>
      <c r="D19" s="540" t="s">
        <v>284</v>
      </c>
      <c r="E19" s="540">
        <v>2</v>
      </c>
      <c r="F19" s="542">
        <v>1950</v>
      </c>
      <c r="G19" s="542">
        <f t="shared" si="2"/>
        <v>234</v>
      </c>
      <c r="H19" s="542">
        <f t="shared" si="0"/>
        <v>3900</v>
      </c>
      <c r="I19" s="542">
        <f t="shared" si="1"/>
        <v>468</v>
      </c>
      <c r="J19" s="557"/>
    </row>
    <row r="20" ht="17" customHeight="1" spans="1:10">
      <c r="A20" s="533"/>
      <c r="B20" s="543" t="s">
        <v>1023</v>
      </c>
      <c r="C20" s="222"/>
      <c r="D20" s="540" t="s">
        <v>284</v>
      </c>
      <c r="E20" s="540">
        <v>3</v>
      </c>
      <c r="F20" s="542">
        <v>1350</v>
      </c>
      <c r="G20" s="542">
        <f t="shared" si="2"/>
        <v>162</v>
      </c>
      <c r="H20" s="542">
        <f t="shared" si="0"/>
        <v>4050</v>
      </c>
      <c r="I20" s="542">
        <f t="shared" si="1"/>
        <v>486</v>
      </c>
      <c r="J20" s="557"/>
    </row>
    <row r="21" ht="17" customHeight="1" spans="1:10">
      <c r="A21" s="533"/>
      <c r="B21" s="543" t="s">
        <v>1024</v>
      </c>
      <c r="C21" s="222"/>
      <c r="D21" s="540" t="s">
        <v>284</v>
      </c>
      <c r="E21" s="540">
        <v>2</v>
      </c>
      <c r="F21" s="542">
        <v>2670</v>
      </c>
      <c r="G21" s="542">
        <f t="shared" si="2"/>
        <v>320.4</v>
      </c>
      <c r="H21" s="542">
        <f t="shared" si="0"/>
        <v>5340</v>
      </c>
      <c r="I21" s="542">
        <f t="shared" si="1"/>
        <v>640.8</v>
      </c>
      <c r="J21" s="557"/>
    </row>
    <row r="22" ht="17" customHeight="1" spans="1:10">
      <c r="A22" s="533"/>
      <c r="B22" s="543" t="s">
        <v>1025</v>
      </c>
      <c r="C22" s="222"/>
      <c r="D22" s="540" t="s">
        <v>284</v>
      </c>
      <c r="E22" s="540">
        <v>2</v>
      </c>
      <c r="F22" s="542">
        <v>2585</v>
      </c>
      <c r="G22" s="542">
        <f t="shared" si="2"/>
        <v>310.2</v>
      </c>
      <c r="H22" s="542">
        <f t="shared" si="0"/>
        <v>5170</v>
      </c>
      <c r="I22" s="542">
        <f t="shared" si="1"/>
        <v>620.4</v>
      </c>
      <c r="J22" s="557"/>
    </row>
    <row r="23" ht="17" customHeight="1" spans="1:10">
      <c r="A23" s="533"/>
      <c r="B23" s="539" t="s">
        <v>1026</v>
      </c>
      <c r="C23" s="222"/>
      <c r="D23" s="541" t="s">
        <v>558</v>
      </c>
      <c r="E23" s="541">
        <v>0.6</v>
      </c>
      <c r="F23" s="542">
        <v>9000</v>
      </c>
      <c r="G23" s="542">
        <f t="shared" si="2"/>
        <v>1080</v>
      </c>
      <c r="H23" s="542">
        <f t="shared" si="0"/>
        <v>5400</v>
      </c>
      <c r="I23" s="542">
        <f t="shared" si="1"/>
        <v>648</v>
      </c>
      <c r="J23" s="557"/>
    </row>
    <row r="24" ht="17" customHeight="1" spans="1:10">
      <c r="A24" s="533"/>
      <c r="B24" s="539" t="s">
        <v>1027</v>
      </c>
      <c r="C24" s="222"/>
      <c r="D24" s="541" t="s">
        <v>558</v>
      </c>
      <c r="E24" s="542">
        <f>2*36.5*15/1000</f>
        <v>1.095</v>
      </c>
      <c r="F24" s="542">
        <v>9000</v>
      </c>
      <c r="G24" s="542">
        <f t="shared" si="2"/>
        <v>1080</v>
      </c>
      <c r="H24" s="542">
        <f t="shared" si="0"/>
        <v>9855</v>
      </c>
      <c r="I24" s="542">
        <f t="shared" si="1"/>
        <v>1182.6</v>
      </c>
      <c r="J24" s="557"/>
    </row>
    <row r="25" ht="17" customHeight="1" spans="1:10">
      <c r="A25" s="533"/>
      <c r="B25" s="539" t="s">
        <v>1028</v>
      </c>
      <c r="C25" s="222"/>
      <c r="D25" s="540" t="s">
        <v>329</v>
      </c>
      <c r="E25" s="542">
        <v>1</v>
      </c>
      <c r="F25" s="542">
        <v>38000</v>
      </c>
      <c r="G25" s="542">
        <f t="shared" si="2"/>
        <v>4560</v>
      </c>
      <c r="H25" s="542">
        <f t="shared" si="0"/>
        <v>38000</v>
      </c>
      <c r="I25" s="542">
        <f t="shared" si="1"/>
        <v>4560</v>
      </c>
      <c r="J25" s="557"/>
    </row>
    <row r="26" ht="17" customHeight="1" spans="1:10">
      <c r="A26" s="533"/>
      <c r="B26" s="539" t="s">
        <v>1029</v>
      </c>
      <c r="C26" s="222"/>
      <c r="D26" s="541" t="s">
        <v>146</v>
      </c>
      <c r="E26" s="541">
        <v>70</v>
      </c>
      <c r="F26" s="542">
        <v>320</v>
      </c>
      <c r="G26" s="542">
        <f t="shared" si="2"/>
        <v>38.4</v>
      </c>
      <c r="H26" s="542">
        <f t="shared" si="0"/>
        <v>22400</v>
      </c>
      <c r="I26" s="542">
        <f t="shared" si="1"/>
        <v>2688</v>
      </c>
      <c r="J26" s="557"/>
    </row>
    <row r="27" ht="17" customHeight="1" spans="1:10">
      <c r="A27" s="533"/>
      <c r="B27" s="539" t="s">
        <v>1030</v>
      </c>
      <c r="C27" s="222"/>
      <c r="D27" s="541" t="s">
        <v>146</v>
      </c>
      <c r="E27" s="541">
        <v>45</v>
      </c>
      <c r="F27" s="542">
        <v>75</v>
      </c>
      <c r="G27" s="542">
        <f t="shared" si="2"/>
        <v>9</v>
      </c>
      <c r="H27" s="542">
        <f t="shared" si="0"/>
        <v>3375</v>
      </c>
      <c r="I27" s="542">
        <f t="shared" si="1"/>
        <v>405</v>
      </c>
      <c r="J27" s="557"/>
    </row>
    <row r="28" ht="17" customHeight="1" spans="1:10">
      <c r="A28" s="533"/>
      <c r="B28" s="539" t="s">
        <v>1031</v>
      </c>
      <c r="C28" s="222"/>
      <c r="D28" s="541" t="s">
        <v>146</v>
      </c>
      <c r="E28" s="541">
        <v>60</v>
      </c>
      <c r="F28" s="542">
        <v>151</v>
      </c>
      <c r="G28" s="542">
        <f t="shared" si="2"/>
        <v>18.12</v>
      </c>
      <c r="H28" s="542">
        <f t="shared" si="0"/>
        <v>9060</v>
      </c>
      <c r="I28" s="542">
        <f t="shared" si="1"/>
        <v>1087.2</v>
      </c>
      <c r="J28" s="557"/>
    </row>
    <row r="29" ht="17" customHeight="1" spans="1:10">
      <c r="A29" s="533"/>
      <c r="B29" s="539" t="s">
        <v>1032</v>
      </c>
      <c r="C29" s="222"/>
      <c r="D29" s="541" t="s">
        <v>146</v>
      </c>
      <c r="E29" s="541">
        <f>15*3</f>
        <v>45</v>
      </c>
      <c r="F29" s="542">
        <v>350</v>
      </c>
      <c r="G29" s="542">
        <f t="shared" si="2"/>
        <v>42</v>
      </c>
      <c r="H29" s="542">
        <f t="shared" si="0"/>
        <v>15750</v>
      </c>
      <c r="I29" s="542">
        <f t="shared" si="1"/>
        <v>1890</v>
      </c>
      <c r="J29" s="557"/>
    </row>
    <row r="30" ht="17" customHeight="1" spans="1:14">
      <c r="A30" s="533">
        <v>2</v>
      </c>
      <c r="B30" s="524" t="s">
        <v>335</v>
      </c>
      <c r="C30" s="524"/>
      <c r="D30" s="530"/>
      <c r="E30" s="531"/>
      <c r="F30" s="532"/>
      <c r="G30" s="532"/>
      <c r="H30" s="506">
        <f>SUM(H31:H71)</f>
        <v>624109.840115</v>
      </c>
      <c r="I30" s="506">
        <f>SUM(I31:I71)</f>
        <v>50646.22917</v>
      </c>
      <c r="J30" s="555"/>
      <c r="N30" s="262"/>
    </row>
    <row r="31" ht="17" customHeight="1" spans="1:14">
      <c r="A31" s="533"/>
      <c r="B31" s="534" t="s">
        <v>1004</v>
      </c>
      <c r="C31" s="535" t="s">
        <v>1005</v>
      </c>
      <c r="D31" s="207" t="s">
        <v>558</v>
      </c>
      <c r="E31" s="536">
        <f>14.5*1.2</f>
        <v>17.4</v>
      </c>
      <c r="F31" s="537">
        <v>9500</v>
      </c>
      <c r="G31" s="538"/>
      <c r="H31" s="230">
        <f>E31*F31</f>
        <v>165300</v>
      </c>
      <c r="I31" s="223"/>
      <c r="J31" s="556"/>
      <c r="K31" s="262"/>
      <c r="N31" s="262"/>
    </row>
    <row r="32" ht="17" customHeight="1" spans="1:10">
      <c r="A32" s="533"/>
      <c r="B32" s="544" t="s">
        <v>1033</v>
      </c>
      <c r="C32" s="535" t="s">
        <v>1034</v>
      </c>
      <c r="D32" s="222" t="s">
        <v>284</v>
      </c>
      <c r="E32" s="545">
        <v>2</v>
      </c>
      <c r="F32" s="546">
        <v>8300</v>
      </c>
      <c r="G32" s="542">
        <f>F32*0.12</f>
        <v>996</v>
      </c>
      <c r="H32" s="542">
        <f>E32*F32</f>
        <v>16600</v>
      </c>
      <c r="I32" s="542">
        <f>E32*G32</f>
        <v>1992</v>
      </c>
      <c r="J32" s="558" t="s">
        <v>1017</v>
      </c>
    </row>
    <row r="33" ht="17" customHeight="1" spans="1:10">
      <c r="A33" s="533"/>
      <c r="B33" s="544" t="s">
        <v>1035</v>
      </c>
      <c r="C33" s="535" t="str">
        <f>C32</f>
        <v>公称压力2.0MPa</v>
      </c>
      <c r="D33" s="222" t="s">
        <v>284</v>
      </c>
      <c r="E33" s="545">
        <v>2</v>
      </c>
      <c r="F33" s="546">
        <v>9800</v>
      </c>
      <c r="G33" s="542">
        <f t="shared" ref="G33:G67" si="3">F33*0.12</f>
        <v>1176</v>
      </c>
      <c r="H33" s="542">
        <f t="shared" ref="H33:H38" si="4">E33*F33</f>
        <v>19600</v>
      </c>
      <c r="I33" s="542">
        <f t="shared" ref="I33:I38" si="5">E33*G33</f>
        <v>2352</v>
      </c>
      <c r="J33" s="558" t="s">
        <v>1017</v>
      </c>
    </row>
    <row r="34" ht="17" customHeight="1" spans="1:10">
      <c r="A34" s="533"/>
      <c r="B34" s="539" t="s">
        <v>1036</v>
      </c>
      <c r="C34" s="535" t="str">
        <f>C33</f>
        <v>公称压力2.0MPa</v>
      </c>
      <c r="D34" s="540" t="s">
        <v>284</v>
      </c>
      <c r="E34" s="541">
        <v>2</v>
      </c>
      <c r="F34" s="542">
        <v>10680</v>
      </c>
      <c r="G34" s="542">
        <f t="shared" si="3"/>
        <v>1281.6</v>
      </c>
      <c r="H34" s="542">
        <f t="shared" si="4"/>
        <v>21360</v>
      </c>
      <c r="I34" s="542">
        <f t="shared" si="5"/>
        <v>2563.2</v>
      </c>
      <c r="J34" s="557"/>
    </row>
    <row r="35" ht="17" customHeight="1" spans="1:10">
      <c r="A35" s="533"/>
      <c r="B35" s="539" t="s">
        <v>1037</v>
      </c>
      <c r="C35" s="535" t="str">
        <f>C34</f>
        <v>公称压力2.0MPa</v>
      </c>
      <c r="D35" s="540" t="s">
        <v>284</v>
      </c>
      <c r="E35" s="541">
        <v>2</v>
      </c>
      <c r="F35" s="542">
        <v>12000</v>
      </c>
      <c r="G35" s="542">
        <f t="shared" si="3"/>
        <v>1440</v>
      </c>
      <c r="H35" s="542">
        <f t="shared" si="4"/>
        <v>24000</v>
      </c>
      <c r="I35" s="542">
        <f t="shared" si="5"/>
        <v>2880</v>
      </c>
      <c r="J35" s="557"/>
    </row>
    <row r="36" ht="17" customHeight="1" spans="1:10">
      <c r="A36" s="533"/>
      <c r="B36" s="539" t="s">
        <v>1038</v>
      </c>
      <c r="C36" s="535" t="str">
        <f>C35</f>
        <v>公称压力2.0MPa</v>
      </c>
      <c r="D36" s="540" t="s">
        <v>284</v>
      </c>
      <c r="E36" s="541">
        <v>2</v>
      </c>
      <c r="F36" s="542">
        <v>8650</v>
      </c>
      <c r="G36" s="542">
        <f t="shared" si="3"/>
        <v>1038</v>
      </c>
      <c r="H36" s="542">
        <f t="shared" si="4"/>
        <v>17300</v>
      </c>
      <c r="I36" s="542">
        <f t="shared" si="5"/>
        <v>2076</v>
      </c>
      <c r="J36" s="557"/>
    </row>
    <row r="37" ht="17" customHeight="1" spans="1:10">
      <c r="A37" s="533"/>
      <c r="B37" s="539" t="s">
        <v>1039</v>
      </c>
      <c r="C37" s="535" t="str">
        <f>C36</f>
        <v>公称压力2.0MPa</v>
      </c>
      <c r="D37" s="540" t="s">
        <v>284</v>
      </c>
      <c r="E37" s="541">
        <v>2</v>
      </c>
      <c r="F37" s="542">
        <v>11500</v>
      </c>
      <c r="G37" s="542">
        <f t="shared" si="3"/>
        <v>1380</v>
      </c>
      <c r="H37" s="542">
        <f t="shared" si="4"/>
        <v>23000</v>
      </c>
      <c r="I37" s="542">
        <f t="shared" si="5"/>
        <v>2760</v>
      </c>
      <c r="J37" s="557"/>
    </row>
    <row r="38" ht="17" customHeight="1" spans="1:10">
      <c r="A38" s="533"/>
      <c r="B38" s="544" t="s">
        <v>1040</v>
      </c>
      <c r="C38" s="535" t="s">
        <v>1041</v>
      </c>
      <c r="D38" s="222" t="s">
        <v>284</v>
      </c>
      <c r="E38" s="547">
        <v>2</v>
      </c>
      <c r="F38" s="546">
        <v>500</v>
      </c>
      <c r="G38" s="542">
        <f t="shared" si="3"/>
        <v>60</v>
      </c>
      <c r="H38" s="542">
        <f t="shared" si="4"/>
        <v>1000</v>
      </c>
      <c r="I38" s="542">
        <f t="shared" si="5"/>
        <v>120</v>
      </c>
      <c r="J38" s="557"/>
    </row>
    <row r="39" ht="17" customHeight="1" spans="1:10">
      <c r="A39" s="533"/>
      <c r="B39" s="544" t="s">
        <v>1040</v>
      </c>
      <c r="C39" s="535" t="s">
        <v>1042</v>
      </c>
      <c r="D39" s="222" t="s">
        <v>284</v>
      </c>
      <c r="E39" s="547">
        <v>2</v>
      </c>
      <c r="F39" s="546">
        <v>400</v>
      </c>
      <c r="G39" s="542">
        <f t="shared" si="3"/>
        <v>48</v>
      </c>
      <c r="H39" s="542">
        <f t="shared" ref="H39:H57" si="6">E39*F39</f>
        <v>800</v>
      </c>
      <c r="I39" s="542">
        <f t="shared" ref="I39:I57" si="7">E39*G39</f>
        <v>96</v>
      </c>
      <c r="J39" s="557"/>
    </row>
    <row r="40" ht="17" customHeight="1" spans="1:10">
      <c r="A40" s="533"/>
      <c r="B40" s="544" t="s">
        <v>1043</v>
      </c>
      <c r="C40" s="535" t="s">
        <v>1044</v>
      </c>
      <c r="D40" s="222" t="s">
        <v>284</v>
      </c>
      <c r="E40" s="547">
        <v>2</v>
      </c>
      <c r="F40" s="546">
        <v>480</v>
      </c>
      <c r="G40" s="542">
        <f t="shared" si="3"/>
        <v>57.6</v>
      </c>
      <c r="H40" s="542">
        <f t="shared" si="6"/>
        <v>960</v>
      </c>
      <c r="I40" s="542">
        <f t="shared" si="7"/>
        <v>115.2</v>
      </c>
      <c r="J40" s="557"/>
    </row>
    <row r="41" ht="17" customHeight="1" spans="1:10">
      <c r="A41" s="533"/>
      <c r="B41" s="544" t="s">
        <v>1043</v>
      </c>
      <c r="C41" s="535" t="s">
        <v>1045</v>
      </c>
      <c r="D41" s="222" t="s">
        <v>284</v>
      </c>
      <c r="E41" s="547">
        <v>2</v>
      </c>
      <c r="F41" s="546">
        <v>380</v>
      </c>
      <c r="G41" s="542">
        <f t="shared" si="3"/>
        <v>45.6</v>
      </c>
      <c r="H41" s="542">
        <f t="shared" si="6"/>
        <v>760</v>
      </c>
      <c r="I41" s="542">
        <f t="shared" si="7"/>
        <v>91.2</v>
      </c>
      <c r="J41" s="557"/>
    </row>
    <row r="42" ht="17" customHeight="1" spans="1:10">
      <c r="A42" s="533"/>
      <c r="B42" s="544" t="s">
        <v>1046</v>
      </c>
      <c r="C42" s="535" t="s">
        <v>1047</v>
      </c>
      <c r="D42" s="222" t="s">
        <v>284</v>
      </c>
      <c r="E42" s="547">
        <v>2</v>
      </c>
      <c r="F42" s="546">
        <v>320</v>
      </c>
      <c r="G42" s="542">
        <f t="shared" si="3"/>
        <v>38.4</v>
      </c>
      <c r="H42" s="542">
        <f t="shared" si="6"/>
        <v>640</v>
      </c>
      <c r="I42" s="542">
        <f t="shared" si="7"/>
        <v>76.8</v>
      </c>
      <c r="J42" s="558" t="s">
        <v>1017</v>
      </c>
    </row>
    <row r="43" ht="17" customHeight="1" spans="1:10">
      <c r="A43" s="533"/>
      <c r="B43" s="544" t="s">
        <v>1046</v>
      </c>
      <c r="C43" s="535" t="s">
        <v>1048</v>
      </c>
      <c r="D43" s="222" t="s">
        <v>284</v>
      </c>
      <c r="E43" s="545">
        <v>2</v>
      </c>
      <c r="F43" s="546">
        <v>300</v>
      </c>
      <c r="G43" s="542">
        <f t="shared" si="3"/>
        <v>36</v>
      </c>
      <c r="H43" s="542">
        <f t="shared" si="6"/>
        <v>600</v>
      </c>
      <c r="I43" s="542">
        <f t="shared" si="7"/>
        <v>72</v>
      </c>
      <c r="J43" s="558" t="s">
        <v>1017</v>
      </c>
    </row>
    <row r="44" s="262" customFormat="1" ht="17" customHeight="1" spans="1:10">
      <c r="A44" s="533"/>
      <c r="B44" s="544" t="s">
        <v>1049</v>
      </c>
      <c r="C44" s="535" t="s">
        <v>1050</v>
      </c>
      <c r="D44" s="222" t="s">
        <v>284</v>
      </c>
      <c r="E44" s="545">
        <v>2</v>
      </c>
      <c r="F44" s="546">
        <v>1650</v>
      </c>
      <c r="G44" s="542">
        <f t="shared" si="3"/>
        <v>198</v>
      </c>
      <c r="H44" s="542">
        <f t="shared" si="6"/>
        <v>3300</v>
      </c>
      <c r="I44" s="542">
        <f t="shared" si="7"/>
        <v>396</v>
      </c>
      <c r="J44" s="558"/>
    </row>
    <row r="45" s="262" customFormat="1" ht="17" customHeight="1" spans="1:10">
      <c r="A45" s="533"/>
      <c r="B45" s="544" t="s">
        <v>1051</v>
      </c>
      <c r="C45" s="535" t="s">
        <v>1052</v>
      </c>
      <c r="D45" s="222" t="s">
        <v>284</v>
      </c>
      <c r="E45" s="547">
        <v>2</v>
      </c>
      <c r="F45" s="546">
        <v>1240</v>
      </c>
      <c r="G45" s="542">
        <f t="shared" si="3"/>
        <v>148.8</v>
      </c>
      <c r="H45" s="542">
        <f t="shared" si="6"/>
        <v>2480</v>
      </c>
      <c r="I45" s="542">
        <f t="shared" si="7"/>
        <v>297.6</v>
      </c>
      <c r="J45" s="558"/>
    </row>
    <row r="46" s="513" customFormat="1" ht="17" customHeight="1" spans="1:10">
      <c r="A46" s="533"/>
      <c r="B46" s="544" t="s">
        <v>1053</v>
      </c>
      <c r="C46" s="535" t="s">
        <v>1054</v>
      </c>
      <c r="D46" s="222" t="s">
        <v>284</v>
      </c>
      <c r="E46" s="545">
        <v>2</v>
      </c>
      <c r="F46" s="546">
        <v>1150</v>
      </c>
      <c r="G46" s="542">
        <f t="shared" si="3"/>
        <v>138</v>
      </c>
      <c r="H46" s="542">
        <f t="shared" si="6"/>
        <v>2300</v>
      </c>
      <c r="I46" s="542">
        <f t="shared" si="7"/>
        <v>276</v>
      </c>
      <c r="J46" s="557"/>
    </row>
    <row r="47" ht="17" customHeight="1" spans="1:10">
      <c r="A47" s="533"/>
      <c r="B47" s="544" t="s">
        <v>1055</v>
      </c>
      <c r="C47" s="535" t="s">
        <v>1054</v>
      </c>
      <c r="D47" s="222" t="s">
        <v>284</v>
      </c>
      <c r="E47" s="547">
        <v>2</v>
      </c>
      <c r="F47" s="546">
        <v>980</v>
      </c>
      <c r="G47" s="542">
        <f t="shared" si="3"/>
        <v>117.6</v>
      </c>
      <c r="H47" s="542">
        <f t="shared" si="6"/>
        <v>1960</v>
      </c>
      <c r="I47" s="542">
        <f t="shared" si="7"/>
        <v>235.2</v>
      </c>
      <c r="J47" s="557"/>
    </row>
    <row r="48" ht="17" customHeight="1" spans="1:10">
      <c r="A48" s="548"/>
      <c r="B48" s="544" t="s">
        <v>1056</v>
      </c>
      <c r="C48" s="535" t="s">
        <v>1057</v>
      </c>
      <c r="D48" s="222" t="s">
        <v>284</v>
      </c>
      <c r="E48" s="547">
        <v>4</v>
      </c>
      <c r="F48" s="546">
        <v>60</v>
      </c>
      <c r="G48" s="542">
        <f t="shared" si="3"/>
        <v>7.2</v>
      </c>
      <c r="H48" s="542">
        <f t="shared" si="6"/>
        <v>240</v>
      </c>
      <c r="I48" s="542">
        <f t="shared" si="7"/>
        <v>28.8</v>
      </c>
      <c r="J48" s="557"/>
    </row>
    <row r="49" ht="17" customHeight="1" spans="1:10">
      <c r="A49" s="548"/>
      <c r="B49" s="544" t="s">
        <v>1058</v>
      </c>
      <c r="C49" s="535" t="s">
        <v>1059</v>
      </c>
      <c r="D49" s="222" t="s">
        <v>284</v>
      </c>
      <c r="E49" s="547">
        <v>2</v>
      </c>
      <c r="F49" s="546">
        <v>480</v>
      </c>
      <c r="G49" s="542">
        <f t="shared" si="3"/>
        <v>57.6</v>
      </c>
      <c r="H49" s="542">
        <f t="shared" si="6"/>
        <v>960</v>
      </c>
      <c r="I49" s="542">
        <f t="shared" si="7"/>
        <v>115.2</v>
      </c>
      <c r="J49" s="557"/>
    </row>
    <row r="50" ht="17" customHeight="1" spans="1:10">
      <c r="A50" s="548"/>
      <c r="B50" s="544" t="s">
        <v>1060</v>
      </c>
      <c r="C50" s="535" t="s">
        <v>1061</v>
      </c>
      <c r="D50" s="222" t="s">
        <v>284</v>
      </c>
      <c r="E50" s="545">
        <v>2</v>
      </c>
      <c r="F50" s="546">
        <v>3850</v>
      </c>
      <c r="G50" s="542">
        <f t="shared" si="3"/>
        <v>462</v>
      </c>
      <c r="H50" s="542">
        <f t="shared" si="6"/>
        <v>7700</v>
      </c>
      <c r="I50" s="542">
        <f t="shared" si="7"/>
        <v>924</v>
      </c>
      <c r="J50" s="557"/>
    </row>
    <row r="51" ht="17" customHeight="1" spans="1:10">
      <c r="A51" s="548"/>
      <c r="B51" s="544" t="s">
        <v>1060</v>
      </c>
      <c r="C51" s="535" t="s">
        <v>1062</v>
      </c>
      <c r="D51" s="222" t="s">
        <v>284</v>
      </c>
      <c r="E51" s="545">
        <v>2</v>
      </c>
      <c r="F51" s="546">
        <v>2600</v>
      </c>
      <c r="G51" s="542">
        <f t="shared" si="3"/>
        <v>312</v>
      </c>
      <c r="H51" s="542">
        <f t="shared" si="6"/>
        <v>5200</v>
      </c>
      <c r="I51" s="542">
        <f t="shared" si="7"/>
        <v>624</v>
      </c>
      <c r="J51" s="557"/>
    </row>
    <row r="52" ht="17" customHeight="1" spans="1:10">
      <c r="A52" s="548"/>
      <c r="B52" s="544" t="s">
        <v>1063</v>
      </c>
      <c r="C52" s="535" t="s">
        <v>1064</v>
      </c>
      <c r="D52" s="222" t="s">
        <v>580</v>
      </c>
      <c r="E52" s="549">
        <v>1.0959795</v>
      </c>
      <c r="F52" s="546">
        <v>8500</v>
      </c>
      <c r="G52" s="542">
        <f t="shared" si="3"/>
        <v>1020</v>
      </c>
      <c r="H52" s="542">
        <f t="shared" si="6"/>
        <v>9315.82575</v>
      </c>
      <c r="I52" s="542">
        <f t="shared" si="7"/>
        <v>1117.89909</v>
      </c>
      <c r="J52" s="557"/>
    </row>
    <row r="53" ht="17" customHeight="1" spans="1:10">
      <c r="A53" s="548"/>
      <c r="B53" s="544" t="s">
        <v>1065</v>
      </c>
      <c r="C53" s="535" t="s">
        <v>1066</v>
      </c>
      <c r="D53" s="222" t="s">
        <v>284</v>
      </c>
      <c r="E53" s="547">
        <v>2</v>
      </c>
      <c r="F53" s="546">
        <v>600</v>
      </c>
      <c r="G53" s="542">
        <f t="shared" si="3"/>
        <v>72</v>
      </c>
      <c r="H53" s="542">
        <f t="shared" si="6"/>
        <v>1200</v>
      </c>
      <c r="I53" s="542">
        <f t="shared" si="7"/>
        <v>144</v>
      </c>
      <c r="J53" s="557"/>
    </row>
    <row r="54" ht="17" customHeight="1" spans="1:10">
      <c r="A54" s="548"/>
      <c r="B54" s="544" t="s">
        <v>1065</v>
      </c>
      <c r="C54" s="535" t="s">
        <v>1067</v>
      </c>
      <c r="D54" s="222" t="s">
        <v>284</v>
      </c>
      <c r="E54" s="547">
        <v>2</v>
      </c>
      <c r="F54" s="546">
        <v>540</v>
      </c>
      <c r="G54" s="542">
        <f t="shared" si="3"/>
        <v>64.8</v>
      </c>
      <c r="H54" s="542">
        <f t="shared" si="6"/>
        <v>1080</v>
      </c>
      <c r="I54" s="542">
        <f t="shared" si="7"/>
        <v>129.6</v>
      </c>
      <c r="J54" s="557"/>
    </row>
    <row r="55" ht="17" customHeight="1" spans="1:10">
      <c r="A55" s="548"/>
      <c r="B55" s="544" t="s">
        <v>1065</v>
      </c>
      <c r="C55" s="535" t="s">
        <v>1068</v>
      </c>
      <c r="D55" s="222" t="s">
        <v>284</v>
      </c>
      <c r="E55" s="545">
        <v>2</v>
      </c>
      <c r="F55" s="546">
        <v>350</v>
      </c>
      <c r="G55" s="542">
        <f t="shared" si="3"/>
        <v>42</v>
      </c>
      <c r="H55" s="542">
        <f t="shared" si="6"/>
        <v>700</v>
      </c>
      <c r="I55" s="542">
        <f t="shared" si="7"/>
        <v>84</v>
      </c>
      <c r="J55" s="557"/>
    </row>
    <row r="56" ht="17" customHeight="1" spans="1:10">
      <c r="A56" s="548"/>
      <c r="B56" s="544" t="s">
        <v>1065</v>
      </c>
      <c r="C56" s="535" t="s">
        <v>1069</v>
      </c>
      <c r="D56" s="222" t="s">
        <v>284</v>
      </c>
      <c r="E56" s="545">
        <v>1</v>
      </c>
      <c r="F56" s="546">
        <v>320</v>
      </c>
      <c r="G56" s="542">
        <f t="shared" si="3"/>
        <v>38.4</v>
      </c>
      <c r="H56" s="542">
        <f t="shared" si="6"/>
        <v>320</v>
      </c>
      <c r="I56" s="542">
        <f t="shared" si="7"/>
        <v>38.4</v>
      </c>
      <c r="J56" s="557"/>
    </row>
    <row r="57" ht="17" customHeight="1" spans="1:10">
      <c r="A57" s="548"/>
      <c r="B57" s="544" t="s">
        <v>1070</v>
      </c>
      <c r="C57" s="535" t="s">
        <v>1071</v>
      </c>
      <c r="D57" s="222" t="s">
        <v>146</v>
      </c>
      <c r="E57" s="550">
        <v>60</v>
      </c>
      <c r="F57" s="546">
        <v>143.5599</v>
      </c>
      <c r="G57" s="542">
        <f t="shared" si="3"/>
        <v>17.227188</v>
      </c>
      <c r="H57" s="542">
        <f t="shared" si="6"/>
        <v>8613.594</v>
      </c>
      <c r="I57" s="542">
        <f t="shared" si="7"/>
        <v>1033.63128</v>
      </c>
      <c r="J57" s="557"/>
    </row>
    <row r="58" ht="17" customHeight="1" spans="1:10">
      <c r="A58" s="548"/>
      <c r="B58" s="539" t="s">
        <v>1026</v>
      </c>
      <c r="C58" s="222"/>
      <c r="D58" s="541" t="s">
        <v>558</v>
      </c>
      <c r="E58" s="541">
        <v>0.6</v>
      </c>
      <c r="F58" s="542">
        <v>9000</v>
      </c>
      <c r="G58" s="542">
        <f t="shared" si="3"/>
        <v>1080</v>
      </c>
      <c r="H58" s="542">
        <f t="shared" ref="H58:H71" si="8">E58*F58</f>
        <v>5400</v>
      </c>
      <c r="I58" s="542">
        <f t="shared" ref="I58:I67" si="9">E58*G58</f>
        <v>648</v>
      </c>
      <c r="J58" s="557"/>
    </row>
    <row r="59" ht="17" customHeight="1" spans="1:10">
      <c r="A59" s="548"/>
      <c r="B59" s="539" t="s">
        <v>1027</v>
      </c>
      <c r="C59" s="222"/>
      <c r="D59" s="541" t="s">
        <v>558</v>
      </c>
      <c r="E59" s="542">
        <f>2*36.5*18/1000</f>
        <v>1.314</v>
      </c>
      <c r="F59" s="542">
        <v>9000</v>
      </c>
      <c r="G59" s="542">
        <f t="shared" si="3"/>
        <v>1080</v>
      </c>
      <c r="H59" s="542">
        <f t="shared" si="8"/>
        <v>11826</v>
      </c>
      <c r="I59" s="542">
        <f t="shared" si="9"/>
        <v>1419.12</v>
      </c>
      <c r="J59" s="557"/>
    </row>
    <row r="60" ht="17" customHeight="1" spans="1:10">
      <c r="A60" s="548"/>
      <c r="B60" s="539" t="s">
        <v>1028</v>
      </c>
      <c r="C60" s="222"/>
      <c r="D60" s="540" t="s">
        <v>329</v>
      </c>
      <c r="E60" s="542">
        <v>1</v>
      </c>
      <c r="F60" s="542">
        <v>38000</v>
      </c>
      <c r="G60" s="542">
        <f t="shared" si="3"/>
        <v>4560</v>
      </c>
      <c r="H60" s="542">
        <f t="shared" si="8"/>
        <v>38000</v>
      </c>
      <c r="I60" s="542">
        <f t="shared" si="9"/>
        <v>4560</v>
      </c>
      <c r="J60" s="557"/>
    </row>
    <row r="61" ht="17" customHeight="1" spans="1:10">
      <c r="A61" s="548"/>
      <c r="B61" s="539" t="s">
        <v>1072</v>
      </c>
      <c r="C61" s="222"/>
      <c r="D61" s="541" t="s">
        <v>558</v>
      </c>
      <c r="E61" s="542">
        <f>2*4.68+2.54</f>
        <v>11.9</v>
      </c>
      <c r="F61" s="542">
        <v>9000</v>
      </c>
      <c r="G61" s="542">
        <f t="shared" si="3"/>
        <v>1080</v>
      </c>
      <c r="H61" s="542">
        <f t="shared" si="8"/>
        <v>107100</v>
      </c>
      <c r="I61" s="542">
        <f t="shared" si="9"/>
        <v>12852</v>
      </c>
      <c r="J61" s="557"/>
    </row>
    <row r="62" ht="17" customHeight="1" spans="1:10">
      <c r="A62" s="548"/>
      <c r="B62" s="539" t="s">
        <v>1073</v>
      </c>
      <c r="C62" s="222"/>
      <c r="D62" s="540" t="s">
        <v>597</v>
      </c>
      <c r="E62" s="542">
        <f>31+(11*2+5)*2</f>
        <v>85</v>
      </c>
      <c r="F62" s="542">
        <v>240</v>
      </c>
      <c r="G62" s="542">
        <f t="shared" si="3"/>
        <v>28.8</v>
      </c>
      <c r="H62" s="542">
        <f t="shared" si="8"/>
        <v>20400</v>
      </c>
      <c r="I62" s="542">
        <f t="shared" si="9"/>
        <v>2448</v>
      </c>
      <c r="J62" s="557"/>
    </row>
    <row r="63" ht="17" customHeight="1" spans="1:10">
      <c r="A63" s="548"/>
      <c r="B63" s="539" t="s">
        <v>1029</v>
      </c>
      <c r="C63" s="222"/>
      <c r="D63" s="541" t="s">
        <v>146</v>
      </c>
      <c r="E63" s="541">
        <v>70</v>
      </c>
      <c r="F63" s="542">
        <v>320</v>
      </c>
      <c r="G63" s="542">
        <f t="shared" si="3"/>
        <v>38.4</v>
      </c>
      <c r="H63" s="542">
        <f t="shared" si="8"/>
        <v>22400</v>
      </c>
      <c r="I63" s="542">
        <f t="shared" si="9"/>
        <v>2688</v>
      </c>
      <c r="J63" s="557"/>
    </row>
    <row r="64" ht="17" customHeight="1" spans="1:10">
      <c r="A64" s="548"/>
      <c r="B64" s="539" t="s">
        <v>1074</v>
      </c>
      <c r="C64" s="222"/>
      <c r="D64" s="541" t="s">
        <v>146</v>
      </c>
      <c r="E64" s="541">
        <v>45</v>
      </c>
      <c r="F64" s="542">
        <v>75</v>
      </c>
      <c r="G64" s="542">
        <f t="shared" si="3"/>
        <v>9</v>
      </c>
      <c r="H64" s="542">
        <f t="shared" si="8"/>
        <v>3375</v>
      </c>
      <c r="I64" s="542">
        <f t="shared" si="9"/>
        <v>405</v>
      </c>
      <c r="J64" s="557"/>
    </row>
    <row r="65" ht="17" customHeight="1" spans="1:10">
      <c r="A65" s="548"/>
      <c r="B65" s="539" t="s">
        <v>1031</v>
      </c>
      <c r="C65" s="222"/>
      <c r="D65" s="541" t="s">
        <v>146</v>
      </c>
      <c r="E65" s="541">
        <v>60</v>
      </c>
      <c r="F65" s="542">
        <v>151</v>
      </c>
      <c r="G65" s="542">
        <f t="shared" si="3"/>
        <v>18.12</v>
      </c>
      <c r="H65" s="542">
        <f t="shared" si="8"/>
        <v>9060</v>
      </c>
      <c r="I65" s="542">
        <f t="shared" si="9"/>
        <v>1087.2</v>
      </c>
      <c r="J65" s="557"/>
    </row>
    <row r="66" ht="17" customHeight="1" spans="1:10">
      <c r="A66" s="548"/>
      <c r="B66" s="539" t="s">
        <v>1032</v>
      </c>
      <c r="C66" s="222"/>
      <c r="D66" s="541" t="s">
        <v>146</v>
      </c>
      <c r="E66" s="541">
        <f>15*3</f>
        <v>45</v>
      </c>
      <c r="F66" s="542">
        <v>350</v>
      </c>
      <c r="G66" s="542">
        <f t="shared" si="3"/>
        <v>42</v>
      </c>
      <c r="H66" s="542">
        <f t="shared" si="8"/>
        <v>15750</v>
      </c>
      <c r="I66" s="542">
        <f t="shared" si="9"/>
        <v>1890</v>
      </c>
      <c r="J66" s="557"/>
    </row>
    <row r="67" ht="17" customHeight="1" spans="1:10">
      <c r="A67" s="548"/>
      <c r="B67" s="539" t="s">
        <v>1075</v>
      </c>
      <c r="C67" s="222"/>
      <c r="D67" s="540" t="s">
        <v>284</v>
      </c>
      <c r="E67" s="541">
        <v>6</v>
      </c>
      <c r="F67" s="542">
        <v>2620</v>
      </c>
      <c r="G67" s="542">
        <f t="shared" si="3"/>
        <v>314.4</v>
      </c>
      <c r="H67" s="542">
        <f t="shared" si="8"/>
        <v>15720</v>
      </c>
      <c r="I67" s="542">
        <f t="shared" si="9"/>
        <v>1886.4</v>
      </c>
      <c r="J67" s="557"/>
    </row>
    <row r="68" ht="24" customHeight="1" spans="1:10">
      <c r="A68" s="548"/>
      <c r="B68" s="534" t="s">
        <v>1076</v>
      </c>
      <c r="C68" s="535" t="s">
        <v>1005</v>
      </c>
      <c r="D68" s="207" t="s">
        <v>146</v>
      </c>
      <c r="E68" s="536">
        <v>62</v>
      </c>
      <c r="F68" s="537">
        <v>354.9456</v>
      </c>
      <c r="G68" s="538"/>
      <c r="H68" s="230">
        <f t="shared" si="8"/>
        <v>22006.6272</v>
      </c>
      <c r="I68" s="223"/>
      <c r="J68" s="571"/>
    </row>
    <row r="69" ht="24" customHeight="1" spans="1:10">
      <c r="A69" s="548"/>
      <c r="B69" s="534" t="s">
        <v>1077</v>
      </c>
      <c r="C69" s="223" t="s">
        <v>1078</v>
      </c>
      <c r="D69" s="207" t="s">
        <v>146</v>
      </c>
      <c r="E69" s="536">
        <v>31.5</v>
      </c>
      <c r="F69" s="537">
        <v>266.2092</v>
      </c>
      <c r="G69" s="538"/>
      <c r="H69" s="230">
        <f t="shared" si="8"/>
        <v>8385.5898</v>
      </c>
      <c r="I69" s="223"/>
      <c r="J69" s="571"/>
    </row>
    <row r="70" ht="24" customHeight="1" spans="1:10">
      <c r="A70" s="548"/>
      <c r="B70" s="534" t="s">
        <v>1079</v>
      </c>
      <c r="C70" s="535" t="s">
        <v>1080</v>
      </c>
      <c r="D70" s="207" t="s">
        <v>146</v>
      </c>
      <c r="E70" s="536">
        <v>30.85</v>
      </c>
      <c r="F70" s="537">
        <v>199.6569</v>
      </c>
      <c r="G70" s="538"/>
      <c r="H70" s="537">
        <f t="shared" si="8"/>
        <v>6159.415365</v>
      </c>
      <c r="I70" s="572"/>
      <c r="J70" s="571"/>
    </row>
    <row r="71" ht="24" customHeight="1" spans="1:10">
      <c r="A71" s="559"/>
      <c r="B71" s="560" t="s">
        <v>1081</v>
      </c>
      <c r="C71" s="561" t="s">
        <v>1082</v>
      </c>
      <c r="D71" s="562" t="s">
        <v>146</v>
      </c>
      <c r="E71" s="563">
        <v>32.85</v>
      </c>
      <c r="F71" s="564">
        <v>37.68</v>
      </c>
      <c r="G71" s="564">
        <f>F71*0.1</f>
        <v>3.768</v>
      </c>
      <c r="H71" s="564">
        <f t="shared" si="8"/>
        <v>1237.788</v>
      </c>
      <c r="I71" s="573">
        <f t="shared" ref="I71:I76" si="10">E71*G71</f>
        <v>123.7788</v>
      </c>
      <c r="J71" s="574"/>
    </row>
    <row r="72" spans="1:10">
      <c r="A72" s="565">
        <v>3</v>
      </c>
      <c r="B72" s="566" t="s">
        <v>1083</v>
      </c>
      <c r="C72" s="222"/>
      <c r="D72" s="540"/>
      <c r="E72" s="541"/>
      <c r="F72" s="542"/>
      <c r="G72" s="542"/>
      <c r="H72" s="567">
        <f>H73+H77+H82</f>
        <v>251429.6</v>
      </c>
      <c r="I72" s="567">
        <f>I73+I77+I82</f>
        <v>30171.552</v>
      </c>
      <c r="J72" s="557"/>
    </row>
    <row r="73" spans="1:10">
      <c r="A73" s="568">
        <v>2.3</v>
      </c>
      <c r="B73" s="566" t="s">
        <v>1084</v>
      </c>
      <c r="C73" s="222"/>
      <c r="D73" s="540"/>
      <c r="E73" s="569"/>
      <c r="F73" s="567"/>
      <c r="G73" s="542"/>
      <c r="H73" s="567">
        <f>SUM(H74:H76)</f>
        <v>164190</v>
      </c>
      <c r="I73" s="567">
        <f>SUM(I74:I76)</f>
        <v>19702.8</v>
      </c>
      <c r="J73" s="557"/>
    </row>
    <row r="74" spans="1:10">
      <c r="A74" s="570"/>
      <c r="B74" s="539" t="s">
        <v>1085</v>
      </c>
      <c r="C74" s="222" t="s">
        <v>1086</v>
      </c>
      <c r="D74" s="540" t="s">
        <v>284</v>
      </c>
      <c r="E74" s="541">
        <v>12</v>
      </c>
      <c r="F74" s="542">
        <v>1150</v>
      </c>
      <c r="G74" s="542">
        <f>F74*0.12</f>
        <v>138</v>
      </c>
      <c r="H74" s="542">
        <f t="shared" ref="H74:H76" si="11">E74*F74</f>
        <v>13800</v>
      </c>
      <c r="I74" s="542">
        <f t="shared" si="10"/>
        <v>1656</v>
      </c>
      <c r="J74" s="557"/>
    </row>
    <row r="75" spans="1:10">
      <c r="A75" s="570"/>
      <c r="B75" s="539" t="s">
        <v>1087</v>
      </c>
      <c r="C75" s="514" t="s">
        <v>1088</v>
      </c>
      <c r="D75" s="540" t="s">
        <v>284</v>
      </c>
      <c r="E75" s="541">
        <v>9</v>
      </c>
      <c r="F75" s="542">
        <v>9850</v>
      </c>
      <c r="G75" s="542">
        <f>F75*0.12</f>
        <v>1182</v>
      </c>
      <c r="H75" s="542">
        <f t="shared" si="11"/>
        <v>88650</v>
      </c>
      <c r="I75" s="542">
        <f t="shared" si="10"/>
        <v>10638</v>
      </c>
      <c r="J75" s="557"/>
    </row>
    <row r="76" spans="1:10">
      <c r="A76" s="570"/>
      <c r="B76" s="539" t="s">
        <v>1089</v>
      </c>
      <c r="C76" s="514" t="s">
        <v>1090</v>
      </c>
      <c r="D76" s="540" t="s">
        <v>284</v>
      </c>
      <c r="E76" s="541">
        <v>9</v>
      </c>
      <c r="F76" s="542">
        <v>6860</v>
      </c>
      <c r="G76" s="542">
        <f>F76*0.12</f>
        <v>823.2</v>
      </c>
      <c r="H76" s="542">
        <f t="shared" si="11"/>
        <v>61740</v>
      </c>
      <c r="I76" s="542">
        <f t="shared" si="10"/>
        <v>7408.8</v>
      </c>
      <c r="J76" s="557"/>
    </row>
    <row r="77" spans="1:10">
      <c r="A77" s="568">
        <v>2.4</v>
      </c>
      <c r="B77" s="566" t="s">
        <v>1091</v>
      </c>
      <c r="C77" s="222"/>
      <c r="D77" s="540" t="s">
        <v>284</v>
      </c>
      <c r="E77" s="569"/>
      <c r="F77" s="567"/>
      <c r="G77" s="542"/>
      <c r="H77" s="567">
        <f>SUM(H78:H81)</f>
        <v>18479.6</v>
      </c>
      <c r="I77" s="567">
        <f>SUM(I78:I81)</f>
        <v>2217.552</v>
      </c>
      <c r="J77" s="557"/>
    </row>
    <row r="78" spans="1:10">
      <c r="A78" s="570"/>
      <c r="B78" s="539" t="s">
        <v>1092</v>
      </c>
      <c r="D78" s="540" t="s">
        <v>284</v>
      </c>
      <c r="E78" s="541">
        <v>1</v>
      </c>
      <c r="F78" s="542">
        <v>3360</v>
      </c>
      <c r="G78" s="542">
        <f>F78*0.12</f>
        <v>403.2</v>
      </c>
      <c r="H78" s="542">
        <f>E78*F78</f>
        <v>3360</v>
      </c>
      <c r="I78" s="542">
        <f>E78*G78</f>
        <v>403.2</v>
      </c>
      <c r="J78" s="557"/>
    </row>
    <row r="79" spans="1:10">
      <c r="A79" s="570"/>
      <c r="B79" s="539" t="s">
        <v>1093</v>
      </c>
      <c r="D79" s="540" t="s">
        <v>284</v>
      </c>
      <c r="E79" s="541">
        <v>1</v>
      </c>
      <c r="F79" s="542">
        <v>2889.6</v>
      </c>
      <c r="G79" s="542">
        <f>F79*0.12</f>
        <v>346.752</v>
      </c>
      <c r="H79" s="542">
        <f>E79*F79</f>
        <v>2889.6</v>
      </c>
      <c r="I79" s="542">
        <f>E79*G79</f>
        <v>346.752</v>
      </c>
      <c r="J79" s="557"/>
    </row>
    <row r="80" spans="1:10">
      <c r="A80" s="570"/>
      <c r="B80" s="543" t="s">
        <v>1094</v>
      </c>
      <c r="C80" s="222" t="s">
        <v>1095</v>
      </c>
      <c r="D80" s="540" t="s">
        <v>284</v>
      </c>
      <c r="E80" s="540">
        <v>1</v>
      </c>
      <c r="F80" s="542">
        <v>6380</v>
      </c>
      <c r="G80" s="542">
        <f>F80*0.12</f>
        <v>765.6</v>
      </c>
      <c r="H80" s="542">
        <f>E80*F80</f>
        <v>6380</v>
      </c>
      <c r="I80" s="542">
        <f>E80*G80</f>
        <v>765.6</v>
      </c>
      <c r="J80" s="557"/>
    </row>
    <row r="81" spans="1:10">
      <c r="A81" s="570"/>
      <c r="B81" s="543" t="s">
        <v>1096</v>
      </c>
      <c r="C81" s="222" t="s">
        <v>1095</v>
      </c>
      <c r="D81" s="540" t="s">
        <v>284</v>
      </c>
      <c r="E81" s="540">
        <v>1</v>
      </c>
      <c r="F81" s="542">
        <v>5850</v>
      </c>
      <c r="G81" s="542">
        <f>F81*0.12</f>
        <v>702</v>
      </c>
      <c r="H81" s="542">
        <f t="shared" ref="H81:H87" si="12">E81*F81</f>
        <v>5850</v>
      </c>
      <c r="I81" s="542">
        <f t="shared" ref="I81:I87" si="13">E81*G81</f>
        <v>702</v>
      </c>
      <c r="J81" s="557"/>
    </row>
    <row r="82" spans="1:10">
      <c r="A82" s="568">
        <v>2.5</v>
      </c>
      <c r="B82" s="566" t="s">
        <v>1097</v>
      </c>
      <c r="C82" s="222"/>
      <c r="D82" s="540"/>
      <c r="E82" s="569"/>
      <c r="F82" s="567"/>
      <c r="G82" s="542"/>
      <c r="H82" s="567">
        <f>SUM(H83:H87)</f>
        <v>68760</v>
      </c>
      <c r="I82" s="567">
        <f>SUM(I83:I87)</f>
        <v>8251.2</v>
      </c>
      <c r="J82" s="557"/>
    </row>
    <row r="83" spans="1:10">
      <c r="A83" s="570"/>
      <c r="B83" s="539" t="s">
        <v>1093</v>
      </c>
      <c r="C83" s="222" t="s">
        <v>1012</v>
      </c>
      <c r="D83" s="540" t="s">
        <v>284</v>
      </c>
      <c r="E83" s="541">
        <v>4</v>
      </c>
      <c r="F83" s="542">
        <v>1650</v>
      </c>
      <c r="G83" s="542">
        <f>F83*0.12</f>
        <v>198</v>
      </c>
      <c r="H83" s="542">
        <f t="shared" si="12"/>
        <v>6600</v>
      </c>
      <c r="I83" s="542">
        <f t="shared" si="13"/>
        <v>792</v>
      </c>
      <c r="J83" s="557"/>
    </row>
    <row r="84" spans="1:10">
      <c r="A84" s="570"/>
      <c r="B84" s="539" t="s">
        <v>1092</v>
      </c>
      <c r="C84" s="222" t="s">
        <v>1012</v>
      </c>
      <c r="D84" s="540" t="s">
        <v>284</v>
      </c>
      <c r="E84" s="541">
        <v>6</v>
      </c>
      <c r="F84" s="542">
        <v>1800</v>
      </c>
      <c r="G84" s="542">
        <f>F84*0.12</f>
        <v>216</v>
      </c>
      <c r="H84" s="542">
        <f t="shared" si="12"/>
        <v>10800</v>
      </c>
      <c r="I84" s="542">
        <f t="shared" si="13"/>
        <v>1296</v>
      </c>
      <c r="J84" s="557"/>
    </row>
    <row r="85" spans="1:10">
      <c r="A85" s="570"/>
      <c r="B85" s="539" t="s">
        <v>1098</v>
      </c>
      <c r="C85" s="222" t="s">
        <v>1099</v>
      </c>
      <c r="D85" s="540" t="s">
        <v>284</v>
      </c>
      <c r="E85" s="541">
        <v>3</v>
      </c>
      <c r="F85" s="542">
        <v>7450</v>
      </c>
      <c r="G85" s="542">
        <f>F85*0.12</f>
        <v>894</v>
      </c>
      <c r="H85" s="542">
        <f t="shared" si="12"/>
        <v>22350</v>
      </c>
      <c r="I85" s="542">
        <f t="shared" si="13"/>
        <v>2682</v>
      </c>
      <c r="J85" s="557"/>
    </row>
    <row r="86" spans="1:10">
      <c r="A86" s="570"/>
      <c r="B86" s="539" t="s">
        <v>1100</v>
      </c>
      <c r="C86" s="222" t="s">
        <v>1101</v>
      </c>
      <c r="D86" s="540" t="s">
        <v>284</v>
      </c>
      <c r="E86" s="541">
        <v>2</v>
      </c>
      <c r="F86" s="542">
        <v>5380</v>
      </c>
      <c r="G86" s="542">
        <f>F86*0.12</f>
        <v>645.6</v>
      </c>
      <c r="H86" s="542">
        <f t="shared" si="12"/>
        <v>10760</v>
      </c>
      <c r="I86" s="542">
        <f t="shared" si="13"/>
        <v>1291.2</v>
      </c>
      <c r="J86" s="557"/>
    </row>
    <row r="87" spans="1:10">
      <c r="A87" s="570"/>
      <c r="B87" s="539" t="s">
        <v>1102</v>
      </c>
      <c r="C87" s="222" t="s">
        <v>1103</v>
      </c>
      <c r="D87" s="540" t="s">
        <v>284</v>
      </c>
      <c r="E87" s="541">
        <v>5</v>
      </c>
      <c r="F87" s="542">
        <v>3650</v>
      </c>
      <c r="G87" s="542">
        <f>F87*0.12</f>
        <v>438</v>
      </c>
      <c r="H87" s="542">
        <f t="shared" si="12"/>
        <v>18250</v>
      </c>
      <c r="I87" s="542">
        <f t="shared" si="13"/>
        <v>2190</v>
      </c>
      <c r="J87" s="557"/>
    </row>
  </sheetData>
  <mergeCells count="11">
    <mergeCell ref="A1:J1"/>
    <mergeCell ref="A2:J2"/>
    <mergeCell ref="F3:G3"/>
    <mergeCell ref="H3:I3"/>
    <mergeCell ref="A5:B5"/>
    <mergeCell ref="A3:A4"/>
    <mergeCell ref="B3:B4"/>
    <mergeCell ref="C3:C4"/>
    <mergeCell ref="D3:D4"/>
    <mergeCell ref="E3:E4"/>
    <mergeCell ref="J3:J4"/>
  </mergeCells>
  <pageMargins left="0.707638888888889" right="0.707638888888889" top="0.747916666666667" bottom="0.747916666666667" header="0.313888888888889" footer="0.313888888888889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J59"/>
  <sheetViews>
    <sheetView workbookViewId="0">
      <selection activeCell="A1" sqref="A1:F1"/>
    </sheetView>
  </sheetViews>
  <sheetFormatPr defaultColWidth="9" defaultRowHeight="20.25"/>
  <cols>
    <col min="1" max="1" width="4.5" style="492" customWidth="1"/>
    <col min="2" max="2" width="38.5" style="492" customWidth="1"/>
    <col min="3" max="3" width="5.875" style="492" customWidth="1"/>
    <col min="4" max="4" width="11" style="492" customWidth="1"/>
    <col min="5" max="5" width="9.125" style="492" customWidth="1"/>
    <col min="6" max="6" width="11.625" style="492" customWidth="1"/>
    <col min="7" max="7" width="11" style="493" customWidth="1"/>
    <col min="8" max="8" width="11.875" style="493" customWidth="1"/>
    <col min="9" max="9" width="13.5" style="493" customWidth="1"/>
    <col min="10" max="10" width="11.375" style="493" customWidth="1"/>
    <col min="11" max="16384" width="9" style="494"/>
  </cols>
  <sheetData>
    <row r="1" s="491" customFormat="1" ht="27" customHeight="1" spans="1:10">
      <c r="A1" s="393" t="s">
        <v>1104</v>
      </c>
      <c r="B1" s="451"/>
      <c r="C1" s="451"/>
      <c r="D1" s="451"/>
      <c r="E1" s="451"/>
      <c r="F1" s="451"/>
      <c r="G1" s="493"/>
      <c r="H1" s="493"/>
      <c r="I1" s="493"/>
      <c r="J1" s="493"/>
    </row>
    <row r="2" s="491" customFormat="1" customHeight="1" spans="1:10">
      <c r="A2" s="495" t="s">
        <v>1105</v>
      </c>
      <c r="B2" s="496"/>
      <c r="C2" s="496"/>
      <c r="D2" s="496"/>
      <c r="E2" s="496"/>
      <c r="F2" s="496"/>
      <c r="G2" s="493"/>
      <c r="H2" s="493"/>
      <c r="I2" s="493"/>
      <c r="J2" s="493"/>
    </row>
    <row r="3" s="491" customFormat="1" ht="31.5" customHeight="1" spans="1:10">
      <c r="A3" s="395" t="s">
        <v>291</v>
      </c>
      <c r="B3" s="396" t="s">
        <v>1106</v>
      </c>
      <c r="C3" s="497" t="s">
        <v>55</v>
      </c>
      <c r="D3" s="498" t="s">
        <v>533</v>
      </c>
      <c r="E3" s="455" t="s">
        <v>534</v>
      </c>
      <c r="F3" s="456" t="s">
        <v>1107</v>
      </c>
      <c r="G3" s="499" t="s">
        <v>1108</v>
      </c>
      <c r="H3" s="493"/>
      <c r="I3" s="281" t="s">
        <v>1109</v>
      </c>
      <c r="J3" s="207" t="e">
        <f>#REF!+#REF!+#REF!+D19+#REF!+D27+#REF!</f>
        <v>#REF!</v>
      </c>
    </row>
    <row r="4" s="491" customFormat="1" ht="22.5" customHeight="1" spans="1:10">
      <c r="A4" s="398"/>
      <c r="B4" s="219" t="s">
        <v>463</v>
      </c>
      <c r="C4" s="465"/>
      <c r="D4" s="465"/>
      <c r="E4" s="458"/>
      <c r="F4" s="459" t="e">
        <f>F18</f>
        <v>#REF!</v>
      </c>
      <c r="G4" s="493"/>
      <c r="H4" s="493"/>
      <c r="I4" s="281" t="s">
        <v>1110</v>
      </c>
      <c r="J4" s="207" t="e">
        <f>#REF!</f>
        <v>#REF!</v>
      </c>
    </row>
    <row r="5" s="491" customFormat="1" ht="22.5" customHeight="1" spans="1:10">
      <c r="A5" s="398"/>
      <c r="B5" s="219"/>
      <c r="C5" s="465"/>
      <c r="D5" s="465"/>
      <c r="E5" s="458"/>
      <c r="F5" s="459"/>
      <c r="G5" s="493"/>
      <c r="H5" s="493"/>
      <c r="I5" s="276"/>
      <c r="J5" s="511"/>
    </row>
    <row r="6" s="491" customFormat="1" ht="22.5" customHeight="1" spans="1:10">
      <c r="A6" s="398"/>
      <c r="B6" s="219"/>
      <c r="C6" s="465"/>
      <c r="D6" s="465"/>
      <c r="E6" s="458"/>
      <c r="F6" s="459"/>
      <c r="G6" s="493"/>
      <c r="H6" s="493"/>
      <c r="I6" s="276"/>
      <c r="J6" s="511"/>
    </row>
    <row r="7" s="491" customFormat="1" ht="22.5" customHeight="1" spans="1:10">
      <c r="A7" s="398"/>
      <c r="B7" s="219"/>
      <c r="C7" s="465"/>
      <c r="D7" s="465"/>
      <c r="E7" s="458"/>
      <c r="F7" s="459"/>
      <c r="G7" s="493"/>
      <c r="H7" s="493"/>
      <c r="I7" s="276"/>
      <c r="J7" s="511"/>
    </row>
    <row r="8" s="491" customFormat="1" ht="22.5" customHeight="1" spans="1:10">
      <c r="A8" s="398"/>
      <c r="B8" s="219"/>
      <c r="C8" s="465"/>
      <c r="D8" s="465"/>
      <c r="E8" s="458"/>
      <c r="F8" s="459"/>
      <c r="G8" s="493"/>
      <c r="H8" s="493"/>
      <c r="I8" s="276"/>
      <c r="J8" s="511"/>
    </row>
    <row r="9" s="491" customFormat="1" ht="22.5" customHeight="1" spans="1:10">
      <c r="A9" s="398"/>
      <c r="B9" s="219"/>
      <c r="C9" s="465"/>
      <c r="D9" s="465"/>
      <c r="E9" s="458"/>
      <c r="F9" s="459"/>
      <c r="G9" s="493"/>
      <c r="H9" s="493"/>
      <c r="I9" s="276"/>
      <c r="J9" s="511"/>
    </row>
    <row r="10" s="491" customFormat="1" ht="22.5" customHeight="1" spans="1:10">
      <c r="A10" s="398"/>
      <c r="B10" s="219"/>
      <c r="C10" s="465"/>
      <c r="D10" s="465"/>
      <c r="E10" s="458"/>
      <c r="F10" s="459"/>
      <c r="G10" s="493"/>
      <c r="H10" s="493"/>
      <c r="I10" s="276"/>
      <c r="J10" s="511"/>
    </row>
    <row r="11" s="491" customFormat="1" ht="22.5" customHeight="1" spans="1:10">
      <c r="A11" s="398"/>
      <c r="B11" s="219"/>
      <c r="C11" s="465"/>
      <c r="D11" s="465"/>
      <c r="E11" s="458"/>
      <c r="F11" s="459"/>
      <c r="G11" s="493"/>
      <c r="H11" s="493"/>
      <c r="I11" s="276"/>
      <c r="J11" s="511"/>
    </row>
    <row r="12" s="491" customFormat="1" ht="22.5" customHeight="1" spans="1:10">
      <c r="A12" s="398"/>
      <c r="B12" s="219"/>
      <c r="C12" s="465"/>
      <c r="D12" s="465"/>
      <c r="E12" s="458"/>
      <c r="F12" s="459"/>
      <c r="G12" s="493"/>
      <c r="H12" s="493"/>
      <c r="I12" s="276"/>
      <c r="J12" s="511"/>
    </row>
    <row r="13" s="491" customFormat="1" ht="22.5" customHeight="1" spans="1:10">
      <c r="A13" s="398"/>
      <c r="B13" s="219"/>
      <c r="C13" s="465"/>
      <c r="D13" s="465"/>
      <c r="E13" s="458"/>
      <c r="F13" s="459"/>
      <c r="G13" s="493"/>
      <c r="H13" s="493"/>
      <c r="I13" s="276"/>
      <c r="J13" s="511"/>
    </row>
    <row r="14" s="491" customFormat="1" ht="22.5" customHeight="1" spans="1:10">
      <c r="A14" s="398"/>
      <c r="B14" s="219"/>
      <c r="C14" s="465"/>
      <c r="D14" s="465"/>
      <c r="E14" s="458"/>
      <c r="F14" s="459"/>
      <c r="G14" s="493"/>
      <c r="H14" s="493"/>
      <c r="I14" s="276"/>
      <c r="J14" s="511"/>
    </row>
    <row r="15" s="491" customFormat="1" ht="22.5" customHeight="1" spans="1:10">
      <c r="A15" s="398"/>
      <c r="B15" s="219"/>
      <c r="C15" s="465"/>
      <c r="D15" s="465"/>
      <c r="E15" s="458"/>
      <c r="F15" s="459"/>
      <c r="G15" s="493"/>
      <c r="H15" s="493"/>
      <c r="I15" s="276"/>
      <c r="J15" s="511"/>
    </row>
    <row r="16" s="491" customFormat="1" ht="22.5" customHeight="1" spans="1:10">
      <c r="A16" s="398"/>
      <c r="B16" s="219"/>
      <c r="C16" s="465"/>
      <c r="D16" s="465"/>
      <c r="E16" s="458"/>
      <c r="F16" s="459"/>
      <c r="G16" s="493"/>
      <c r="H16" s="493"/>
      <c r="I16" s="276"/>
      <c r="J16" s="511"/>
    </row>
    <row r="17" s="491" customFormat="1" ht="22.5" customHeight="1" spans="1:10">
      <c r="A17" s="398"/>
      <c r="B17" s="219"/>
      <c r="C17" s="465"/>
      <c r="D17" s="465"/>
      <c r="E17" s="458"/>
      <c r="F17" s="459"/>
      <c r="G17" s="493"/>
      <c r="H17" s="493"/>
      <c r="I17" s="276"/>
      <c r="J17" s="511"/>
    </row>
    <row r="18" ht="22.5" customHeight="1" spans="1:6">
      <c r="A18" s="398" t="s">
        <v>472</v>
      </c>
      <c r="B18" s="500" t="s">
        <v>675</v>
      </c>
      <c r="C18" s="465" t="s">
        <v>76</v>
      </c>
      <c r="D18" s="465" t="e">
        <f>D19+D27</f>
        <v>#REF!</v>
      </c>
      <c r="E18" s="458" t="s">
        <v>676</v>
      </c>
      <c r="F18" s="459" t="e">
        <f>F19+F27+F35</f>
        <v>#REF!</v>
      </c>
    </row>
    <row r="19" ht="30" customHeight="1" spans="1:6">
      <c r="A19" s="398">
        <v>1</v>
      </c>
      <c r="B19" s="501" t="s">
        <v>677</v>
      </c>
      <c r="C19" s="465" t="s">
        <v>76</v>
      </c>
      <c r="D19" s="465">
        <f>0.582+0.406</f>
        <v>0.988</v>
      </c>
      <c r="E19" s="458" t="e">
        <f>F19/D19</f>
        <v>#REF!</v>
      </c>
      <c r="F19" s="459" t="e">
        <f>SUM(F20:F26)</f>
        <v>#REF!</v>
      </c>
    </row>
    <row r="20" ht="22.5" customHeight="1" spans="1:6">
      <c r="A20" s="400"/>
      <c r="B20" s="502" t="s">
        <v>1111</v>
      </c>
      <c r="C20" s="207" t="s">
        <v>743</v>
      </c>
      <c r="D20" s="207">
        <f>D19*1000/7.48*1.482</f>
        <v>195.750802139037</v>
      </c>
      <c r="E20" s="467" t="e">
        <f>(#REF!+(0.19-0.14)*(#REF!-#REF!)/(0.21-0.14))/100</f>
        <v>#REF!</v>
      </c>
      <c r="F20" s="225" t="e">
        <f t="shared" ref="F20:F26" si="0">D20*E20</f>
        <v>#REF!</v>
      </c>
    </row>
    <row r="21" ht="22.5" customHeight="1" spans="1:6">
      <c r="A21" s="400"/>
      <c r="B21" s="503" t="s">
        <v>679</v>
      </c>
      <c r="C21" s="207" t="s">
        <v>743</v>
      </c>
      <c r="D21" s="207">
        <f>D19*1000/7.48*0.0063</f>
        <v>0.832139037433155</v>
      </c>
      <c r="E21" s="467">
        <v>6200</v>
      </c>
      <c r="F21" s="225">
        <f t="shared" si="0"/>
        <v>5159.26203208556</v>
      </c>
    </row>
    <row r="22" ht="22.5" customHeight="1" spans="1:6">
      <c r="A22" s="400"/>
      <c r="B22" s="503" t="s">
        <v>544</v>
      </c>
      <c r="C22" s="207" t="s">
        <v>743</v>
      </c>
      <c r="D22" s="207">
        <f>D19*1000*1.8</f>
        <v>1778.4</v>
      </c>
      <c r="E22" s="467">
        <f>单价汇总!$D$56/100</f>
        <v>6.64065742313715</v>
      </c>
      <c r="F22" s="225">
        <f t="shared" si="0"/>
        <v>11809.7451613071</v>
      </c>
    </row>
    <row r="23" ht="22.5" customHeight="1" spans="1:9">
      <c r="A23" s="400"/>
      <c r="B23" s="503" t="s">
        <v>541</v>
      </c>
      <c r="C23" s="207" t="s">
        <v>743</v>
      </c>
      <c r="D23" s="207">
        <f>D22*0.7</f>
        <v>1244.88</v>
      </c>
      <c r="E23" s="467">
        <f>(单价汇总!$D$22*0.24+单价汇总!$D$43*0.76)/100</f>
        <v>4.37393795655016</v>
      </c>
      <c r="F23" s="225">
        <f t="shared" si="0"/>
        <v>5445.02788335016</v>
      </c>
      <c r="I23" s="493">
        <f>8100/15</f>
        <v>540</v>
      </c>
    </row>
    <row r="24" ht="22.5" customHeight="1" spans="1:6">
      <c r="A24" s="400"/>
      <c r="B24" s="503" t="s">
        <v>1112</v>
      </c>
      <c r="C24" s="207" t="s">
        <v>743</v>
      </c>
      <c r="D24" s="207">
        <f>(D22*1.17-D23)</f>
        <v>835.848</v>
      </c>
      <c r="E24" s="467">
        <f>单价汇总!$D$46/100</f>
        <v>21.875598600158</v>
      </c>
      <c r="F24" s="225">
        <f t="shared" si="0"/>
        <v>18284.6753387449</v>
      </c>
    </row>
    <row r="25" ht="22.5" customHeight="1" spans="1:6">
      <c r="A25" s="400"/>
      <c r="B25" s="503" t="s">
        <v>1113</v>
      </c>
      <c r="C25" s="207" t="s">
        <v>743</v>
      </c>
      <c r="D25" s="207">
        <f>D20*0.6</f>
        <v>117.450481283422</v>
      </c>
      <c r="E25" s="467" t="e">
        <f>#REF!/100+#REF!/100+5*0.52*2.5*1.09</f>
        <v>#REF!</v>
      </c>
      <c r="F25" s="225" t="e">
        <f t="shared" si="0"/>
        <v>#REF!</v>
      </c>
    </row>
    <row r="26" ht="22.5" customHeight="1" spans="1:6">
      <c r="A26" s="400"/>
      <c r="B26" s="503" t="s">
        <v>682</v>
      </c>
      <c r="C26" s="207" t="s">
        <v>820</v>
      </c>
      <c r="D26" s="207">
        <f>D19*1000*0.97*2*1.1</f>
        <v>2108.392</v>
      </c>
      <c r="E26" s="207">
        <f>(单价汇总!$D$68*0.5+单价汇总!$D$69*0.5)/100</f>
        <v>1.01964601937928</v>
      </c>
      <c r="F26" s="225">
        <f t="shared" si="0"/>
        <v>2149.81351009112</v>
      </c>
    </row>
    <row r="27" ht="30.95" customHeight="1" spans="1:6">
      <c r="A27" s="398">
        <v>2</v>
      </c>
      <c r="B27" s="504" t="s">
        <v>1114</v>
      </c>
      <c r="C27" s="465" t="s">
        <v>76</v>
      </c>
      <c r="D27" s="465" t="e">
        <f>#REF!-D19</f>
        <v>#REF!</v>
      </c>
      <c r="E27" s="458" t="e">
        <f>F27/D27</f>
        <v>#REF!</v>
      </c>
      <c r="F27" s="458" t="e">
        <f>SUM(F28:F34)</f>
        <v>#REF!</v>
      </c>
    </row>
    <row r="28" ht="22.5" customHeight="1" spans="1:6">
      <c r="A28" s="400"/>
      <c r="B28" s="502" t="s">
        <v>1115</v>
      </c>
      <c r="C28" s="207" t="s">
        <v>743</v>
      </c>
      <c r="D28" s="207" t="e">
        <f>D27*1000/7.79*1.009</f>
        <v>#REF!</v>
      </c>
      <c r="E28" s="467" t="e">
        <f>(#REF!+(0.17-0.14)*(#REF!-#REF!)/(0.21-0.14))/100</f>
        <v>#REF!</v>
      </c>
      <c r="F28" s="225" t="e">
        <f t="shared" ref="F28:F34" si="1">D28*E28</f>
        <v>#REF!</v>
      </c>
    </row>
    <row r="29" ht="22.5" customHeight="1" spans="1:6">
      <c r="A29" s="400"/>
      <c r="B29" s="503" t="s">
        <v>679</v>
      </c>
      <c r="C29" s="207" t="s">
        <v>743</v>
      </c>
      <c r="D29" s="207" t="e">
        <f>D27*1000/7.79*0.0041</f>
        <v>#REF!</v>
      </c>
      <c r="E29" s="467">
        <v>6200</v>
      </c>
      <c r="F29" s="225" t="e">
        <f t="shared" si="1"/>
        <v>#REF!</v>
      </c>
    </row>
    <row r="30" ht="22.5" customHeight="1" spans="1:6">
      <c r="A30" s="400"/>
      <c r="B30" s="503" t="s">
        <v>544</v>
      </c>
      <c r="C30" s="207" t="s">
        <v>743</v>
      </c>
      <c r="D30" s="207" t="e">
        <f>D27*1000*1.45</f>
        <v>#REF!</v>
      </c>
      <c r="E30" s="467">
        <f>单价汇总!$D$56/100</f>
        <v>6.64065742313715</v>
      </c>
      <c r="F30" s="225" t="e">
        <f t="shared" si="1"/>
        <v>#REF!</v>
      </c>
    </row>
    <row r="31" ht="22.5" customHeight="1" spans="1:6">
      <c r="A31" s="400"/>
      <c r="B31" s="503" t="s">
        <v>541</v>
      </c>
      <c r="C31" s="207" t="s">
        <v>743</v>
      </c>
      <c r="D31" s="207" t="e">
        <f>D30*0.7</f>
        <v>#REF!</v>
      </c>
      <c r="E31" s="467">
        <f>(单价汇总!$D$22*0.24+单价汇总!$D$43*0.76)/100</f>
        <v>4.37393795655016</v>
      </c>
      <c r="F31" s="225" t="e">
        <f t="shared" si="1"/>
        <v>#REF!</v>
      </c>
    </row>
    <row r="32" ht="22.5" customHeight="1" spans="1:6">
      <c r="A32" s="400"/>
      <c r="B32" s="503" t="s">
        <v>1112</v>
      </c>
      <c r="C32" s="207" t="s">
        <v>743</v>
      </c>
      <c r="D32" s="207" t="e">
        <f>(D30*1.17-D31)</f>
        <v>#REF!</v>
      </c>
      <c r="E32" s="467">
        <f>单价汇总!$D$46/100</f>
        <v>21.875598600158</v>
      </c>
      <c r="F32" s="225" t="e">
        <f t="shared" si="1"/>
        <v>#REF!</v>
      </c>
    </row>
    <row r="33" ht="22.5" customHeight="1" spans="1:6">
      <c r="A33" s="400"/>
      <c r="B33" s="503" t="s">
        <v>1113</v>
      </c>
      <c r="C33" s="207" t="s">
        <v>743</v>
      </c>
      <c r="D33" s="207" t="e">
        <f>D28*0.3</f>
        <v>#REF!</v>
      </c>
      <c r="E33" s="467" t="e">
        <f>#REF!/100+#REF!/100+5*0.52*2.5*1.09</f>
        <v>#REF!</v>
      </c>
      <c r="F33" s="225" t="e">
        <f t="shared" si="1"/>
        <v>#REF!</v>
      </c>
    </row>
    <row r="34" ht="22.5" customHeight="1" spans="1:6">
      <c r="A34" s="400"/>
      <c r="B34" s="503" t="s">
        <v>682</v>
      </c>
      <c r="C34" s="207" t="s">
        <v>820</v>
      </c>
      <c r="D34" s="207" t="e">
        <f>D27*1000*0.75*2*1.1</f>
        <v>#REF!</v>
      </c>
      <c r="E34" s="207">
        <f>(单价汇总!$D$68*0.5+单价汇总!$D$69*0.5)/100</f>
        <v>1.01964601937928</v>
      </c>
      <c r="F34" s="225" t="e">
        <f t="shared" si="1"/>
        <v>#REF!</v>
      </c>
    </row>
    <row r="35" ht="22.5" customHeight="1" spans="1:6">
      <c r="A35" s="398">
        <v>3</v>
      </c>
      <c r="B35" s="505" t="s">
        <v>685</v>
      </c>
      <c r="C35" s="506" t="s">
        <v>1116</v>
      </c>
      <c r="D35" s="465" t="e">
        <f>SUM(D36:D43)</f>
        <v>#REF!</v>
      </c>
      <c r="E35" s="465"/>
      <c r="F35" s="463" t="e">
        <f>SUM(F36:F43)</f>
        <v>#REF!</v>
      </c>
    </row>
    <row r="36" ht="22.5" customHeight="1" spans="1:6">
      <c r="A36" s="398"/>
      <c r="B36" s="401" t="s">
        <v>150</v>
      </c>
      <c r="C36" s="207" t="s">
        <v>1117</v>
      </c>
      <c r="D36" s="207" t="e">
        <f>#REF!</f>
        <v>#REF!</v>
      </c>
      <c r="E36" s="207" t="e">
        <f>#REF!</f>
        <v>#REF!</v>
      </c>
      <c r="F36" s="462" t="e">
        <f>D36*E36</f>
        <v>#REF!</v>
      </c>
    </row>
    <row r="37" ht="22.5" customHeight="1" spans="1:6">
      <c r="A37" s="398"/>
      <c r="B37" s="461" t="s">
        <v>1118</v>
      </c>
      <c r="C37" s="207" t="s">
        <v>1117</v>
      </c>
      <c r="D37" s="207" t="e">
        <f>#REF!</f>
        <v>#REF!</v>
      </c>
      <c r="E37" s="207" t="e">
        <f>#REF!</f>
        <v>#REF!</v>
      </c>
      <c r="F37" s="462" t="e">
        <f t="shared" ref="F37:F43" si="2">D37*E37</f>
        <v>#REF!</v>
      </c>
    </row>
    <row r="38" ht="22.5" customHeight="1" spans="1:6">
      <c r="A38" s="400"/>
      <c r="B38" s="401" t="s">
        <v>1119</v>
      </c>
      <c r="C38" s="207" t="s">
        <v>1117</v>
      </c>
      <c r="D38" s="207" t="e">
        <f>#REF!</f>
        <v>#REF!</v>
      </c>
      <c r="E38" s="207" t="e">
        <f>#REF!</f>
        <v>#REF!</v>
      </c>
      <c r="F38" s="462" t="e">
        <f t="shared" si="2"/>
        <v>#REF!</v>
      </c>
    </row>
    <row r="39" ht="22.5" customHeight="1" spans="1:6">
      <c r="A39" s="400"/>
      <c r="B39" s="507" t="s">
        <v>688</v>
      </c>
      <c r="C39" s="207" t="s">
        <v>1117</v>
      </c>
      <c r="D39" s="207" t="e">
        <f>#REF!</f>
        <v>#REF!</v>
      </c>
      <c r="E39" s="207" t="e">
        <f>#REF!</f>
        <v>#REF!</v>
      </c>
      <c r="F39" s="462" t="e">
        <f t="shared" si="2"/>
        <v>#REF!</v>
      </c>
    </row>
    <row r="40" ht="22.5" customHeight="1" spans="1:6">
      <c r="A40" s="400"/>
      <c r="B40" s="507" t="s">
        <v>1120</v>
      </c>
      <c r="C40" s="207" t="s">
        <v>1117</v>
      </c>
      <c r="D40" s="207" t="e">
        <f>#REF!</f>
        <v>#REF!</v>
      </c>
      <c r="E40" s="207" t="e">
        <f>#REF!</f>
        <v>#REF!</v>
      </c>
      <c r="F40" s="462" t="e">
        <f t="shared" si="2"/>
        <v>#REF!</v>
      </c>
    </row>
    <row r="41" ht="22.5" customHeight="1" spans="1:6">
      <c r="A41" s="400"/>
      <c r="B41" s="508" t="s">
        <v>1121</v>
      </c>
      <c r="C41" s="207" t="s">
        <v>1117</v>
      </c>
      <c r="D41" s="207" t="e">
        <f>#REF!</f>
        <v>#REF!</v>
      </c>
      <c r="E41" s="207" t="e">
        <f>#REF!</f>
        <v>#REF!</v>
      </c>
      <c r="F41" s="462" t="e">
        <f t="shared" si="2"/>
        <v>#REF!</v>
      </c>
    </row>
    <row r="42" ht="22.5" customHeight="1" spans="1:6">
      <c r="A42" s="400"/>
      <c r="B42" s="401" t="s">
        <v>693</v>
      </c>
      <c r="C42" s="207" t="s">
        <v>1117</v>
      </c>
      <c r="D42" s="207" t="e">
        <f>#REF!</f>
        <v>#REF!</v>
      </c>
      <c r="E42" s="207" t="e">
        <f>#REF!</f>
        <v>#REF!</v>
      </c>
      <c r="F42" s="462" t="e">
        <f t="shared" si="2"/>
        <v>#REF!</v>
      </c>
    </row>
    <row r="43" ht="22.5" customHeight="1" spans="1:6">
      <c r="A43" s="400"/>
      <c r="B43" s="401" t="s">
        <v>1122</v>
      </c>
      <c r="C43" s="207" t="s">
        <v>1117</v>
      </c>
      <c r="D43" s="207">
        <v>1</v>
      </c>
      <c r="E43" s="207">
        <v>18000</v>
      </c>
      <c r="F43" s="462">
        <f t="shared" si="2"/>
        <v>18000</v>
      </c>
    </row>
    <row r="45" spans="1:7">
      <c r="A45" s="465">
        <v>1</v>
      </c>
      <c r="B45" s="469" t="s">
        <v>1123</v>
      </c>
      <c r="C45" s="465" t="s">
        <v>146</v>
      </c>
      <c r="D45" s="465">
        <v>1</v>
      </c>
      <c r="E45" s="465"/>
      <c r="F45" s="465">
        <f>SUM(F46:F49)</f>
        <v>383.212350383267</v>
      </c>
      <c r="G45" s="509">
        <f>F45/4</f>
        <v>95.8030875958167</v>
      </c>
    </row>
    <row r="46" spans="1:7">
      <c r="A46" s="207"/>
      <c r="B46" s="461" t="s">
        <v>1124</v>
      </c>
      <c r="C46" s="207" t="s">
        <v>570</v>
      </c>
      <c r="D46" s="207">
        <f>D45*5</f>
        <v>5</v>
      </c>
      <c r="E46" s="207">
        <f>单价汇总!$D$71/100</f>
        <v>0.669781873061201</v>
      </c>
      <c r="F46" s="207">
        <f>D46*E46</f>
        <v>3.34890936530601</v>
      </c>
      <c r="G46" s="509"/>
    </row>
    <row r="47" spans="1:7">
      <c r="A47" s="207"/>
      <c r="B47" s="461" t="s">
        <v>1125</v>
      </c>
      <c r="C47" s="207" t="s">
        <v>542</v>
      </c>
      <c r="D47" s="207">
        <f>D46*0.3</f>
        <v>1.5</v>
      </c>
      <c r="E47" s="207">
        <f>单价汇总!$D$56/100</f>
        <v>6.64065742313715</v>
      </c>
      <c r="F47" s="207">
        <f>D47*E47</f>
        <v>9.96098613470572</v>
      </c>
      <c r="G47" s="509"/>
    </row>
    <row r="48" spans="1:7">
      <c r="A48" s="207"/>
      <c r="B48" s="461" t="s">
        <v>1126</v>
      </c>
      <c r="C48" s="207" t="s">
        <v>570</v>
      </c>
      <c r="D48" s="207">
        <f>D45*4</f>
        <v>4</v>
      </c>
      <c r="E48" s="207">
        <f>单价汇总!$D$376/1000</f>
        <v>24.3593261911778</v>
      </c>
      <c r="F48" s="207">
        <f>D48*E48</f>
        <v>97.4373047647112</v>
      </c>
      <c r="G48" s="509"/>
    </row>
    <row r="49" spans="1:7">
      <c r="A49" s="207"/>
      <c r="B49" s="461" t="s">
        <v>1127</v>
      </c>
      <c r="C49" s="207" t="s">
        <v>570</v>
      </c>
      <c r="D49" s="207">
        <f>D48</f>
        <v>4</v>
      </c>
      <c r="E49" s="207">
        <f>单价汇总!$D$382/1000</f>
        <v>68.116287529636</v>
      </c>
      <c r="F49" s="207">
        <f>D49*E49</f>
        <v>272.465150118544</v>
      </c>
      <c r="G49" s="509"/>
    </row>
    <row r="50" spans="1:7">
      <c r="A50" s="465">
        <v>2</v>
      </c>
      <c r="B50" s="469" t="s">
        <v>1128</v>
      </c>
      <c r="C50" s="465" t="s">
        <v>146</v>
      </c>
      <c r="D50" s="465">
        <v>1</v>
      </c>
      <c r="E50" s="465"/>
      <c r="F50" s="465">
        <f>SUM(F51:F54)</f>
        <v>434.492919869405</v>
      </c>
      <c r="G50" s="509">
        <f>F50/4</f>
        <v>108.623229967351</v>
      </c>
    </row>
    <row r="51" spans="1:6">
      <c r="A51" s="207"/>
      <c r="B51" s="461" t="s">
        <v>1124</v>
      </c>
      <c r="C51" s="207" t="s">
        <v>570</v>
      </c>
      <c r="D51" s="207">
        <f>D50*5</f>
        <v>5</v>
      </c>
      <c r="E51" s="207">
        <f>单价汇总!$D$71/100</f>
        <v>0.669781873061201</v>
      </c>
      <c r="F51" s="207">
        <f>D51*E51</f>
        <v>3.34890936530601</v>
      </c>
    </row>
    <row r="52" spans="1:6">
      <c r="A52" s="207"/>
      <c r="B52" s="468" t="s">
        <v>1125</v>
      </c>
      <c r="C52" s="207" t="s">
        <v>542</v>
      </c>
      <c r="D52" s="207">
        <f>D51*0.3</f>
        <v>1.5</v>
      </c>
      <c r="E52" s="207">
        <f>单价汇总!$D$56/100</f>
        <v>6.64065742313715</v>
      </c>
      <c r="F52" s="207">
        <f>D52*E52</f>
        <v>9.96098613470572</v>
      </c>
    </row>
    <row r="53" spans="1:6">
      <c r="A53" s="207"/>
      <c r="B53" s="461" t="s">
        <v>1126</v>
      </c>
      <c r="C53" s="207" t="s">
        <v>570</v>
      </c>
      <c r="D53" s="207">
        <f>D50*4</f>
        <v>4</v>
      </c>
      <c r="E53" s="207">
        <f>单价汇总!$D$376/1000</f>
        <v>24.3593261911778</v>
      </c>
      <c r="F53" s="207">
        <f>D53*E53</f>
        <v>97.4373047647112</v>
      </c>
    </row>
    <row r="54" spans="1:6">
      <c r="A54" s="207"/>
      <c r="B54" s="461" t="s">
        <v>1129</v>
      </c>
      <c r="C54" s="207" t="s">
        <v>570</v>
      </c>
      <c r="D54" s="207">
        <f>D53</f>
        <v>4</v>
      </c>
      <c r="E54" s="207">
        <f>单价汇总!$D$383/1000</f>
        <v>80.9364299011706</v>
      </c>
      <c r="F54" s="207">
        <f>D54*E54</f>
        <v>323.745719604682</v>
      </c>
    </row>
    <row r="55" spans="1:7">
      <c r="A55" s="510">
        <v>3</v>
      </c>
      <c r="B55" s="469" t="s">
        <v>1130</v>
      </c>
      <c r="C55" s="465" t="s">
        <v>146</v>
      </c>
      <c r="D55" s="465">
        <v>1</v>
      </c>
      <c r="E55" s="465"/>
      <c r="F55" s="465">
        <f>SUM(F56:F59)</f>
        <v>468.679966193497</v>
      </c>
      <c r="G55" s="509">
        <f>F55/4</f>
        <v>117.169991548374</v>
      </c>
    </row>
    <row r="56" spans="1:6">
      <c r="A56" s="510"/>
      <c r="B56" s="461" t="s">
        <v>1124</v>
      </c>
      <c r="C56" s="207" t="s">
        <v>570</v>
      </c>
      <c r="D56" s="207">
        <f>D55*5</f>
        <v>5</v>
      </c>
      <c r="E56" s="207">
        <f>单价汇总!$D$71/100</f>
        <v>0.669781873061201</v>
      </c>
      <c r="F56" s="207">
        <f>D56*E56</f>
        <v>3.34890936530601</v>
      </c>
    </row>
    <row r="57" spans="1:6">
      <c r="A57" s="510"/>
      <c r="B57" s="468" t="s">
        <v>1125</v>
      </c>
      <c r="C57" s="207" t="s">
        <v>542</v>
      </c>
      <c r="D57" s="207">
        <f>D56*0.3</f>
        <v>1.5</v>
      </c>
      <c r="E57" s="207">
        <f>单价汇总!$D$56/100</f>
        <v>6.64065742313715</v>
      </c>
      <c r="F57" s="207">
        <f>D57*E57</f>
        <v>9.96098613470572</v>
      </c>
    </row>
    <row r="58" spans="1:6">
      <c r="A58" s="510"/>
      <c r="B58" s="461" t="s">
        <v>1126</v>
      </c>
      <c r="C58" s="207" t="s">
        <v>570</v>
      </c>
      <c r="D58" s="207">
        <f>D55*4</f>
        <v>4</v>
      </c>
      <c r="E58" s="207">
        <f>单价汇总!$D$376/1000</f>
        <v>24.3593261911778</v>
      </c>
      <c r="F58" s="207">
        <f>D58*E58</f>
        <v>97.4373047647112</v>
      </c>
    </row>
    <row r="59" spans="1:6">
      <c r="A59" s="510"/>
      <c r="B59" s="461" t="s">
        <v>1131</v>
      </c>
      <c r="C59" s="207" t="s">
        <v>570</v>
      </c>
      <c r="D59" s="207">
        <f>D58</f>
        <v>4</v>
      </c>
      <c r="E59" s="207">
        <f>单价汇总!$D$384/1000</f>
        <v>89.4831914821935</v>
      </c>
      <c r="F59" s="207">
        <f>D59*E59</f>
        <v>357.932765928774</v>
      </c>
    </row>
  </sheetData>
  <mergeCells count="2">
    <mergeCell ref="A1:F1"/>
    <mergeCell ref="A2:F2"/>
  </mergeCells>
  <printOptions horizontalCentered="1"/>
  <pageMargins left="0.984027777777778" right="0.786805555555556" top="0.786805555555556" bottom="0.786805555555556" header="0" footer="0"/>
  <pageSetup paperSize="9" scale="96" orientation="portrait"/>
  <headerFooter alignWithMargins="0" scaleWithDoc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7"/>
  <sheetViews>
    <sheetView workbookViewId="0">
      <selection activeCell="A1" sqref="A1:F1"/>
    </sheetView>
  </sheetViews>
  <sheetFormatPr defaultColWidth="9" defaultRowHeight="12.75"/>
  <cols>
    <col min="1" max="1" width="5.625" style="450" customWidth="1"/>
    <col min="2" max="2" width="36.125" style="450" customWidth="1"/>
    <col min="3" max="3" width="7.625" style="450" customWidth="1"/>
    <col min="4" max="4" width="9.625" style="450" customWidth="1"/>
    <col min="5" max="5" width="10.125" style="450" customWidth="1"/>
    <col min="6" max="6" width="11.5" style="450" customWidth="1"/>
    <col min="7" max="7" width="7.125" style="450" customWidth="1"/>
    <col min="8" max="8" width="9" style="450" customWidth="1"/>
    <col min="9" max="9" width="17.25" style="450" hidden="1" customWidth="1"/>
    <col min="10" max="11" width="9" style="450" hidden="1" customWidth="1"/>
    <col min="12" max="256" width="9" style="450" customWidth="1"/>
    <col min="257" max="16384" width="9" style="450"/>
  </cols>
  <sheetData>
    <row r="1" s="446" customFormat="1" ht="21.95" customHeight="1" spans="1:6">
      <c r="A1" s="451" t="s">
        <v>1132</v>
      </c>
      <c r="B1" s="451"/>
      <c r="C1" s="451"/>
      <c r="D1" s="451"/>
      <c r="E1" s="451"/>
      <c r="F1" s="451"/>
    </row>
    <row r="2" ht="18" customHeight="1" spans="1:6">
      <c r="A2" s="452" t="s">
        <v>1133</v>
      </c>
      <c r="B2" s="453"/>
      <c r="C2" s="453"/>
      <c r="D2" s="453"/>
      <c r="E2" s="453"/>
      <c r="F2" s="453"/>
    </row>
    <row r="3" s="447" customFormat="1" ht="18" customHeight="1" spans="1:6">
      <c r="A3" s="454" t="s">
        <v>514</v>
      </c>
      <c r="B3" s="455" t="s">
        <v>1134</v>
      </c>
      <c r="C3" s="455" t="s">
        <v>1135</v>
      </c>
      <c r="D3" s="455" t="s">
        <v>533</v>
      </c>
      <c r="E3" s="455" t="s">
        <v>534</v>
      </c>
      <c r="F3" s="456" t="s">
        <v>1136</v>
      </c>
    </row>
    <row r="4" ht="18" customHeight="1" spans="1:10">
      <c r="A4" s="457" t="s">
        <v>1137</v>
      </c>
      <c r="B4" s="458"/>
      <c r="C4" s="458" t="s">
        <v>1138</v>
      </c>
      <c r="D4" s="458">
        <f>D5</f>
        <v>1658</v>
      </c>
      <c r="E4" s="458" t="e">
        <f>F4/D4</f>
        <v>#REF!</v>
      </c>
      <c r="F4" s="459" t="e">
        <f>F5</f>
        <v>#REF!</v>
      </c>
      <c r="I4" s="207"/>
      <c r="J4" s="207"/>
    </row>
    <row r="5" ht="18" customHeight="1" spans="1:10">
      <c r="A5" s="457" t="s">
        <v>1139</v>
      </c>
      <c r="B5" s="458"/>
      <c r="C5" s="458" t="s">
        <v>1138</v>
      </c>
      <c r="D5" s="458">
        <v>1658</v>
      </c>
      <c r="E5" s="458" t="e">
        <f>F5/D5</f>
        <v>#REF!</v>
      </c>
      <c r="F5" s="459" t="e">
        <f>F6+F20+F40+F77</f>
        <v>#REF!</v>
      </c>
      <c r="I5" s="207"/>
      <c r="J5" s="207"/>
    </row>
    <row r="6" ht="18" customHeight="1" spans="1:6">
      <c r="A6" s="457" t="s">
        <v>520</v>
      </c>
      <c r="B6" s="458" t="s">
        <v>1140</v>
      </c>
      <c r="C6" s="458"/>
      <c r="D6" s="458"/>
      <c r="E6" s="458"/>
      <c r="F6" s="459" t="e">
        <f>F7+F10+F17</f>
        <v>#REF!</v>
      </c>
    </row>
    <row r="7" ht="18" customHeight="1" spans="1:6">
      <c r="A7" s="457">
        <v>1</v>
      </c>
      <c r="B7" s="458" t="s">
        <v>1141</v>
      </c>
      <c r="C7" s="458" t="s">
        <v>146</v>
      </c>
      <c r="D7" s="458">
        <v>18129</v>
      </c>
      <c r="E7" s="458">
        <f>F7/D7</f>
        <v>24.6501295730044</v>
      </c>
      <c r="F7" s="459">
        <f>SUM(F8:F9)</f>
        <v>446882.199028997</v>
      </c>
    </row>
    <row r="8" ht="18" customHeight="1" spans="1:6">
      <c r="A8" s="460"/>
      <c r="B8" s="461" t="s">
        <v>1142</v>
      </c>
      <c r="C8" s="207" t="s">
        <v>820</v>
      </c>
      <c r="D8" s="207">
        <f>3.14*0.075*D7*1.03</f>
        <v>4397.460885</v>
      </c>
      <c r="E8" s="207">
        <f>单价汇总!$D$369/100</f>
        <v>15.2651739050375</v>
      </c>
      <c r="F8" s="462">
        <f t="shared" ref="F8:F15" si="0">D8*E8</f>
        <v>67128.0051501251</v>
      </c>
    </row>
    <row r="9" ht="18" customHeight="1" spans="1:6">
      <c r="A9" s="460"/>
      <c r="B9" s="269" t="s">
        <v>1143</v>
      </c>
      <c r="C9" s="207" t="s">
        <v>146</v>
      </c>
      <c r="D9" s="207">
        <f>D7</f>
        <v>18129</v>
      </c>
      <c r="E9" s="207">
        <f>单价汇总!$D$368/100</f>
        <v>20.947332664729</v>
      </c>
      <c r="F9" s="462">
        <f t="shared" si="0"/>
        <v>379754.193878872</v>
      </c>
    </row>
    <row r="10" ht="18" customHeight="1" spans="1:6">
      <c r="A10" s="457">
        <v>2</v>
      </c>
      <c r="B10" s="458" t="s">
        <v>1144</v>
      </c>
      <c r="C10" s="458" t="s">
        <v>146</v>
      </c>
      <c r="D10" s="458">
        <f>D13</f>
        <v>560</v>
      </c>
      <c r="E10" s="458" t="e">
        <f>F10/D10</f>
        <v>#REF!</v>
      </c>
      <c r="F10" s="459" t="e">
        <f>SUM(F11:F15)</f>
        <v>#REF!</v>
      </c>
    </row>
    <row r="11" ht="18" customHeight="1" spans="1:6">
      <c r="A11" s="460"/>
      <c r="B11" s="269" t="s">
        <v>1145</v>
      </c>
      <c r="C11" s="207" t="s">
        <v>743</v>
      </c>
      <c r="D11" s="207">
        <f>D10*2.45</f>
        <v>1372</v>
      </c>
      <c r="E11" s="207">
        <f>单价汇总!$D$27/100*0.03+单价汇总!$D$43/100*0.97</f>
        <v>3.1940587915569</v>
      </c>
      <c r="F11" s="462">
        <f t="shared" si="0"/>
        <v>4382.24866201606</v>
      </c>
    </row>
    <row r="12" ht="18" customHeight="1" spans="1:6">
      <c r="A12" s="460"/>
      <c r="B12" s="269" t="s">
        <v>1146</v>
      </c>
      <c r="C12" s="207" t="s">
        <v>743</v>
      </c>
      <c r="D12" s="207">
        <f>D11*0.96</f>
        <v>1317.12</v>
      </c>
      <c r="E12" s="207">
        <f>单价汇总!$D$41/100</f>
        <v>3.16200345026035</v>
      </c>
      <c r="F12" s="462">
        <f t="shared" si="0"/>
        <v>4164.73798440691</v>
      </c>
    </row>
    <row r="13" ht="18" customHeight="1" spans="1:6">
      <c r="A13" s="460"/>
      <c r="B13" s="268" t="s">
        <v>1147</v>
      </c>
      <c r="C13" s="207" t="s">
        <v>146</v>
      </c>
      <c r="D13" s="207">
        <v>560</v>
      </c>
      <c r="E13" s="207">
        <f>单价汇总!$D$281/10*1.1+5.2</f>
        <v>150.614473117335</v>
      </c>
      <c r="F13" s="462">
        <f t="shared" si="0"/>
        <v>84344.1049457078</v>
      </c>
    </row>
    <row r="14" ht="18" customHeight="1" spans="1:6">
      <c r="A14" s="460"/>
      <c r="B14" s="268" t="s">
        <v>1148</v>
      </c>
      <c r="C14" s="207" t="s">
        <v>146</v>
      </c>
      <c r="D14" s="207">
        <f>1520-D13</f>
        <v>960</v>
      </c>
      <c r="E14" s="207" t="e">
        <f>#REF!/10*1.1+5.2</f>
        <v>#REF!</v>
      </c>
      <c r="F14" s="462" t="e">
        <f t="shared" si="0"/>
        <v>#REF!</v>
      </c>
    </row>
    <row r="15" ht="18" customHeight="1" spans="1:6">
      <c r="A15" s="460"/>
      <c r="B15" s="269" t="s">
        <v>1149</v>
      </c>
      <c r="C15" s="207" t="s">
        <v>146</v>
      </c>
      <c r="D15" s="207">
        <f>D21*2</f>
        <v>32</v>
      </c>
      <c r="E15" s="207">
        <f>单价汇总!$D$278/10</f>
        <v>26.3280482568394</v>
      </c>
      <c r="F15" s="462">
        <f t="shared" si="0"/>
        <v>842.497544218861</v>
      </c>
    </row>
    <row r="16" ht="18" customHeight="1" spans="1:6">
      <c r="A16" s="460"/>
      <c r="B16" s="269"/>
      <c r="C16" s="207"/>
      <c r="D16" s="207"/>
      <c r="E16" s="207"/>
      <c r="F16" s="462"/>
    </row>
    <row r="17" ht="18" customHeight="1" spans="1:6">
      <c r="A17" s="460">
        <v>3</v>
      </c>
      <c r="B17" s="458" t="s">
        <v>1150</v>
      </c>
      <c r="C17" s="207"/>
      <c r="D17" s="207" t="s">
        <v>1151</v>
      </c>
      <c r="E17" s="207"/>
      <c r="F17" s="463">
        <f>SUM(F18:F19)</f>
        <v>18435.3814724473</v>
      </c>
    </row>
    <row r="18" ht="18" customHeight="1" spans="1:6">
      <c r="A18" s="460"/>
      <c r="B18" s="461" t="s">
        <v>1152</v>
      </c>
      <c r="C18" s="207" t="s">
        <v>1117</v>
      </c>
      <c r="D18" s="207">
        <v>4</v>
      </c>
      <c r="E18" s="207">
        <v>2100</v>
      </c>
      <c r="F18" s="464">
        <f>E18*D18</f>
        <v>8400</v>
      </c>
    </row>
    <row r="19" ht="18" customHeight="1" spans="1:6">
      <c r="A19" s="460"/>
      <c r="B19" s="461" t="s">
        <v>1153</v>
      </c>
      <c r="C19" s="207" t="s">
        <v>1154</v>
      </c>
      <c r="D19" s="207">
        <f>D18*7*24</f>
        <v>672</v>
      </c>
      <c r="E19" s="207">
        <f>'05版台时汇总'!$E$342</f>
        <v>14.933603381618</v>
      </c>
      <c r="F19" s="462">
        <f t="shared" ref="F19:F34" si="1">D19*E19</f>
        <v>10035.3814724473</v>
      </c>
    </row>
    <row r="20" s="448" customFormat="1" ht="18" customHeight="1" spans="1:6">
      <c r="A20" s="457" t="s">
        <v>523</v>
      </c>
      <c r="B20" s="458" t="s">
        <v>1155</v>
      </c>
      <c r="C20" s="465"/>
      <c r="D20" s="465"/>
      <c r="E20" s="465"/>
      <c r="F20" s="463">
        <f>F21+F35</f>
        <v>38201.9385097904</v>
      </c>
    </row>
    <row r="21" ht="18" customHeight="1" spans="1:6">
      <c r="A21" s="457">
        <v>1</v>
      </c>
      <c r="B21" s="271" t="s">
        <v>1156</v>
      </c>
      <c r="C21" s="458" t="s">
        <v>1116</v>
      </c>
      <c r="D21" s="458">
        <v>16</v>
      </c>
      <c r="E21" s="458">
        <f>F21/D21</f>
        <v>2026.64350576796</v>
      </c>
      <c r="F21" s="459">
        <f>SUM(F22:F34)</f>
        <v>32426.2960922873</v>
      </c>
    </row>
    <row r="22" ht="18" customHeight="1" spans="1:6">
      <c r="A22" s="460"/>
      <c r="B22" s="269" t="s">
        <v>1157</v>
      </c>
      <c r="C22" s="207" t="s">
        <v>743</v>
      </c>
      <c r="D22" s="207">
        <f>D21*3.14*0.52*0.52*0.1</f>
        <v>1.3584896</v>
      </c>
      <c r="E22" s="207">
        <f>单价汇总!$D$170/100</f>
        <v>714.479309197312</v>
      </c>
      <c r="F22" s="462">
        <f t="shared" si="1"/>
        <v>970.612710959733</v>
      </c>
    </row>
    <row r="23" ht="18" customHeight="1" spans="1:6">
      <c r="A23" s="466"/>
      <c r="B23" s="461" t="s">
        <v>1158</v>
      </c>
      <c r="C23" s="207" t="s">
        <v>743</v>
      </c>
      <c r="D23" s="207">
        <f>D21*2*3.14*0.045*3</f>
        <v>13.5648</v>
      </c>
      <c r="E23" s="207">
        <f>单价汇总!$D$170/100</f>
        <v>714.479309197312</v>
      </c>
      <c r="F23" s="462">
        <f t="shared" si="1"/>
        <v>9691.7689333997</v>
      </c>
    </row>
    <row r="24" ht="18" customHeight="1" spans="1:6">
      <c r="A24" s="460"/>
      <c r="B24" s="461" t="s">
        <v>1159</v>
      </c>
      <c r="C24" s="207" t="s">
        <v>743</v>
      </c>
      <c r="D24" s="207">
        <f>D21*3.14*0.92*0.92*0.06</f>
        <v>2.55138816</v>
      </c>
      <c r="E24" s="207">
        <f>单价汇总!$D$170/100</f>
        <v>714.479309197312</v>
      </c>
      <c r="F24" s="462">
        <f t="shared" si="1"/>
        <v>1822.914050051</v>
      </c>
    </row>
    <row r="25" ht="18" customHeight="1" spans="1:6">
      <c r="A25" s="460"/>
      <c r="B25" s="461" t="s">
        <v>1160</v>
      </c>
      <c r="C25" s="207" t="s">
        <v>550</v>
      </c>
      <c r="D25" s="207">
        <f>D21*44</f>
        <v>704</v>
      </c>
      <c r="E25" s="207">
        <f>单价汇总!$D$196/1000</f>
        <v>6.24066751713011</v>
      </c>
      <c r="F25" s="462">
        <f t="shared" si="1"/>
        <v>4393.4299320596</v>
      </c>
    </row>
    <row r="26" ht="18" customHeight="1" spans="1:6">
      <c r="A26" s="466"/>
      <c r="B26" s="461" t="s">
        <v>1161</v>
      </c>
      <c r="C26" s="207" t="s">
        <v>743</v>
      </c>
      <c r="D26" s="207">
        <f>D22+D23+D24</f>
        <v>17.47467776</v>
      </c>
      <c r="E26" s="207">
        <f>单价汇总!$D$190/100</f>
        <v>151.27314926752</v>
      </c>
      <c r="F26" s="462">
        <f t="shared" si="1"/>
        <v>2643.44953719029</v>
      </c>
    </row>
    <row r="27" ht="18" customHeight="1" spans="1:6">
      <c r="A27" s="466"/>
      <c r="B27" s="461" t="s">
        <v>1162</v>
      </c>
      <c r="C27" s="207" t="s">
        <v>743</v>
      </c>
      <c r="D27" s="207">
        <f>D26</f>
        <v>17.47467776</v>
      </c>
      <c r="E27" s="207">
        <f>单价汇总!$D$187/100</f>
        <v>211.06997983966</v>
      </c>
      <c r="F27" s="462">
        <f t="shared" si="1"/>
        <v>3688.37988250776</v>
      </c>
    </row>
    <row r="28" ht="18" customHeight="1" spans="1:6">
      <c r="A28" s="460"/>
      <c r="B28" s="461" t="s">
        <v>1163</v>
      </c>
      <c r="C28" s="207" t="s">
        <v>550</v>
      </c>
      <c r="D28" s="207">
        <f>0.48*D21</f>
        <v>7.68</v>
      </c>
      <c r="E28" s="207">
        <v>12.3</v>
      </c>
      <c r="F28" s="462">
        <f t="shared" si="1"/>
        <v>94.464</v>
      </c>
    </row>
    <row r="29" ht="18" customHeight="1" spans="1:6">
      <c r="A29" s="460"/>
      <c r="B29" s="461" t="s">
        <v>1164</v>
      </c>
      <c r="C29" s="207" t="s">
        <v>743</v>
      </c>
      <c r="D29" s="207">
        <f>0.3*D21</f>
        <v>4.8</v>
      </c>
      <c r="E29" s="207">
        <f>单价汇总!$D$80/100</f>
        <v>138.200642781194</v>
      </c>
      <c r="F29" s="462">
        <f t="shared" si="1"/>
        <v>663.363085349731</v>
      </c>
    </row>
    <row r="30" ht="18" customHeight="1" spans="1:6">
      <c r="A30" s="466"/>
      <c r="B30" s="461" t="s">
        <v>1165</v>
      </c>
      <c r="C30" s="207" t="s">
        <v>743</v>
      </c>
      <c r="D30" s="207">
        <f>D21*3.14*0.58*0.58*0.3</f>
        <v>5.0702208</v>
      </c>
      <c r="E30" s="207">
        <f>单价汇总!$D$81/100</f>
        <v>126.028555399238</v>
      </c>
      <c r="F30" s="462">
        <f t="shared" si="1"/>
        <v>638.992602979169</v>
      </c>
    </row>
    <row r="31" ht="18" customHeight="1" spans="1:6">
      <c r="A31" s="460"/>
      <c r="B31" s="461" t="s">
        <v>1166</v>
      </c>
      <c r="C31" s="207" t="s">
        <v>743</v>
      </c>
      <c r="D31" s="207">
        <f>D21*21.3</f>
        <v>340.8</v>
      </c>
      <c r="E31" s="467">
        <f>(单价汇总!$D$22*0.6+单价汇总!$D$43*0.4)/100</f>
        <v>6.4765127782806</v>
      </c>
      <c r="F31" s="462">
        <f t="shared" si="1"/>
        <v>2207.19555483803</v>
      </c>
    </row>
    <row r="32" ht="18" customHeight="1" spans="1:6">
      <c r="A32" s="466"/>
      <c r="B32" s="461" t="s">
        <v>1167</v>
      </c>
      <c r="C32" s="207" t="s">
        <v>743</v>
      </c>
      <c r="D32" s="207">
        <f>D31*0.4</f>
        <v>136.32</v>
      </c>
      <c r="E32" s="467">
        <f>单价汇总!$D$60/100</f>
        <v>17.5683160257823</v>
      </c>
      <c r="F32" s="462">
        <f t="shared" si="1"/>
        <v>2394.91284063465</v>
      </c>
    </row>
    <row r="33" ht="18" customHeight="1" spans="1:6">
      <c r="A33" s="460"/>
      <c r="B33" s="461" t="s">
        <v>1153</v>
      </c>
      <c r="C33" s="207" t="s">
        <v>1154</v>
      </c>
      <c r="D33" s="207">
        <f>D21*3</f>
        <v>48</v>
      </c>
      <c r="E33" s="207">
        <f>'05版台时汇总'!$E$342</f>
        <v>14.933603381618</v>
      </c>
      <c r="F33" s="462">
        <f t="shared" si="1"/>
        <v>716.812962317663</v>
      </c>
    </row>
    <row r="34" ht="18" customHeight="1" spans="1:6">
      <c r="A34" s="460"/>
      <c r="B34" s="468" t="s">
        <v>1168</v>
      </c>
      <c r="C34" s="281" t="s">
        <v>552</v>
      </c>
      <c r="D34" s="207">
        <f>5</f>
        <v>5</v>
      </c>
      <c r="E34" s="207">
        <v>500</v>
      </c>
      <c r="F34" s="462">
        <f t="shared" si="1"/>
        <v>2500</v>
      </c>
    </row>
    <row r="35" ht="18" customHeight="1" spans="1:6">
      <c r="A35" s="457">
        <v>2</v>
      </c>
      <c r="B35" s="469" t="s">
        <v>1169</v>
      </c>
      <c r="C35" s="465" t="s">
        <v>1116</v>
      </c>
      <c r="D35" s="465">
        <v>8</v>
      </c>
      <c r="E35" s="465"/>
      <c r="F35" s="463">
        <f>SUM(F36:F39)</f>
        <v>5775.64241750307</v>
      </c>
    </row>
    <row r="36" ht="18" customHeight="1" spans="1:6">
      <c r="A36" s="460"/>
      <c r="B36" s="461" t="s">
        <v>1170</v>
      </c>
      <c r="C36" s="207" t="s">
        <v>743</v>
      </c>
      <c r="D36" s="207">
        <f>D35*3.3</f>
        <v>26.4</v>
      </c>
      <c r="E36" s="467">
        <f>(单价汇总!$D$22*0.6+单价汇总!$D$43*0.4)/100</f>
        <v>6.4765127782806</v>
      </c>
      <c r="F36" s="462">
        <f>E36*D36</f>
        <v>170.979937346608</v>
      </c>
    </row>
    <row r="37" ht="18" customHeight="1" spans="1:6">
      <c r="A37" s="460"/>
      <c r="B37" s="461" t="s">
        <v>1167</v>
      </c>
      <c r="C37" s="207" t="s">
        <v>743</v>
      </c>
      <c r="D37" s="207">
        <f>D36*0.7</f>
        <v>18.48</v>
      </c>
      <c r="E37" s="467">
        <f>单价汇总!$D$60/100</f>
        <v>17.5683160257823</v>
      </c>
      <c r="F37" s="462">
        <f>E37*D37</f>
        <v>324.662480156457</v>
      </c>
    </row>
    <row r="38" ht="18" customHeight="1" spans="1:6">
      <c r="A38" s="460"/>
      <c r="B38" s="461" t="s">
        <v>1171</v>
      </c>
      <c r="C38" s="207" t="s">
        <v>146</v>
      </c>
      <c r="D38" s="207">
        <f>D35*1.5</f>
        <v>12</v>
      </c>
      <c r="E38" s="207">
        <f>250*1.5</f>
        <v>375</v>
      </c>
      <c r="F38" s="462">
        <f>E38*D38</f>
        <v>4500</v>
      </c>
    </row>
    <row r="39" ht="18" customHeight="1" spans="1:6">
      <c r="A39" s="460"/>
      <c r="B39" s="461" t="s">
        <v>1172</v>
      </c>
      <c r="C39" s="207" t="s">
        <v>146</v>
      </c>
      <c r="D39" s="207">
        <f>1.5*D35</f>
        <v>12</v>
      </c>
      <c r="E39" s="207">
        <v>65</v>
      </c>
      <c r="F39" s="462">
        <f>E39*D39</f>
        <v>780</v>
      </c>
    </row>
    <row r="40" ht="18" customHeight="1" spans="1:6">
      <c r="A40" s="457" t="s">
        <v>673</v>
      </c>
      <c r="B40" s="458" t="s">
        <v>1173</v>
      </c>
      <c r="C40" s="465"/>
      <c r="D40" s="465"/>
      <c r="E40" s="207"/>
      <c r="F40" s="463">
        <f>+F41+F55+F62+F73</f>
        <v>126375.632772609</v>
      </c>
    </row>
    <row r="41" ht="18" customHeight="1" spans="1:6">
      <c r="A41" s="457">
        <v>1</v>
      </c>
      <c r="B41" s="458" t="s">
        <v>1174</v>
      </c>
      <c r="C41" s="458" t="s">
        <v>1116</v>
      </c>
      <c r="D41" s="458">
        <v>1</v>
      </c>
      <c r="E41" s="458"/>
      <c r="F41" s="459">
        <f>SUM(F42:F54)</f>
        <v>51494.8659468002</v>
      </c>
    </row>
    <row r="42" ht="18" customHeight="1" spans="1:6">
      <c r="A42" s="457"/>
      <c r="B42" s="269" t="s">
        <v>1175</v>
      </c>
      <c r="C42" s="207" t="s">
        <v>743</v>
      </c>
      <c r="D42" s="207">
        <v>270.34</v>
      </c>
      <c r="E42" s="467">
        <f>(单价汇总!$D$22*0.6+单价汇总!$D$43*0.4)/100</f>
        <v>6.4765127782806</v>
      </c>
      <c r="F42" s="464">
        <f t="shared" ref="F42:F50" si="2">E42*D42</f>
        <v>1750.86046448038</v>
      </c>
    </row>
    <row r="43" ht="18" customHeight="1" spans="1:6">
      <c r="A43" s="457"/>
      <c r="B43" s="269" t="s">
        <v>1167</v>
      </c>
      <c r="C43" s="207" t="s">
        <v>743</v>
      </c>
      <c r="D43" s="207">
        <f>D42-3.14*(2.57/2)^2*6.1</f>
        <v>238.71243635</v>
      </c>
      <c r="E43" s="467">
        <f>单价汇总!$D$60/100</f>
        <v>17.5683160257823</v>
      </c>
      <c r="F43" s="464">
        <f t="shared" si="2"/>
        <v>4193.77552108125</v>
      </c>
    </row>
    <row r="44" ht="27.95" customHeight="1" spans="1:6">
      <c r="A44" s="457"/>
      <c r="B44" s="269" t="s">
        <v>1176</v>
      </c>
      <c r="C44" s="207" t="s">
        <v>146</v>
      </c>
      <c r="D44" s="207">
        <v>6</v>
      </c>
      <c r="E44" s="207">
        <v>2500</v>
      </c>
      <c r="F44" s="464">
        <f t="shared" si="2"/>
        <v>15000</v>
      </c>
    </row>
    <row r="45" ht="18" customHeight="1" spans="1:6">
      <c r="A45" s="460"/>
      <c r="B45" s="269" t="s">
        <v>1177</v>
      </c>
      <c r="C45" s="207" t="s">
        <v>743</v>
      </c>
      <c r="D45" s="207">
        <f>(3.14*1.285^2)*0.15*2</f>
        <v>1.55545395</v>
      </c>
      <c r="E45" s="207">
        <f>单价汇总!$D$169/100</f>
        <v>682.39363644957</v>
      </c>
      <c r="F45" s="464">
        <f t="shared" si="2"/>
        <v>1061.43187727035</v>
      </c>
    </row>
    <row r="46" ht="18" customHeight="1" spans="1:6">
      <c r="A46" s="460"/>
      <c r="B46" s="269" t="s">
        <v>1178</v>
      </c>
      <c r="C46" s="207" t="s">
        <v>743</v>
      </c>
      <c r="D46" s="207">
        <f>D45</f>
        <v>1.55545395</v>
      </c>
      <c r="E46" s="207">
        <f>单价汇总!$D$190/100</f>
        <v>151.27314926752</v>
      </c>
      <c r="F46" s="464">
        <f t="shared" si="2"/>
        <v>235.298417557104</v>
      </c>
    </row>
    <row r="47" ht="18" customHeight="1" spans="1:6">
      <c r="A47" s="460"/>
      <c r="B47" s="269" t="s">
        <v>1179</v>
      </c>
      <c r="C47" s="207" t="s">
        <v>743</v>
      </c>
      <c r="D47" s="207">
        <f>D46</f>
        <v>1.55545395</v>
      </c>
      <c r="E47" s="207">
        <f>单价汇总!$D$187/100</f>
        <v>211.06997983966</v>
      </c>
      <c r="F47" s="464">
        <f t="shared" si="2"/>
        <v>328.309633868019</v>
      </c>
    </row>
    <row r="48" ht="18" customHeight="1" spans="1:6">
      <c r="A48" s="460"/>
      <c r="B48" s="269" t="s">
        <v>1180</v>
      </c>
      <c r="C48" s="207" t="s">
        <v>743</v>
      </c>
      <c r="D48" s="207">
        <f>0.995*3.6</f>
        <v>3.582</v>
      </c>
      <c r="E48" s="207">
        <f>单价汇总!$D$90/100</f>
        <v>355.100797611799</v>
      </c>
      <c r="F48" s="464">
        <f t="shared" si="2"/>
        <v>1271.97105704546</v>
      </c>
    </row>
    <row r="49" ht="18" customHeight="1" spans="1:6">
      <c r="A49" s="460"/>
      <c r="B49" s="461" t="s">
        <v>1181</v>
      </c>
      <c r="C49" s="207" t="s">
        <v>743</v>
      </c>
      <c r="D49" s="207">
        <f>(3.14*2.085^2)*0.4</f>
        <v>5.4601146</v>
      </c>
      <c r="E49" s="207">
        <f>单价汇总!$D$81/100</f>
        <v>126.028555399238</v>
      </c>
      <c r="F49" s="464">
        <f t="shared" si="2"/>
        <v>688.130355352288</v>
      </c>
    </row>
    <row r="50" ht="18" customHeight="1" spans="1:6">
      <c r="A50" s="460"/>
      <c r="B50" s="461" t="s">
        <v>1163</v>
      </c>
      <c r="C50" s="207" t="s">
        <v>550</v>
      </c>
      <c r="D50" s="207">
        <f>0.185*0.1*3.14*2.57*2</f>
        <v>0.2985826</v>
      </c>
      <c r="E50" s="207">
        <v>12.3</v>
      </c>
      <c r="F50" s="464">
        <f t="shared" si="2"/>
        <v>3.67256598</v>
      </c>
    </row>
    <row r="51" ht="18" customHeight="1" spans="1:6">
      <c r="A51" s="460"/>
      <c r="B51" s="461" t="s">
        <v>1182</v>
      </c>
      <c r="C51" s="470" t="s">
        <v>146</v>
      </c>
      <c r="D51" s="207">
        <f>D41*20</f>
        <v>20</v>
      </c>
      <c r="E51" s="207">
        <v>900</v>
      </c>
      <c r="F51" s="464">
        <f>D51*E51</f>
        <v>18000</v>
      </c>
    </row>
    <row r="52" ht="18" customHeight="1" spans="1:6">
      <c r="A52" s="460"/>
      <c r="B52" s="461" t="s">
        <v>1183</v>
      </c>
      <c r="C52" s="207" t="s">
        <v>743</v>
      </c>
      <c r="D52" s="207">
        <f>(3.14*2.085^2)*0.2</f>
        <v>2.7300573</v>
      </c>
      <c r="E52" s="207">
        <f>单价汇总!$D$137/100</f>
        <v>431.255139801307</v>
      </c>
      <c r="F52" s="464">
        <f>E52*D52</f>
        <v>1177.35124257708</v>
      </c>
    </row>
    <row r="53" ht="18" customHeight="1" spans="1:6">
      <c r="A53" s="460"/>
      <c r="B53" s="461" t="s">
        <v>1152</v>
      </c>
      <c r="C53" s="207" t="s">
        <v>1117</v>
      </c>
      <c r="D53" s="207">
        <v>2</v>
      </c>
      <c r="E53" s="207">
        <f>E18</f>
        <v>2100</v>
      </c>
      <c r="F53" s="464">
        <f>E53*D53</f>
        <v>4200</v>
      </c>
    </row>
    <row r="54" ht="18" customHeight="1" spans="1:6">
      <c r="A54" s="460"/>
      <c r="B54" s="461" t="s">
        <v>1184</v>
      </c>
      <c r="C54" s="207" t="s">
        <v>1154</v>
      </c>
      <c r="D54" s="207">
        <f>D53*5*24</f>
        <v>240</v>
      </c>
      <c r="E54" s="207">
        <f>'05版台时汇总'!$E$342</f>
        <v>14.933603381618</v>
      </c>
      <c r="F54" s="464">
        <f>E54*D54</f>
        <v>3584.06481158831</v>
      </c>
    </row>
    <row r="55" ht="18" customHeight="1" spans="1:6">
      <c r="A55" s="457">
        <v>2</v>
      </c>
      <c r="B55" s="458" t="s">
        <v>1185</v>
      </c>
      <c r="C55" s="458" t="s">
        <v>1116</v>
      </c>
      <c r="D55" s="458">
        <v>1</v>
      </c>
      <c r="E55" s="225"/>
      <c r="F55" s="463">
        <f>SUM(F56:F61)</f>
        <v>2346.65</v>
      </c>
    </row>
    <row r="56" ht="18" customHeight="1" spans="1:6">
      <c r="A56" s="471"/>
      <c r="B56" s="472" t="s">
        <v>1186</v>
      </c>
      <c r="C56" s="473" t="s">
        <v>146</v>
      </c>
      <c r="D56" s="207">
        <v>20</v>
      </c>
      <c r="E56" s="207">
        <v>65</v>
      </c>
      <c r="F56" s="462">
        <f t="shared" ref="F56:F61" si="3">D56*E56</f>
        <v>1300</v>
      </c>
    </row>
    <row r="57" ht="18" customHeight="1" spans="1:6">
      <c r="A57" s="471"/>
      <c r="B57" s="472" t="s">
        <v>1187</v>
      </c>
      <c r="C57" s="474" t="s">
        <v>284</v>
      </c>
      <c r="D57" s="207">
        <f>D55*1</f>
        <v>1</v>
      </c>
      <c r="E57" s="207">
        <v>298.5</v>
      </c>
      <c r="F57" s="462">
        <f t="shared" si="3"/>
        <v>298.5</v>
      </c>
    </row>
    <row r="58" ht="18" customHeight="1" spans="1:6">
      <c r="A58" s="471"/>
      <c r="B58" s="475" t="s">
        <v>1188</v>
      </c>
      <c r="C58" s="474" t="s">
        <v>284</v>
      </c>
      <c r="D58" s="207">
        <f>3*D55</f>
        <v>3</v>
      </c>
      <c r="E58" s="207">
        <v>53.3</v>
      </c>
      <c r="F58" s="462">
        <f t="shared" si="3"/>
        <v>159.9</v>
      </c>
    </row>
    <row r="59" ht="18" customHeight="1" spans="1:6">
      <c r="A59" s="471"/>
      <c r="B59" s="475" t="s">
        <v>1189</v>
      </c>
      <c r="C59" s="474" t="s">
        <v>284</v>
      </c>
      <c r="D59" s="207">
        <f>1*D55</f>
        <v>1</v>
      </c>
      <c r="E59" s="207">
        <v>101.2</v>
      </c>
      <c r="F59" s="462">
        <f t="shared" si="3"/>
        <v>101.2</v>
      </c>
    </row>
    <row r="60" ht="18" customHeight="1" spans="1:6">
      <c r="A60" s="471"/>
      <c r="B60" s="472" t="s">
        <v>1190</v>
      </c>
      <c r="C60" s="474" t="s">
        <v>552</v>
      </c>
      <c r="D60" s="207">
        <f>3*D55</f>
        <v>3</v>
      </c>
      <c r="E60" s="207">
        <v>112.35</v>
      </c>
      <c r="F60" s="462">
        <f t="shared" si="3"/>
        <v>337.05</v>
      </c>
    </row>
    <row r="61" ht="18" customHeight="1" spans="1:6">
      <c r="A61" s="471"/>
      <c r="B61" s="472" t="s">
        <v>1191</v>
      </c>
      <c r="C61" s="474" t="s">
        <v>552</v>
      </c>
      <c r="D61" s="207">
        <f>1*D55</f>
        <v>1</v>
      </c>
      <c r="E61" s="207">
        <v>150</v>
      </c>
      <c r="F61" s="462">
        <f t="shared" si="3"/>
        <v>150</v>
      </c>
    </row>
    <row r="62" s="449" customFormat="1" ht="18" customHeight="1" spans="1:15">
      <c r="A62" s="476">
        <v>3</v>
      </c>
      <c r="B62" s="477" t="s">
        <v>1192</v>
      </c>
      <c r="C62" s="478" t="s">
        <v>1116</v>
      </c>
      <c r="D62" s="477">
        <v>1</v>
      </c>
      <c r="E62" s="470"/>
      <c r="F62" s="463">
        <f>SUM(F63:F72)</f>
        <v>60638.2245</v>
      </c>
      <c r="G62" s="479"/>
      <c r="H62" s="479"/>
      <c r="I62" s="482"/>
      <c r="J62" s="482"/>
      <c r="K62" s="482"/>
      <c r="L62" s="482"/>
      <c r="M62" s="482"/>
      <c r="N62" s="482"/>
      <c r="O62" s="482"/>
    </row>
    <row r="63" s="449" customFormat="1" ht="18" customHeight="1" spans="1:15">
      <c r="A63" s="480"/>
      <c r="B63" s="475" t="s">
        <v>1193</v>
      </c>
      <c r="C63" s="470" t="s">
        <v>146</v>
      </c>
      <c r="D63" s="207">
        <v>50</v>
      </c>
      <c r="E63" s="207">
        <v>20</v>
      </c>
      <c r="F63" s="462">
        <f t="shared" ref="F63:F71" si="4">D63*E63</f>
        <v>1000</v>
      </c>
      <c r="G63" s="481"/>
      <c r="H63" s="481"/>
      <c r="I63" s="482"/>
      <c r="J63" s="482"/>
      <c r="K63" s="482"/>
      <c r="L63" s="482"/>
      <c r="M63" s="482"/>
      <c r="N63" s="482"/>
      <c r="O63" s="482"/>
    </row>
    <row r="64" s="449" customFormat="1" ht="18" customHeight="1" spans="1:15">
      <c r="A64" s="480"/>
      <c r="B64" s="461" t="s">
        <v>1194</v>
      </c>
      <c r="C64" s="207" t="s">
        <v>1195</v>
      </c>
      <c r="D64" s="207">
        <v>1</v>
      </c>
      <c r="E64" s="207">
        <f>270*18*5</f>
        <v>24300</v>
      </c>
      <c r="F64" s="464">
        <f>E64*D64</f>
        <v>24300</v>
      </c>
      <c r="G64" s="481"/>
      <c r="H64" s="481"/>
      <c r="I64" s="482"/>
      <c r="J64" s="482"/>
      <c r="K64" s="482"/>
      <c r="L64" s="482"/>
      <c r="M64" s="482"/>
      <c r="N64" s="482"/>
      <c r="O64" s="482"/>
    </row>
    <row r="65" s="449" customFormat="1" ht="18" customHeight="1" spans="1:15">
      <c r="A65" s="480"/>
      <c r="B65" s="461" t="s">
        <v>1196</v>
      </c>
      <c r="C65" s="207" t="s">
        <v>1195</v>
      </c>
      <c r="D65" s="207">
        <v>1</v>
      </c>
      <c r="E65" s="207">
        <f>270*18*3</f>
        <v>14580</v>
      </c>
      <c r="F65" s="464">
        <f>E65*D65</f>
        <v>14580</v>
      </c>
      <c r="G65" s="481"/>
      <c r="H65" s="481"/>
      <c r="I65" s="482"/>
      <c r="J65" s="482"/>
      <c r="K65" s="482"/>
      <c r="L65" s="482"/>
      <c r="M65" s="482"/>
      <c r="N65" s="482"/>
      <c r="O65" s="482"/>
    </row>
    <row r="66" s="449" customFormat="1" ht="18" customHeight="1" spans="1:15">
      <c r="A66" s="480"/>
      <c r="B66" s="475" t="s">
        <v>1197</v>
      </c>
      <c r="C66" s="470" t="s">
        <v>1198</v>
      </c>
      <c r="D66" s="207">
        <f>D62*1</f>
        <v>1</v>
      </c>
      <c r="E66" s="207">
        <v>1450</v>
      </c>
      <c r="F66" s="462">
        <f t="shared" si="4"/>
        <v>1450</v>
      </c>
      <c r="G66" s="481"/>
      <c r="H66" s="481"/>
      <c r="I66" s="482"/>
      <c r="J66" s="482"/>
      <c r="K66" s="482"/>
      <c r="L66" s="482"/>
      <c r="M66" s="482"/>
      <c r="N66" s="482"/>
      <c r="O66" s="482"/>
    </row>
    <row r="67" s="449" customFormat="1" ht="18" customHeight="1" spans="1:15">
      <c r="A67" s="480"/>
      <c r="B67" s="472" t="s">
        <v>1199</v>
      </c>
      <c r="C67" s="470" t="s">
        <v>1200</v>
      </c>
      <c r="D67" s="207">
        <f>D62*1</f>
        <v>1</v>
      </c>
      <c r="E67" s="207">
        <v>5500</v>
      </c>
      <c r="F67" s="462">
        <f t="shared" si="4"/>
        <v>5500</v>
      </c>
      <c r="G67" s="481"/>
      <c r="H67" s="481"/>
      <c r="I67" s="482"/>
      <c r="J67" s="482"/>
      <c r="K67" s="482"/>
      <c r="L67" s="482"/>
      <c r="M67" s="482"/>
      <c r="N67" s="482"/>
      <c r="O67" s="482"/>
    </row>
    <row r="68" s="449" customFormat="1" ht="18" customHeight="1" spans="1:15">
      <c r="A68" s="480"/>
      <c r="B68" s="475" t="s">
        <v>1201</v>
      </c>
      <c r="C68" s="470" t="s">
        <v>1200</v>
      </c>
      <c r="D68" s="207">
        <f>D62*1</f>
        <v>1</v>
      </c>
      <c r="E68" s="207">
        <v>4500</v>
      </c>
      <c r="F68" s="462">
        <f t="shared" si="4"/>
        <v>4500</v>
      </c>
      <c r="G68" s="481"/>
      <c r="H68" s="481"/>
      <c r="I68" s="482"/>
      <c r="J68" s="482"/>
      <c r="K68" s="482"/>
      <c r="L68" s="482"/>
      <c r="M68" s="482"/>
      <c r="N68" s="482"/>
      <c r="O68" s="482"/>
    </row>
    <row r="69" s="449" customFormat="1" ht="18" customHeight="1" spans="1:15">
      <c r="A69" s="480"/>
      <c r="B69" s="475" t="s">
        <v>1202</v>
      </c>
      <c r="C69" s="470" t="s">
        <v>146</v>
      </c>
      <c r="D69" s="207">
        <f>30*D62</f>
        <v>30</v>
      </c>
      <c r="E69" s="207">
        <v>16.91</v>
      </c>
      <c r="F69" s="462">
        <f t="shared" si="4"/>
        <v>507.3</v>
      </c>
      <c r="G69" s="481"/>
      <c r="H69" s="481"/>
      <c r="I69" s="482"/>
      <c r="J69" s="482"/>
      <c r="K69" s="482"/>
      <c r="L69" s="482"/>
      <c r="M69" s="482"/>
      <c r="N69" s="482"/>
      <c r="O69" s="482"/>
    </row>
    <row r="70" s="449" customFormat="1" ht="18" customHeight="1" spans="1:15">
      <c r="A70" s="480"/>
      <c r="B70" s="475" t="s">
        <v>1203</v>
      </c>
      <c r="C70" s="474" t="s">
        <v>552</v>
      </c>
      <c r="D70" s="207">
        <v>1</v>
      </c>
      <c r="E70" s="207">
        <v>100</v>
      </c>
      <c r="F70" s="462">
        <f t="shared" si="4"/>
        <v>100</v>
      </c>
      <c r="G70" s="481"/>
      <c r="H70" s="481"/>
      <c r="I70" s="482"/>
      <c r="J70" s="482"/>
      <c r="K70" s="482"/>
      <c r="L70" s="482"/>
      <c r="M70" s="482"/>
      <c r="N70" s="482"/>
      <c r="O70" s="482"/>
    </row>
    <row r="71" s="449" customFormat="1" ht="18" customHeight="1" spans="1:15">
      <c r="A71" s="480"/>
      <c r="B71" s="472" t="s">
        <v>1204</v>
      </c>
      <c r="C71" s="474" t="s">
        <v>552</v>
      </c>
      <c r="D71" s="207">
        <v>1</v>
      </c>
      <c r="E71" s="207">
        <v>5000</v>
      </c>
      <c r="F71" s="462">
        <f t="shared" si="4"/>
        <v>5000</v>
      </c>
      <c r="G71" s="481"/>
      <c r="H71" s="481"/>
      <c r="I71" s="482"/>
      <c r="J71" s="482"/>
      <c r="K71" s="482"/>
      <c r="L71" s="482"/>
      <c r="M71" s="482"/>
      <c r="N71" s="482"/>
      <c r="O71" s="482"/>
    </row>
    <row r="72" s="449" customFormat="1" ht="18" customHeight="1" spans="1:15">
      <c r="A72" s="480"/>
      <c r="B72" s="483" t="s">
        <v>1205</v>
      </c>
      <c r="C72" s="484"/>
      <c r="D72" s="484"/>
      <c r="E72" s="485"/>
      <c r="F72" s="462">
        <f>SUM(F63:F71)*6.5%</f>
        <v>3700.9245</v>
      </c>
      <c r="G72" s="481"/>
      <c r="H72" s="481"/>
      <c r="I72" s="482"/>
      <c r="J72" s="482"/>
      <c r="K72" s="482"/>
      <c r="L72" s="482"/>
      <c r="M72" s="482"/>
      <c r="N72" s="482"/>
      <c r="O72" s="482"/>
    </row>
    <row r="73" s="449" customFormat="1" ht="18" customHeight="1" spans="1:15">
      <c r="A73" s="476">
        <v>4</v>
      </c>
      <c r="B73" s="477" t="s">
        <v>1206</v>
      </c>
      <c r="C73" s="478" t="s">
        <v>1116</v>
      </c>
      <c r="D73" s="477">
        <v>1</v>
      </c>
      <c r="E73" s="470"/>
      <c r="F73" s="463">
        <f>SUM(F74:F76)</f>
        <v>11895.8923258083</v>
      </c>
      <c r="G73" s="479"/>
      <c r="H73" s="479"/>
      <c r="I73" s="482"/>
      <c r="J73" s="482"/>
      <c r="K73" s="482"/>
      <c r="L73" s="482"/>
      <c r="M73" s="482"/>
      <c r="N73" s="482"/>
      <c r="O73" s="482"/>
    </row>
    <row r="74" s="449" customFormat="1" ht="18" customHeight="1" spans="1:15">
      <c r="A74" s="480"/>
      <c r="B74" s="475" t="s">
        <v>1207</v>
      </c>
      <c r="C74" s="470" t="s">
        <v>146</v>
      </c>
      <c r="D74" s="207">
        <f>40*D73</f>
        <v>40</v>
      </c>
      <c r="E74" s="207">
        <v>225</v>
      </c>
      <c r="F74" s="462">
        <f>D74*E74</f>
        <v>9000</v>
      </c>
      <c r="G74" s="481"/>
      <c r="H74" s="481"/>
      <c r="I74" s="482"/>
      <c r="J74" s="482"/>
      <c r="K74" s="482"/>
      <c r="L74" s="482"/>
      <c r="M74" s="482"/>
      <c r="N74" s="482"/>
      <c r="O74" s="482"/>
    </row>
    <row r="75" s="449" customFormat="1" ht="18" customHeight="1" spans="1:15">
      <c r="A75" s="480"/>
      <c r="B75" s="475" t="s">
        <v>1208</v>
      </c>
      <c r="C75" s="470" t="s">
        <v>1209</v>
      </c>
      <c r="D75" s="207">
        <f>7.5*15*0.1*D73</f>
        <v>11.25</v>
      </c>
      <c r="E75" s="207">
        <f>单价汇总!$D$375/1000</f>
        <v>13.4164186514721</v>
      </c>
      <c r="F75" s="462">
        <f>D75*E75</f>
        <v>150.934709829061</v>
      </c>
      <c r="G75" s="481"/>
      <c r="H75" s="481"/>
      <c r="I75" s="482"/>
      <c r="J75" s="482"/>
      <c r="K75" s="482"/>
      <c r="L75" s="482"/>
      <c r="M75" s="482"/>
      <c r="N75" s="482"/>
      <c r="O75" s="482"/>
    </row>
    <row r="76" s="449" customFormat="1" ht="18" customHeight="1" spans="1:15">
      <c r="A76" s="480"/>
      <c r="B76" s="475" t="s">
        <v>1210</v>
      </c>
      <c r="C76" s="470" t="s">
        <v>1211</v>
      </c>
      <c r="D76" s="207">
        <f>4.5*D73</f>
        <v>4.5</v>
      </c>
      <c r="E76" s="207">
        <f>单价汇总!D132/100</f>
        <v>609.99058132871</v>
      </c>
      <c r="F76" s="462">
        <f>D76*E76</f>
        <v>2744.95761597919</v>
      </c>
      <c r="G76" s="481"/>
      <c r="H76" s="481"/>
      <c r="I76" s="482"/>
      <c r="J76" s="482"/>
      <c r="K76" s="482"/>
      <c r="L76" s="482"/>
      <c r="M76" s="482"/>
      <c r="N76" s="482"/>
      <c r="O76" s="482"/>
    </row>
    <row r="77" ht="18" customHeight="1" spans="1:7">
      <c r="A77" s="486" t="s">
        <v>1212</v>
      </c>
      <c r="B77" s="487"/>
      <c r="C77" s="488" t="s">
        <v>1213</v>
      </c>
      <c r="D77" s="488">
        <v>2</v>
      </c>
      <c r="E77" s="488">
        <v>2500</v>
      </c>
      <c r="F77" s="489">
        <f>D77*E77</f>
        <v>5000</v>
      </c>
      <c r="G77" s="490"/>
    </row>
  </sheetData>
  <mergeCells count="5">
    <mergeCell ref="A1:F1"/>
    <mergeCell ref="A2:F2"/>
    <mergeCell ref="A4:B4"/>
    <mergeCell ref="A5:B5"/>
    <mergeCell ref="A77:B77"/>
  </mergeCells>
  <pageMargins left="0.747916666666667" right="0.747916666666667" top="0.984027777777778" bottom="0.984027777777778" header="0.511805555555556" footer="0.511805555555556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AR38"/>
  <sheetViews>
    <sheetView workbookViewId="0">
      <selection activeCell="A1" sqref="A1:M1"/>
    </sheetView>
  </sheetViews>
  <sheetFormatPr defaultColWidth="9" defaultRowHeight="20.25"/>
  <cols>
    <col min="1" max="1" width="6.5" style="411" customWidth="1"/>
    <col min="2" max="2" width="23.75" style="411" customWidth="1"/>
    <col min="3" max="3" width="11.625" style="411" customWidth="1"/>
    <col min="4" max="4" width="8.625" style="411" customWidth="1"/>
    <col min="5" max="5" width="10" style="411" customWidth="1"/>
    <col min="6" max="6" width="12" style="411" customWidth="1"/>
    <col min="7" max="7" width="9" style="411" customWidth="1"/>
    <col min="8" max="8" width="8.5" style="411" customWidth="1"/>
    <col min="9" max="9" width="15.5" style="411" customWidth="1"/>
    <col min="10" max="10" width="8.625" style="411" customWidth="1"/>
    <col min="11" max="11" width="6.5" style="411" customWidth="1"/>
    <col min="12" max="12" width="7.25" style="411" customWidth="1"/>
    <col min="13" max="13" width="6.25" style="411" customWidth="1"/>
    <col min="14" max="14" width="6.125" style="411" customWidth="1"/>
    <col min="15" max="15" width="6.375" style="411" customWidth="1"/>
    <col min="16" max="16384" width="9" style="411"/>
  </cols>
  <sheetData>
    <row r="1" spans="1:15">
      <c r="A1" s="412" t="s">
        <v>1214</v>
      </c>
      <c r="B1" s="413"/>
      <c r="C1" s="413"/>
      <c r="D1" s="413"/>
      <c r="E1" s="413"/>
      <c r="F1" s="413"/>
      <c r="G1" s="413"/>
      <c r="H1" s="413"/>
      <c r="I1" s="427"/>
      <c r="J1" s="427"/>
      <c r="K1" s="427"/>
      <c r="L1" s="427"/>
      <c r="M1" s="427"/>
      <c r="N1" s="421"/>
      <c r="O1" s="421"/>
    </row>
    <row r="2" s="408" customFormat="1" ht="24.75" customHeight="1" spans="1:14">
      <c r="A2" s="414" t="s">
        <v>1215</v>
      </c>
      <c r="B2" s="414" t="s">
        <v>1216</v>
      </c>
      <c r="C2" s="414" t="s">
        <v>1217</v>
      </c>
      <c r="D2" s="414" t="s">
        <v>1218</v>
      </c>
      <c r="E2" s="414" t="s">
        <v>1219</v>
      </c>
      <c r="F2" s="414" t="s">
        <v>1220</v>
      </c>
      <c r="G2" s="414" t="s">
        <v>1221</v>
      </c>
      <c r="H2" s="414" t="s">
        <v>1222</v>
      </c>
      <c r="I2" s="414" t="s">
        <v>1223</v>
      </c>
      <c r="J2" s="414" t="s">
        <v>1224</v>
      </c>
      <c r="K2" s="414" t="s">
        <v>1225</v>
      </c>
      <c r="L2" s="414" t="s">
        <v>1226</v>
      </c>
      <c r="M2" s="414" t="s">
        <v>1227</v>
      </c>
      <c r="N2" s="414" t="s">
        <v>1228</v>
      </c>
    </row>
    <row r="3" s="409" customFormat="1" ht="14.25" spans="1:14">
      <c r="A3" s="415" t="s">
        <v>1229</v>
      </c>
      <c r="B3" s="416" t="s">
        <v>1230</v>
      </c>
      <c r="C3" s="383">
        <v>2200</v>
      </c>
      <c r="D3" s="383" t="s">
        <v>1231</v>
      </c>
      <c r="E3" s="383">
        <v>2</v>
      </c>
      <c r="F3" s="383">
        <v>2</v>
      </c>
      <c r="G3" s="383">
        <f>ROUND(C3*F3/667,0)</f>
        <v>7</v>
      </c>
      <c r="H3" s="417" t="s">
        <v>503</v>
      </c>
      <c r="I3" s="383" t="s">
        <v>1232</v>
      </c>
      <c r="J3" s="383">
        <f>SUM(K3:M3)</f>
        <v>777</v>
      </c>
      <c r="K3" s="383"/>
      <c r="L3" s="383">
        <f>G3*111/2</f>
        <v>388.5</v>
      </c>
      <c r="M3" s="383">
        <f>G3*111/2</f>
        <v>388.5</v>
      </c>
      <c r="N3" s="383"/>
    </row>
    <row r="4" s="409" customFormat="1" ht="14.25" spans="1:44">
      <c r="A4" s="415" t="s">
        <v>1233</v>
      </c>
      <c r="B4" s="416" t="s">
        <v>1234</v>
      </c>
      <c r="C4" s="383">
        <v>1570</v>
      </c>
      <c r="D4" s="383" t="s">
        <v>1231</v>
      </c>
      <c r="E4" s="383">
        <v>2</v>
      </c>
      <c r="F4" s="383">
        <v>2</v>
      </c>
      <c r="G4" s="383">
        <f>ROUND(C4*F4/667,0)</f>
        <v>5</v>
      </c>
      <c r="H4" s="417" t="s">
        <v>505</v>
      </c>
      <c r="I4" s="383" t="s">
        <v>1235</v>
      </c>
      <c r="J4" s="383">
        <f>SUM(K4:M4)</f>
        <v>555</v>
      </c>
      <c r="K4" s="383">
        <f>G4*111/2</f>
        <v>277.5</v>
      </c>
      <c r="L4" s="383">
        <f>G4*111/2</f>
        <v>277.5</v>
      </c>
      <c r="M4" s="383"/>
      <c r="N4" s="383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</row>
    <row r="5" s="409" customFormat="1" ht="14.25" spans="1:44">
      <c r="A5" s="415" t="s">
        <v>1236</v>
      </c>
      <c r="B5" s="416" t="s">
        <v>1237</v>
      </c>
      <c r="C5" s="383"/>
      <c r="D5" s="383" t="s">
        <v>1231</v>
      </c>
      <c r="E5" s="383">
        <v>2</v>
      </c>
      <c r="F5" s="383">
        <v>2</v>
      </c>
      <c r="G5" s="383">
        <f>ROUND(C5*F5/667,0)</f>
        <v>0</v>
      </c>
      <c r="H5" s="418"/>
      <c r="I5" s="383" t="s">
        <v>1238</v>
      </c>
      <c r="J5" s="383">
        <f>SUM(K5:M5)</f>
        <v>0</v>
      </c>
      <c r="K5" s="383"/>
      <c r="L5" s="383">
        <f>G5*111/2</f>
        <v>0</v>
      </c>
      <c r="M5" s="383">
        <f>G5*111/2</f>
        <v>0</v>
      </c>
      <c r="N5" s="383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</row>
    <row r="6" s="409" customFormat="1" ht="14.25" spans="1:44">
      <c r="A6" s="415" t="s">
        <v>1239</v>
      </c>
      <c r="B6" s="416"/>
      <c r="C6" s="383"/>
      <c r="D6" s="383" t="s">
        <v>1231</v>
      </c>
      <c r="E6" s="383">
        <v>2</v>
      </c>
      <c r="F6" s="383">
        <v>2</v>
      </c>
      <c r="G6" s="383">
        <f>ROUND(C6*F6/667,0)</f>
        <v>0</v>
      </c>
      <c r="H6" s="417" t="s">
        <v>1240</v>
      </c>
      <c r="I6" s="383" t="s">
        <v>1238</v>
      </c>
      <c r="J6" s="383">
        <f>SUM(K6:M6)</f>
        <v>0</v>
      </c>
      <c r="K6" s="383">
        <f>G6*111/2</f>
        <v>0</v>
      </c>
      <c r="L6" s="383"/>
      <c r="M6" s="383">
        <f>G6*111/2</f>
        <v>0</v>
      </c>
      <c r="N6" s="383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N6" s="445"/>
      <c r="AO6" s="445"/>
      <c r="AP6" s="445"/>
      <c r="AQ6" s="445"/>
      <c r="AR6" s="445"/>
    </row>
    <row r="7" s="409" customFormat="1" ht="14.25" spans="1:14">
      <c r="A7" s="415" t="s">
        <v>463</v>
      </c>
      <c r="B7" s="383"/>
      <c r="C7" s="383">
        <f>SUM(C3:C6)</f>
        <v>3770</v>
      </c>
      <c r="D7" s="383"/>
      <c r="E7" s="383"/>
      <c r="F7" s="383"/>
      <c r="G7" s="383">
        <f>SUM(G3:G6)</f>
        <v>12</v>
      </c>
      <c r="H7" s="419"/>
      <c r="I7" s="383"/>
      <c r="J7" s="383">
        <f>SUM(J3:J6)</f>
        <v>1332</v>
      </c>
      <c r="K7" s="383">
        <f>SUM(K3:K6)</f>
        <v>277.5</v>
      </c>
      <c r="L7" s="383">
        <f>SUM(L3:L6)</f>
        <v>666</v>
      </c>
      <c r="M7" s="383">
        <f>SUM(M3:M6)</f>
        <v>388.5</v>
      </c>
      <c r="N7" s="383">
        <f>SUM(N3:N6)</f>
        <v>0</v>
      </c>
    </row>
    <row r="8" spans="1:15">
      <c r="A8" s="420"/>
      <c r="B8" s="420"/>
      <c r="C8" s="420"/>
      <c r="D8" s="420"/>
      <c r="E8" s="420"/>
      <c r="F8" s="420"/>
      <c r="G8" s="420"/>
      <c r="H8" s="421"/>
      <c r="I8" s="420"/>
      <c r="J8" s="420"/>
      <c r="K8" s="420"/>
      <c r="L8" s="420"/>
      <c r="M8" s="420"/>
      <c r="N8" s="420"/>
      <c r="O8" s="420"/>
    </row>
    <row r="9" spans="1:15">
      <c r="A9" s="422" t="s">
        <v>1241</v>
      </c>
      <c r="B9" s="381"/>
      <c r="C9" s="381"/>
      <c r="D9" s="381"/>
      <c r="E9" s="381"/>
      <c r="F9" s="381"/>
      <c r="G9" s="381"/>
      <c r="H9" s="421"/>
      <c r="I9" s="420"/>
      <c r="J9" s="420">
        <f>J7/10000</f>
        <v>0.1332</v>
      </c>
      <c r="K9" s="420"/>
      <c r="L9" s="420"/>
      <c r="M9" s="420"/>
      <c r="N9" s="420"/>
      <c r="O9" s="420"/>
    </row>
    <row r="10" ht="40.5" spans="1:15">
      <c r="A10" s="423" t="s">
        <v>463</v>
      </c>
      <c r="B10" s="424" t="s">
        <v>1242</v>
      </c>
      <c r="C10" s="424" t="s">
        <v>697</v>
      </c>
      <c r="D10" s="424" t="s">
        <v>1243</v>
      </c>
      <c r="E10" s="424" t="s">
        <v>1244</v>
      </c>
      <c r="F10" s="424" t="s">
        <v>1245</v>
      </c>
      <c r="G10" s="424" t="s">
        <v>1218</v>
      </c>
      <c r="H10" s="421"/>
      <c r="I10" s="420"/>
      <c r="J10" s="420"/>
      <c r="K10" s="420"/>
      <c r="L10" s="420"/>
      <c r="M10" s="420"/>
      <c r="N10" s="420"/>
      <c r="O10" s="420"/>
    </row>
    <row r="11" spans="1:15">
      <c r="A11" s="425">
        <f>B11*C11/10000</f>
        <v>0.444</v>
      </c>
      <c r="B11" s="425">
        <f>K7</f>
        <v>277.5</v>
      </c>
      <c r="C11" s="425">
        <v>16</v>
      </c>
      <c r="D11" s="423" t="s">
        <v>1246</v>
      </c>
      <c r="E11" s="425">
        <v>2</v>
      </c>
      <c r="F11" s="383" t="s">
        <v>1247</v>
      </c>
      <c r="G11" s="425" t="s">
        <v>1231</v>
      </c>
      <c r="H11" s="421"/>
      <c r="I11" s="420"/>
      <c r="J11" s="420"/>
      <c r="K11" s="420"/>
      <c r="L11" s="420"/>
      <c r="M11" s="420">
        <f>667/4</f>
        <v>166.75</v>
      </c>
      <c r="N11" s="420"/>
      <c r="O11" s="420"/>
    </row>
    <row r="12" s="410" customFormat="1" spans="1:15">
      <c r="A12" s="425">
        <f>B12*C12/10000</f>
        <v>0.777</v>
      </c>
      <c r="B12" s="425">
        <f>M7</f>
        <v>388.5</v>
      </c>
      <c r="C12" s="425">
        <v>20</v>
      </c>
      <c r="D12" s="426" t="s">
        <v>1248</v>
      </c>
      <c r="E12" s="425">
        <v>2</v>
      </c>
      <c r="F12" s="383" t="s">
        <v>1249</v>
      </c>
      <c r="G12" s="425" t="s">
        <v>1231</v>
      </c>
      <c r="H12" s="427"/>
      <c r="I12" s="420"/>
      <c r="J12" s="420"/>
      <c r="K12" s="420"/>
      <c r="L12" s="420"/>
      <c r="M12" s="420"/>
      <c r="N12" s="420"/>
      <c r="O12" s="420"/>
    </row>
    <row r="13" s="410" customFormat="1" spans="1:15">
      <c r="A13" s="425">
        <f>SUM(A11:A12)</f>
        <v>1.221</v>
      </c>
      <c r="B13" s="425">
        <f>SUM(B11:B12)</f>
        <v>666</v>
      </c>
      <c r="C13" s="425"/>
      <c r="D13" s="425"/>
      <c r="E13" s="425"/>
      <c r="F13" s="425"/>
      <c r="G13" s="425"/>
      <c r="H13" s="427"/>
      <c r="I13" s="420"/>
      <c r="J13" s="420"/>
      <c r="K13" s="420"/>
      <c r="L13" s="420"/>
      <c r="M13" s="420"/>
      <c r="N13" s="420"/>
      <c r="O13" s="420"/>
    </row>
    <row r="14" s="410" customFormat="1" spans="1:15">
      <c r="A14" s="420"/>
      <c r="B14" s="420"/>
      <c r="C14" s="420"/>
      <c r="D14" s="420"/>
      <c r="E14" s="420"/>
      <c r="F14" s="420"/>
      <c r="G14" s="420"/>
      <c r="H14" s="427"/>
      <c r="I14" s="420"/>
      <c r="J14" s="420"/>
      <c r="K14" s="420"/>
      <c r="L14" s="420"/>
      <c r="M14" s="420"/>
      <c r="N14" s="420"/>
      <c r="O14" s="420"/>
    </row>
    <row r="15" s="409" customFormat="1" spans="1:15">
      <c r="A15" s="428" t="s">
        <v>1250</v>
      </c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</row>
    <row r="16" s="409" customFormat="1" spans="1:12">
      <c r="A16" s="430" t="s">
        <v>1243</v>
      </c>
      <c r="B16" s="430" t="s">
        <v>1251</v>
      </c>
      <c r="C16" s="430" t="s">
        <v>1252</v>
      </c>
      <c r="D16" s="430" t="s">
        <v>1253</v>
      </c>
      <c r="E16" s="431" t="s">
        <v>1254</v>
      </c>
      <c r="F16" s="432"/>
      <c r="G16" s="433"/>
      <c r="H16" s="430" t="s">
        <v>1255</v>
      </c>
      <c r="I16" s="430" t="s">
        <v>1256</v>
      </c>
      <c r="J16" s="430" t="s">
        <v>1257</v>
      </c>
      <c r="K16" s="430" t="s">
        <v>1258</v>
      </c>
      <c r="L16" s="430" t="s">
        <v>1258</v>
      </c>
    </row>
    <row r="17" s="410" customFormat="1" ht="81" spans="1:12">
      <c r="A17" s="434"/>
      <c r="B17" s="434"/>
      <c r="C17" s="434"/>
      <c r="D17" s="434"/>
      <c r="E17" s="424" t="s">
        <v>1259</v>
      </c>
      <c r="F17" s="424" t="s">
        <v>1260</v>
      </c>
      <c r="G17" s="424" t="s">
        <v>1261</v>
      </c>
      <c r="H17" s="434"/>
      <c r="I17" s="434"/>
      <c r="J17" s="434"/>
      <c r="K17" s="434"/>
      <c r="L17" s="434"/>
    </row>
    <row r="18" ht="40.5" spans="1:12">
      <c r="A18" s="424" t="s">
        <v>1262</v>
      </c>
      <c r="B18" s="435">
        <f>G7</f>
        <v>12</v>
      </c>
      <c r="C18" s="435">
        <f>D18+G18+J18+L18</f>
        <v>1.5258</v>
      </c>
      <c r="D18" s="435">
        <f>A13</f>
        <v>1.221</v>
      </c>
      <c r="E18" s="435">
        <v>1.8</v>
      </c>
      <c r="F18" s="435">
        <v>80</v>
      </c>
      <c r="G18" s="435">
        <f>E18*F18*B18/10000</f>
        <v>0.1728</v>
      </c>
      <c r="H18" s="435"/>
      <c r="I18" s="435"/>
      <c r="J18" s="435">
        <f>B18*60/10000</f>
        <v>0.072</v>
      </c>
      <c r="K18" s="435">
        <f>B18*50/10000</f>
        <v>0.06</v>
      </c>
      <c r="L18" s="435">
        <f>B18*50/10000</f>
        <v>0.06</v>
      </c>
    </row>
    <row r="19" spans="1:15">
      <c r="A19" s="420"/>
      <c r="B19" s="420"/>
      <c r="C19" s="420"/>
      <c r="D19" s="420"/>
      <c r="E19" s="420"/>
      <c r="F19" s="420"/>
      <c r="G19" s="420"/>
      <c r="H19" s="427"/>
      <c r="I19" s="420"/>
      <c r="J19" s="420"/>
      <c r="K19" s="420"/>
      <c r="L19" s="420"/>
      <c r="M19" s="420"/>
      <c r="N19" s="420"/>
      <c r="O19" s="420"/>
    </row>
    <row r="20" spans="1:15">
      <c r="A20" s="436"/>
      <c r="B20" s="436"/>
      <c r="C20" s="420"/>
      <c r="D20" s="420"/>
      <c r="E20" s="420"/>
      <c r="F20" s="420"/>
      <c r="G20" s="420"/>
      <c r="H20" s="437"/>
      <c r="I20" s="420"/>
      <c r="J20" s="420"/>
      <c r="K20" s="420"/>
      <c r="L20" s="420"/>
      <c r="M20" s="420"/>
      <c r="N20" s="420"/>
      <c r="O20" s="420"/>
    </row>
    <row r="21" ht="14.25" spans="1:6">
      <c r="A21" s="438" t="s">
        <v>1263</v>
      </c>
      <c r="B21" s="439"/>
      <c r="C21" s="439"/>
      <c r="D21" s="439"/>
      <c r="E21" s="439"/>
      <c r="F21" s="439"/>
    </row>
    <row r="22" ht="24.95" customHeight="1" spans="1:6">
      <c r="A22" s="440" t="s">
        <v>291</v>
      </c>
      <c r="B22" s="440" t="s">
        <v>1106</v>
      </c>
      <c r="C22" s="440" t="s">
        <v>55</v>
      </c>
      <c r="D22" s="440" t="s">
        <v>191</v>
      </c>
      <c r="E22" s="440" t="s">
        <v>697</v>
      </c>
      <c r="F22" s="440" t="s">
        <v>1264</v>
      </c>
    </row>
    <row r="23" ht="24.95" customHeight="1" spans="1:7">
      <c r="A23" s="441" t="s">
        <v>472</v>
      </c>
      <c r="B23" s="441" t="s">
        <v>1265</v>
      </c>
      <c r="C23" s="442"/>
      <c r="D23" s="442"/>
      <c r="E23" s="442"/>
      <c r="F23" s="442">
        <f>F24+F28+F32+F38</f>
        <v>4.23024</v>
      </c>
      <c r="G23" s="411">
        <f>F23/51</f>
        <v>0.0829458823529412</v>
      </c>
    </row>
    <row r="24" ht="24.95" customHeight="1" spans="1:7">
      <c r="A24" s="443">
        <v>1</v>
      </c>
      <c r="B24" s="440" t="s">
        <v>1266</v>
      </c>
      <c r="C24" s="440" t="s">
        <v>226</v>
      </c>
      <c r="D24" s="443"/>
      <c r="E24" s="443"/>
      <c r="F24" s="443">
        <f>SUM(F25:F27)</f>
        <v>3.1524</v>
      </c>
      <c r="G24" s="411">
        <f>F24+F28+F32</f>
        <v>4.23024</v>
      </c>
    </row>
    <row r="25" ht="24.95" customHeight="1" spans="1:6">
      <c r="A25" s="443">
        <v>1.1</v>
      </c>
      <c r="B25" s="440" t="s">
        <v>1267</v>
      </c>
      <c r="C25" s="440" t="s">
        <v>226</v>
      </c>
      <c r="D25" s="443">
        <f>M7</f>
        <v>388.5</v>
      </c>
      <c r="E25" s="443">
        <v>18</v>
      </c>
      <c r="F25" s="443">
        <f>E25*D25/10000</f>
        <v>0.6993</v>
      </c>
    </row>
    <row r="26" ht="24.95" customHeight="1" spans="1:6">
      <c r="A26" s="443">
        <v>1.2</v>
      </c>
      <c r="B26" s="444" t="s">
        <v>1268</v>
      </c>
      <c r="C26" s="440" t="s">
        <v>226</v>
      </c>
      <c r="D26" s="443">
        <f>L7</f>
        <v>666</v>
      </c>
      <c r="E26" s="443">
        <v>16</v>
      </c>
      <c r="F26" s="443">
        <f>E26*D26/10000</f>
        <v>1.0656</v>
      </c>
    </row>
    <row r="27" ht="24.95" customHeight="1" spans="1:6">
      <c r="A27" s="443">
        <v>1.3</v>
      </c>
      <c r="B27" s="444" t="s">
        <v>1269</v>
      </c>
      <c r="C27" s="440" t="s">
        <v>226</v>
      </c>
      <c r="D27" s="443">
        <f>K7</f>
        <v>277.5</v>
      </c>
      <c r="E27" s="443">
        <v>50</v>
      </c>
      <c r="F27" s="443">
        <f>E27*D27/10000</f>
        <v>1.3875</v>
      </c>
    </row>
    <row r="28" ht="24.95" customHeight="1" spans="1:6">
      <c r="A28" s="425">
        <v>2</v>
      </c>
      <c r="B28" s="423" t="s">
        <v>1270</v>
      </c>
      <c r="C28" s="425"/>
      <c r="D28" s="425"/>
      <c r="E28" s="425"/>
      <c r="F28" s="443">
        <f>SUM(F29:F31)</f>
        <v>0.6288</v>
      </c>
    </row>
    <row r="29" ht="24.95" customHeight="1" spans="1:6">
      <c r="A29" s="425">
        <v>2.1</v>
      </c>
      <c r="B29" s="423" t="s">
        <v>1271</v>
      </c>
      <c r="C29" s="423" t="s">
        <v>62</v>
      </c>
      <c r="D29" s="425">
        <f>G7</f>
        <v>12</v>
      </c>
      <c r="E29" s="425">
        <v>80</v>
      </c>
      <c r="F29" s="443">
        <f>D29*E29/10000</f>
        <v>0.096</v>
      </c>
    </row>
    <row r="30" ht="24.95" customHeight="1" spans="1:6">
      <c r="A30" s="425" t="s">
        <v>1272</v>
      </c>
      <c r="B30" s="423" t="s">
        <v>1273</v>
      </c>
      <c r="C30" s="423" t="s">
        <v>284</v>
      </c>
      <c r="D30" s="425">
        <f>D25+D26+D27</f>
        <v>1332</v>
      </c>
      <c r="E30" s="425">
        <v>2.5</v>
      </c>
      <c r="F30" s="443">
        <f>D30*E30/10000</f>
        <v>0.333</v>
      </c>
    </row>
    <row r="31" ht="24.95" customHeight="1" spans="1:6">
      <c r="A31" s="425" t="s">
        <v>1274</v>
      </c>
      <c r="B31" s="423" t="s">
        <v>1275</v>
      </c>
      <c r="C31" s="423" t="s">
        <v>226</v>
      </c>
      <c r="D31" s="425">
        <f>D30</f>
        <v>1332</v>
      </c>
      <c r="E31" s="425">
        <v>1.5</v>
      </c>
      <c r="F31" s="443">
        <f>D31*E31/10000</f>
        <v>0.1998</v>
      </c>
    </row>
    <row r="32" ht="24.95" customHeight="1" spans="1:6">
      <c r="A32" s="425">
        <v>3</v>
      </c>
      <c r="B32" s="423" t="s">
        <v>1276</v>
      </c>
      <c r="C32" s="425"/>
      <c r="D32" s="425"/>
      <c r="E32" s="425"/>
      <c r="F32" s="443">
        <f>SUM(F33:F37)</f>
        <v>0.44904</v>
      </c>
    </row>
    <row r="33" ht="24.95" customHeight="1" spans="1:6">
      <c r="A33" s="425">
        <v>3.1</v>
      </c>
      <c r="B33" s="423" t="s">
        <v>1277</v>
      </c>
      <c r="C33" s="423" t="s">
        <v>226</v>
      </c>
      <c r="D33" s="425">
        <f>D31</f>
        <v>1332</v>
      </c>
      <c r="E33" s="425">
        <v>0.7</v>
      </c>
      <c r="F33" s="443">
        <f>D33*E33/10000</f>
        <v>0.09324</v>
      </c>
    </row>
    <row r="34" ht="24.95" customHeight="1" spans="1:6">
      <c r="A34" s="425">
        <v>3.2</v>
      </c>
      <c r="B34" s="423" t="s">
        <v>1278</v>
      </c>
      <c r="C34" s="423" t="s">
        <v>226</v>
      </c>
      <c r="D34" s="425">
        <f>D31</f>
        <v>1332</v>
      </c>
      <c r="E34" s="425">
        <v>0.5</v>
      </c>
      <c r="F34" s="443">
        <f>D34*E34/10000</f>
        <v>0.0666</v>
      </c>
    </row>
    <row r="35" ht="24.95" customHeight="1" spans="1:6">
      <c r="A35" s="425">
        <v>3.3</v>
      </c>
      <c r="B35" s="423" t="s">
        <v>1279</v>
      </c>
      <c r="C35" s="423" t="s">
        <v>226</v>
      </c>
      <c r="D35" s="425">
        <f>D34</f>
        <v>1332</v>
      </c>
      <c r="E35" s="425">
        <v>1</v>
      </c>
      <c r="F35" s="443">
        <f>D35*E35/10000</f>
        <v>0.1332</v>
      </c>
    </row>
    <row r="36" ht="24.95" customHeight="1" spans="1:6">
      <c r="A36" s="425">
        <v>3.4</v>
      </c>
      <c r="B36" s="423" t="s">
        <v>1280</v>
      </c>
      <c r="C36" s="423" t="s">
        <v>62</v>
      </c>
      <c r="D36" s="425">
        <f>D29</f>
        <v>12</v>
      </c>
      <c r="E36" s="425">
        <v>40</v>
      </c>
      <c r="F36" s="443">
        <f>D36*E36/10000</f>
        <v>0.048</v>
      </c>
    </row>
    <row r="37" ht="24.95" customHeight="1" spans="1:6">
      <c r="A37" s="425">
        <v>3.5</v>
      </c>
      <c r="B37" s="423" t="s">
        <v>1281</v>
      </c>
      <c r="C37" s="423" t="s">
        <v>62</v>
      </c>
      <c r="D37" s="425">
        <f>D29</f>
        <v>12</v>
      </c>
      <c r="E37" s="425">
        <v>90</v>
      </c>
      <c r="F37" s="443">
        <f>D37*E37/10000</f>
        <v>0.108</v>
      </c>
    </row>
    <row r="38" ht="24.95" customHeight="1" spans="1:6">
      <c r="A38" s="425">
        <v>4</v>
      </c>
      <c r="B38" s="423" t="s">
        <v>1282</v>
      </c>
      <c r="C38" s="425"/>
      <c r="D38" s="425"/>
      <c r="E38" s="425"/>
      <c r="F38" s="443"/>
    </row>
  </sheetData>
  <mergeCells count="16">
    <mergeCell ref="A1:M1"/>
    <mergeCell ref="A7:B7"/>
    <mergeCell ref="A9:G9"/>
    <mergeCell ref="A15:O15"/>
    <mergeCell ref="E16:G16"/>
    <mergeCell ref="A21:F21"/>
    <mergeCell ref="A16:A17"/>
    <mergeCell ref="B16:B17"/>
    <mergeCell ref="C16:C17"/>
    <mergeCell ref="D16:D17"/>
    <mergeCell ref="H4:H5"/>
    <mergeCell ref="H16:H17"/>
    <mergeCell ref="I16:I17"/>
    <mergeCell ref="J16:J17"/>
    <mergeCell ref="K16:K17"/>
    <mergeCell ref="L16:L17"/>
  </mergeCells>
  <pageMargins left="0.75" right="0.75" top="1" bottom="1" header="0.5" footer="0.5"/>
  <headerFooter alignWithMargins="0" scaleWithDoc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H9"/>
  <sheetViews>
    <sheetView workbookViewId="0">
      <selection activeCell="A1" sqref="A1:F1"/>
    </sheetView>
  </sheetViews>
  <sheetFormatPr defaultColWidth="9" defaultRowHeight="14.25" outlineLevelCol="7"/>
  <cols>
    <col min="1" max="1" width="7.625" style="392" customWidth="1"/>
    <col min="2" max="2" width="25.75" style="392" customWidth="1"/>
    <col min="3" max="3" width="7.625" style="392" customWidth="1"/>
    <col min="4" max="4" width="11.125" style="392" customWidth="1"/>
    <col min="5" max="5" width="13.5" style="392" customWidth="1"/>
    <col min="6" max="6" width="14.375" style="392" customWidth="1"/>
    <col min="7" max="7" width="12.25" style="392" customWidth="1"/>
    <col min="8" max="8" width="14" style="392" customWidth="1"/>
    <col min="9" max="256" width="9" style="392"/>
    <col min="257" max="257" width="6.75" style="392" customWidth="1"/>
    <col min="258" max="258" width="17.25" style="392" customWidth="1"/>
    <col min="259" max="259" width="9.125" style="392" customWidth="1"/>
    <col min="260" max="262" width="10.625" style="392" customWidth="1"/>
    <col min="263" max="263" width="12.25" style="392" customWidth="1"/>
    <col min="264" max="264" width="14" style="392" customWidth="1"/>
    <col min="265" max="512" width="9" style="392"/>
    <col min="513" max="513" width="6.75" style="392" customWidth="1"/>
    <col min="514" max="514" width="17.25" style="392" customWidth="1"/>
    <col min="515" max="515" width="9.125" style="392" customWidth="1"/>
    <col min="516" max="518" width="10.625" style="392" customWidth="1"/>
    <col min="519" max="519" width="12.25" style="392" customWidth="1"/>
    <col min="520" max="520" width="14" style="392" customWidth="1"/>
    <col min="521" max="768" width="9" style="392"/>
    <col min="769" max="769" width="6.75" style="392" customWidth="1"/>
    <col min="770" max="770" width="17.25" style="392" customWidth="1"/>
    <col min="771" max="771" width="9.125" style="392" customWidth="1"/>
    <col min="772" max="774" width="10.625" style="392" customWidth="1"/>
    <col min="775" max="775" width="12.25" style="392" customWidth="1"/>
    <col min="776" max="776" width="14" style="392" customWidth="1"/>
    <col min="777" max="1024" width="9" style="392"/>
    <col min="1025" max="1025" width="6.75" style="392" customWidth="1"/>
    <col min="1026" max="1026" width="17.25" style="392" customWidth="1"/>
    <col min="1027" max="1027" width="9.125" style="392" customWidth="1"/>
    <col min="1028" max="1030" width="10.625" style="392" customWidth="1"/>
    <col min="1031" max="1031" width="12.25" style="392" customWidth="1"/>
    <col min="1032" max="1032" width="14" style="392" customWidth="1"/>
    <col min="1033" max="1280" width="9" style="392"/>
    <col min="1281" max="1281" width="6.75" style="392" customWidth="1"/>
    <col min="1282" max="1282" width="17.25" style="392" customWidth="1"/>
    <col min="1283" max="1283" width="9.125" style="392" customWidth="1"/>
    <col min="1284" max="1286" width="10.625" style="392" customWidth="1"/>
    <col min="1287" max="1287" width="12.25" style="392" customWidth="1"/>
    <col min="1288" max="1288" width="14" style="392" customWidth="1"/>
    <col min="1289" max="1536" width="9" style="392"/>
    <col min="1537" max="1537" width="6.75" style="392" customWidth="1"/>
    <col min="1538" max="1538" width="17.25" style="392" customWidth="1"/>
    <col min="1539" max="1539" width="9.125" style="392" customWidth="1"/>
    <col min="1540" max="1542" width="10.625" style="392" customWidth="1"/>
    <col min="1543" max="1543" width="12.25" style="392" customWidth="1"/>
    <col min="1544" max="1544" width="14" style="392" customWidth="1"/>
    <col min="1545" max="1792" width="9" style="392"/>
    <col min="1793" max="1793" width="6.75" style="392" customWidth="1"/>
    <col min="1794" max="1794" width="17.25" style="392" customWidth="1"/>
    <col min="1795" max="1795" width="9.125" style="392" customWidth="1"/>
    <col min="1796" max="1798" width="10.625" style="392" customWidth="1"/>
    <col min="1799" max="1799" width="12.25" style="392" customWidth="1"/>
    <col min="1800" max="1800" width="14" style="392" customWidth="1"/>
    <col min="1801" max="2048" width="9" style="392"/>
    <col min="2049" max="2049" width="6.75" style="392" customWidth="1"/>
    <col min="2050" max="2050" width="17.25" style="392" customWidth="1"/>
    <col min="2051" max="2051" width="9.125" style="392" customWidth="1"/>
    <col min="2052" max="2054" width="10.625" style="392" customWidth="1"/>
    <col min="2055" max="2055" width="12.25" style="392" customWidth="1"/>
    <col min="2056" max="2056" width="14" style="392" customWidth="1"/>
    <col min="2057" max="2304" width="9" style="392"/>
    <col min="2305" max="2305" width="6.75" style="392" customWidth="1"/>
    <col min="2306" max="2306" width="17.25" style="392" customWidth="1"/>
    <col min="2307" max="2307" width="9.125" style="392" customWidth="1"/>
    <col min="2308" max="2310" width="10.625" style="392" customWidth="1"/>
    <col min="2311" max="2311" width="12.25" style="392" customWidth="1"/>
    <col min="2312" max="2312" width="14" style="392" customWidth="1"/>
    <col min="2313" max="2560" width="9" style="392"/>
    <col min="2561" max="2561" width="6.75" style="392" customWidth="1"/>
    <col min="2562" max="2562" width="17.25" style="392" customWidth="1"/>
    <col min="2563" max="2563" width="9.125" style="392" customWidth="1"/>
    <col min="2564" max="2566" width="10.625" style="392" customWidth="1"/>
    <col min="2567" max="2567" width="12.25" style="392" customWidth="1"/>
    <col min="2568" max="2568" width="14" style="392" customWidth="1"/>
    <col min="2569" max="2816" width="9" style="392"/>
    <col min="2817" max="2817" width="6.75" style="392" customWidth="1"/>
    <col min="2818" max="2818" width="17.25" style="392" customWidth="1"/>
    <col min="2819" max="2819" width="9.125" style="392" customWidth="1"/>
    <col min="2820" max="2822" width="10.625" style="392" customWidth="1"/>
    <col min="2823" max="2823" width="12.25" style="392" customWidth="1"/>
    <col min="2824" max="2824" width="14" style="392" customWidth="1"/>
    <col min="2825" max="3072" width="9" style="392"/>
    <col min="3073" max="3073" width="6.75" style="392" customWidth="1"/>
    <col min="3074" max="3074" width="17.25" style="392" customWidth="1"/>
    <col min="3075" max="3075" width="9.125" style="392" customWidth="1"/>
    <col min="3076" max="3078" width="10.625" style="392" customWidth="1"/>
    <col min="3079" max="3079" width="12.25" style="392" customWidth="1"/>
    <col min="3080" max="3080" width="14" style="392" customWidth="1"/>
    <col min="3081" max="3328" width="9" style="392"/>
    <col min="3329" max="3329" width="6.75" style="392" customWidth="1"/>
    <col min="3330" max="3330" width="17.25" style="392" customWidth="1"/>
    <col min="3331" max="3331" width="9.125" style="392" customWidth="1"/>
    <col min="3332" max="3334" width="10.625" style="392" customWidth="1"/>
    <col min="3335" max="3335" width="12.25" style="392" customWidth="1"/>
    <col min="3336" max="3336" width="14" style="392" customWidth="1"/>
    <col min="3337" max="3584" width="9" style="392"/>
    <col min="3585" max="3585" width="6.75" style="392" customWidth="1"/>
    <col min="3586" max="3586" width="17.25" style="392" customWidth="1"/>
    <col min="3587" max="3587" width="9.125" style="392" customWidth="1"/>
    <col min="3588" max="3590" width="10.625" style="392" customWidth="1"/>
    <col min="3591" max="3591" width="12.25" style="392" customWidth="1"/>
    <col min="3592" max="3592" width="14" style="392" customWidth="1"/>
    <col min="3593" max="3840" width="9" style="392"/>
    <col min="3841" max="3841" width="6.75" style="392" customWidth="1"/>
    <col min="3842" max="3842" width="17.25" style="392" customWidth="1"/>
    <col min="3843" max="3843" width="9.125" style="392" customWidth="1"/>
    <col min="3844" max="3846" width="10.625" style="392" customWidth="1"/>
    <col min="3847" max="3847" width="12.25" style="392" customWidth="1"/>
    <col min="3848" max="3848" width="14" style="392" customWidth="1"/>
    <col min="3849" max="4096" width="9" style="392"/>
    <col min="4097" max="4097" width="6.75" style="392" customWidth="1"/>
    <col min="4098" max="4098" width="17.25" style="392" customWidth="1"/>
    <col min="4099" max="4099" width="9.125" style="392" customWidth="1"/>
    <col min="4100" max="4102" width="10.625" style="392" customWidth="1"/>
    <col min="4103" max="4103" width="12.25" style="392" customWidth="1"/>
    <col min="4104" max="4104" width="14" style="392" customWidth="1"/>
    <col min="4105" max="4352" width="9" style="392"/>
    <col min="4353" max="4353" width="6.75" style="392" customWidth="1"/>
    <col min="4354" max="4354" width="17.25" style="392" customWidth="1"/>
    <col min="4355" max="4355" width="9.125" style="392" customWidth="1"/>
    <col min="4356" max="4358" width="10.625" style="392" customWidth="1"/>
    <col min="4359" max="4359" width="12.25" style="392" customWidth="1"/>
    <col min="4360" max="4360" width="14" style="392" customWidth="1"/>
    <col min="4361" max="4608" width="9" style="392"/>
    <col min="4609" max="4609" width="6.75" style="392" customWidth="1"/>
    <col min="4610" max="4610" width="17.25" style="392" customWidth="1"/>
    <col min="4611" max="4611" width="9.125" style="392" customWidth="1"/>
    <col min="4612" max="4614" width="10.625" style="392" customWidth="1"/>
    <col min="4615" max="4615" width="12.25" style="392" customWidth="1"/>
    <col min="4616" max="4616" width="14" style="392" customWidth="1"/>
    <col min="4617" max="4864" width="9" style="392"/>
    <col min="4865" max="4865" width="6.75" style="392" customWidth="1"/>
    <col min="4866" max="4866" width="17.25" style="392" customWidth="1"/>
    <col min="4867" max="4867" width="9.125" style="392" customWidth="1"/>
    <col min="4868" max="4870" width="10.625" style="392" customWidth="1"/>
    <col min="4871" max="4871" width="12.25" style="392" customWidth="1"/>
    <col min="4872" max="4872" width="14" style="392" customWidth="1"/>
    <col min="4873" max="5120" width="9" style="392"/>
    <col min="5121" max="5121" width="6.75" style="392" customWidth="1"/>
    <col min="5122" max="5122" width="17.25" style="392" customWidth="1"/>
    <col min="5123" max="5123" width="9.125" style="392" customWidth="1"/>
    <col min="5124" max="5126" width="10.625" style="392" customWidth="1"/>
    <col min="5127" max="5127" width="12.25" style="392" customWidth="1"/>
    <col min="5128" max="5128" width="14" style="392" customWidth="1"/>
    <col min="5129" max="5376" width="9" style="392"/>
    <col min="5377" max="5377" width="6.75" style="392" customWidth="1"/>
    <col min="5378" max="5378" width="17.25" style="392" customWidth="1"/>
    <col min="5379" max="5379" width="9.125" style="392" customWidth="1"/>
    <col min="5380" max="5382" width="10.625" style="392" customWidth="1"/>
    <col min="5383" max="5383" width="12.25" style="392" customWidth="1"/>
    <col min="5384" max="5384" width="14" style="392" customWidth="1"/>
    <col min="5385" max="5632" width="9" style="392"/>
    <col min="5633" max="5633" width="6.75" style="392" customWidth="1"/>
    <col min="5634" max="5634" width="17.25" style="392" customWidth="1"/>
    <col min="5635" max="5635" width="9.125" style="392" customWidth="1"/>
    <col min="5636" max="5638" width="10.625" style="392" customWidth="1"/>
    <col min="5639" max="5639" width="12.25" style="392" customWidth="1"/>
    <col min="5640" max="5640" width="14" style="392" customWidth="1"/>
    <col min="5641" max="5888" width="9" style="392"/>
    <col min="5889" max="5889" width="6.75" style="392" customWidth="1"/>
    <col min="5890" max="5890" width="17.25" style="392" customWidth="1"/>
    <col min="5891" max="5891" width="9.125" style="392" customWidth="1"/>
    <col min="5892" max="5894" width="10.625" style="392" customWidth="1"/>
    <col min="5895" max="5895" width="12.25" style="392" customWidth="1"/>
    <col min="5896" max="5896" width="14" style="392" customWidth="1"/>
    <col min="5897" max="6144" width="9" style="392"/>
    <col min="6145" max="6145" width="6.75" style="392" customWidth="1"/>
    <col min="6146" max="6146" width="17.25" style="392" customWidth="1"/>
    <col min="6147" max="6147" width="9.125" style="392" customWidth="1"/>
    <col min="6148" max="6150" width="10.625" style="392" customWidth="1"/>
    <col min="6151" max="6151" width="12.25" style="392" customWidth="1"/>
    <col min="6152" max="6152" width="14" style="392" customWidth="1"/>
    <col min="6153" max="6400" width="9" style="392"/>
    <col min="6401" max="6401" width="6.75" style="392" customWidth="1"/>
    <col min="6402" max="6402" width="17.25" style="392" customWidth="1"/>
    <col min="6403" max="6403" width="9.125" style="392" customWidth="1"/>
    <col min="6404" max="6406" width="10.625" style="392" customWidth="1"/>
    <col min="6407" max="6407" width="12.25" style="392" customWidth="1"/>
    <col min="6408" max="6408" width="14" style="392" customWidth="1"/>
    <col min="6409" max="6656" width="9" style="392"/>
    <col min="6657" max="6657" width="6.75" style="392" customWidth="1"/>
    <col min="6658" max="6658" width="17.25" style="392" customWidth="1"/>
    <col min="6659" max="6659" width="9.125" style="392" customWidth="1"/>
    <col min="6660" max="6662" width="10.625" style="392" customWidth="1"/>
    <col min="6663" max="6663" width="12.25" style="392" customWidth="1"/>
    <col min="6664" max="6664" width="14" style="392" customWidth="1"/>
    <col min="6665" max="6912" width="9" style="392"/>
    <col min="6913" max="6913" width="6.75" style="392" customWidth="1"/>
    <col min="6914" max="6914" width="17.25" style="392" customWidth="1"/>
    <col min="6915" max="6915" width="9.125" style="392" customWidth="1"/>
    <col min="6916" max="6918" width="10.625" style="392" customWidth="1"/>
    <col min="6919" max="6919" width="12.25" style="392" customWidth="1"/>
    <col min="6920" max="6920" width="14" style="392" customWidth="1"/>
    <col min="6921" max="7168" width="9" style="392"/>
    <col min="7169" max="7169" width="6.75" style="392" customWidth="1"/>
    <col min="7170" max="7170" width="17.25" style="392" customWidth="1"/>
    <col min="7171" max="7171" width="9.125" style="392" customWidth="1"/>
    <col min="7172" max="7174" width="10.625" style="392" customWidth="1"/>
    <col min="7175" max="7175" width="12.25" style="392" customWidth="1"/>
    <col min="7176" max="7176" width="14" style="392" customWidth="1"/>
    <col min="7177" max="7424" width="9" style="392"/>
    <col min="7425" max="7425" width="6.75" style="392" customWidth="1"/>
    <col min="7426" max="7426" width="17.25" style="392" customWidth="1"/>
    <col min="7427" max="7427" width="9.125" style="392" customWidth="1"/>
    <col min="7428" max="7430" width="10.625" style="392" customWidth="1"/>
    <col min="7431" max="7431" width="12.25" style="392" customWidth="1"/>
    <col min="7432" max="7432" width="14" style="392" customWidth="1"/>
    <col min="7433" max="7680" width="9" style="392"/>
    <col min="7681" max="7681" width="6.75" style="392" customWidth="1"/>
    <col min="7682" max="7682" width="17.25" style="392" customWidth="1"/>
    <col min="7683" max="7683" width="9.125" style="392" customWidth="1"/>
    <col min="7684" max="7686" width="10.625" style="392" customWidth="1"/>
    <col min="7687" max="7687" width="12.25" style="392" customWidth="1"/>
    <col min="7688" max="7688" width="14" style="392" customWidth="1"/>
    <col min="7689" max="7936" width="9" style="392"/>
    <col min="7937" max="7937" width="6.75" style="392" customWidth="1"/>
    <col min="7938" max="7938" width="17.25" style="392" customWidth="1"/>
    <col min="7939" max="7939" width="9.125" style="392" customWidth="1"/>
    <col min="7940" max="7942" width="10.625" style="392" customWidth="1"/>
    <col min="7943" max="7943" width="12.25" style="392" customWidth="1"/>
    <col min="7944" max="7944" width="14" style="392" customWidth="1"/>
    <col min="7945" max="8192" width="9" style="392"/>
    <col min="8193" max="8193" width="6.75" style="392" customWidth="1"/>
    <col min="8194" max="8194" width="17.25" style="392" customWidth="1"/>
    <col min="8195" max="8195" width="9.125" style="392" customWidth="1"/>
    <col min="8196" max="8198" width="10.625" style="392" customWidth="1"/>
    <col min="8199" max="8199" width="12.25" style="392" customWidth="1"/>
    <col min="8200" max="8200" width="14" style="392" customWidth="1"/>
    <col min="8201" max="8448" width="9" style="392"/>
    <col min="8449" max="8449" width="6.75" style="392" customWidth="1"/>
    <col min="8450" max="8450" width="17.25" style="392" customWidth="1"/>
    <col min="8451" max="8451" width="9.125" style="392" customWidth="1"/>
    <col min="8452" max="8454" width="10.625" style="392" customWidth="1"/>
    <col min="8455" max="8455" width="12.25" style="392" customWidth="1"/>
    <col min="8456" max="8456" width="14" style="392" customWidth="1"/>
    <col min="8457" max="8704" width="9" style="392"/>
    <col min="8705" max="8705" width="6.75" style="392" customWidth="1"/>
    <col min="8706" max="8706" width="17.25" style="392" customWidth="1"/>
    <col min="8707" max="8707" width="9.125" style="392" customWidth="1"/>
    <col min="8708" max="8710" width="10.625" style="392" customWidth="1"/>
    <col min="8711" max="8711" width="12.25" style="392" customWidth="1"/>
    <col min="8712" max="8712" width="14" style="392" customWidth="1"/>
    <col min="8713" max="8960" width="9" style="392"/>
    <col min="8961" max="8961" width="6.75" style="392" customWidth="1"/>
    <col min="8962" max="8962" width="17.25" style="392" customWidth="1"/>
    <col min="8963" max="8963" width="9.125" style="392" customWidth="1"/>
    <col min="8964" max="8966" width="10.625" style="392" customWidth="1"/>
    <col min="8967" max="8967" width="12.25" style="392" customWidth="1"/>
    <col min="8968" max="8968" width="14" style="392" customWidth="1"/>
    <col min="8969" max="9216" width="9" style="392"/>
    <col min="9217" max="9217" width="6.75" style="392" customWidth="1"/>
    <col min="9218" max="9218" width="17.25" style="392" customWidth="1"/>
    <col min="9219" max="9219" width="9.125" style="392" customWidth="1"/>
    <col min="9220" max="9222" width="10.625" style="392" customWidth="1"/>
    <col min="9223" max="9223" width="12.25" style="392" customWidth="1"/>
    <col min="9224" max="9224" width="14" style="392" customWidth="1"/>
    <col min="9225" max="9472" width="9" style="392"/>
    <col min="9473" max="9473" width="6.75" style="392" customWidth="1"/>
    <col min="9474" max="9474" width="17.25" style="392" customWidth="1"/>
    <col min="9475" max="9475" width="9.125" style="392" customWidth="1"/>
    <col min="9476" max="9478" width="10.625" style="392" customWidth="1"/>
    <col min="9479" max="9479" width="12.25" style="392" customWidth="1"/>
    <col min="9480" max="9480" width="14" style="392" customWidth="1"/>
    <col min="9481" max="9728" width="9" style="392"/>
    <col min="9729" max="9729" width="6.75" style="392" customWidth="1"/>
    <col min="9730" max="9730" width="17.25" style="392" customWidth="1"/>
    <col min="9731" max="9731" width="9.125" style="392" customWidth="1"/>
    <col min="9732" max="9734" width="10.625" style="392" customWidth="1"/>
    <col min="9735" max="9735" width="12.25" style="392" customWidth="1"/>
    <col min="9736" max="9736" width="14" style="392" customWidth="1"/>
    <col min="9737" max="9984" width="9" style="392"/>
    <col min="9985" max="9985" width="6.75" style="392" customWidth="1"/>
    <col min="9986" max="9986" width="17.25" style="392" customWidth="1"/>
    <col min="9987" max="9987" width="9.125" style="392" customWidth="1"/>
    <col min="9988" max="9990" width="10.625" style="392" customWidth="1"/>
    <col min="9991" max="9991" width="12.25" style="392" customWidth="1"/>
    <col min="9992" max="9992" width="14" style="392" customWidth="1"/>
    <col min="9993" max="10240" width="9" style="392"/>
    <col min="10241" max="10241" width="6.75" style="392" customWidth="1"/>
    <col min="10242" max="10242" width="17.25" style="392" customWidth="1"/>
    <col min="10243" max="10243" width="9.125" style="392" customWidth="1"/>
    <col min="10244" max="10246" width="10.625" style="392" customWidth="1"/>
    <col min="10247" max="10247" width="12.25" style="392" customWidth="1"/>
    <col min="10248" max="10248" width="14" style="392" customWidth="1"/>
    <col min="10249" max="10496" width="9" style="392"/>
    <col min="10497" max="10497" width="6.75" style="392" customWidth="1"/>
    <col min="10498" max="10498" width="17.25" style="392" customWidth="1"/>
    <col min="10499" max="10499" width="9.125" style="392" customWidth="1"/>
    <col min="10500" max="10502" width="10.625" style="392" customWidth="1"/>
    <col min="10503" max="10503" width="12.25" style="392" customWidth="1"/>
    <col min="10504" max="10504" width="14" style="392" customWidth="1"/>
    <col min="10505" max="10752" width="9" style="392"/>
    <col min="10753" max="10753" width="6.75" style="392" customWidth="1"/>
    <col min="10754" max="10754" width="17.25" style="392" customWidth="1"/>
    <col min="10755" max="10755" width="9.125" style="392" customWidth="1"/>
    <col min="10756" max="10758" width="10.625" style="392" customWidth="1"/>
    <col min="10759" max="10759" width="12.25" style="392" customWidth="1"/>
    <col min="10760" max="10760" width="14" style="392" customWidth="1"/>
    <col min="10761" max="11008" width="9" style="392"/>
    <col min="11009" max="11009" width="6.75" style="392" customWidth="1"/>
    <col min="11010" max="11010" width="17.25" style="392" customWidth="1"/>
    <col min="11011" max="11011" width="9.125" style="392" customWidth="1"/>
    <col min="11012" max="11014" width="10.625" style="392" customWidth="1"/>
    <col min="11015" max="11015" width="12.25" style="392" customWidth="1"/>
    <col min="11016" max="11016" width="14" style="392" customWidth="1"/>
    <col min="11017" max="11264" width="9" style="392"/>
    <col min="11265" max="11265" width="6.75" style="392" customWidth="1"/>
    <col min="11266" max="11266" width="17.25" style="392" customWidth="1"/>
    <col min="11267" max="11267" width="9.125" style="392" customWidth="1"/>
    <col min="11268" max="11270" width="10.625" style="392" customWidth="1"/>
    <col min="11271" max="11271" width="12.25" style="392" customWidth="1"/>
    <col min="11272" max="11272" width="14" style="392" customWidth="1"/>
    <col min="11273" max="11520" width="9" style="392"/>
    <col min="11521" max="11521" width="6.75" style="392" customWidth="1"/>
    <col min="11522" max="11522" width="17.25" style="392" customWidth="1"/>
    <col min="11523" max="11523" width="9.125" style="392" customWidth="1"/>
    <col min="11524" max="11526" width="10.625" style="392" customWidth="1"/>
    <col min="11527" max="11527" width="12.25" style="392" customWidth="1"/>
    <col min="11528" max="11528" width="14" style="392" customWidth="1"/>
    <col min="11529" max="11776" width="9" style="392"/>
    <col min="11777" max="11777" width="6.75" style="392" customWidth="1"/>
    <col min="11778" max="11778" width="17.25" style="392" customWidth="1"/>
    <col min="11779" max="11779" width="9.125" style="392" customWidth="1"/>
    <col min="11780" max="11782" width="10.625" style="392" customWidth="1"/>
    <col min="11783" max="11783" width="12.25" style="392" customWidth="1"/>
    <col min="11784" max="11784" width="14" style="392" customWidth="1"/>
    <col min="11785" max="12032" width="9" style="392"/>
    <col min="12033" max="12033" width="6.75" style="392" customWidth="1"/>
    <col min="12034" max="12034" width="17.25" style="392" customWidth="1"/>
    <col min="12035" max="12035" width="9.125" style="392" customWidth="1"/>
    <col min="12036" max="12038" width="10.625" style="392" customWidth="1"/>
    <col min="12039" max="12039" width="12.25" style="392" customWidth="1"/>
    <col min="12040" max="12040" width="14" style="392" customWidth="1"/>
    <col min="12041" max="12288" width="9" style="392"/>
    <col min="12289" max="12289" width="6.75" style="392" customWidth="1"/>
    <col min="12290" max="12290" width="17.25" style="392" customWidth="1"/>
    <col min="12291" max="12291" width="9.125" style="392" customWidth="1"/>
    <col min="12292" max="12294" width="10.625" style="392" customWidth="1"/>
    <col min="12295" max="12295" width="12.25" style="392" customWidth="1"/>
    <col min="12296" max="12296" width="14" style="392" customWidth="1"/>
    <col min="12297" max="12544" width="9" style="392"/>
    <col min="12545" max="12545" width="6.75" style="392" customWidth="1"/>
    <col min="12546" max="12546" width="17.25" style="392" customWidth="1"/>
    <col min="12547" max="12547" width="9.125" style="392" customWidth="1"/>
    <col min="12548" max="12550" width="10.625" style="392" customWidth="1"/>
    <col min="12551" max="12551" width="12.25" style="392" customWidth="1"/>
    <col min="12552" max="12552" width="14" style="392" customWidth="1"/>
    <col min="12553" max="12800" width="9" style="392"/>
    <col min="12801" max="12801" width="6.75" style="392" customWidth="1"/>
    <col min="12802" max="12802" width="17.25" style="392" customWidth="1"/>
    <col min="12803" max="12803" width="9.125" style="392" customWidth="1"/>
    <col min="12804" max="12806" width="10.625" style="392" customWidth="1"/>
    <col min="12807" max="12807" width="12.25" style="392" customWidth="1"/>
    <col min="12808" max="12808" width="14" style="392" customWidth="1"/>
    <col min="12809" max="13056" width="9" style="392"/>
    <col min="13057" max="13057" width="6.75" style="392" customWidth="1"/>
    <col min="13058" max="13058" width="17.25" style="392" customWidth="1"/>
    <col min="13059" max="13059" width="9.125" style="392" customWidth="1"/>
    <col min="13060" max="13062" width="10.625" style="392" customWidth="1"/>
    <col min="13063" max="13063" width="12.25" style="392" customWidth="1"/>
    <col min="13064" max="13064" width="14" style="392" customWidth="1"/>
    <col min="13065" max="13312" width="9" style="392"/>
    <col min="13313" max="13313" width="6.75" style="392" customWidth="1"/>
    <col min="13314" max="13314" width="17.25" style="392" customWidth="1"/>
    <col min="13315" max="13315" width="9.125" style="392" customWidth="1"/>
    <col min="13316" max="13318" width="10.625" style="392" customWidth="1"/>
    <col min="13319" max="13319" width="12.25" style="392" customWidth="1"/>
    <col min="13320" max="13320" width="14" style="392" customWidth="1"/>
    <col min="13321" max="13568" width="9" style="392"/>
    <col min="13569" max="13569" width="6.75" style="392" customWidth="1"/>
    <col min="13570" max="13570" width="17.25" style="392" customWidth="1"/>
    <col min="13571" max="13571" width="9.125" style="392" customWidth="1"/>
    <col min="13572" max="13574" width="10.625" style="392" customWidth="1"/>
    <col min="13575" max="13575" width="12.25" style="392" customWidth="1"/>
    <col min="13576" max="13576" width="14" style="392" customWidth="1"/>
    <col min="13577" max="13824" width="9" style="392"/>
    <col min="13825" max="13825" width="6.75" style="392" customWidth="1"/>
    <col min="13826" max="13826" width="17.25" style="392" customWidth="1"/>
    <col min="13827" max="13827" width="9.125" style="392" customWidth="1"/>
    <col min="13828" max="13830" width="10.625" style="392" customWidth="1"/>
    <col min="13831" max="13831" width="12.25" style="392" customWidth="1"/>
    <col min="13832" max="13832" width="14" style="392" customWidth="1"/>
    <col min="13833" max="14080" width="9" style="392"/>
    <col min="14081" max="14081" width="6.75" style="392" customWidth="1"/>
    <col min="14082" max="14082" width="17.25" style="392" customWidth="1"/>
    <col min="14083" max="14083" width="9.125" style="392" customWidth="1"/>
    <col min="14084" max="14086" width="10.625" style="392" customWidth="1"/>
    <col min="14087" max="14087" width="12.25" style="392" customWidth="1"/>
    <col min="14088" max="14088" width="14" style="392" customWidth="1"/>
    <col min="14089" max="14336" width="9" style="392"/>
    <col min="14337" max="14337" width="6.75" style="392" customWidth="1"/>
    <col min="14338" max="14338" width="17.25" style="392" customWidth="1"/>
    <col min="14339" max="14339" width="9.125" style="392" customWidth="1"/>
    <col min="14340" max="14342" width="10.625" style="392" customWidth="1"/>
    <col min="14343" max="14343" width="12.25" style="392" customWidth="1"/>
    <col min="14344" max="14344" width="14" style="392" customWidth="1"/>
    <col min="14345" max="14592" width="9" style="392"/>
    <col min="14593" max="14593" width="6.75" style="392" customWidth="1"/>
    <col min="14594" max="14594" width="17.25" style="392" customWidth="1"/>
    <col min="14595" max="14595" width="9.125" style="392" customWidth="1"/>
    <col min="14596" max="14598" width="10.625" style="392" customWidth="1"/>
    <col min="14599" max="14599" width="12.25" style="392" customWidth="1"/>
    <col min="14600" max="14600" width="14" style="392" customWidth="1"/>
    <col min="14601" max="14848" width="9" style="392"/>
    <col min="14849" max="14849" width="6.75" style="392" customWidth="1"/>
    <col min="14850" max="14850" width="17.25" style="392" customWidth="1"/>
    <col min="14851" max="14851" width="9.125" style="392" customWidth="1"/>
    <col min="14852" max="14854" width="10.625" style="392" customWidth="1"/>
    <col min="14855" max="14855" width="12.25" style="392" customWidth="1"/>
    <col min="14856" max="14856" width="14" style="392" customWidth="1"/>
    <col min="14857" max="15104" width="9" style="392"/>
    <col min="15105" max="15105" width="6.75" style="392" customWidth="1"/>
    <col min="15106" max="15106" width="17.25" style="392" customWidth="1"/>
    <col min="15107" max="15107" width="9.125" style="392" customWidth="1"/>
    <col min="15108" max="15110" width="10.625" style="392" customWidth="1"/>
    <col min="15111" max="15111" width="12.25" style="392" customWidth="1"/>
    <col min="15112" max="15112" width="14" style="392" customWidth="1"/>
    <col min="15113" max="15360" width="9" style="392"/>
    <col min="15361" max="15361" width="6.75" style="392" customWidth="1"/>
    <col min="15362" max="15362" width="17.25" style="392" customWidth="1"/>
    <col min="15363" max="15363" width="9.125" style="392" customWidth="1"/>
    <col min="15364" max="15366" width="10.625" style="392" customWidth="1"/>
    <col min="15367" max="15367" width="12.25" style="392" customWidth="1"/>
    <col min="15368" max="15368" width="14" style="392" customWidth="1"/>
    <col min="15369" max="15616" width="9" style="392"/>
    <col min="15617" max="15617" width="6.75" style="392" customWidth="1"/>
    <col min="15618" max="15618" width="17.25" style="392" customWidth="1"/>
    <col min="15619" max="15619" width="9.125" style="392" customWidth="1"/>
    <col min="15620" max="15622" width="10.625" style="392" customWidth="1"/>
    <col min="15623" max="15623" width="12.25" style="392" customWidth="1"/>
    <col min="15624" max="15624" width="14" style="392" customWidth="1"/>
    <col min="15625" max="15872" width="9" style="392"/>
    <col min="15873" max="15873" width="6.75" style="392" customWidth="1"/>
    <col min="15874" max="15874" width="17.25" style="392" customWidth="1"/>
    <col min="15875" max="15875" width="9.125" style="392" customWidth="1"/>
    <col min="15876" max="15878" width="10.625" style="392" customWidth="1"/>
    <col min="15879" max="15879" width="12.25" style="392" customWidth="1"/>
    <col min="15880" max="15880" width="14" style="392" customWidth="1"/>
    <col min="15881" max="16128" width="9" style="392"/>
    <col min="16129" max="16129" width="6.75" style="392" customWidth="1"/>
    <col min="16130" max="16130" width="17.25" style="392" customWidth="1"/>
    <col min="16131" max="16131" width="9.125" style="392" customWidth="1"/>
    <col min="16132" max="16134" width="10.625" style="392" customWidth="1"/>
    <col min="16135" max="16135" width="12.25" style="392" customWidth="1"/>
    <col min="16136" max="16136" width="14" style="392" customWidth="1"/>
    <col min="16137" max="16384" width="9" style="392"/>
  </cols>
  <sheetData>
    <row r="1" ht="29.25" customHeight="1" spans="1:6">
      <c r="A1" s="393" t="s">
        <v>1283</v>
      </c>
      <c r="B1" s="393"/>
      <c r="C1" s="393"/>
      <c r="D1" s="393"/>
      <c r="E1" s="393"/>
      <c r="F1" s="393"/>
    </row>
    <row r="2" s="390" customFormat="1" ht="21" customHeight="1" spans="1:6">
      <c r="A2" s="394" t="s">
        <v>1284</v>
      </c>
      <c r="B2" s="394"/>
      <c r="C2" s="394"/>
      <c r="D2" s="394"/>
      <c r="E2" s="394"/>
      <c r="F2" s="394"/>
    </row>
    <row r="3" s="391" customFormat="1" ht="24.75" customHeight="1" spans="1:6">
      <c r="A3" s="395" t="s">
        <v>291</v>
      </c>
      <c r="B3" s="396" t="s">
        <v>531</v>
      </c>
      <c r="C3" s="396" t="s">
        <v>55</v>
      </c>
      <c r="D3" s="396" t="s">
        <v>191</v>
      </c>
      <c r="E3" s="396" t="s">
        <v>697</v>
      </c>
      <c r="F3" s="397" t="s">
        <v>1002</v>
      </c>
    </row>
    <row r="4" s="391" customFormat="1" ht="21" customHeight="1" spans="1:6">
      <c r="A4" s="398"/>
      <c r="B4" s="219" t="s">
        <v>463</v>
      </c>
      <c r="C4" s="219"/>
      <c r="D4" s="219"/>
      <c r="E4" s="219"/>
      <c r="F4" s="399">
        <f>F5+F9</f>
        <v>0</v>
      </c>
    </row>
    <row r="5" s="391" customFormat="1" ht="21" customHeight="1" spans="1:6">
      <c r="A5" s="398" t="s">
        <v>472</v>
      </c>
      <c r="B5" s="219" t="s">
        <v>1285</v>
      </c>
      <c r="C5" s="219"/>
      <c r="D5" s="219"/>
      <c r="E5" s="219"/>
      <c r="F5" s="399">
        <f>F6</f>
        <v>0</v>
      </c>
    </row>
    <row r="6" s="391" customFormat="1" ht="21" customHeight="1" spans="1:6">
      <c r="A6" s="398" t="s">
        <v>701</v>
      </c>
      <c r="B6" s="219" t="s">
        <v>1286</v>
      </c>
      <c r="C6" s="219"/>
      <c r="D6" s="219"/>
      <c r="E6" s="219"/>
      <c r="F6" s="399"/>
    </row>
    <row r="7" s="249" customFormat="1" ht="21" customHeight="1" spans="1:8">
      <c r="A7" s="400"/>
      <c r="B7" s="401" t="s">
        <v>1287</v>
      </c>
      <c r="C7" s="222" t="s">
        <v>1288</v>
      </c>
      <c r="D7" s="227">
        <v>16</v>
      </c>
      <c r="E7" s="227">
        <f>15*220</f>
        <v>3300</v>
      </c>
      <c r="F7" s="402">
        <f>D7*E7</f>
        <v>52800</v>
      </c>
      <c r="G7" s="391"/>
      <c r="H7" s="392"/>
    </row>
    <row r="8" s="249" customFormat="1" ht="21" customHeight="1" spans="1:8">
      <c r="A8" s="400"/>
      <c r="B8" s="401" t="s">
        <v>1289</v>
      </c>
      <c r="C8" s="222" t="s">
        <v>1290</v>
      </c>
      <c r="D8" s="227">
        <f>D7*18*20</f>
        <v>5760</v>
      </c>
      <c r="E8" s="227">
        <v>17.5</v>
      </c>
      <c r="F8" s="402">
        <f t="shared" ref="F8" si="0">D8*E8</f>
        <v>100800</v>
      </c>
      <c r="G8" s="391"/>
      <c r="H8" s="392"/>
    </row>
    <row r="9" s="391" customFormat="1" ht="21" customHeight="1" spans="1:6">
      <c r="A9" s="403" t="s">
        <v>474</v>
      </c>
      <c r="B9" s="404" t="s">
        <v>1291</v>
      </c>
      <c r="C9" s="404" t="s">
        <v>70</v>
      </c>
      <c r="D9" s="405">
        <v>1</v>
      </c>
      <c r="E9" s="406">
        <f>总概算核!C23*10000</f>
        <v>0</v>
      </c>
      <c r="F9" s="407">
        <f>E9*D9/100</f>
        <v>0</v>
      </c>
    </row>
  </sheetData>
  <mergeCells count="1">
    <mergeCell ref="A1:F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J39"/>
  <sheetViews>
    <sheetView workbookViewId="0">
      <selection activeCell="A1" sqref="A1:G1"/>
    </sheetView>
  </sheetViews>
  <sheetFormatPr defaultColWidth="9.625" defaultRowHeight="20.25"/>
  <cols>
    <col min="1" max="1" width="8.5" style="145" customWidth="1"/>
    <col min="2" max="2" width="7.625" style="145" customWidth="1"/>
    <col min="3" max="3" width="8.875" style="145" customWidth="1"/>
    <col min="4" max="4" width="28.875" style="972" customWidth="1"/>
    <col min="5" max="5" width="8.125" style="145" customWidth="1"/>
    <col min="6" max="6" width="7.75" style="145" customWidth="1"/>
    <col min="7" max="7" width="11.75" style="145" customWidth="1"/>
    <col min="8" max="16384" width="9.625" style="145"/>
  </cols>
  <sheetData>
    <row r="1" ht="36" customHeight="1" spans="1:7">
      <c r="A1" s="973" t="s">
        <v>53</v>
      </c>
      <c r="B1" s="973"/>
      <c r="C1" s="973"/>
      <c r="D1" s="973"/>
      <c r="E1" s="973"/>
      <c r="F1" s="973"/>
      <c r="G1" s="973"/>
    </row>
    <row r="2" ht="14.1" customHeight="1" spans="1:7">
      <c r="A2" s="974" t="s">
        <v>54</v>
      </c>
      <c r="B2" s="975"/>
      <c r="C2" s="975"/>
      <c r="D2" s="976"/>
      <c r="E2" s="977" t="s">
        <v>55</v>
      </c>
      <c r="F2" s="977" t="s">
        <v>56</v>
      </c>
      <c r="G2" s="977" t="s">
        <v>57</v>
      </c>
    </row>
    <row r="3" ht="14.1" customHeight="1" spans="1:7">
      <c r="A3" s="978" t="s">
        <v>58</v>
      </c>
      <c r="B3" s="979"/>
      <c r="C3" s="980"/>
      <c r="D3" s="977" t="s">
        <v>59</v>
      </c>
      <c r="E3" s="977" t="s">
        <v>60</v>
      </c>
      <c r="F3" s="148"/>
      <c r="G3" s="148"/>
    </row>
    <row r="4" ht="14.1" customHeight="1" spans="1:7">
      <c r="A4" s="981"/>
      <c r="B4" s="982"/>
      <c r="C4" s="983"/>
      <c r="D4" s="977" t="s">
        <v>61</v>
      </c>
      <c r="E4" s="977" t="s">
        <v>62</v>
      </c>
      <c r="F4" s="148">
        <v>9466</v>
      </c>
      <c r="G4" s="148"/>
    </row>
    <row r="5" ht="14.1" customHeight="1" spans="1:7">
      <c r="A5" s="984"/>
      <c r="B5" s="985"/>
      <c r="C5" s="986"/>
      <c r="D5" s="977" t="s">
        <v>63</v>
      </c>
      <c r="E5" s="977" t="s">
        <v>64</v>
      </c>
      <c r="F5" s="207">
        <v>1019</v>
      </c>
      <c r="G5" s="207" t="s">
        <v>65</v>
      </c>
    </row>
    <row r="6" ht="14.1" customHeight="1" spans="1:7">
      <c r="A6" s="978" t="s">
        <v>66</v>
      </c>
      <c r="B6" s="979"/>
      <c r="C6" s="980"/>
      <c r="D6" s="977" t="s">
        <v>67</v>
      </c>
      <c r="E6" s="977" t="s">
        <v>68</v>
      </c>
      <c r="F6" s="148">
        <v>2018</v>
      </c>
      <c r="G6" s="148"/>
    </row>
    <row r="7" ht="14.1" customHeight="1" spans="1:7">
      <c r="A7" s="981"/>
      <c r="B7" s="982"/>
      <c r="C7" s="983"/>
      <c r="D7" s="987" t="s">
        <v>69</v>
      </c>
      <c r="E7" s="148" t="s">
        <v>70</v>
      </c>
      <c r="F7" s="148">
        <v>75</v>
      </c>
      <c r="G7" s="148"/>
    </row>
    <row r="8" ht="14.1" customHeight="1" spans="1:10">
      <c r="A8" s="984"/>
      <c r="B8" s="985"/>
      <c r="C8" s="986"/>
      <c r="D8" s="987" t="s">
        <v>71</v>
      </c>
      <c r="E8" s="148"/>
      <c r="F8" s="148">
        <v>0.72</v>
      </c>
      <c r="G8" s="148"/>
      <c r="J8" s="997"/>
    </row>
    <row r="9" ht="14.1" customHeight="1" spans="1:8">
      <c r="A9" s="988" t="s">
        <v>72</v>
      </c>
      <c r="B9" s="988" t="s">
        <v>73</v>
      </c>
      <c r="C9" s="988" t="s">
        <v>74</v>
      </c>
      <c r="D9" s="987" t="s">
        <v>75</v>
      </c>
      <c r="E9" s="148" t="s">
        <v>76</v>
      </c>
      <c r="F9" s="148" t="e">
        <f>#REF!</f>
        <v>#REF!</v>
      </c>
      <c r="G9" s="148"/>
      <c r="H9" s="989"/>
    </row>
    <row r="10" ht="14.1" customHeight="1" spans="1:8">
      <c r="A10" s="990"/>
      <c r="B10" s="990"/>
      <c r="C10" s="990"/>
      <c r="D10" s="977" t="s">
        <v>77</v>
      </c>
      <c r="E10" s="148" t="s">
        <v>76</v>
      </c>
      <c r="F10" s="148" t="e">
        <f>#REF!</f>
        <v>#REF!</v>
      </c>
      <c r="G10" s="148" t="s">
        <v>78</v>
      </c>
      <c r="H10" s="989"/>
    </row>
    <row r="11" ht="14.1" customHeight="1" spans="1:8">
      <c r="A11" s="990"/>
      <c r="B11" s="990"/>
      <c r="C11" s="990"/>
      <c r="D11" s="977" t="s">
        <v>79</v>
      </c>
      <c r="E11" s="977" t="s">
        <v>80</v>
      </c>
      <c r="F11" s="148" t="e">
        <f>#REF!</f>
        <v>#REF!</v>
      </c>
      <c r="G11" s="148"/>
      <c r="H11" s="989"/>
    </row>
    <row r="12" ht="14.1" customHeight="1" spans="1:8">
      <c r="A12" s="990"/>
      <c r="B12" s="990"/>
      <c r="C12" s="990"/>
      <c r="D12" s="991" t="s">
        <v>81</v>
      </c>
      <c r="E12" s="977" t="s">
        <v>80</v>
      </c>
      <c r="F12" s="148" t="e">
        <f>#REF!+#REF!</f>
        <v>#REF!</v>
      </c>
      <c r="G12" s="148"/>
      <c r="H12" s="989"/>
    </row>
    <row r="13" ht="14.1" customHeight="1" spans="1:8">
      <c r="A13" s="990"/>
      <c r="B13" s="990"/>
      <c r="C13" s="990"/>
      <c r="D13" s="977" t="s">
        <v>82</v>
      </c>
      <c r="E13" s="977" t="s">
        <v>80</v>
      </c>
      <c r="F13" s="148" t="e">
        <f>#REF!</f>
        <v>#REF!</v>
      </c>
      <c r="G13" s="148"/>
      <c r="H13" s="989"/>
    </row>
    <row r="14" ht="14.1" customHeight="1" spans="1:8">
      <c r="A14" s="990"/>
      <c r="B14" s="990"/>
      <c r="C14" s="990"/>
      <c r="D14" s="977" t="s">
        <v>83</v>
      </c>
      <c r="E14" s="977" t="s">
        <v>80</v>
      </c>
      <c r="F14" s="148" t="e">
        <f>#REF!+#REF!+#REF!+#REF!+#REF!+#REF!</f>
        <v>#REF!</v>
      </c>
      <c r="G14" s="148"/>
      <c r="H14" s="989"/>
    </row>
    <row r="15" ht="14.1" customHeight="1" spans="1:8">
      <c r="A15" s="990"/>
      <c r="B15" s="990"/>
      <c r="C15" s="990"/>
      <c r="D15" s="977" t="s">
        <v>84</v>
      </c>
      <c r="E15" s="977" t="s">
        <v>80</v>
      </c>
      <c r="F15" s="148" t="e">
        <f>#REF!+#REF!+#REF!+#REF!+#REF!+#REF!</f>
        <v>#REF!</v>
      </c>
      <c r="G15" s="148"/>
      <c r="H15" s="989"/>
    </row>
    <row r="16" ht="14.1" customHeight="1" spans="1:8">
      <c r="A16" s="990"/>
      <c r="B16" s="990"/>
      <c r="C16" s="990"/>
      <c r="D16" s="977" t="s">
        <v>85</v>
      </c>
      <c r="E16" s="977" t="s">
        <v>80</v>
      </c>
      <c r="F16" s="148" t="e">
        <f>#REF!+#REF!</f>
        <v>#REF!</v>
      </c>
      <c r="G16" s="148"/>
      <c r="H16" s="989"/>
    </row>
    <row r="17" ht="14.1" customHeight="1" spans="1:8">
      <c r="A17" s="990"/>
      <c r="B17" s="990"/>
      <c r="C17" s="990"/>
      <c r="D17" s="977" t="s">
        <v>86</v>
      </c>
      <c r="E17" s="977" t="s">
        <v>80</v>
      </c>
      <c r="F17" s="148" t="e">
        <f>#REF!</f>
        <v>#REF!</v>
      </c>
      <c r="G17" s="148"/>
      <c r="H17" s="989"/>
    </row>
    <row r="18" ht="14.1" customHeight="1" spans="1:8">
      <c r="A18" s="990"/>
      <c r="B18" s="990"/>
      <c r="C18" s="990"/>
      <c r="D18" s="977" t="s">
        <v>87</v>
      </c>
      <c r="E18" s="977" t="s">
        <v>80</v>
      </c>
      <c r="F18" s="148" t="e">
        <f>#REF!</f>
        <v>#REF!</v>
      </c>
      <c r="G18" s="148"/>
      <c r="H18" s="989"/>
    </row>
    <row r="19" ht="14.1" customHeight="1" spans="1:8">
      <c r="A19" s="990"/>
      <c r="B19" s="990"/>
      <c r="C19" s="992"/>
      <c r="D19" s="977" t="s">
        <v>88</v>
      </c>
      <c r="E19" s="977" t="s">
        <v>80</v>
      </c>
      <c r="F19" s="148" t="e">
        <f>#REF!</f>
        <v>#REF!</v>
      </c>
      <c r="G19" s="148"/>
      <c r="H19" s="989"/>
    </row>
    <row r="20" ht="14.1" customHeight="1" spans="1:8">
      <c r="A20" s="990"/>
      <c r="B20" s="990"/>
      <c r="C20" s="988" t="s">
        <v>89</v>
      </c>
      <c r="D20" s="977" t="s">
        <v>90</v>
      </c>
      <c r="E20" s="148" t="s">
        <v>76</v>
      </c>
      <c r="F20" s="148" t="e">
        <f>#REF!-F21</f>
        <v>#REF!</v>
      </c>
      <c r="G20" s="916"/>
      <c r="H20" s="989"/>
    </row>
    <row r="21" ht="14.1" customHeight="1" spans="1:8">
      <c r="A21" s="990"/>
      <c r="B21" s="990"/>
      <c r="C21" s="990"/>
      <c r="D21" s="977" t="s">
        <v>91</v>
      </c>
      <c r="E21" s="148" t="s">
        <v>76</v>
      </c>
      <c r="F21" s="148" t="e">
        <f>#REF!</f>
        <v>#REF!</v>
      </c>
      <c r="G21" s="916"/>
      <c r="H21" s="989"/>
    </row>
    <row r="22" ht="14.1" customHeight="1" spans="1:8">
      <c r="A22" s="990"/>
      <c r="B22" s="990"/>
      <c r="C22" s="990"/>
      <c r="D22" s="977" t="s">
        <v>79</v>
      </c>
      <c r="E22" s="977" t="s">
        <v>80</v>
      </c>
      <c r="F22" s="148" t="e">
        <f>#REF!</f>
        <v>#REF!</v>
      </c>
      <c r="G22" s="148"/>
      <c r="H22" s="989"/>
    </row>
    <row r="23" ht="14.1" customHeight="1" spans="1:8">
      <c r="A23" s="990"/>
      <c r="B23" s="990"/>
      <c r="C23" s="990"/>
      <c r="D23" s="991" t="s">
        <v>92</v>
      </c>
      <c r="E23" s="977" t="s">
        <v>80</v>
      </c>
      <c r="F23" s="148" t="e">
        <f>#REF!</f>
        <v>#REF!</v>
      </c>
      <c r="G23" s="148"/>
      <c r="H23" s="989"/>
    </row>
    <row r="24" ht="14.1" customHeight="1" spans="1:8">
      <c r="A24" s="990"/>
      <c r="B24" s="990"/>
      <c r="C24" s="990"/>
      <c r="D24" s="977" t="s">
        <v>93</v>
      </c>
      <c r="E24" s="977" t="s">
        <v>80</v>
      </c>
      <c r="F24" s="148" t="e">
        <f>#REF!</f>
        <v>#REF!</v>
      </c>
      <c r="G24" s="148"/>
      <c r="H24" s="989"/>
    </row>
    <row r="25" ht="14.1" customHeight="1" spans="1:7">
      <c r="A25" s="990"/>
      <c r="B25" s="992"/>
      <c r="C25" s="992"/>
      <c r="D25" s="977" t="s">
        <v>94</v>
      </c>
      <c r="E25" s="977" t="s">
        <v>80</v>
      </c>
      <c r="F25" s="148" t="e">
        <f>#REF!</f>
        <v>#REF!</v>
      </c>
      <c r="G25" s="148"/>
    </row>
    <row r="26" ht="14.1" customHeight="1" spans="1:7">
      <c r="A26" s="990"/>
      <c r="B26" s="978" t="s">
        <v>95</v>
      </c>
      <c r="C26" s="980"/>
      <c r="D26" s="977" t="s">
        <v>96</v>
      </c>
      <c r="E26" s="148" t="s">
        <v>76</v>
      </c>
      <c r="F26" s="148" t="e">
        <f>#REF!</f>
        <v>#REF!</v>
      </c>
      <c r="G26" s="148"/>
    </row>
    <row r="27" ht="14.1" customHeight="1" spans="1:7">
      <c r="A27" s="990"/>
      <c r="B27" s="981"/>
      <c r="C27" s="983"/>
      <c r="D27" s="977" t="s">
        <v>97</v>
      </c>
      <c r="E27" s="148" t="s">
        <v>76</v>
      </c>
      <c r="F27" s="148" t="e">
        <f>#REF!</f>
        <v>#REF!</v>
      </c>
      <c r="G27" s="148"/>
    </row>
    <row r="28" ht="14.1" customHeight="1" spans="1:7">
      <c r="A28" s="990"/>
      <c r="B28" s="981"/>
      <c r="C28" s="983"/>
      <c r="D28" s="993" t="s">
        <v>98</v>
      </c>
      <c r="E28" s="994" t="s">
        <v>62</v>
      </c>
      <c r="F28" s="148" t="e">
        <f>#REF!</f>
        <v>#REF!</v>
      </c>
      <c r="G28" s="148"/>
    </row>
    <row r="29" ht="14.1" customHeight="1" spans="1:7">
      <c r="A29" s="990"/>
      <c r="B29" s="984"/>
      <c r="C29" s="986"/>
      <c r="D29" s="993" t="s">
        <v>99</v>
      </c>
      <c r="E29" s="994" t="s">
        <v>62</v>
      </c>
      <c r="F29" s="148" t="e">
        <f>#REF!</f>
        <v>#REF!</v>
      </c>
      <c r="G29" s="148"/>
    </row>
    <row r="30" ht="14.1" customHeight="1" spans="1:7">
      <c r="A30" s="990"/>
      <c r="B30" s="978" t="s">
        <v>100</v>
      </c>
      <c r="C30" s="980"/>
      <c r="D30" s="995" t="s">
        <v>101</v>
      </c>
      <c r="E30" s="994" t="s">
        <v>62</v>
      </c>
      <c r="F30" s="996"/>
      <c r="G30" s="148"/>
    </row>
    <row r="31" ht="14.1" customHeight="1" spans="1:7">
      <c r="A31" s="992"/>
      <c r="B31" s="984"/>
      <c r="C31" s="986"/>
      <c r="D31" s="994" t="s">
        <v>102</v>
      </c>
      <c r="E31" s="994" t="s">
        <v>103</v>
      </c>
      <c r="F31" s="996"/>
      <c r="G31" s="148"/>
    </row>
    <row r="32" ht="14.1" customHeight="1" spans="1:7">
      <c r="A32" s="978" t="s">
        <v>104</v>
      </c>
      <c r="B32" s="979"/>
      <c r="C32" s="980"/>
      <c r="D32" s="977" t="s">
        <v>105</v>
      </c>
      <c r="E32" s="977" t="s">
        <v>106</v>
      </c>
      <c r="F32" s="148">
        <f>总概算核!F40</f>
        <v>2512.26</v>
      </c>
      <c r="G32" s="148"/>
    </row>
    <row r="33" ht="14.1" customHeight="1" spans="1:7">
      <c r="A33" s="981"/>
      <c r="B33" s="982"/>
      <c r="C33" s="983"/>
      <c r="D33" s="977" t="s">
        <v>107</v>
      </c>
      <c r="E33" s="977" t="s">
        <v>106</v>
      </c>
      <c r="F33" s="148" t="e">
        <f>总概算核!#REF!</f>
        <v>#REF!</v>
      </c>
      <c r="G33" s="148"/>
    </row>
    <row r="34" ht="14.1" customHeight="1" spans="1:7">
      <c r="A34" s="981"/>
      <c r="B34" s="982"/>
      <c r="C34" s="983"/>
      <c r="D34" s="977" t="s">
        <v>108</v>
      </c>
      <c r="E34" s="977" t="s">
        <v>106</v>
      </c>
      <c r="F34" s="148">
        <f>总概算核!F5</f>
        <v>54.1702235910721</v>
      </c>
      <c r="G34" s="148"/>
    </row>
    <row r="35" ht="14.1" customHeight="1" spans="1:7">
      <c r="A35" s="981"/>
      <c r="B35" s="982"/>
      <c r="C35" s="983"/>
      <c r="D35" s="977" t="s">
        <v>109</v>
      </c>
      <c r="E35" s="977" t="s">
        <v>106</v>
      </c>
      <c r="F35" s="148">
        <f>总概算核!F6</f>
        <v>105.525311535185</v>
      </c>
      <c r="G35" s="148"/>
    </row>
    <row r="36" ht="14.1" customHeight="1" spans="1:7">
      <c r="A36" s="981"/>
      <c r="B36" s="982"/>
      <c r="C36" s="983"/>
      <c r="D36" s="977" t="s">
        <v>110</v>
      </c>
      <c r="E36" s="977" t="s">
        <v>106</v>
      </c>
      <c r="F36" s="148">
        <f>总概算核!F7</f>
        <v>696.781724891838</v>
      </c>
      <c r="G36" s="148"/>
    </row>
    <row r="37" ht="14.1" customHeight="1" spans="1:7">
      <c r="A37" s="981"/>
      <c r="B37" s="982"/>
      <c r="C37" s="983"/>
      <c r="D37" s="977" t="s">
        <v>111</v>
      </c>
      <c r="E37" s="977"/>
      <c r="F37" s="148" t="e">
        <f>总概算核!#REF!</f>
        <v>#REF!</v>
      </c>
      <c r="G37" s="148"/>
    </row>
    <row r="38" ht="14.1" customHeight="1" spans="1:7">
      <c r="A38" s="981"/>
      <c r="B38" s="982"/>
      <c r="C38" s="983"/>
      <c r="D38" s="977" t="s">
        <v>112</v>
      </c>
      <c r="E38" s="977" t="s">
        <v>106</v>
      </c>
      <c r="F38" s="148">
        <f>总概算核!F22</f>
        <v>8.95215135166148</v>
      </c>
      <c r="G38" s="148"/>
    </row>
    <row r="39" ht="14.1" customHeight="1" spans="1:7">
      <c r="A39" s="984"/>
      <c r="B39" s="985"/>
      <c r="C39" s="986"/>
      <c r="D39" s="977" t="s">
        <v>113</v>
      </c>
      <c r="E39" s="977" t="s">
        <v>114</v>
      </c>
      <c r="F39" s="148">
        <f>F32/8700*10000</f>
        <v>2887.65517241379</v>
      </c>
      <c r="G39" s="148"/>
    </row>
  </sheetData>
  <mergeCells count="12">
    <mergeCell ref="A1:G1"/>
    <mergeCell ref="A2:D2"/>
    <mergeCell ref="E3:G3"/>
    <mergeCell ref="A9:A31"/>
    <mergeCell ref="B9:B25"/>
    <mergeCell ref="C9:C19"/>
    <mergeCell ref="C20:C25"/>
    <mergeCell ref="A32:C39"/>
    <mergeCell ref="A6:C8"/>
    <mergeCell ref="A3:C5"/>
    <mergeCell ref="B30:C31"/>
    <mergeCell ref="B26:C29"/>
  </mergeCells>
  <printOptions horizontalCentered="1"/>
  <pageMargins left="0.75" right="0.75" top="1" bottom="1" header="0.5" footer="0.5"/>
  <pageSetup paperSize="9" scale="99" orientation="portrait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4"/>
  <sheetViews>
    <sheetView workbookViewId="0">
      <selection activeCell="A1" sqref="A1:G1"/>
    </sheetView>
  </sheetViews>
  <sheetFormatPr defaultColWidth="8.75" defaultRowHeight="14.25"/>
  <cols>
    <col min="1" max="1" width="7.75" customWidth="1"/>
    <col min="2" max="2" width="22.125" customWidth="1"/>
    <col min="5" max="5" width="10.125" customWidth="1"/>
    <col min="6" max="6" width="11.125" customWidth="1"/>
    <col min="11" max="11" width="13" customWidth="1"/>
    <col min="12" max="12" width="9.875" customWidth="1"/>
    <col min="20" max="20" width="10.625" customWidth="1"/>
  </cols>
  <sheetData>
    <row r="1" ht="28.5" customHeight="1" spans="1:21">
      <c r="A1" s="352" t="s">
        <v>1292</v>
      </c>
      <c r="B1" s="352"/>
      <c r="C1" s="352"/>
      <c r="D1" s="352"/>
      <c r="E1" s="352"/>
      <c r="F1" s="352"/>
      <c r="G1" s="352"/>
      <c r="J1" s="380" t="s">
        <v>1293</v>
      </c>
      <c r="K1" s="381"/>
      <c r="L1" s="381"/>
      <c r="M1" s="381"/>
      <c r="N1" s="381"/>
      <c r="O1" s="381"/>
      <c r="P1" s="381"/>
      <c r="Q1" s="381"/>
      <c r="R1" s="386"/>
      <c r="S1" s="386"/>
      <c r="T1" s="386"/>
      <c r="U1" s="386"/>
    </row>
    <row r="2" ht="24.95" customHeight="1" spans="1:21">
      <c r="A2" s="353" t="s">
        <v>291</v>
      </c>
      <c r="B2" s="354" t="s">
        <v>55</v>
      </c>
      <c r="C2" s="354" t="s">
        <v>55</v>
      </c>
      <c r="D2" s="354" t="s">
        <v>191</v>
      </c>
      <c r="E2" s="354" t="s">
        <v>697</v>
      </c>
      <c r="F2" s="355" t="s">
        <v>1002</v>
      </c>
      <c r="G2" s="356" t="s">
        <v>119</v>
      </c>
      <c r="H2" s="357"/>
      <c r="J2" s="382" t="s">
        <v>1215</v>
      </c>
      <c r="K2" s="382" t="s">
        <v>1216</v>
      </c>
      <c r="L2" s="382" t="s">
        <v>1294</v>
      </c>
      <c r="M2" s="382" t="s">
        <v>1218</v>
      </c>
      <c r="N2" s="382" t="s">
        <v>1219</v>
      </c>
      <c r="O2" s="382" t="s">
        <v>1295</v>
      </c>
      <c r="P2" s="382" t="s">
        <v>1221</v>
      </c>
      <c r="Q2" s="382" t="s">
        <v>1222</v>
      </c>
      <c r="R2" s="382" t="s">
        <v>1223</v>
      </c>
      <c r="S2" s="382" t="s">
        <v>1224</v>
      </c>
      <c r="T2" s="382" t="s">
        <v>1296</v>
      </c>
      <c r="U2" s="382" t="s">
        <v>1297</v>
      </c>
    </row>
    <row r="3" ht="24.95" customHeight="1" spans="1:21">
      <c r="A3" s="358" t="s">
        <v>472</v>
      </c>
      <c r="B3" s="359" t="s">
        <v>1298</v>
      </c>
      <c r="C3" s="360"/>
      <c r="D3" s="360"/>
      <c r="E3" s="360"/>
      <c r="F3" s="360">
        <f>SUM(F4:F5)</f>
        <v>20425</v>
      </c>
      <c r="G3" s="361"/>
      <c r="H3" s="357"/>
      <c r="J3" s="383" t="s">
        <v>1229</v>
      </c>
      <c r="K3" s="384" t="s">
        <v>1299</v>
      </c>
      <c r="L3" s="385">
        <v>800</v>
      </c>
      <c r="M3" s="385" t="s">
        <v>1231</v>
      </c>
      <c r="N3" s="385">
        <v>2</v>
      </c>
      <c r="O3" s="385">
        <v>2</v>
      </c>
      <c r="P3" s="385">
        <f>ROUND(L3*O3/667,0)</f>
        <v>2</v>
      </c>
      <c r="Q3" s="387" t="s">
        <v>503</v>
      </c>
      <c r="R3" s="385" t="s">
        <v>1300</v>
      </c>
      <c r="S3" s="388">
        <f>SUM(T3:U3)</f>
        <v>200</v>
      </c>
      <c r="T3" s="385">
        <f>L3/4/2</f>
        <v>100</v>
      </c>
      <c r="U3" s="385">
        <f>L3/4/2</f>
        <v>100</v>
      </c>
    </row>
    <row r="4" ht="24.95" customHeight="1" spans="1:21">
      <c r="A4" s="362">
        <v>1</v>
      </c>
      <c r="B4" s="363" t="s">
        <v>1301</v>
      </c>
      <c r="C4" s="363" t="s">
        <v>226</v>
      </c>
      <c r="D4" s="364">
        <f>T7</f>
        <v>475</v>
      </c>
      <c r="E4" s="364">
        <v>18</v>
      </c>
      <c r="F4" s="364">
        <f>E4*D4</f>
        <v>8550</v>
      </c>
      <c r="G4" s="365"/>
      <c r="H4" s="357"/>
      <c r="J4" s="383" t="s">
        <v>1233</v>
      </c>
      <c r="K4" s="384" t="s">
        <v>1302</v>
      </c>
      <c r="L4" s="385">
        <v>700</v>
      </c>
      <c r="M4" s="385" t="s">
        <v>1231</v>
      </c>
      <c r="N4" s="385">
        <v>2</v>
      </c>
      <c r="O4" s="385">
        <v>2</v>
      </c>
      <c r="P4" s="385">
        <f>ROUND(L4*O4/667,0)</f>
        <v>2</v>
      </c>
      <c r="Q4" s="387" t="s">
        <v>505</v>
      </c>
      <c r="R4" s="385" t="s">
        <v>1300</v>
      </c>
      <c r="S4" s="388">
        <f>SUM(T4:U4)</f>
        <v>175</v>
      </c>
      <c r="T4" s="385">
        <f>L4/4/2</f>
        <v>87.5</v>
      </c>
      <c r="U4" s="385">
        <f>L4/4/2</f>
        <v>87.5</v>
      </c>
    </row>
    <row r="5" ht="24.95" customHeight="1" spans="1:21">
      <c r="A5" s="362">
        <v>2</v>
      </c>
      <c r="B5" s="363" t="s">
        <v>1303</v>
      </c>
      <c r="C5" s="363" t="s">
        <v>226</v>
      </c>
      <c r="D5" s="364">
        <f>U7</f>
        <v>475</v>
      </c>
      <c r="E5" s="364">
        <v>25</v>
      </c>
      <c r="F5" s="364">
        <f>E5*D5</f>
        <v>11875</v>
      </c>
      <c r="G5" s="365"/>
      <c r="H5" s="357"/>
      <c r="J5" s="383" t="s">
        <v>1236</v>
      </c>
      <c r="K5" s="384" t="s">
        <v>1230</v>
      </c>
      <c r="L5" s="385">
        <v>1500</v>
      </c>
      <c r="M5" s="385" t="s">
        <v>1231</v>
      </c>
      <c r="N5" s="385">
        <v>2</v>
      </c>
      <c r="O5" s="385">
        <v>2</v>
      </c>
      <c r="P5" s="385">
        <f>ROUND(L5*O5/667,0)</f>
        <v>4</v>
      </c>
      <c r="Q5" s="387" t="s">
        <v>505</v>
      </c>
      <c r="R5" s="385" t="s">
        <v>1300</v>
      </c>
      <c r="S5" s="388">
        <f>SUM(T5:U5)</f>
        <v>375</v>
      </c>
      <c r="T5" s="385">
        <f>L5/4/2</f>
        <v>187.5</v>
      </c>
      <c r="U5" s="385">
        <f>L5/4/2</f>
        <v>187.5</v>
      </c>
    </row>
    <row r="6" ht="24.95" customHeight="1" spans="1:21">
      <c r="A6" s="358" t="s">
        <v>474</v>
      </c>
      <c r="B6" s="359" t="s">
        <v>1304</v>
      </c>
      <c r="C6" s="366"/>
      <c r="D6" s="366"/>
      <c r="E6" s="366"/>
      <c r="F6" s="367">
        <f>SUM(F7:F9)</f>
        <v>12825</v>
      </c>
      <c r="G6" s="365"/>
      <c r="H6" s="357"/>
      <c r="J6" s="383" t="s">
        <v>1239</v>
      </c>
      <c r="K6" s="384" t="s">
        <v>1305</v>
      </c>
      <c r="L6" s="385">
        <v>800</v>
      </c>
      <c r="M6" s="385" t="s">
        <v>1231</v>
      </c>
      <c r="N6" s="385">
        <v>2</v>
      </c>
      <c r="O6" s="385">
        <v>2</v>
      </c>
      <c r="P6" s="385">
        <f>ROUND(L6*O6/667,0)</f>
        <v>2</v>
      </c>
      <c r="Q6" s="387" t="s">
        <v>503</v>
      </c>
      <c r="R6" s="385" t="s">
        <v>1300</v>
      </c>
      <c r="S6" s="388">
        <f>SUM(T6:U6)</f>
        <v>200</v>
      </c>
      <c r="T6" s="385">
        <f>L6/4/2</f>
        <v>100</v>
      </c>
      <c r="U6" s="385">
        <f>L6/4/2</f>
        <v>100</v>
      </c>
    </row>
    <row r="7" ht="24.95" customHeight="1" spans="1:21">
      <c r="A7" s="368">
        <v>1</v>
      </c>
      <c r="B7" s="369" t="s">
        <v>1306</v>
      </c>
      <c r="C7" s="370" t="str">
        <f>C4</f>
        <v>株</v>
      </c>
      <c r="D7" s="371">
        <f>D4</f>
        <v>475</v>
      </c>
      <c r="E7" s="371">
        <f>5+3.5</f>
        <v>8.5</v>
      </c>
      <c r="F7" s="371">
        <f>D7*E7</f>
        <v>4037.5</v>
      </c>
      <c r="G7" s="365"/>
      <c r="H7" s="357"/>
      <c r="J7" s="383" t="s">
        <v>463</v>
      </c>
      <c r="K7" s="385"/>
      <c r="L7" s="385">
        <f>SUM(L3:L6)</f>
        <v>3800</v>
      </c>
      <c r="M7" s="385"/>
      <c r="N7" s="385"/>
      <c r="O7" s="385"/>
      <c r="P7" s="385">
        <f>SUM(P3:P6)</f>
        <v>10</v>
      </c>
      <c r="Q7" s="389"/>
      <c r="R7" s="385"/>
      <c r="S7" s="388">
        <f>SUM(S3:S6)</f>
        <v>950</v>
      </c>
      <c r="T7" s="385">
        <f>SUM(T3:T6)</f>
        <v>475</v>
      </c>
      <c r="U7" s="385">
        <f>SUM(U3:U6)</f>
        <v>475</v>
      </c>
    </row>
    <row r="8" ht="24.95" customHeight="1" spans="1:8">
      <c r="A8" s="368">
        <v>2</v>
      </c>
      <c r="B8" s="371" t="str">
        <f>B7</f>
        <v>种植费</v>
      </c>
      <c r="C8" s="370" t="str">
        <f>C4</f>
        <v>株</v>
      </c>
      <c r="D8" s="371">
        <f>D5</f>
        <v>475</v>
      </c>
      <c r="E8" s="371">
        <f>E7</f>
        <v>8.5</v>
      </c>
      <c r="F8" s="371">
        <f>D8*E8</f>
        <v>4037.5</v>
      </c>
      <c r="G8" s="365"/>
      <c r="H8" s="357"/>
    </row>
    <row r="9" ht="24.95" customHeight="1" spans="1:8">
      <c r="A9" s="368">
        <v>3</v>
      </c>
      <c r="B9" s="369" t="s">
        <v>1258</v>
      </c>
      <c r="C9" s="370" t="str">
        <f>C5</f>
        <v>株</v>
      </c>
      <c r="D9" s="371">
        <f>D4+D5</f>
        <v>950</v>
      </c>
      <c r="E9" s="371">
        <v>5</v>
      </c>
      <c r="F9" s="371">
        <f>D9*E9</f>
        <v>4750</v>
      </c>
      <c r="G9" s="365"/>
      <c r="H9" s="357"/>
    </row>
    <row r="10" ht="24.95" customHeight="1" spans="1:8">
      <c r="A10" s="372"/>
      <c r="B10" s="373"/>
      <c r="C10" s="373"/>
      <c r="D10" s="373"/>
      <c r="E10" s="373"/>
      <c r="F10" s="364"/>
      <c r="G10" s="365"/>
      <c r="H10" s="357"/>
    </row>
    <row r="11" ht="24.95" customHeight="1" spans="1:8">
      <c r="A11" s="372"/>
      <c r="B11" s="374"/>
      <c r="C11" s="374"/>
      <c r="D11" s="373"/>
      <c r="E11" s="373"/>
      <c r="F11" s="364"/>
      <c r="G11" s="361"/>
      <c r="H11" s="357"/>
    </row>
    <row r="12" ht="24.95" customHeight="1" spans="1:8">
      <c r="A12" s="372"/>
      <c r="B12" s="374"/>
      <c r="C12" s="374"/>
      <c r="D12" s="373"/>
      <c r="E12" s="373"/>
      <c r="F12" s="364"/>
      <c r="G12" s="361"/>
      <c r="H12" s="357"/>
    </row>
    <row r="13" ht="24.95" customHeight="1" spans="1:8">
      <c r="A13" s="375" t="s">
        <v>1307</v>
      </c>
      <c r="B13" s="376"/>
      <c r="C13" s="377" t="s">
        <v>114</v>
      </c>
      <c r="D13" s="376"/>
      <c r="E13" s="376"/>
      <c r="F13" s="378">
        <f>F3+F6</f>
        <v>33250</v>
      </c>
      <c r="G13" s="379"/>
      <c r="H13" s="357"/>
    </row>
    <row r="14" spans="1:7">
      <c r="A14" s="357"/>
      <c r="B14" s="357"/>
      <c r="C14" s="357"/>
      <c r="D14" s="357"/>
      <c r="E14" s="357"/>
      <c r="F14" s="357"/>
      <c r="G14" s="357"/>
    </row>
  </sheetData>
  <mergeCells count="4">
    <mergeCell ref="A1:G1"/>
    <mergeCell ref="J1:U1"/>
    <mergeCell ref="J7:K7"/>
    <mergeCell ref="A13:B13"/>
  </mergeCells>
  <pageMargins left="0.75" right="0.75" top="1" bottom="1" header="0.5" footer="0.5"/>
  <pageSetup paperSize="9" orientation="portrait"/>
  <headerFooter alignWithMargins="0" scaleWithDoc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"/>
  <sheetViews>
    <sheetView workbookViewId="0">
      <selection activeCell="F14" sqref="F14"/>
    </sheetView>
  </sheetViews>
  <sheetFormatPr defaultColWidth="9" defaultRowHeight="14.25"/>
  <cols>
    <col min="2" max="2" width="22.25" customWidth="1"/>
    <col min="4" max="4" width="12.625"/>
    <col min="6" max="6" width="11.25" customWidth="1"/>
    <col min="7" max="7" width="12.625"/>
    <col min="10" max="10" width="12.625"/>
  </cols>
  <sheetData>
    <row r="1" ht="18.75" spans="1:10">
      <c r="A1" s="265" t="s">
        <v>1308</v>
      </c>
      <c r="B1" s="265"/>
      <c r="C1" s="265"/>
      <c r="D1" s="265"/>
      <c r="E1" s="265"/>
      <c r="F1" s="265"/>
      <c r="G1" s="343"/>
      <c r="H1" s="343"/>
      <c r="I1" s="343"/>
      <c r="J1" s="343"/>
    </row>
    <row r="2" spans="1:10">
      <c r="A2" s="344" t="s">
        <v>1309</v>
      </c>
      <c r="B2" s="344"/>
      <c r="C2" s="345"/>
      <c r="D2" s="345"/>
      <c r="E2" s="345"/>
      <c r="F2" s="345"/>
      <c r="G2" s="343"/>
      <c r="H2" s="343"/>
      <c r="I2" s="343"/>
      <c r="J2" s="343"/>
    </row>
    <row r="3" ht="24" spans="1:10">
      <c r="A3" s="271" t="s">
        <v>291</v>
      </c>
      <c r="B3" s="271" t="s">
        <v>696</v>
      </c>
      <c r="C3" s="271" t="s">
        <v>55</v>
      </c>
      <c r="D3" s="271" t="s">
        <v>191</v>
      </c>
      <c r="E3" s="271" t="s">
        <v>1310</v>
      </c>
      <c r="F3" s="271" t="s">
        <v>1264</v>
      </c>
      <c r="G3" s="343"/>
      <c r="H3" s="343"/>
      <c r="I3" s="343"/>
      <c r="J3" s="343"/>
    </row>
    <row r="4" ht="12" customHeight="1" spans="1:10">
      <c r="A4" s="271"/>
      <c r="B4" s="271" t="s">
        <v>1311</v>
      </c>
      <c r="C4" s="271"/>
      <c r="D4" s="271"/>
      <c r="E4" s="271"/>
      <c r="F4" s="346">
        <f>F5+F6+F11+F12+F14</f>
        <v>201.6380877858</v>
      </c>
      <c r="G4" s="347">
        <f>F4/2315.96</f>
        <v>0.087064581333788</v>
      </c>
      <c r="H4" s="343"/>
      <c r="I4" s="343"/>
      <c r="J4" s="343"/>
    </row>
    <row r="5" spans="1:10">
      <c r="A5" s="271" t="s">
        <v>472</v>
      </c>
      <c r="B5" s="271" t="s">
        <v>473</v>
      </c>
      <c r="C5" s="271"/>
      <c r="D5" s="346">
        <f>D7</f>
        <v>2238.03783791537</v>
      </c>
      <c r="E5" s="348">
        <v>0.004</v>
      </c>
      <c r="F5" s="346">
        <f>D5*E5</f>
        <v>8.95215135166148</v>
      </c>
      <c r="G5" s="347">
        <f>F5/2315.96</f>
        <v>0.00386541708477758</v>
      </c>
      <c r="H5" s="343"/>
      <c r="I5" s="343"/>
      <c r="J5" s="343"/>
    </row>
    <row r="6" spans="1:10">
      <c r="A6" s="271" t="s">
        <v>474</v>
      </c>
      <c r="B6" s="271" t="s">
        <v>1312</v>
      </c>
      <c r="C6" s="271"/>
      <c r="D6" s="346"/>
      <c r="E6" s="271"/>
      <c r="F6" s="346">
        <f>F7+F8+F9</f>
        <v>120.188007568731</v>
      </c>
      <c r="G6" s="347">
        <f t="shared" ref="G6:G15" si="0">F6/2315.96</f>
        <v>0.0518955455054191</v>
      </c>
      <c r="H6" s="343"/>
      <c r="I6" s="343"/>
      <c r="J6" s="343"/>
    </row>
    <row r="7" spans="1:10">
      <c r="A7" s="349">
        <v>1</v>
      </c>
      <c r="B7" s="350" t="s">
        <v>1313</v>
      </c>
      <c r="C7" s="271"/>
      <c r="D7" s="346">
        <f>总概算核!F20</f>
        <v>2238.03783791537</v>
      </c>
      <c r="E7" s="348">
        <v>0.015</v>
      </c>
      <c r="F7" s="346">
        <f>D7*E7</f>
        <v>33.5705675687305</v>
      </c>
      <c r="G7" s="347">
        <f t="shared" si="0"/>
        <v>0.0144953140679159</v>
      </c>
      <c r="H7" s="343"/>
      <c r="I7" s="343"/>
      <c r="J7" s="343"/>
    </row>
    <row r="8" spans="1:10">
      <c r="A8" s="349">
        <v>2</v>
      </c>
      <c r="B8" s="350" t="s">
        <v>479</v>
      </c>
      <c r="C8" s="271"/>
      <c r="D8" s="346"/>
      <c r="E8" s="271"/>
      <c r="F8" s="346">
        <f>费用计算!C136</f>
        <v>10.742592</v>
      </c>
      <c r="G8" s="347">
        <f t="shared" si="0"/>
        <v>0.0046385049828149</v>
      </c>
      <c r="H8" s="343"/>
      <c r="I8" s="343"/>
      <c r="J8" s="343"/>
    </row>
    <row r="9" spans="1:10">
      <c r="A9" s="349">
        <v>3</v>
      </c>
      <c r="B9" s="350" t="s">
        <v>1314</v>
      </c>
      <c r="C9" s="271"/>
      <c r="D9" s="346"/>
      <c r="E9" s="271"/>
      <c r="F9" s="346">
        <f>费用计算!C90</f>
        <v>75.874848</v>
      </c>
      <c r="G9" s="347">
        <f t="shared" si="0"/>
        <v>0.0327617264546883</v>
      </c>
      <c r="H9" s="343"/>
      <c r="I9" s="343"/>
      <c r="J9" s="343"/>
    </row>
    <row r="10" spans="1:10">
      <c r="A10" s="349" t="s">
        <v>481</v>
      </c>
      <c r="B10" s="350" t="s">
        <v>482</v>
      </c>
      <c r="C10" s="271"/>
      <c r="D10" s="346"/>
      <c r="E10" s="271"/>
      <c r="F10" s="346">
        <f>费用计算!C38</f>
        <v>28.98524544</v>
      </c>
      <c r="G10" s="347">
        <f t="shared" si="0"/>
        <v>0.0125154343943764</v>
      </c>
      <c r="H10" s="343"/>
      <c r="I10" s="343"/>
      <c r="J10" s="343"/>
    </row>
    <row r="11" spans="1:10">
      <c r="A11" s="271" t="s">
        <v>476</v>
      </c>
      <c r="B11" s="271" t="s">
        <v>1315</v>
      </c>
      <c r="C11" s="271"/>
      <c r="D11" s="271"/>
      <c r="E11" s="271"/>
      <c r="F11" s="346">
        <f>费用计算!E19</f>
        <v>8.59509459478842</v>
      </c>
      <c r="G11" s="347">
        <f t="shared" si="0"/>
        <v>0.00371124483790239</v>
      </c>
      <c r="H11" s="343">
        <f>D11*0.605/100</f>
        <v>0</v>
      </c>
      <c r="I11" s="343"/>
      <c r="J11" s="343"/>
    </row>
    <row r="12" spans="1:10">
      <c r="A12" s="271" t="s">
        <v>481</v>
      </c>
      <c r="B12" s="271" t="s">
        <v>475</v>
      </c>
      <c r="C12" s="271"/>
      <c r="D12" s="271"/>
      <c r="E12" s="271"/>
      <c r="F12" s="346">
        <f>F13</f>
        <v>53.831664</v>
      </c>
      <c r="G12" s="347">
        <f t="shared" si="0"/>
        <v>0.0232437796853141</v>
      </c>
      <c r="H12" s="343">
        <f>D12*2.1/100</f>
        <v>0</v>
      </c>
      <c r="I12" s="343"/>
      <c r="J12" s="343"/>
    </row>
    <row r="13" spans="1:10">
      <c r="A13" s="271"/>
      <c r="B13" s="270" t="s">
        <v>470</v>
      </c>
      <c r="C13" s="270" t="s">
        <v>70</v>
      </c>
      <c r="D13" s="351">
        <f>总概算核!F20</f>
        <v>2238.03783791537</v>
      </c>
      <c r="E13" s="348"/>
      <c r="F13" s="351">
        <f>费用计算!C165</f>
        <v>53.831664</v>
      </c>
      <c r="G13" s="347">
        <f t="shared" si="0"/>
        <v>0.0232437796853141</v>
      </c>
      <c r="H13" s="343"/>
      <c r="I13" s="343"/>
      <c r="J13" s="343"/>
    </row>
    <row r="14" spans="1:10">
      <c r="A14" s="271" t="s">
        <v>394</v>
      </c>
      <c r="B14" s="271" t="s">
        <v>499</v>
      </c>
      <c r="C14" s="271"/>
      <c r="D14" s="346"/>
      <c r="E14" s="271"/>
      <c r="F14" s="346">
        <f>F15</f>
        <v>10.0711702706192</v>
      </c>
      <c r="G14" s="347">
        <f t="shared" si="0"/>
        <v>0.00434859422037477</v>
      </c>
      <c r="H14" s="343"/>
      <c r="I14" s="343"/>
      <c r="J14" s="343"/>
    </row>
    <row r="15" spans="1:10">
      <c r="A15" s="270">
        <v>1</v>
      </c>
      <c r="B15" s="270" t="s">
        <v>1316</v>
      </c>
      <c r="C15" s="270" t="s">
        <v>70</v>
      </c>
      <c r="D15" s="351">
        <f>D13</f>
        <v>2238.03783791537</v>
      </c>
      <c r="E15" s="348">
        <v>0.0045</v>
      </c>
      <c r="F15" s="351">
        <f>D15*E15</f>
        <v>10.0711702706192</v>
      </c>
      <c r="G15" s="347">
        <f t="shared" si="0"/>
        <v>0.00434859422037477</v>
      </c>
      <c r="H15" s="343"/>
      <c r="I15" s="343"/>
      <c r="J15" s="343"/>
    </row>
    <row r="16" spans="1:10">
      <c r="A16" s="343"/>
      <c r="B16" s="343"/>
      <c r="C16" s="343"/>
      <c r="D16" s="343"/>
      <c r="E16" s="343"/>
      <c r="F16" s="343"/>
      <c r="G16" s="343"/>
      <c r="H16" s="343"/>
      <c r="I16" s="343"/>
      <c r="J16" s="343"/>
    </row>
    <row r="17" spans="1:10">
      <c r="A17" s="343"/>
      <c r="B17" s="343"/>
      <c r="C17" s="343"/>
      <c r="D17" s="343"/>
      <c r="E17" s="343"/>
      <c r="F17" s="343"/>
      <c r="G17" s="343"/>
      <c r="H17" s="343"/>
      <c r="I17" s="343"/>
      <c r="J17" s="343"/>
    </row>
    <row r="18" spans="1:10">
      <c r="A18" s="343"/>
      <c r="B18" s="343"/>
      <c r="C18" s="343"/>
      <c r="D18" s="343"/>
      <c r="E18" s="343"/>
      <c r="F18" s="343"/>
      <c r="G18" s="343"/>
      <c r="H18" s="343"/>
      <c r="I18" s="343"/>
      <c r="J18" s="343"/>
    </row>
    <row r="19" spans="1:10">
      <c r="A19" s="343"/>
      <c r="B19" s="343"/>
      <c r="C19" s="343"/>
      <c r="D19" s="343"/>
      <c r="E19" s="343"/>
      <c r="F19" s="343"/>
      <c r="G19" s="343"/>
      <c r="H19" s="343"/>
      <c r="I19" s="343"/>
      <c r="J19" s="343"/>
    </row>
    <row r="20" spans="1:10">
      <c r="A20" s="343"/>
      <c r="B20" s="343"/>
      <c r="C20" s="343"/>
      <c r="D20" s="343"/>
      <c r="E20" s="343"/>
      <c r="F20" s="343"/>
      <c r="G20" s="343"/>
      <c r="H20" s="343"/>
      <c r="I20" s="343"/>
      <c r="J20" s="343"/>
    </row>
    <row r="21" spans="1:10">
      <c r="A21" s="343"/>
      <c r="B21" s="343"/>
      <c r="C21" s="343"/>
      <c r="D21" s="343"/>
      <c r="E21" s="343"/>
      <c r="F21" s="343"/>
      <c r="G21" s="343"/>
      <c r="H21" s="343"/>
      <c r="I21" s="343"/>
      <c r="J21" s="343"/>
    </row>
    <row r="22" spans="1:10">
      <c r="A22" s="343"/>
      <c r="B22" s="343"/>
      <c r="C22" s="343"/>
      <c r="D22" s="343"/>
      <c r="E22" s="343"/>
      <c r="F22" s="343"/>
      <c r="G22" s="343"/>
      <c r="H22" s="343"/>
      <c r="I22" s="343"/>
      <c r="J22" s="343"/>
    </row>
    <row r="23" spans="1:10">
      <c r="A23" s="343"/>
      <c r="B23" s="343"/>
      <c r="C23" s="343"/>
      <c r="D23" s="343"/>
      <c r="E23" s="343"/>
      <c r="F23" s="343"/>
      <c r="G23" s="343"/>
      <c r="H23" s="343"/>
      <c r="I23" s="343"/>
      <c r="J23" s="343"/>
    </row>
    <row r="24" spans="1:10">
      <c r="A24" s="343"/>
      <c r="B24" s="343"/>
      <c r="C24" s="343"/>
      <c r="D24" s="343"/>
      <c r="E24" s="343"/>
      <c r="F24" s="343"/>
      <c r="G24" s="343"/>
      <c r="H24" s="343"/>
      <c r="I24" s="343"/>
      <c r="J24" s="343"/>
    </row>
    <row r="25" spans="1:10">
      <c r="A25" s="343"/>
      <c r="B25" s="343"/>
      <c r="C25" s="343"/>
      <c r="D25" s="343"/>
      <c r="E25" s="343"/>
      <c r="F25" s="343"/>
      <c r="G25" s="343"/>
      <c r="H25" s="343"/>
      <c r="I25" s="343"/>
      <c r="J25" s="343"/>
    </row>
  </sheetData>
  <mergeCells count="2">
    <mergeCell ref="A1:F1"/>
    <mergeCell ref="A2:B2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6"/>
  <sheetViews>
    <sheetView topLeftCell="A124" workbookViewId="0">
      <selection activeCell="C142" sqref="C142:D142"/>
    </sheetView>
  </sheetViews>
  <sheetFormatPr defaultColWidth="9" defaultRowHeight="12"/>
  <cols>
    <col min="1" max="1" width="5.25" style="276" customWidth="1"/>
    <col min="2" max="2" width="17.5" style="276" customWidth="1"/>
    <col min="3" max="3" width="9.125" style="276" customWidth="1"/>
    <col min="4" max="4" width="13.125" style="276"/>
    <col min="5" max="5" width="7.75" style="276" customWidth="1"/>
    <col min="6" max="6" width="11.875" style="276" customWidth="1"/>
    <col min="7" max="9" width="11.125" style="276"/>
    <col min="10" max="11" width="9" style="276"/>
    <col min="12" max="12" width="36.1333333333333" style="276" customWidth="1"/>
    <col min="13" max="13" width="9" style="276"/>
    <col min="14" max="14" width="9.25" style="276"/>
    <col min="15" max="16384" width="9" style="276"/>
  </cols>
  <sheetData>
    <row r="1" s="276" customFormat="1" ht="12.75" spans="1:8">
      <c r="A1" s="277" t="s">
        <v>1317</v>
      </c>
      <c r="B1" s="278"/>
      <c r="C1" s="278"/>
      <c r="D1" s="278"/>
      <c r="E1" s="279"/>
      <c r="H1" s="276" t="s">
        <v>1318</v>
      </c>
    </row>
    <row r="2" s="276" customFormat="1" ht="12.75" spans="1:10">
      <c r="A2" s="280">
        <v>1</v>
      </c>
      <c r="B2" s="281">
        <v>500</v>
      </c>
      <c r="C2" s="282">
        <v>500</v>
      </c>
      <c r="D2" s="281">
        <v>0.04</v>
      </c>
      <c r="E2" s="283"/>
      <c r="H2" s="284" t="s">
        <v>291</v>
      </c>
      <c r="I2" s="318" t="s">
        <v>1319</v>
      </c>
      <c r="J2" s="318" t="s">
        <v>1320</v>
      </c>
    </row>
    <row r="3" s="276" customFormat="1" ht="12.75" spans="1:10">
      <c r="A3" s="280">
        <v>2</v>
      </c>
      <c r="B3" s="281">
        <v>1000</v>
      </c>
      <c r="C3" s="282">
        <v>1000</v>
      </c>
      <c r="D3" s="281">
        <v>0.035</v>
      </c>
      <c r="E3" s="283">
        <f t="shared" ref="E2:E8" si="0">C3*D3</f>
        <v>35</v>
      </c>
      <c r="H3" s="285">
        <v>1</v>
      </c>
      <c r="I3" s="319">
        <v>200</v>
      </c>
      <c r="J3" s="319">
        <v>9</v>
      </c>
    </row>
    <row r="4" s="276" customFormat="1" ht="12.75" spans="1:10">
      <c r="A4" s="280">
        <v>3</v>
      </c>
      <c r="B4" s="281">
        <v>3000</v>
      </c>
      <c r="C4" s="286">
        <f>总概算核!F20</f>
        <v>2238.03783791537</v>
      </c>
      <c r="D4" s="281">
        <v>0.031</v>
      </c>
      <c r="E4" s="287">
        <f>(C4-C3)*(3000*D4-1000*D3)/2000</f>
        <v>35.9030972995457</v>
      </c>
      <c r="H4" s="285">
        <v>2</v>
      </c>
      <c r="I4" s="319">
        <v>500</v>
      </c>
      <c r="J4" s="319">
        <v>20.9</v>
      </c>
    </row>
    <row r="5" s="276" customFormat="1" ht="12.75" spans="1:10">
      <c r="A5" s="280">
        <v>4</v>
      </c>
      <c r="B5" s="281">
        <v>5000</v>
      </c>
      <c r="C5" s="286"/>
      <c r="D5" s="281">
        <v>0.028</v>
      </c>
      <c r="E5" s="287">
        <f t="shared" si="0"/>
        <v>0</v>
      </c>
      <c r="H5" s="285">
        <v>3</v>
      </c>
      <c r="I5" s="319">
        <v>1000</v>
      </c>
      <c r="J5" s="319">
        <v>38.8</v>
      </c>
    </row>
    <row r="6" s="276" customFormat="1" ht="12.75" spans="1:10">
      <c r="A6" s="280">
        <v>5</v>
      </c>
      <c r="B6" s="281">
        <v>8000</v>
      </c>
      <c r="C6" s="281"/>
      <c r="D6" s="281">
        <v>0.025</v>
      </c>
      <c r="E6" s="283">
        <f t="shared" si="0"/>
        <v>0</v>
      </c>
      <c r="H6" s="285">
        <v>4</v>
      </c>
      <c r="I6" s="319">
        <v>3000</v>
      </c>
      <c r="J6" s="319">
        <v>103.8</v>
      </c>
    </row>
    <row r="7" s="276" customFormat="1" ht="12.75" spans="1:10">
      <c r="A7" s="280">
        <v>6</v>
      </c>
      <c r="B7" s="281">
        <v>10000</v>
      </c>
      <c r="C7" s="281"/>
      <c r="D7" s="281">
        <v>0.022</v>
      </c>
      <c r="E7" s="283">
        <f t="shared" si="0"/>
        <v>0</v>
      </c>
      <c r="H7" s="285"/>
      <c r="I7" s="319" t="e">
        <f>'C:\Users\Administrator\Desktop\[西靖镇高效节水灌溉提升改造工程估算3.3.xls]独立费用'!#REF!</f>
        <v>#REF!</v>
      </c>
      <c r="J7" s="319"/>
    </row>
    <row r="8" s="276" customFormat="1" ht="12.75" spans="1:10">
      <c r="A8" s="280">
        <v>7</v>
      </c>
      <c r="B8" s="281">
        <v>50000</v>
      </c>
      <c r="C8" s="281"/>
      <c r="D8" s="281">
        <v>0.019</v>
      </c>
      <c r="E8" s="283">
        <f t="shared" si="0"/>
        <v>0</v>
      </c>
      <c r="H8" s="285">
        <v>5</v>
      </c>
      <c r="I8" s="319">
        <v>5000</v>
      </c>
      <c r="J8" s="319">
        <v>163.9</v>
      </c>
    </row>
    <row r="9" s="276" customFormat="1" ht="12.75" spans="1:10">
      <c r="A9" s="288">
        <v>8</v>
      </c>
      <c r="B9" s="289" t="s">
        <v>1321</v>
      </c>
      <c r="C9" s="289"/>
      <c r="D9" s="289"/>
      <c r="E9" s="290">
        <f>SUM(E2:E8)</f>
        <v>70.9030972995457</v>
      </c>
      <c r="H9" s="285">
        <v>6</v>
      </c>
      <c r="I9" s="319">
        <v>8000</v>
      </c>
      <c r="J9" s="319">
        <v>249.6</v>
      </c>
    </row>
    <row r="10" s="276" customFormat="1" ht="12.75" spans="8:10">
      <c r="H10" s="285">
        <v>7</v>
      </c>
      <c r="I10" s="319">
        <v>10000</v>
      </c>
      <c r="J10" s="319">
        <v>304.8</v>
      </c>
    </row>
    <row r="11" s="276" customFormat="1" ht="12.75" spans="8:10">
      <c r="H11" s="285">
        <v>8</v>
      </c>
      <c r="I11" s="319">
        <v>20000</v>
      </c>
      <c r="J11" s="319">
        <v>566.8</v>
      </c>
    </row>
    <row r="12" s="276" customFormat="1" ht="12.75" spans="1:10">
      <c r="A12" s="277" t="s">
        <v>1322</v>
      </c>
      <c r="B12" s="278"/>
      <c r="C12" s="278"/>
      <c r="D12" s="278"/>
      <c r="E12" s="279"/>
      <c r="H12" s="285">
        <v>9</v>
      </c>
      <c r="I12" s="319">
        <v>40000</v>
      </c>
      <c r="J12" s="319">
        <v>1054</v>
      </c>
    </row>
    <row r="13" s="276" customFormat="1" ht="12.75" spans="1:10">
      <c r="A13" s="280">
        <v>1</v>
      </c>
      <c r="B13" s="281">
        <v>100</v>
      </c>
      <c r="C13" s="281">
        <v>100</v>
      </c>
      <c r="D13" s="281">
        <v>0.01</v>
      </c>
      <c r="E13" s="287"/>
      <c r="H13" s="285">
        <v>10</v>
      </c>
      <c r="I13" s="319">
        <v>60000</v>
      </c>
      <c r="J13" s="319">
        <v>1515.2</v>
      </c>
    </row>
    <row r="14" s="276" customFormat="1" ht="12.75" spans="1:10">
      <c r="A14" s="280">
        <v>2</v>
      </c>
      <c r="B14" s="281">
        <v>500</v>
      </c>
      <c r="C14" s="282">
        <v>500</v>
      </c>
      <c r="D14" s="281">
        <v>0.007</v>
      </c>
      <c r="E14" s="287"/>
      <c r="H14" s="285">
        <v>11</v>
      </c>
      <c r="I14" s="319">
        <v>80000</v>
      </c>
      <c r="J14" s="319">
        <v>1960.1</v>
      </c>
    </row>
    <row r="15" s="276" customFormat="1" ht="12.75" spans="1:10">
      <c r="A15" s="280">
        <v>3</v>
      </c>
      <c r="B15" s="281">
        <v>1000</v>
      </c>
      <c r="C15" s="282">
        <v>1000</v>
      </c>
      <c r="D15" s="281">
        <v>0.0055</v>
      </c>
      <c r="E15" s="287">
        <f t="shared" ref="E13:E18" si="1">C15*D15</f>
        <v>5.5</v>
      </c>
      <c r="H15" s="285">
        <v>12</v>
      </c>
      <c r="I15" s="319">
        <v>100000</v>
      </c>
      <c r="J15" s="319">
        <v>2393.4</v>
      </c>
    </row>
    <row r="16" s="276" customFormat="1" ht="12.75" spans="1:10">
      <c r="A16" s="280">
        <v>4</v>
      </c>
      <c r="B16" s="281">
        <v>5000</v>
      </c>
      <c r="C16" s="291">
        <f>C4</f>
        <v>2238.03783791537</v>
      </c>
      <c r="D16" s="281">
        <v>0.0035</v>
      </c>
      <c r="E16" s="287">
        <f>(C16-C15)*(3000*D16-1000*D15)/2000</f>
        <v>3.09509459478842</v>
      </c>
      <c r="H16" s="285">
        <v>13</v>
      </c>
      <c r="I16" s="319">
        <v>200000</v>
      </c>
      <c r="J16" s="319">
        <v>4450.8</v>
      </c>
    </row>
    <row r="17" s="276" customFormat="1" ht="12.75" spans="1:10">
      <c r="A17" s="280">
        <v>5</v>
      </c>
      <c r="B17" s="281">
        <v>10000</v>
      </c>
      <c r="C17" s="281"/>
      <c r="D17" s="281">
        <v>0.002</v>
      </c>
      <c r="E17" s="287">
        <f t="shared" si="1"/>
        <v>0</v>
      </c>
      <c r="H17" s="285">
        <v>14</v>
      </c>
      <c r="I17" s="319">
        <v>400000</v>
      </c>
      <c r="J17" s="319">
        <v>8276.7</v>
      </c>
    </row>
    <row r="18" s="276" customFormat="1" ht="12.75" spans="1:10">
      <c r="A18" s="280">
        <v>6</v>
      </c>
      <c r="B18" s="281">
        <v>50000</v>
      </c>
      <c r="C18" s="281"/>
      <c r="D18" s="281">
        <v>0.0005</v>
      </c>
      <c r="E18" s="287">
        <f t="shared" si="1"/>
        <v>0</v>
      </c>
      <c r="H18" s="285">
        <v>15</v>
      </c>
      <c r="I18" s="319">
        <v>600000</v>
      </c>
      <c r="J18" s="319">
        <v>11897.5</v>
      </c>
    </row>
    <row r="19" s="276" customFormat="1" ht="12.75" spans="1:10">
      <c r="A19" s="288">
        <v>8</v>
      </c>
      <c r="B19" s="289" t="s">
        <v>1321</v>
      </c>
      <c r="C19" s="289"/>
      <c r="D19" s="289"/>
      <c r="E19" s="290">
        <f>SUM(E13:E18)</f>
        <v>8.59509459478842</v>
      </c>
      <c r="H19" s="285">
        <v>16</v>
      </c>
      <c r="I19" s="319">
        <v>800000</v>
      </c>
      <c r="J19" s="319">
        <v>15391.4</v>
      </c>
    </row>
    <row r="20" s="276" customFormat="1" ht="12.75" spans="8:10">
      <c r="H20" s="285">
        <v>17</v>
      </c>
      <c r="I20" s="319">
        <v>1000000</v>
      </c>
      <c r="J20" s="319">
        <v>18793.8</v>
      </c>
    </row>
    <row r="21" s="276" customFormat="1" ht="12.75" spans="8:10">
      <c r="H21" s="285">
        <v>18</v>
      </c>
      <c r="I21" s="319">
        <v>2000000</v>
      </c>
      <c r="J21" s="319">
        <v>34948.9</v>
      </c>
    </row>
    <row r="22" s="276" customFormat="1" spans="1:5">
      <c r="A22" s="277" t="s">
        <v>1323</v>
      </c>
      <c r="B22" s="278"/>
      <c r="C22" s="278"/>
      <c r="D22" s="278"/>
      <c r="E22" s="279"/>
    </row>
    <row r="23" s="276" customFormat="1" ht="12.75" spans="1:10">
      <c r="A23" s="280" t="s">
        <v>1324</v>
      </c>
      <c r="B23" s="281">
        <v>100</v>
      </c>
      <c r="C23" s="291">
        <f>C61+C90+C136</f>
        <v>115.60268544</v>
      </c>
      <c r="D23" s="281">
        <v>0.015</v>
      </c>
      <c r="E23" s="287">
        <f t="shared" ref="E23:E26" si="2">C23*D23</f>
        <v>1.7340402816</v>
      </c>
      <c r="J23" s="276" t="s">
        <v>1325</v>
      </c>
    </row>
    <row r="24" s="276" customFormat="1" ht="24.75" spans="1:15">
      <c r="A24" s="280"/>
      <c r="B24" s="281">
        <v>500</v>
      </c>
      <c r="C24" s="281"/>
      <c r="D24" s="281">
        <v>0.008</v>
      </c>
      <c r="E24" s="283">
        <f t="shared" si="2"/>
        <v>0</v>
      </c>
      <c r="J24" s="320" t="s">
        <v>291</v>
      </c>
      <c r="K24" s="321" t="s">
        <v>1326</v>
      </c>
      <c r="L24" s="322" t="s">
        <v>1320</v>
      </c>
      <c r="M24" s="322" t="s">
        <v>291</v>
      </c>
      <c r="N24" s="321" t="s">
        <v>1326</v>
      </c>
      <c r="O24" s="322" t="s">
        <v>1320</v>
      </c>
    </row>
    <row r="25" s="276" customFormat="1" ht="12.75" spans="1:15">
      <c r="A25" s="280"/>
      <c r="B25" s="281">
        <v>1000</v>
      </c>
      <c r="C25" s="281"/>
      <c r="D25" s="281">
        <v>0.0045</v>
      </c>
      <c r="E25" s="283">
        <f t="shared" si="2"/>
        <v>0</v>
      </c>
      <c r="J25" s="320"/>
      <c r="K25" s="323" t="s">
        <v>1327</v>
      </c>
      <c r="L25" s="322"/>
      <c r="M25" s="322"/>
      <c r="N25" s="323" t="s">
        <v>1327</v>
      </c>
      <c r="O25" s="322"/>
    </row>
    <row r="26" s="276" customFormat="1" ht="12.75" spans="1:15">
      <c r="A26" s="280"/>
      <c r="B26" s="281">
        <v>5000</v>
      </c>
      <c r="C26" s="281"/>
      <c r="D26" s="281">
        <v>0.0025</v>
      </c>
      <c r="E26" s="283">
        <f t="shared" si="2"/>
        <v>0</v>
      </c>
      <c r="J26" s="324" t="s">
        <v>1328</v>
      </c>
      <c r="K26" s="323">
        <v>500</v>
      </c>
      <c r="L26" s="323" t="s">
        <v>1329</v>
      </c>
      <c r="M26" s="323" t="s">
        <v>1330</v>
      </c>
      <c r="N26" s="323" t="s">
        <v>1331</v>
      </c>
      <c r="O26" s="325">
        <v>1008.25</v>
      </c>
    </row>
    <row r="27" s="276" customFormat="1" ht="12.75" spans="1:15">
      <c r="A27" s="280"/>
      <c r="B27" s="281" t="s">
        <v>1321</v>
      </c>
      <c r="C27" s="281"/>
      <c r="D27" s="281"/>
      <c r="E27" s="287">
        <f>SUM(E23:E26)</f>
        <v>1.7340402816</v>
      </c>
      <c r="J27" s="324">
        <v>2</v>
      </c>
      <c r="K27" s="326">
        <v>1000</v>
      </c>
      <c r="L27" s="323">
        <v>22.2</v>
      </c>
      <c r="M27" s="323">
        <v>11</v>
      </c>
      <c r="N27" s="326">
        <v>100000</v>
      </c>
      <c r="O27" s="325">
        <v>1215.1</v>
      </c>
    </row>
    <row r="28" s="276" customFormat="1" ht="12.75" spans="1:15">
      <c r="A28" s="280" t="s">
        <v>1332</v>
      </c>
      <c r="B28" s="281">
        <v>100</v>
      </c>
      <c r="C28" s="291">
        <f>C165</f>
        <v>53.831664</v>
      </c>
      <c r="D28" s="281">
        <v>0.015</v>
      </c>
      <c r="E28" s="287">
        <f t="shared" ref="E28:E31" si="3">C28*D28</f>
        <v>0.80747496</v>
      </c>
      <c r="J28" s="324">
        <v>3</v>
      </c>
      <c r="K28" s="326">
        <v>3000</v>
      </c>
      <c r="L28" s="323">
        <v>59.5</v>
      </c>
      <c r="M28" s="323">
        <v>12</v>
      </c>
      <c r="N28" s="326">
        <v>200000</v>
      </c>
      <c r="O28" s="325">
        <v>2207.5</v>
      </c>
    </row>
    <row r="29" s="276" customFormat="1" ht="12.75" spans="1:15">
      <c r="A29" s="280"/>
      <c r="B29" s="281">
        <v>500</v>
      </c>
      <c r="C29" s="281"/>
      <c r="D29" s="281">
        <v>0.008</v>
      </c>
      <c r="E29" s="283">
        <f t="shared" si="3"/>
        <v>0</v>
      </c>
      <c r="J29" s="324">
        <v>4</v>
      </c>
      <c r="K29" s="326">
        <v>5000</v>
      </c>
      <c r="L29" s="323">
        <v>92.7</v>
      </c>
      <c r="M29" s="323">
        <v>13</v>
      </c>
      <c r="N29" s="326">
        <v>400000</v>
      </c>
      <c r="O29" s="325">
        <v>4002.6</v>
      </c>
    </row>
    <row r="30" s="276" customFormat="1" ht="12.75" spans="1:15">
      <c r="A30" s="280"/>
      <c r="B30" s="281">
        <v>1000</v>
      </c>
      <c r="C30" s="281"/>
      <c r="D30" s="281">
        <v>0.0045</v>
      </c>
      <c r="E30" s="283">
        <f t="shared" si="3"/>
        <v>0</v>
      </c>
      <c r="J30" s="324">
        <v>5</v>
      </c>
      <c r="K30" s="326">
        <v>8000</v>
      </c>
      <c r="L30" s="323" t="s">
        <v>1333</v>
      </c>
      <c r="M30" s="323">
        <v>14</v>
      </c>
      <c r="N30" s="326">
        <v>600000</v>
      </c>
      <c r="O30" s="325">
        <v>5626.5</v>
      </c>
    </row>
    <row r="31" s="276" customFormat="1" ht="12.75" spans="1:15">
      <c r="A31" s="280"/>
      <c r="B31" s="281">
        <v>5000</v>
      </c>
      <c r="C31" s="281"/>
      <c r="D31" s="281">
        <v>0.0025</v>
      </c>
      <c r="E31" s="283">
        <f t="shared" si="3"/>
        <v>0</v>
      </c>
      <c r="J31" s="324">
        <v>6</v>
      </c>
      <c r="K31" s="326">
        <v>10000</v>
      </c>
      <c r="L31" s="323">
        <v>168.07</v>
      </c>
      <c r="M31" s="323">
        <v>15</v>
      </c>
      <c r="N31" s="326">
        <v>800000</v>
      </c>
      <c r="O31" s="325">
        <v>7145.8</v>
      </c>
    </row>
    <row r="32" s="276" customFormat="1" ht="12.75" spans="1:15">
      <c r="A32" s="288"/>
      <c r="B32" s="289" t="s">
        <v>1321</v>
      </c>
      <c r="C32" s="289"/>
      <c r="D32" s="289"/>
      <c r="E32" s="290">
        <f>SUM(E28:E31)</f>
        <v>0.80747496</v>
      </c>
      <c r="J32" s="324">
        <v>7</v>
      </c>
      <c r="K32" s="323">
        <v>20</v>
      </c>
      <c r="L32" s="323">
        <v>307.32</v>
      </c>
      <c r="M32" s="323">
        <v>16</v>
      </c>
      <c r="N32" s="326">
        <v>1000000</v>
      </c>
      <c r="O32" s="325">
        <v>8591.2</v>
      </c>
    </row>
    <row r="33" s="276" customFormat="1" ht="12.75" spans="10:15">
      <c r="J33" s="324">
        <v>8</v>
      </c>
      <c r="K33" s="326">
        <v>40000</v>
      </c>
      <c r="L33" s="323" t="s">
        <v>1334</v>
      </c>
      <c r="M33" s="323">
        <v>17</v>
      </c>
      <c r="N33" s="326">
        <v>2000000</v>
      </c>
      <c r="O33" s="323" t="s">
        <v>1335</v>
      </c>
    </row>
    <row r="34" s="276" customFormat="1" ht="12.75" spans="10:15">
      <c r="J34" s="324">
        <v>9</v>
      </c>
      <c r="K34" s="323">
        <v>60</v>
      </c>
      <c r="L34" s="323">
        <v>791.5</v>
      </c>
      <c r="M34" s="327"/>
      <c r="N34" s="327"/>
      <c r="O34" s="328"/>
    </row>
    <row r="35" s="276" customFormat="1" spans="1:6">
      <c r="A35" s="292" t="s">
        <v>1336</v>
      </c>
      <c r="B35" s="293"/>
      <c r="C35" s="293"/>
      <c r="D35" s="293"/>
      <c r="E35" s="293"/>
      <c r="F35" s="294"/>
    </row>
    <row r="36" s="276" customFormat="1" spans="1:6">
      <c r="A36" s="295"/>
      <c r="B36" s="296"/>
      <c r="C36" s="296"/>
      <c r="D36" s="296"/>
      <c r="E36" s="296"/>
      <c r="F36" s="297"/>
    </row>
    <row r="37" s="276" customFormat="1" spans="1:13">
      <c r="A37" s="295" t="s">
        <v>291</v>
      </c>
      <c r="B37" s="296" t="s">
        <v>1337</v>
      </c>
      <c r="C37" s="296" t="s">
        <v>1338</v>
      </c>
      <c r="D37" s="296"/>
      <c r="E37" s="296" t="s">
        <v>1339</v>
      </c>
      <c r="F37" s="297"/>
      <c r="L37" s="276" t="s">
        <v>1340</v>
      </c>
      <c r="M37" s="276" t="s">
        <v>1341</v>
      </c>
    </row>
    <row r="38" s="276" customFormat="1" ht="12.75" spans="1:13">
      <c r="A38" s="295" t="s">
        <v>472</v>
      </c>
      <c r="B38" s="296" t="s">
        <v>1342</v>
      </c>
      <c r="C38" s="298">
        <f>C39*(1+C47)*C44</f>
        <v>28.98524544</v>
      </c>
      <c r="D38" s="298"/>
      <c r="E38" s="298"/>
      <c r="F38" s="299"/>
      <c r="J38" s="329" t="s">
        <v>1343</v>
      </c>
      <c r="K38" s="330"/>
      <c r="L38" s="331">
        <v>0.13</v>
      </c>
      <c r="M38" s="331">
        <v>0.13</v>
      </c>
    </row>
    <row r="39" s="276" customFormat="1" ht="12.75" spans="1:13">
      <c r="A39" s="295">
        <v>1</v>
      </c>
      <c r="B39" s="296" t="s">
        <v>1344</v>
      </c>
      <c r="C39" s="298">
        <f>C40*C44*C45*C46</f>
        <v>36.2315568</v>
      </c>
      <c r="D39" s="298"/>
      <c r="E39" s="298"/>
      <c r="F39" s="299"/>
      <c r="J39" s="329" t="s">
        <v>1345</v>
      </c>
      <c r="K39" s="330"/>
      <c r="L39" s="331">
        <v>0.07</v>
      </c>
      <c r="M39" s="331">
        <v>0.07</v>
      </c>
    </row>
    <row r="40" s="276" customFormat="1" ht="12.75" spans="1:13">
      <c r="A40" s="295">
        <v>1.1</v>
      </c>
      <c r="B40" s="296" t="s">
        <v>1346</v>
      </c>
      <c r="C40" s="298">
        <f>C43+(D43-C43)/2000*(C41-C42)</f>
        <v>45.289446</v>
      </c>
      <c r="D40" s="298"/>
      <c r="E40" s="298"/>
      <c r="F40" s="299"/>
      <c r="J40" s="329" t="s">
        <v>1347</v>
      </c>
      <c r="K40" s="330"/>
      <c r="L40" s="332">
        <v>0.09</v>
      </c>
      <c r="M40" s="332">
        <v>0.09</v>
      </c>
    </row>
    <row r="41" s="276" customFormat="1" ht="12.75" spans="1:13">
      <c r="A41" s="295"/>
      <c r="B41" s="296" t="s">
        <v>1348</v>
      </c>
      <c r="C41" s="300">
        <f>总概算核!C20+总概算核!D20</f>
        <v>2238.04</v>
      </c>
      <c r="D41" s="300"/>
      <c r="E41" s="301"/>
      <c r="F41" s="302"/>
      <c r="J41" s="329" t="s">
        <v>1349</v>
      </c>
      <c r="K41" s="271" t="s">
        <v>1350</v>
      </c>
      <c r="L41" s="332">
        <v>0.15</v>
      </c>
      <c r="M41" s="332">
        <v>0.05</v>
      </c>
    </row>
    <row r="42" s="276" customFormat="1" spans="1:6">
      <c r="A42" s="295"/>
      <c r="B42" s="303" t="s">
        <v>1351</v>
      </c>
      <c r="C42" s="303">
        <v>1000</v>
      </c>
      <c r="D42" s="303">
        <v>3000</v>
      </c>
      <c r="E42" s="303"/>
      <c r="F42" s="304"/>
    </row>
    <row r="43" s="276" customFormat="1" spans="1:6">
      <c r="A43" s="295"/>
      <c r="B43" s="303" t="s">
        <v>1352</v>
      </c>
      <c r="C43" s="296">
        <v>22.2</v>
      </c>
      <c r="D43" s="296">
        <v>59.5</v>
      </c>
      <c r="E43" s="296"/>
      <c r="F43" s="297"/>
    </row>
    <row r="44" s="276" customFormat="1" spans="1:6">
      <c r="A44" s="295">
        <v>1.2</v>
      </c>
      <c r="B44" s="296" t="s">
        <v>1353</v>
      </c>
      <c r="C44" s="298">
        <v>0.8</v>
      </c>
      <c r="D44" s="298"/>
      <c r="E44" s="298"/>
      <c r="F44" s="299"/>
    </row>
    <row r="45" s="276" customFormat="1" spans="1:6">
      <c r="A45" s="295">
        <v>1.3</v>
      </c>
      <c r="B45" s="296" t="s">
        <v>1354</v>
      </c>
      <c r="C45" s="298">
        <v>1</v>
      </c>
      <c r="D45" s="298"/>
      <c r="E45" s="298"/>
      <c r="F45" s="299"/>
    </row>
    <row r="46" s="276" customFormat="1" spans="1:6">
      <c r="A46" s="295">
        <v>1.4</v>
      </c>
      <c r="B46" s="296" t="s">
        <v>1355</v>
      </c>
      <c r="C46" s="298">
        <v>1</v>
      </c>
      <c r="D46" s="298"/>
      <c r="E46" s="298"/>
      <c r="F46" s="299"/>
    </row>
    <row r="47" s="276" customFormat="1" spans="1:6">
      <c r="A47" s="295">
        <v>2</v>
      </c>
      <c r="B47" s="296" t="s">
        <v>1356</v>
      </c>
      <c r="C47" s="305">
        <v>0</v>
      </c>
      <c r="D47" s="305"/>
      <c r="E47" s="305"/>
      <c r="F47" s="306"/>
    </row>
    <row r="48" s="276" customFormat="1" spans="1:6">
      <c r="A48" s="295"/>
      <c r="B48" s="296"/>
      <c r="C48" s="305"/>
      <c r="D48" s="305"/>
      <c r="E48" s="305"/>
      <c r="F48" s="306"/>
    </row>
    <row r="49" s="276" customFormat="1" spans="1:6">
      <c r="A49" s="295" t="s">
        <v>474</v>
      </c>
      <c r="B49" s="296" t="s">
        <v>1357</v>
      </c>
      <c r="C49" s="298"/>
      <c r="D49" s="298"/>
      <c r="E49" s="298"/>
      <c r="F49" s="299"/>
    </row>
    <row r="50" s="276" customFormat="1" spans="1:6">
      <c r="A50" s="295">
        <v>1</v>
      </c>
      <c r="B50" s="296" t="s">
        <v>1344</v>
      </c>
      <c r="C50" s="298"/>
      <c r="D50" s="298"/>
      <c r="E50" s="298"/>
      <c r="F50" s="299"/>
    </row>
    <row r="51" s="276" customFormat="1" spans="1:6">
      <c r="A51" s="295">
        <v>1.1</v>
      </c>
      <c r="B51" s="296" t="s">
        <v>1346</v>
      </c>
      <c r="C51" s="298"/>
      <c r="D51" s="298"/>
      <c r="E51" s="298"/>
      <c r="F51" s="299"/>
    </row>
    <row r="52" s="276" customFormat="1" spans="1:6">
      <c r="A52" s="295"/>
      <c r="B52" s="296" t="s">
        <v>1348</v>
      </c>
      <c r="C52" s="301"/>
      <c r="D52" s="301"/>
      <c r="E52" s="301"/>
      <c r="F52" s="302"/>
    </row>
    <row r="53" s="276" customFormat="1" spans="1:6">
      <c r="A53" s="295"/>
      <c r="B53" s="303" t="s">
        <v>1351</v>
      </c>
      <c r="C53" s="303"/>
      <c r="D53" s="303"/>
      <c r="E53" s="303"/>
      <c r="F53" s="304"/>
    </row>
    <row r="54" s="276" customFormat="1" spans="1:6">
      <c r="A54" s="295"/>
      <c r="B54" s="303" t="s">
        <v>1352</v>
      </c>
      <c r="C54" s="296"/>
      <c r="D54" s="296"/>
      <c r="E54" s="296"/>
      <c r="F54" s="297"/>
    </row>
    <row r="55" s="276" customFormat="1" spans="1:6">
      <c r="A55" s="295">
        <v>1.2</v>
      </c>
      <c r="B55" s="296" t="s">
        <v>1353</v>
      </c>
      <c r="C55" s="298"/>
      <c r="D55" s="298"/>
      <c r="E55" s="298"/>
      <c r="F55" s="299"/>
    </row>
    <row r="56" s="276" customFormat="1" spans="1:6">
      <c r="A56" s="295">
        <v>1.3</v>
      </c>
      <c r="B56" s="296" t="s">
        <v>1354</v>
      </c>
      <c r="C56" s="298"/>
      <c r="D56" s="298"/>
      <c r="E56" s="298"/>
      <c r="F56" s="299"/>
    </row>
    <row r="57" s="276" customFormat="1" spans="1:6">
      <c r="A57" s="295">
        <v>1.4</v>
      </c>
      <c r="B57" s="296" t="s">
        <v>1355</v>
      </c>
      <c r="C57" s="298"/>
      <c r="D57" s="298"/>
      <c r="E57" s="298"/>
      <c r="F57" s="299"/>
    </row>
    <row r="58" s="276" customFormat="1" spans="1:6">
      <c r="A58" s="295">
        <v>2</v>
      </c>
      <c r="B58" s="296" t="s">
        <v>1358</v>
      </c>
      <c r="C58" s="305"/>
      <c r="D58" s="305"/>
      <c r="E58" s="305"/>
      <c r="F58" s="306"/>
    </row>
    <row r="59" s="276" customFormat="1" spans="1:6">
      <c r="A59" s="295"/>
      <c r="B59" s="296"/>
      <c r="C59" s="296"/>
      <c r="D59" s="296"/>
      <c r="E59" s="296"/>
      <c r="F59" s="297"/>
    </row>
    <row r="60" s="276" customFormat="1" spans="1:9">
      <c r="A60" s="295"/>
      <c r="B60" s="307" t="s">
        <v>1359</v>
      </c>
      <c r="C60" s="308">
        <f>C38+C49</f>
        <v>28.98524544</v>
      </c>
      <c r="D60" s="308"/>
      <c r="E60" s="308">
        <f>E38+E49</f>
        <v>0</v>
      </c>
      <c r="F60" s="309"/>
      <c r="H60" s="276" t="s">
        <v>1360</v>
      </c>
      <c r="I60" s="276" t="s">
        <v>1361</v>
      </c>
    </row>
    <row r="61" s="276" customFormat="1" spans="1:9">
      <c r="A61" s="295"/>
      <c r="B61" s="307" t="s">
        <v>1362</v>
      </c>
      <c r="C61" s="298">
        <f>C60+E60</f>
        <v>28.98524544</v>
      </c>
      <c r="D61" s="298"/>
      <c r="E61" s="298"/>
      <c r="F61" s="299"/>
      <c r="H61" s="282">
        <f>C61*45/100</f>
        <v>13.043360448</v>
      </c>
      <c r="I61" s="282">
        <f>C61*55/100</f>
        <v>15.941884992</v>
      </c>
    </row>
    <row r="62" s="276" customFormat="1" ht="12.75" spans="1:6">
      <c r="A62" s="310" t="s">
        <v>1363</v>
      </c>
      <c r="B62" s="311"/>
      <c r="C62" s="311"/>
      <c r="D62" s="311"/>
      <c r="E62" s="311"/>
      <c r="F62" s="312"/>
    </row>
    <row r="63" s="276" customFormat="1" ht="12.75" spans="1:6">
      <c r="A63" s="313"/>
      <c r="B63" s="314"/>
      <c r="C63" s="314"/>
      <c r="D63" s="314"/>
      <c r="E63" s="314"/>
      <c r="F63" s="314"/>
    </row>
    <row r="64" s="276" customFormat="1" spans="1:6">
      <c r="A64" s="315" t="s">
        <v>1364</v>
      </c>
      <c r="B64" s="316"/>
      <c r="C64" s="316"/>
      <c r="D64" s="316"/>
      <c r="E64" s="316"/>
      <c r="F64" s="317"/>
    </row>
    <row r="65" s="276" customFormat="1" spans="1:6">
      <c r="A65" s="295"/>
      <c r="B65" s="296"/>
      <c r="C65" s="296"/>
      <c r="D65" s="296"/>
      <c r="E65" s="296"/>
      <c r="F65" s="297"/>
    </row>
    <row r="66" s="276" customFormat="1" spans="1:6">
      <c r="A66" s="295" t="s">
        <v>291</v>
      </c>
      <c r="B66" s="296" t="s">
        <v>1337</v>
      </c>
      <c r="C66" s="296" t="s">
        <v>1338</v>
      </c>
      <c r="D66" s="296"/>
      <c r="E66" s="296" t="s">
        <v>1339</v>
      </c>
      <c r="F66" s="297"/>
    </row>
    <row r="67" s="276" customFormat="1" spans="1:6">
      <c r="A67" s="295" t="s">
        <v>472</v>
      </c>
      <c r="B67" s="296" t="s">
        <v>1365</v>
      </c>
      <c r="C67" s="298">
        <f>C68*(1+C76)</f>
        <v>75.874848</v>
      </c>
      <c r="D67" s="298"/>
      <c r="E67" s="298"/>
      <c r="F67" s="299"/>
    </row>
    <row r="68" s="276" customFormat="1" spans="1:6">
      <c r="A68" s="295">
        <v>1</v>
      </c>
      <c r="B68" s="296" t="s">
        <v>1366</v>
      </c>
      <c r="C68" s="298">
        <f>C69*C73*C74*C75</f>
        <v>63.22904</v>
      </c>
      <c r="D68" s="298"/>
      <c r="E68" s="298"/>
      <c r="F68" s="299"/>
    </row>
    <row r="69" s="276" customFormat="1" spans="1:6">
      <c r="A69" s="295">
        <v>1.1</v>
      </c>
      <c r="B69" s="296" t="s">
        <v>1367</v>
      </c>
      <c r="C69" s="298">
        <f>C72+(D72-C72)/(D71-C71)*(C70-C71)</f>
        <v>79.0363</v>
      </c>
      <c r="D69" s="298"/>
      <c r="E69" s="298"/>
      <c r="F69" s="299"/>
    </row>
    <row r="70" s="276" customFormat="1" spans="1:7">
      <c r="A70" s="295"/>
      <c r="B70" s="296" t="s">
        <v>1348</v>
      </c>
      <c r="C70" s="333">
        <f>C41</f>
        <v>2238.04</v>
      </c>
      <c r="D70" s="333"/>
      <c r="E70" s="301"/>
      <c r="F70" s="302"/>
      <c r="G70" s="276">
        <f>C67/C70</f>
        <v>0.0339023645689979</v>
      </c>
    </row>
    <row r="71" s="276" customFormat="1" spans="1:6">
      <c r="A71" s="295"/>
      <c r="B71" s="303" t="s">
        <v>1351</v>
      </c>
      <c r="C71" s="303">
        <v>1000</v>
      </c>
      <c r="D71" s="303">
        <v>3000</v>
      </c>
      <c r="E71" s="303"/>
      <c r="F71" s="304"/>
    </row>
    <row r="72" s="276" customFormat="1" spans="1:6">
      <c r="A72" s="295"/>
      <c r="B72" s="303" t="s">
        <v>1352</v>
      </c>
      <c r="C72" s="296">
        <v>38.8</v>
      </c>
      <c r="D72" s="296">
        <v>103.8</v>
      </c>
      <c r="E72" s="296"/>
      <c r="F72" s="297"/>
    </row>
    <row r="73" s="276" customFormat="1" spans="1:6">
      <c r="A73" s="295">
        <v>1.2</v>
      </c>
      <c r="B73" s="296" t="s">
        <v>1353</v>
      </c>
      <c r="C73" s="298">
        <v>0.8</v>
      </c>
      <c r="D73" s="298"/>
      <c r="E73" s="298"/>
      <c r="F73" s="299"/>
    </row>
    <row r="74" s="276" customFormat="1" spans="1:6">
      <c r="A74" s="295">
        <v>1.3</v>
      </c>
      <c r="B74" s="296" t="s">
        <v>1354</v>
      </c>
      <c r="C74" s="298">
        <v>1</v>
      </c>
      <c r="D74" s="298"/>
      <c r="E74" s="298"/>
      <c r="F74" s="299"/>
    </row>
    <row r="75" s="276" customFormat="1" spans="1:6">
      <c r="A75" s="295">
        <v>1.4</v>
      </c>
      <c r="B75" s="296" t="s">
        <v>1355</v>
      </c>
      <c r="C75" s="298">
        <v>1</v>
      </c>
      <c r="D75" s="298"/>
      <c r="E75" s="298"/>
      <c r="F75" s="299"/>
    </row>
    <row r="76" s="276" customFormat="1" spans="1:6">
      <c r="A76" s="295">
        <v>2</v>
      </c>
      <c r="B76" s="296" t="s">
        <v>1356</v>
      </c>
      <c r="C76" s="305">
        <v>0.2</v>
      </c>
      <c r="D76" s="305"/>
      <c r="E76" s="305"/>
      <c r="F76" s="306"/>
    </row>
    <row r="77" s="276" customFormat="1" spans="1:6">
      <c r="A77" s="295"/>
      <c r="B77" s="296"/>
      <c r="C77" s="296"/>
      <c r="D77" s="296"/>
      <c r="E77" s="296"/>
      <c r="F77" s="297"/>
    </row>
    <row r="78" s="276" customFormat="1" spans="1:6">
      <c r="A78" s="295" t="s">
        <v>474</v>
      </c>
      <c r="B78" s="296" t="s">
        <v>1368</v>
      </c>
      <c r="C78" s="298"/>
      <c r="D78" s="298"/>
      <c r="E78" s="298"/>
      <c r="F78" s="299"/>
    </row>
    <row r="79" s="276" customFormat="1" spans="1:6">
      <c r="A79" s="295">
        <v>1</v>
      </c>
      <c r="B79" s="296" t="s">
        <v>1366</v>
      </c>
      <c r="C79" s="298"/>
      <c r="D79" s="298"/>
      <c r="E79" s="298"/>
      <c r="F79" s="299"/>
    </row>
    <row r="80" s="276" customFormat="1" spans="1:6">
      <c r="A80" s="295">
        <v>1.1</v>
      </c>
      <c r="B80" s="296" t="s">
        <v>1367</v>
      </c>
      <c r="C80" s="298"/>
      <c r="D80" s="298"/>
      <c r="E80" s="298"/>
      <c r="F80" s="299"/>
    </row>
    <row r="81" s="276" customFormat="1" spans="1:6">
      <c r="A81" s="295"/>
      <c r="B81" s="296" t="s">
        <v>1348</v>
      </c>
      <c r="C81" s="301"/>
      <c r="D81" s="301"/>
      <c r="E81" s="301"/>
      <c r="F81" s="302"/>
    </row>
    <row r="82" s="276" customFormat="1" spans="1:6">
      <c r="A82" s="295"/>
      <c r="B82" s="303" t="s">
        <v>1351</v>
      </c>
      <c r="C82" s="303"/>
      <c r="D82" s="303"/>
      <c r="E82" s="303"/>
      <c r="F82" s="304"/>
    </row>
    <row r="83" s="276" customFormat="1" spans="1:6">
      <c r="A83" s="295"/>
      <c r="B83" s="303" t="s">
        <v>1352</v>
      </c>
      <c r="C83" s="296"/>
      <c r="D83" s="296"/>
      <c r="E83" s="296"/>
      <c r="F83" s="297"/>
    </row>
    <row r="84" s="276" customFormat="1" spans="1:6">
      <c r="A84" s="295">
        <v>1.2</v>
      </c>
      <c r="B84" s="296" t="s">
        <v>1353</v>
      </c>
      <c r="C84" s="298"/>
      <c r="D84" s="298"/>
      <c r="E84" s="298"/>
      <c r="F84" s="299"/>
    </row>
    <row r="85" s="276" customFormat="1" spans="1:6">
      <c r="A85" s="295">
        <v>1.3</v>
      </c>
      <c r="B85" s="296" t="s">
        <v>1354</v>
      </c>
      <c r="C85" s="298"/>
      <c r="D85" s="298"/>
      <c r="E85" s="298"/>
      <c r="F85" s="299"/>
    </row>
    <row r="86" s="276" customFormat="1" spans="1:6">
      <c r="A86" s="295"/>
      <c r="B86" s="296"/>
      <c r="C86" s="298"/>
      <c r="D86" s="298"/>
      <c r="E86" s="298"/>
      <c r="F86" s="299"/>
    </row>
    <row r="87" s="276" customFormat="1" spans="1:6">
      <c r="A87" s="295"/>
      <c r="B87" s="296"/>
      <c r="C87" s="305"/>
      <c r="D87" s="305"/>
      <c r="E87" s="305"/>
      <c r="F87" s="306"/>
    </row>
    <row r="88" s="276" customFormat="1" spans="1:6">
      <c r="A88" s="295"/>
      <c r="B88" s="296"/>
      <c r="C88" s="296"/>
      <c r="D88" s="296"/>
      <c r="E88" s="296"/>
      <c r="F88" s="297"/>
    </row>
    <row r="89" s="276" customFormat="1" spans="1:6">
      <c r="A89" s="295"/>
      <c r="B89" s="307" t="s">
        <v>1369</v>
      </c>
      <c r="C89" s="308">
        <f>C67+C78</f>
        <v>75.874848</v>
      </c>
      <c r="D89" s="308"/>
      <c r="E89" s="308">
        <f>E67+E78</f>
        <v>0</v>
      </c>
      <c r="F89" s="309"/>
    </row>
    <row r="90" s="276" customFormat="1" spans="1:6">
      <c r="A90" s="295"/>
      <c r="B90" s="307" t="s">
        <v>1370</v>
      </c>
      <c r="C90" s="298">
        <f>C89+E89</f>
        <v>75.874848</v>
      </c>
      <c r="D90" s="298"/>
      <c r="E90" s="298"/>
      <c r="F90" s="299"/>
    </row>
    <row r="91" s="276" customFormat="1" ht="53" customHeight="1" spans="1:12">
      <c r="A91" s="310" t="s">
        <v>1371</v>
      </c>
      <c r="B91" s="311"/>
      <c r="C91" s="311"/>
      <c r="D91" s="311"/>
      <c r="E91" s="311"/>
      <c r="F91" s="312"/>
      <c r="I91" s="337" t="s">
        <v>1371</v>
      </c>
      <c r="J91" s="338"/>
      <c r="K91" s="338"/>
      <c r="L91" s="338"/>
    </row>
    <row r="92" s="276" customFormat="1" ht="14.25" spans="9:12">
      <c r="I92" s="339"/>
      <c r="J92" s="339"/>
      <c r="K92" s="339"/>
      <c r="L92" s="339"/>
    </row>
    <row r="93" s="276" customFormat="1" ht="14.25" spans="3:14">
      <c r="C93" s="276" t="s">
        <v>1372</v>
      </c>
      <c r="D93" s="282">
        <f>C61+C90</f>
        <v>104.86009344</v>
      </c>
      <c r="I93" s="339"/>
      <c r="J93" s="340" t="s">
        <v>291</v>
      </c>
      <c r="K93" s="340" t="s">
        <v>1319</v>
      </c>
      <c r="L93" s="340" t="s">
        <v>1320</v>
      </c>
      <c r="M93" s="341" t="s">
        <v>1373</v>
      </c>
      <c r="N93" s="342"/>
    </row>
    <row r="94" s="276" customFormat="1" ht="14.25" spans="9:14">
      <c r="I94" s="339"/>
      <c r="J94" s="340">
        <v>1</v>
      </c>
      <c r="K94" s="340">
        <v>200</v>
      </c>
      <c r="L94" s="340">
        <v>9</v>
      </c>
      <c r="M94" s="339"/>
      <c r="N94" s="339"/>
    </row>
    <row r="95" s="276" customFormat="1" ht="14.25" spans="1:14">
      <c r="A95" s="334"/>
      <c r="B95" s="334"/>
      <c r="C95" s="334"/>
      <c r="D95" s="334"/>
      <c r="E95" s="334"/>
      <c r="F95" s="334"/>
      <c r="I95" s="339"/>
      <c r="J95" s="340">
        <v>2</v>
      </c>
      <c r="K95" s="340">
        <v>500</v>
      </c>
      <c r="L95" s="340">
        <v>20.9</v>
      </c>
      <c r="M95" s="339"/>
      <c r="N95" s="339">
        <v>12</v>
      </c>
    </row>
    <row r="96" s="276" customFormat="1" ht="14.25" spans="1:14">
      <c r="A96" s="335"/>
      <c r="B96" s="335"/>
      <c r="C96" s="335"/>
      <c r="D96" s="335"/>
      <c r="E96" s="334"/>
      <c r="F96" s="334"/>
      <c r="I96" s="339"/>
      <c r="J96" s="340">
        <v>3</v>
      </c>
      <c r="K96" s="340">
        <v>1000</v>
      </c>
      <c r="L96" s="340">
        <v>38.8</v>
      </c>
      <c r="M96" s="339"/>
      <c r="N96" s="339">
        <v>22.2</v>
      </c>
    </row>
    <row r="97" s="276" customFormat="1" ht="14.25" spans="1:14">
      <c r="A97" s="336"/>
      <c r="B97" s="336"/>
      <c r="C97" s="336"/>
      <c r="D97" s="336"/>
      <c r="E97" s="334"/>
      <c r="F97" s="334"/>
      <c r="G97" s="276">
        <f>L97-L96</f>
        <v>65</v>
      </c>
      <c r="I97" s="339"/>
      <c r="J97" s="340">
        <v>4</v>
      </c>
      <c r="K97" s="340">
        <v>3000</v>
      </c>
      <c r="L97" s="340">
        <v>103.8</v>
      </c>
      <c r="M97" s="339"/>
      <c r="N97" s="339">
        <v>59.5</v>
      </c>
    </row>
    <row r="98" s="276" customFormat="1" ht="14.25" spans="1:14">
      <c r="A98" s="336"/>
      <c r="B98" s="336"/>
      <c r="C98" s="336"/>
      <c r="D98" s="336"/>
      <c r="E98" s="334"/>
      <c r="F98" s="334"/>
      <c r="G98" s="276">
        <f>K97-K96</f>
        <v>2000</v>
      </c>
      <c r="I98" s="339"/>
      <c r="J98" s="340">
        <v>5</v>
      </c>
      <c r="K98" s="340">
        <v>5000</v>
      </c>
      <c r="L98" s="340">
        <v>163.9</v>
      </c>
      <c r="M98" s="339"/>
      <c r="N98" s="339">
        <v>92.7</v>
      </c>
    </row>
    <row r="99" s="276" customFormat="1" ht="14.25" spans="1:14">
      <c r="A99" s="336"/>
      <c r="B99" s="336"/>
      <c r="C99" s="336"/>
      <c r="D99" s="336"/>
      <c r="E99" s="334"/>
      <c r="F99" s="334"/>
      <c r="G99" s="276">
        <f>G97/G98</f>
        <v>0.0325</v>
      </c>
      <c r="I99" s="339"/>
      <c r="J99" s="340">
        <v>6</v>
      </c>
      <c r="K99" s="340">
        <v>8000</v>
      </c>
      <c r="L99" s="340">
        <v>249.6</v>
      </c>
      <c r="M99" s="339"/>
      <c r="N99" s="339">
        <v>139.1</v>
      </c>
    </row>
    <row r="100" s="276" customFormat="1" ht="14.25" spans="1:14">
      <c r="A100" s="336"/>
      <c r="B100" s="336"/>
      <c r="C100" s="336"/>
      <c r="D100" s="336"/>
      <c r="E100" s="334"/>
      <c r="F100" s="334"/>
      <c r="G100" s="276">
        <f>C70-K96</f>
        <v>1238.04</v>
      </c>
      <c r="I100" s="339"/>
      <c r="J100" s="340">
        <v>7</v>
      </c>
      <c r="K100" s="340">
        <v>10000</v>
      </c>
      <c r="L100" s="340">
        <v>304.8</v>
      </c>
      <c r="M100" s="339"/>
      <c r="N100" s="339">
        <v>168.07</v>
      </c>
    </row>
    <row r="101" s="276" customFormat="1" ht="14.25" spans="1:14">
      <c r="A101" s="336"/>
      <c r="B101" s="336"/>
      <c r="C101" s="336"/>
      <c r="D101" s="336"/>
      <c r="E101" s="334"/>
      <c r="F101" s="334"/>
      <c r="G101" s="276">
        <f>G99*G100</f>
        <v>40.2363</v>
      </c>
      <c r="I101" s="339"/>
      <c r="J101" s="340">
        <v>8</v>
      </c>
      <c r="K101" s="340">
        <v>20000</v>
      </c>
      <c r="L101" s="340">
        <v>566.8</v>
      </c>
      <c r="M101" s="339"/>
      <c r="N101" s="339">
        <v>307.32</v>
      </c>
    </row>
    <row r="102" s="276" customFormat="1" ht="14.25" spans="1:14">
      <c r="A102" s="336"/>
      <c r="B102" s="336"/>
      <c r="C102" s="336"/>
      <c r="D102" s="336"/>
      <c r="E102" s="334"/>
      <c r="F102" s="334"/>
      <c r="G102" s="276">
        <f>L94+L95+L96+G101</f>
        <v>108.9363</v>
      </c>
      <c r="I102" s="339"/>
      <c r="J102" s="340">
        <v>9</v>
      </c>
      <c r="K102" s="340">
        <v>40000</v>
      </c>
      <c r="L102" s="340">
        <v>1054</v>
      </c>
      <c r="M102" s="339"/>
      <c r="N102" s="339">
        <v>560.8</v>
      </c>
    </row>
    <row r="103" s="276" customFormat="1" ht="14.25" spans="1:14">
      <c r="A103" s="336"/>
      <c r="B103" s="336"/>
      <c r="C103" s="336"/>
      <c r="D103" s="336"/>
      <c r="E103" s="334"/>
      <c r="F103" s="334"/>
      <c r="G103" s="276">
        <f>L96+G101</f>
        <v>79.0363</v>
      </c>
      <c r="I103" s="339"/>
      <c r="J103" s="340">
        <v>10</v>
      </c>
      <c r="K103" s="340">
        <v>60000</v>
      </c>
      <c r="L103" s="340">
        <v>1515.2</v>
      </c>
      <c r="M103" s="339"/>
      <c r="N103" s="339">
        <v>791.5</v>
      </c>
    </row>
    <row r="104" s="276" customFormat="1" ht="14.25" spans="1:14">
      <c r="A104" s="336"/>
      <c r="B104" s="336"/>
      <c r="C104" s="336"/>
      <c r="D104" s="336"/>
      <c r="E104" s="334"/>
      <c r="F104" s="334"/>
      <c r="G104" s="276">
        <f>G103/C70</f>
        <v>0.0353149630927061</v>
      </c>
      <c r="I104" s="339"/>
      <c r="J104" s="340">
        <v>11</v>
      </c>
      <c r="K104" s="340">
        <v>80000</v>
      </c>
      <c r="L104" s="340">
        <v>1960.1</v>
      </c>
      <c r="M104" s="339"/>
      <c r="N104" s="339">
        <v>1008.25</v>
      </c>
    </row>
    <row r="105" s="276" customFormat="1" ht="14.25" spans="1:14">
      <c r="A105" s="336"/>
      <c r="B105" s="336"/>
      <c r="C105" s="336"/>
      <c r="D105" s="336"/>
      <c r="E105" s="334"/>
      <c r="F105" s="334"/>
      <c r="I105" s="339"/>
      <c r="J105" s="340">
        <v>12</v>
      </c>
      <c r="K105" s="340">
        <v>100000</v>
      </c>
      <c r="L105" s="340">
        <v>2393.4</v>
      </c>
      <c r="M105" s="339"/>
      <c r="N105" s="339">
        <v>1215.1</v>
      </c>
    </row>
    <row r="106" s="276" customFormat="1" ht="14.25" spans="1:14">
      <c r="A106" s="336"/>
      <c r="B106" s="336"/>
      <c r="C106" s="336"/>
      <c r="D106" s="336"/>
      <c r="E106" s="334"/>
      <c r="F106" s="334"/>
      <c r="I106" s="339"/>
      <c r="J106" s="340">
        <v>13</v>
      </c>
      <c r="K106" s="340">
        <v>200000</v>
      </c>
      <c r="L106" s="340">
        <v>4450.8</v>
      </c>
      <c r="M106" s="339"/>
      <c r="N106" s="339">
        <v>2207.5</v>
      </c>
    </row>
    <row r="107" s="276" customFormat="1" ht="14.25" spans="1:14">
      <c r="A107" s="336"/>
      <c r="B107" s="336"/>
      <c r="C107" s="336"/>
      <c r="D107" s="336"/>
      <c r="E107" s="334"/>
      <c r="F107" s="334"/>
      <c r="I107" s="339"/>
      <c r="J107" s="340">
        <v>14</v>
      </c>
      <c r="K107" s="340">
        <v>400000</v>
      </c>
      <c r="L107" s="340">
        <v>8276.7</v>
      </c>
      <c r="M107" s="339"/>
      <c r="N107" s="339">
        <v>4002.6</v>
      </c>
    </row>
    <row r="108" s="276" customFormat="1" ht="14.25" spans="1:14">
      <c r="A108" s="336"/>
      <c r="B108" s="336"/>
      <c r="C108" s="336"/>
      <c r="D108" s="336"/>
      <c r="E108" s="334"/>
      <c r="F108" s="334"/>
      <c r="I108" s="339"/>
      <c r="J108" s="340">
        <v>15</v>
      </c>
      <c r="K108" s="340">
        <v>600000</v>
      </c>
      <c r="L108" s="340">
        <v>11897.5</v>
      </c>
      <c r="M108" s="339"/>
      <c r="N108" s="339">
        <v>5626.5</v>
      </c>
    </row>
    <row r="109" s="276" customFormat="1" ht="15" spans="1:14">
      <c r="A109" s="336"/>
      <c r="B109" s="336"/>
      <c r="C109" s="336"/>
      <c r="D109" s="336"/>
      <c r="E109" s="334"/>
      <c r="F109" s="334"/>
      <c r="I109" s="339"/>
      <c r="J109" s="340">
        <v>16</v>
      </c>
      <c r="K109" s="340">
        <v>800000</v>
      </c>
      <c r="L109" s="340">
        <v>15391.4</v>
      </c>
      <c r="M109" s="339"/>
      <c r="N109" s="339">
        <v>7145.8</v>
      </c>
    </row>
    <row r="110" s="276" customFormat="1" ht="14.25" spans="1:14">
      <c r="A110" s="315" t="s">
        <v>1374</v>
      </c>
      <c r="B110" s="316"/>
      <c r="C110" s="316"/>
      <c r="D110" s="316"/>
      <c r="E110" s="316"/>
      <c r="F110" s="317"/>
      <c r="I110" s="339"/>
      <c r="J110" s="340">
        <v>17</v>
      </c>
      <c r="K110" s="340">
        <v>1000000</v>
      </c>
      <c r="L110" s="340">
        <v>18793.8</v>
      </c>
      <c r="M110" s="339"/>
      <c r="N110" s="339">
        <v>8591.2</v>
      </c>
    </row>
    <row r="111" s="276" customFormat="1" ht="14.25" spans="1:14">
      <c r="A111" s="295"/>
      <c r="B111" s="296"/>
      <c r="C111" s="296"/>
      <c r="D111" s="296"/>
      <c r="E111" s="296"/>
      <c r="F111" s="297"/>
      <c r="I111" s="339"/>
      <c r="J111" s="340">
        <v>18</v>
      </c>
      <c r="K111" s="340">
        <v>2000000</v>
      </c>
      <c r="L111" s="340">
        <v>34948.9</v>
      </c>
      <c r="M111" s="339"/>
      <c r="N111" s="339">
        <v>15506.2</v>
      </c>
    </row>
    <row r="112" s="276" customFormat="1" spans="1:6">
      <c r="A112" s="295" t="s">
        <v>291</v>
      </c>
      <c r="B112" s="296" t="s">
        <v>1337</v>
      </c>
      <c r="C112" s="296" t="s">
        <v>1338</v>
      </c>
      <c r="D112" s="296"/>
      <c r="E112" s="296" t="s">
        <v>1339</v>
      </c>
      <c r="F112" s="297"/>
    </row>
    <row r="113" s="276" customFormat="1" spans="1:6">
      <c r="A113" s="295" t="s">
        <v>472</v>
      </c>
      <c r="B113" s="296" t="s">
        <v>1365</v>
      </c>
      <c r="C113" s="298">
        <f>C114*(1+C122)</f>
        <v>10.742592</v>
      </c>
      <c r="D113" s="298"/>
      <c r="E113" s="298"/>
      <c r="F113" s="299"/>
    </row>
    <row r="114" s="276" customFormat="1" spans="1:6">
      <c r="A114" s="295">
        <v>1</v>
      </c>
      <c r="B114" s="296" t="s">
        <v>1366</v>
      </c>
      <c r="C114" s="298">
        <f>C115*C119*C120*C121</f>
        <v>8.95216</v>
      </c>
      <c r="D114" s="298"/>
      <c r="E114" s="298"/>
      <c r="F114" s="299"/>
    </row>
    <row r="115" s="276" customFormat="1" spans="1:6">
      <c r="A115" s="295">
        <v>1.1</v>
      </c>
      <c r="B115" s="296" t="s">
        <v>1367</v>
      </c>
      <c r="C115" s="298">
        <f>C118+(D118-C118)/(D117-C117)*(C116-C117)</f>
        <v>8.95216</v>
      </c>
      <c r="D115" s="298"/>
      <c r="E115" s="298"/>
      <c r="F115" s="299"/>
    </row>
    <row r="116" s="276" customFormat="1" spans="1:6">
      <c r="A116" s="295"/>
      <c r="B116" s="296" t="s">
        <v>1348</v>
      </c>
      <c r="C116" s="333">
        <f>C70</f>
        <v>2238.04</v>
      </c>
      <c r="D116" s="333"/>
      <c r="E116" s="301"/>
      <c r="F116" s="302"/>
    </row>
    <row r="117" s="276" customFormat="1" spans="1:6">
      <c r="A117" s="295"/>
      <c r="B117" s="303" t="s">
        <v>1351</v>
      </c>
      <c r="C117" s="303">
        <v>1000</v>
      </c>
      <c r="D117" s="303">
        <v>3000</v>
      </c>
      <c r="E117" s="303"/>
      <c r="F117" s="304"/>
    </row>
    <row r="118" s="276" customFormat="1" spans="1:6">
      <c r="A118" s="295"/>
      <c r="B118" s="303" t="s">
        <v>1352</v>
      </c>
      <c r="C118" s="296">
        <v>4</v>
      </c>
      <c r="D118" s="296">
        <v>12</v>
      </c>
      <c r="E118" s="296"/>
      <c r="F118" s="297"/>
    </row>
    <row r="119" spans="1:6">
      <c r="A119" s="295">
        <v>1.2</v>
      </c>
      <c r="B119" s="296" t="s">
        <v>1353</v>
      </c>
      <c r="C119" s="298">
        <v>1</v>
      </c>
      <c r="D119" s="298"/>
      <c r="E119" s="298"/>
      <c r="F119" s="299"/>
    </row>
    <row r="120" spans="1:6">
      <c r="A120" s="295">
        <v>1.3</v>
      </c>
      <c r="B120" s="296" t="s">
        <v>1354</v>
      </c>
      <c r="C120" s="298">
        <v>1</v>
      </c>
      <c r="D120" s="298"/>
      <c r="E120" s="298"/>
      <c r="F120" s="299"/>
    </row>
    <row r="121" spans="1:6">
      <c r="A121" s="295">
        <v>1.4</v>
      </c>
      <c r="B121" s="296" t="s">
        <v>1355</v>
      </c>
      <c r="C121" s="298">
        <v>1</v>
      </c>
      <c r="D121" s="298"/>
      <c r="E121" s="298"/>
      <c r="F121" s="299"/>
    </row>
    <row r="122" spans="1:6">
      <c r="A122" s="295">
        <v>2</v>
      </c>
      <c r="B122" s="296" t="s">
        <v>1356</v>
      </c>
      <c r="C122" s="305">
        <v>0.2</v>
      </c>
      <c r="D122" s="305"/>
      <c r="E122" s="305"/>
      <c r="F122" s="306"/>
    </row>
    <row r="123" spans="1:6">
      <c r="A123" s="295"/>
      <c r="B123" s="296"/>
      <c r="C123" s="296"/>
      <c r="D123" s="296"/>
      <c r="E123" s="296"/>
      <c r="F123" s="297"/>
    </row>
    <row r="124" spans="1:6">
      <c r="A124" s="295" t="s">
        <v>474</v>
      </c>
      <c r="B124" s="296" t="s">
        <v>1368</v>
      </c>
      <c r="C124" s="298"/>
      <c r="D124" s="298"/>
      <c r="E124" s="298"/>
      <c r="F124" s="299"/>
    </row>
    <row r="125" spans="1:6">
      <c r="A125" s="295">
        <v>1</v>
      </c>
      <c r="B125" s="296" t="s">
        <v>1366</v>
      </c>
      <c r="C125" s="298"/>
      <c r="D125" s="298"/>
      <c r="E125" s="298"/>
      <c r="F125" s="299"/>
    </row>
    <row r="126" spans="1:6">
      <c r="A126" s="295">
        <v>1.1</v>
      </c>
      <c r="B126" s="296" t="s">
        <v>1367</v>
      </c>
      <c r="C126" s="298"/>
      <c r="D126" s="298"/>
      <c r="E126" s="298"/>
      <c r="F126" s="299"/>
    </row>
    <row r="127" spans="1:6">
      <c r="A127" s="295"/>
      <c r="B127" s="296" t="s">
        <v>1348</v>
      </c>
      <c r="C127" s="301"/>
      <c r="D127" s="301"/>
      <c r="E127" s="301"/>
      <c r="F127" s="302"/>
    </row>
    <row r="128" spans="1:6">
      <c r="A128" s="295"/>
      <c r="B128" s="303" t="s">
        <v>1351</v>
      </c>
      <c r="C128" s="303"/>
      <c r="D128" s="303"/>
      <c r="E128" s="303"/>
      <c r="F128" s="304"/>
    </row>
    <row r="129" spans="1:6">
      <c r="A129" s="295"/>
      <c r="B129" s="303" t="s">
        <v>1352</v>
      </c>
      <c r="C129" s="296"/>
      <c r="D129" s="296"/>
      <c r="E129" s="296"/>
      <c r="F129" s="297"/>
    </row>
    <row r="130" spans="1:6">
      <c r="A130" s="295">
        <v>1.2</v>
      </c>
      <c r="B130" s="296" t="s">
        <v>1353</v>
      </c>
      <c r="C130" s="298"/>
      <c r="D130" s="298"/>
      <c r="E130" s="298"/>
      <c r="F130" s="299"/>
    </row>
    <row r="131" spans="1:6">
      <c r="A131" s="295">
        <v>1.3</v>
      </c>
      <c r="B131" s="296" t="s">
        <v>1354</v>
      </c>
      <c r="C131" s="298"/>
      <c r="D131" s="298"/>
      <c r="E131" s="298"/>
      <c r="F131" s="299"/>
    </row>
    <row r="132" spans="1:6">
      <c r="A132" s="295"/>
      <c r="B132" s="296"/>
      <c r="C132" s="298"/>
      <c r="D132" s="298"/>
      <c r="E132" s="298"/>
      <c r="F132" s="299"/>
    </row>
    <row r="133" spans="1:6">
      <c r="A133" s="295"/>
      <c r="B133" s="296"/>
      <c r="C133" s="305"/>
      <c r="D133" s="305"/>
      <c r="E133" s="305"/>
      <c r="F133" s="306"/>
    </row>
    <row r="134" spans="1:6">
      <c r="A134" s="295"/>
      <c r="B134" s="296"/>
      <c r="C134" s="296"/>
      <c r="D134" s="296"/>
      <c r="E134" s="296"/>
      <c r="F134" s="297"/>
    </row>
    <row r="135" spans="1:6">
      <c r="A135" s="295"/>
      <c r="B135" s="307" t="s">
        <v>1369</v>
      </c>
      <c r="C135" s="308">
        <f>C113+C124</f>
        <v>10.742592</v>
      </c>
      <c r="D135" s="308"/>
      <c r="E135" s="308">
        <f>E113+E124</f>
        <v>0</v>
      </c>
      <c r="F135" s="309"/>
    </row>
    <row r="136" spans="1:6">
      <c r="A136" s="295"/>
      <c r="B136" s="307" t="s">
        <v>1370</v>
      </c>
      <c r="C136" s="298">
        <f>C135+E135</f>
        <v>10.742592</v>
      </c>
      <c r="D136" s="298"/>
      <c r="E136" s="298"/>
      <c r="F136" s="299"/>
    </row>
    <row r="137" ht="12.75" spans="1:6">
      <c r="A137" s="310" t="s">
        <v>1371</v>
      </c>
      <c r="B137" s="311"/>
      <c r="C137" s="311"/>
      <c r="D137" s="311"/>
      <c r="E137" s="311"/>
      <c r="F137" s="312"/>
    </row>
    <row r="138" ht="12.75"/>
    <row r="139" spans="1:6">
      <c r="A139" s="315" t="s">
        <v>1375</v>
      </c>
      <c r="B139" s="316"/>
      <c r="C139" s="316"/>
      <c r="D139" s="316"/>
      <c r="E139" s="316"/>
      <c r="F139" s="317"/>
    </row>
    <row r="140" spans="1:6">
      <c r="A140" s="295"/>
      <c r="B140" s="296"/>
      <c r="C140" s="296"/>
      <c r="D140" s="296"/>
      <c r="E140" s="296"/>
      <c r="F140" s="297"/>
    </row>
    <row r="141" spans="1:6">
      <c r="A141" s="295" t="s">
        <v>291</v>
      </c>
      <c r="B141" s="296" t="s">
        <v>1337</v>
      </c>
      <c r="C141" s="296" t="s">
        <v>1338</v>
      </c>
      <c r="D141" s="296"/>
      <c r="E141" s="296" t="s">
        <v>1339</v>
      </c>
      <c r="F141" s="297"/>
    </row>
    <row r="142" spans="1:6">
      <c r="A142" s="295" t="s">
        <v>472</v>
      </c>
      <c r="B142" s="296" t="s">
        <v>1365</v>
      </c>
      <c r="C142" s="298">
        <f>C143*(1+C151)</f>
        <v>53.831664</v>
      </c>
      <c r="D142" s="298"/>
      <c r="E142" s="298"/>
      <c r="F142" s="299"/>
    </row>
    <row r="143" spans="1:6">
      <c r="A143" s="295">
        <v>1</v>
      </c>
      <c r="B143" s="296" t="s">
        <v>1366</v>
      </c>
      <c r="C143" s="298">
        <f>C144*C148*C149*C150</f>
        <v>53.831664</v>
      </c>
      <c r="D143" s="298"/>
      <c r="E143" s="298"/>
      <c r="F143" s="299"/>
    </row>
    <row r="144" spans="1:6">
      <c r="A144" s="295">
        <v>1.1</v>
      </c>
      <c r="B144" s="296" t="s">
        <v>1367</v>
      </c>
      <c r="C144" s="298">
        <f>C147+(D147-C147)/(D146-C146)*(C145-C146)</f>
        <v>59.81296</v>
      </c>
      <c r="D144" s="298"/>
      <c r="E144" s="298"/>
      <c r="F144" s="299"/>
    </row>
    <row r="145" spans="1:6">
      <c r="A145" s="295"/>
      <c r="B145" s="296" t="s">
        <v>1348</v>
      </c>
      <c r="C145" s="333">
        <f>C116</f>
        <v>2238.04</v>
      </c>
      <c r="D145" s="333"/>
      <c r="E145" s="301"/>
      <c r="F145" s="302"/>
    </row>
    <row r="146" spans="1:6">
      <c r="A146" s="295"/>
      <c r="B146" s="303" t="s">
        <v>1351</v>
      </c>
      <c r="C146" s="303">
        <v>1000</v>
      </c>
      <c r="D146" s="303">
        <v>3000</v>
      </c>
      <c r="E146" s="303"/>
      <c r="F146" s="304"/>
    </row>
    <row r="147" spans="1:6">
      <c r="A147" s="295"/>
      <c r="B147" s="303" t="s">
        <v>1352</v>
      </c>
      <c r="C147" s="296">
        <v>30.1</v>
      </c>
      <c r="D147" s="296">
        <v>78.1</v>
      </c>
      <c r="E147" s="296"/>
      <c r="F147" s="297"/>
    </row>
    <row r="148" spans="1:6">
      <c r="A148" s="295">
        <v>1.2</v>
      </c>
      <c r="B148" s="296" t="s">
        <v>1353</v>
      </c>
      <c r="C148" s="298">
        <v>0.9</v>
      </c>
      <c r="D148" s="298"/>
      <c r="E148" s="298"/>
      <c r="F148" s="299"/>
    </row>
    <row r="149" spans="1:6">
      <c r="A149" s="295">
        <v>1.3</v>
      </c>
      <c r="B149" s="296" t="s">
        <v>1354</v>
      </c>
      <c r="C149" s="298">
        <v>1</v>
      </c>
      <c r="D149" s="298"/>
      <c r="E149" s="298"/>
      <c r="F149" s="299"/>
    </row>
    <row r="150" spans="1:6">
      <c r="A150" s="295">
        <v>1.4</v>
      </c>
      <c r="B150" s="296" t="s">
        <v>1355</v>
      </c>
      <c r="C150" s="298">
        <v>1</v>
      </c>
      <c r="D150" s="298"/>
      <c r="E150" s="298"/>
      <c r="F150" s="299"/>
    </row>
    <row r="151" spans="1:6">
      <c r="A151" s="295">
        <v>2</v>
      </c>
      <c r="B151" s="296" t="s">
        <v>1356</v>
      </c>
      <c r="C151" s="305">
        <v>0</v>
      </c>
      <c r="D151" s="305"/>
      <c r="E151" s="305"/>
      <c r="F151" s="306"/>
    </row>
    <row r="152" spans="1:6">
      <c r="A152" s="295"/>
      <c r="B152" s="296"/>
      <c r="C152" s="296"/>
      <c r="D152" s="296"/>
      <c r="E152" s="296"/>
      <c r="F152" s="297"/>
    </row>
    <row r="153" spans="1:6">
      <c r="A153" s="295" t="s">
        <v>474</v>
      </c>
      <c r="B153" s="296" t="s">
        <v>1368</v>
      </c>
      <c r="C153" s="298"/>
      <c r="D153" s="298"/>
      <c r="E153" s="298"/>
      <c r="F153" s="299"/>
    </row>
    <row r="154" spans="1:6">
      <c r="A154" s="295">
        <v>1</v>
      </c>
      <c r="B154" s="296" t="s">
        <v>1366</v>
      </c>
      <c r="C154" s="298"/>
      <c r="D154" s="298"/>
      <c r="E154" s="298"/>
      <c r="F154" s="299"/>
    </row>
    <row r="155" spans="1:6">
      <c r="A155" s="295">
        <v>1.1</v>
      </c>
      <c r="B155" s="296" t="s">
        <v>1367</v>
      </c>
      <c r="C155" s="298"/>
      <c r="D155" s="298"/>
      <c r="E155" s="298"/>
      <c r="F155" s="299"/>
    </row>
    <row r="156" spans="1:6">
      <c r="A156" s="295"/>
      <c r="B156" s="296" t="s">
        <v>1348</v>
      </c>
      <c r="C156" s="301"/>
      <c r="D156" s="301"/>
      <c r="E156" s="301"/>
      <c r="F156" s="302"/>
    </row>
    <row r="157" spans="1:6">
      <c r="A157" s="295"/>
      <c r="B157" s="303" t="s">
        <v>1351</v>
      </c>
      <c r="C157" s="303"/>
      <c r="D157" s="303"/>
      <c r="E157" s="303"/>
      <c r="F157" s="304"/>
    </row>
    <row r="158" spans="1:6">
      <c r="A158" s="295"/>
      <c r="B158" s="303" t="s">
        <v>1352</v>
      </c>
      <c r="C158" s="296"/>
      <c r="D158" s="296"/>
      <c r="E158" s="296"/>
      <c r="F158" s="297"/>
    </row>
    <row r="159" spans="1:6">
      <c r="A159" s="295">
        <v>1.2</v>
      </c>
      <c r="B159" s="296" t="s">
        <v>1353</v>
      </c>
      <c r="C159" s="298"/>
      <c r="D159" s="298"/>
      <c r="E159" s="298"/>
      <c r="F159" s="299"/>
    </row>
    <row r="160" spans="1:6">
      <c r="A160" s="295">
        <v>1.3</v>
      </c>
      <c r="B160" s="296" t="s">
        <v>1354</v>
      </c>
      <c r="C160" s="298"/>
      <c r="D160" s="298"/>
      <c r="E160" s="298"/>
      <c r="F160" s="299"/>
    </row>
    <row r="161" spans="1:6">
      <c r="A161" s="295"/>
      <c r="B161" s="296"/>
      <c r="C161" s="298"/>
      <c r="D161" s="298"/>
      <c r="E161" s="298"/>
      <c r="F161" s="299"/>
    </row>
    <row r="162" spans="1:6">
      <c r="A162" s="295"/>
      <c r="B162" s="296"/>
      <c r="C162" s="305"/>
      <c r="D162" s="305"/>
      <c r="E162" s="305"/>
      <c r="F162" s="306"/>
    </row>
    <row r="163" spans="1:6">
      <c r="A163" s="295"/>
      <c r="B163" s="296"/>
      <c r="C163" s="296"/>
      <c r="D163" s="296"/>
      <c r="E163" s="296"/>
      <c r="F163" s="297"/>
    </row>
    <row r="164" spans="1:6">
      <c r="A164" s="295"/>
      <c r="B164" s="307" t="s">
        <v>1369</v>
      </c>
      <c r="C164" s="308">
        <f>C142+C153</f>
        <v>53.831664</v>
      </c>
      <c r="D164" s="308"/>
      <c r="E164" s="308">
        <f>E142+E153</f>
        <v>0</v>
      </c>
      <c r="F164" s="309"/>
    </row>
    <row r="165" spans="1:6">
      <c r="A165" s="295"/>
      <c r="B165" s="307" t="s">
        <v>1370</v>
      </c>
      <c r="C165" s="298">
        <f>C164+E164</f>
        <v>53.831664</v>
      </c>
      <c r="D165" s="298"/>
      <c r="E165" s="298"/>
      <c r="F165" s="299"/>
    </row>
    <row r="166" ht="12.75" spans="1:6">
      <c r="A166" s="310" t="s">
        <v>1371</v>
      </c>
      <c r="B166" s="311"/>
      <c r="C166" s="311"/>
      <c r="D166" s="311"/>
      <c r="E166" s="311"/>
      <c r="F166" s="312"/>
    </row>
  </sheetData>
  <mergeCells count="183">
    <mergeCell ref="A1:E1"/>
    <mergeCell ref="H1:J1"/>
    <mergeCell ref="A12:E12"/>
    <mergeCell ref="A22:E22"/>
    <mergeCell ref="J23:O23"/>
    <mergeCell ref="A35:F35"/>
    <mergeCell ref="C37:D37"/>
    <mergeCell ref="E37:F37"/>
    <mergeCell ref="C38:D38"/>
    <mergeCell ref="E38:F38"/>
    <mergeCell ref="C39:D39"/>
    <mergeCell ref="E39:F39"/>
    <mergeCell ref="C40:D40"/>
    <mergeCell ref="E40:F40"/>
    <mergeCell ref="C41:D41"/>
    <mergeCell ref="E41:F41"/>
    <mergeCell ref="C44:D44"/>
    <mergeCell ref="E44:F44"/>
    <mergeCell ref="C45:D45"/>
    <mergeCell ref="E45:F45"/>
    <mergeCell ref="C46:D46"/>
    <mergeCell ref="E46:F46"/>
    <mergeCell ref="C47:D47"/>
    <mergeCell ref="E47:F47"/>
    <mergeCell ref="C49:D49"/>
    <mergeCell ref="E49:F49"/>
    <mergeCell ref="C50:D50"/>
    <mergeCell ref="E50:F50"/>
    <mergeCell ref="C51:D51"/>
    <mergeCell ref="E51:F51"/>
    <mergeCell ref="C52:D52"/>
    <mergeCell ref="E52:F52"/>
    <mergeCell ref="C55:D55"/>
    <mergeCell ref="E55:F55"/>
    <mergeCell ref="C56:D56"/>
    <mergeCell ref="E56:F56"/>
    <mergeCell ref="C57:D57"/>
    <mergeCell ref="E57:F57"/>
    <mergeCell ref="C58:D58"/>
    <mergeCell ref="E58:F58"/>
    <mergeCell ref="C59:D59"/>
    <mergeCell ref="E59:F59"/>
    <mergeCell ref="C60:D60"/>
    <mergeCell ref="E60:F60"/>
    <mergeCell ref="C61:F61"/>
    <mergeCell ref="A62:F62"/>
    <mergeCell ref="A64:F64"/>
    <mergeCell ref="C66:D66"/>
    <mergeCell ref="E66:F66"/>
    <mergeCell ref="C67:D67"/>
    <mergeCell ref="E67:F67"/>
    <mergeCell ref="C68:D68"/>
    <mergeCell ref="E68:F68"/>
    <mergeCell ref="C69:D69"/>
    <mergeCell ref="E69:F69"/>
    <mergeCell ref="C70:D70"/>
    <mergeCell ref="E70:F70"/>
    <mergeCell ref="C73:D73"/>
    <mergeCell ref="E73:F73"/>
    <mergeCell ref="C74:D74"/>
    <mergeCell ref="E74:F74"/>
    <mergeCell ref="C75:D75"/>
    <mergeCell ref="E75:F75"/>
    <mergeCell ref="C76:D76"/>
    <mergeCell ref="E76:F76"/>
    <mergeCell ref="C77:D77"/>
    <mergeCell ref="E77:F77"/>
    <mergeCell ref="C78:D78"/>
    <mergeCell ref="E78:F78"/>
    <mergeCell ref="C79:D79"/>
    <mergeCell ref="E79:F79"/>
    <mergeCell ref="C80:D80"/>
    <mergeCell ref="E80:F80"/>
    <mergeCell ref="C81:D81"/>
    <mergeCell ref="E81:F81"/>
    <mergeCell ref="C84:D84"/>
    <mergeCell ref="E84:F84"/>
    <mergeCell ref="C85:D85"/>
    <mergeCell ref="E85:F85"/>
    <mergeCell ref="C86:D86"/>
    <mergeCell ref="E86:F86"/>
    <mergeCell ref="C87:D87"/>
    <mergeCell ref="E87:F87"/>
    <mergeCell ref="C88:D88"/>
    <mergeCell ref="E88:F88"/>
    <mergeCell ref="C89:D89"/>
    <mergeCell ref="E89:F89"/>
    <mergeCell ref="C90:F90"/>
    <mergeCell ref="A91:F91"/>
    <mergeCell ref="I91:L91"/>
    <mergeCell ref="M93:N93"/>
    <mergeCell ref="A110:F110"/>
    <mergeCell ref="C112:D112"/>
    <mergeCell ref="E112:F112"/>
    <mergeCell ref="C113:D113"/>
    <mergeCell ref="E113:F113"/>
    <mergeCell ref="C114:D114"/>
    <mergeCell ref="E114:F114"/>
    <mergeCell ref="C115:D115"/>
    <mergeCell ref="E115:F115"/>
    <mergeCell ref="C116:D116"/>
    <mergeCell ref="E116:F116"/>
    <mergeCell ref="C119:D119"/>
    <mergeCell ref="E119:F119"/>
    <mergeCell ref="C120:D120"/>
    <mergeCell ref="E120:F120"/>
    <mergeCell ref="C121:D121"/>
    <mergeCell ref="E121:F121"/>
    <mergeCell ref="C122:D122"/>
    <mergeCell ref="E122:F122"/>
    <mergeCell ref="C123:D123"/>
    <mergeCell ref="E123:F123"/>
    <mergeCell ref="C124:D124"/>
    <mergeCell ref="E124:F124"/>
    <mergeCell ref="C125:D125"/>
    <mergeCell ref="E125:F125"/>
    <mergeCell ref="C126:D126"/>
    <mergeCell ref="E126:F126"/>
    <mergeCell ref="C127:D127"/>
    <mergeCell ref="E127:F127"/>
    <mergeCell ref="C130:D130"/>
    <mergeCell ref="E130:F130"/>
    <mergeCell ref="C131:D131"/>
    <mergeCell ref="E131:F131"/>
    <mergeCell ref="C132:D132"/>
    <mergeCell ref="E132:F132"/>
    <mergeCell ref="C133:D133"/>
    <mergeCell ref="E133:F133"/>
    <mergeCell ref="C134:D134"/>
    <mergeCell ref="E134:F134"/>
    <mergeCell ref="C135:D135"/>
    <mergeCell ref="E135:F135"/>
    <mergeCell ref="C136:F136"/>
    <mergeCell ref="A137:F137"/>
    <mergeCell ref="A139:F139"/>
    <mergeCell ref="C141:D141"/>
    <mergeCell ref="E141:F141"/>
    <mergeCell ref="C142:D142"/>
    <mergeCell ref="E142:F142"/>
    <mergeCell ref="C143:D143"/>
    <mergeCell ref="E143:F143"/>
    <mergeCell ref="C144:D144"/>
    <mergeCell ref="E144:F144"/>
    <mergeCell ref="C145:D145"/>
    <mergeCell ref="E145:F145"/>
    <mergeCell ref="C148:D148"/>
    <mergeCell ref="E148:F148"/>
    <mergeCell ref="C149:D149"/>
    <mergeCell ref="E149:F149"/>
    <mergeCell ref="C150:D150"/>
    <mergeCell ref="E150:F150"/>
    <mergeCell ref="C151:D151"/>
    <mergeCell ref="E151:F151"/>
    <mergeCell ref="C152:D152"/>
    <mergeCell ref="E152:F152"/>
    <mergeCell ref="C153:D153"/>
    <mergeCell ref="E153:F153"/>
    <mergeCell ref="C154:D154"/>
    <mergeCell ref="E154:F154"/>
    <mergeCell ref="C155:D155"/>
    <mergeCell ref="E155:F155"/>
    <mergeCell ref="C156:D156"/>
    <mergeCell ref="E156:F156"/>
    <mergeCell ref="C159:D159"/>
    <mergeCell ref="E159:F159"/>
    <mergeCell ref="C160:D160"/>
    <mergeCell ref="E160:F160"/>
    <mergeCell ref="C161:D161"/>
    <mergeCell ref="E161:F161"/>
    <mergeCell ref="C162:D162"/>
    <mergeCell ref="E162:F162"/>
    <mergeCell ref="C163:D163"/>
    <mergeCell ref="E163:F163"/>
    <mergeCell ref="C164:D164"/>
    <mergeCell ref="E164:F164"/>
    <mergeCell ref="C165:F165"/>
    <mergeCell ref="A166:F166"/>
    <mergeCell ref="A23:A27"/>
    <mergeCell ref="A28:A32"/>
    <mergeCell ref="J24:J25"/>
    <mergeCell ref="L24:L25"/>
    <mergeCell ref="M24:M25"/>
    <mergeCell ref="O24:O25"/>
  </mergeCell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403"/>
  <sheetViews>
    <sheetView zoomScale="130" zoomScaleNormal="130" topLeftCell="A2" workbookViewId="0">
      <selection activeCell="B48" sqref="B48"/>
    </sheetView>
  </sheetViews>
  <sheetFormatPr defaultColWidth="9" defaultRowHeight="14.25"/>
  <cols>
    <col min="1" max="1" width="9.125" style="263" customWidth="1"/>
    <col min="2" max="2" width="48.125" style="264" customWidth="1"/>
    <col min="3" max="3" width="8.25" style="263" customWidth="1"/>
    <col min="4" max="4" width="11.25" style="263" customWidth="1"/>
    <col min="5" max="255" width="9" style="263" customWidth="1"/>
    <col min="256" max="256" width="9" style="263"/>
    <col min="257" max="16384" width="9" style="262"/>
  </cols>
  <sheetData>
    <row r="1" ht="23.25" customHeight="1" spans="1:4">
      <c r="A1" s="265" t="s">
        <v>1376</v>
      </c>
      <c r="B1" s="265"/>
      <c r="C1" s="265"/>
      <c r="D1" s="265"/>
    </row>
    <row r="2" s="261" customFormat="1" ht="18" customHeight="1" spans="1:4">
      <c r="A2" s="266" t="s">
        <v>1377</v>
      </c>
      <c r="B2" s="266" t="s">
        <v>1378</v>
      </c>
      <c r="C2" s="266" t="s">
        <v>55</v>
      </c>
      <c r="D2" s="266" t="s">
        <v>834</v>
      </c>
    </row>
    <row r="3" s="261" customFormat="1" ht="18" customHeight="1" spans="1:4">
      <c r="A3" s="266" t="s">
        <v>560</v>
      </c>
      <c r="B3" s="266"/>
      <c r="C3" s="266"/>
      <c r="D3" s="266"/>
    </row>
    <row r="4" ht="18" customHeight="1" spans="1:4">
      <c r="A4" s="267">
        <v>1001</v>
      </c>
      <c r="B4" s="268" t="s">
        <v>1379</v>
      </c>
      <c r="C4" s="225" t="s">
        <v>1380</v>
      </c>
      <c r="D4" s="230">
        <v>335.830467589098</v>
      </c>
    </row>
    <row r="5" ht="18" customHeight="1" spans="1:4">
      <c r="A5" s="267">
        <v>1002</v>
      </c>
      <c r="B5" s="268" t="s">
        <v>1381</v>
      </c>
      <c r="C5" s="225" t="s">
        <v>1380</v>
      </c>
      <c r="D5" s="230">
        <v>654.997459375109</v>
      </c>
    </row>
    <row r="6" ht="24" customHeight="1" spans="1:4">
      <c r="A6" s="267">
        <v>1003</v>
      </c>
      <c r="B6" s="268" t="s">
        <v>1382</v>
      </c>
      <c r="C6" s="225" t="s">
        <v>1380</v>
      </c>
      <c r="D6" s="230">
        <v>1097.32363053985</v>
      </c>
    </row>
    <row r="7" ht="24" hidden="1" customHeight="1" spans="1:4">
      <c r="A7" s="267">
        <v>1004</v>
      </c>
      <c r="B7" s="268" t="s">
        <v>1383</v>
      </c>
      <c r="C7" s="225" t="s">
        <v>1380</v>
      </c>
      <c r="D7" s="230">
        <v>3537.68993360283</v>
      </c>
    </row>
    <row r="8" ht="24" hidden="1" customHeight="1" spans="1:4">
      <c r="A8" s="267">
        <v>1005</v>
      </c>
      <c r="B8" s="268" t="s">
        <v>1384</v>
      </c>
      <c r="C8" s="225" t="s">
        <v>1380</v>
      </c>
      <c r="D8" s="230">
        <v>5404.91498993892</v>
      </c>
    </row>
    <row r="9" ht="24" hidden="1" customHeight="1" spans="1:9">
      <c r="A9" s="267">
        <v>1006</v>
      </c>
      <c r="B9" s="268" t="s">
        <v>1385</v>
      </c>
      <c r="C9" s="225" t="s">
        <v>1380</v>
      </c>
      <c r="D9" s="230">
        <v>6373.14031241157</v>
      </c>
      <c r="F9" s="263" t="s">
        <v>1386</v>
      </c>
      <c r="G9" s="263">
        <v>2.01</v>
      </c>
      <c r="H9" s="263">
        <f>D146/100</f>
        <v>713.989681765486</v>
      </c>
      <c r="I9" s="263">
        <f t="shared" ref="I9:I14" si="0">G9*H9</f>
        <v>1435.11926034863</v>
      </c>
    </row>
    <row r="10" ht="24" hidden="1" customHeight="1" spans="1:9">
      <c r="A10" s="267">
        <v>1008</v>
      </c>
      <c r="B10" s="268" t="s">
        <v>1387</v>
      </c>
      <c r="C10" s="225" t="s">
        <v>1380</v>
      </c>
      <c r="D10" s="230">
        <v>1292.14815148856</v>
      </c>
      <c r="F10" s="263" t="s">
        <v>1388</v>
      </c>
      <c r="G10" s="263">
        <v>1.31</v>
      </c>
      <c r="H10" s="263">
        <f>D151/100</f>
        <v>479.165881575749</v>
      </c>
      <c r="I10" s="263">
        <f t="shared" si="0"/>
        <v>627.707304864231</v>
      </c>
    </row>
    <row r="11" ht="24" hidden="1" customHeight="1" spans="1:9">
      <c r="A11" s="267">
        <v>1009</v>
      </c>
      <c r="B11" s="268" t="s">
        <v>1389</v>
      </c>
      <c r="C11" s="225" t="s">
        <v>1380</v>
      </c>
      <c r="D11" s="230">
        <v>1564.8853959794</v>
      </c>
      <c r="F11" s="263" t="s">
        <v>1390</v>
      </c>
      <c r="G11" s="263">
        <v>182</v>
      </c>
      <c r="H11" s="263">
        <f>D196/1000</f>
        <v>6.24066751713011</v>
      </c>
      <c r="I11" s="263">
        <f t="shared" si="0"/>
        <v>1135.80148811768</v>
      </c>
    </row>
    <row r="12" ht="24" hidden="1" customHeight="1" spans="1:9">
      <c r="A12" s="267">
        <v>1010</v>
      </c>
      <c r="B12" s="268" t="s">
        <v>1391</v>
      </c>
      <c r="C12" s="225" t="s">
        <v>1380</v>
      </c>
      <c r="D12" s="230">
        <v>1807.56036983772</v>
      </c>
      <c r="F12" s="263" t="s">
        <v>759</v>
      </c>
      <c r="G12" s="263">
        <v>25.57</v>
      </c>
      <c r="H12" s="263">
        <f>D86/100</f>
        <v>364.686235073884</v>
      </c>
      <c r="I12" s="263">
        <f t="shared" si="0"/>
        <v>9325.02703083921</v>
      </c>
    </row>
    <row r="13" ht="24" hidden="1" customHeight="1" spans="1:9">
      <c r="A13" s="267">
        <v>1011</v>
      </c>
      <c r="B13" s="268" t="s">
        <v>1392</v>
      </c>
      <c r="C13" s="225" t="s">
        <v>1380</v>
      </c>
      <c r="D13" s="230">
        <v>2043.75775139364</v>
      </c>
      <c r="F13" s="263" t="s">
        <v>567</v>
      </c>
      <c r="G13" s="263">
        <v>53</v>
      </c>
      <c r="H13" s="263">
        <f>D43/100</f>
        <v>2.97222140872987</v>
      </c>
      <c r="I13" s="263">
        <f t="shared" si="0"/>
        <v>157.527734662683</v>
      </c>
    </row>
    <row r="14" ht="24" hidden="1" customHeight="1" spans="1:9">
      <c r="A14" s="267">
        <v>1012</v>
      </c>
      <c r="B14" s="268" t="s">
        <v>1393</v>
      </c>
      <c r="C14" s="225" t="s">
        <v>1380</v>
      </c>
      <c r="D14" s="230">
        <v>2131.64528945793</v>
      </c>
      <c r="G14" s="263">
        <v>21</v>
      </c>
      <c r="H14" s="263">
        <f>D60/100</f>
        <v>17.5683160257823</v>
      </c>
      <c r="I14" s="263">
        <f t="shared" si="0"/>
        <v>368.934636541429</v>
      </c>
    </row>
    <row r="15" ht="24" hidden="1" customHeight="1" spans="1:255">
      <c r="A15" s="267">
        <v>1016</v>
      </c>
      <c r="B15" s="268" t="s">
        <v>1394</v>
      </c>
      <c r="C15" s="225" t="s">
        <v>1380</v>
      </c>
      <c r="D15" s="230">
        <v>1457.88926221652</v>
      </c>
      <c r="E15" s="262"/>
      <c r="F15" s="262"/>
      <c r="G15" s="262"/>
      <c r="H15" s="262"/>
      <c r="I15" s="262">
        <f>SUM(I9:I14)</f>
        <v>13050.1174553739</v>
      </c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62"/>
      <c r="BH15" s="262"/>
      <c r="BI15" s="262"/>
      <c r="BJ15" s="262"/>
      <c r="BK15" s="262"/>
      <c r="BL15" s="262"/>
      <c r="BM15" s="262"/>
      <c r="BN15" s="262"/>
      <c r="BO15" s="262"/>
      <c r="BP15" s="262"/>
      <c r="BQ15" s="262"/>
      <c r="BR15" s="262"/>
      <c r="BS15" s="262"/>
      <c r="BT15" s="262"/>
      <c r="BU15" s="262"/>
      <c r="BV15" s="262"/>
      <c r="BW15" s="262"/>
      <c r="BX15" s="262"/>
      <c r="BY15" s="262"/>
      <c r="BZ15" s="262"/>
      <c r="CA15" s="262"/>
      <c r="CB15" s="262"/>
      <c r="CC15" s="262"/>
      <c r="CD15" s="262"/>
      <c r="CE15" s="262"/>
      <c r="CF15" s="262"/>
      <c r="CG15" s="262"/>
      <c r="CH15" s="262"/>
      <c r="CI15" s="262"/>
      <c r="CJ15" s="262"/>
      <c r="CK15" s="262"/>
      <c r="CL15" s="262"/>
      <c r="CM15" s="262"/>
      <c r="CN15" s="262"/>
      <c r="CO15" s="262"/>
      <c r="CP15" s="262"/>
      <c r="CQ15" s="262"/>
      <c r="CR15" s="262"/>
      <c r="CS15" s="262"/>
      <c r="CT15" s="262"/>
      <c r="CU15" s="262"/>
      <c r="CV15" s="262"/>
      <c r="CW15" s="262"/>
      <c r="CX15" s="262"/>
      <c r="CY15" s="262"/>
      <c r="CZ15" s="262"/>
      <c r="DA15" s="262"/>
      <c r="DB15" s="262"/>
      <c r="DC15" s="262"/>
      <c r="DD15" s="262"/>
      <c r="DE15" s="262"/>
      <c r="DF15" s="262"/>
      <c r="DG15" s="262"/>
      <c r="DH15" s="262"/>
      <c r="DI15" s="262"/>
      <c r="DJ15" s="262"/>
      <c r="DK15" s="262"/>
      <c r="DL15" s="262"/>
      <c r="DM15" s="262"/>
      <c r="DN15" s="262"/>
      <c r="DO15" s="262"/>
      <c r="DP15" s="262"/>
      <c r="DQ15" s="262"/>
      <c r="DR15" s="262"/>
      <c r="DS15" s="262"/>
      <c r="DT15" s="262"/>
      <c r="DU15" s="262"/>
      <c r="DV15" s="262"/>
      <c r="DW15" s="262"/>
      <c r="DX15" s="262"/>
      <c r="DY15" s="262"/>
      <c r="DZ15" s="262"/>
      <c r="EA15" s="262"/>
      <c r="EB15" s="262"/>
      <c r="EC15" s="262"/>
      <c r="ED15" s="262"/>
      <c r="EE15" s="262"/>
      <c r="EF15" s="262"/>
      <c r="EG15" s="262"/>
      <c r="EH15" s="262"/>
      <c r="EI15" s="262"/>
      <c r="EJ15" s="262"/>
      <c r="EK15" s="262"/>
      <c r="EL15" s="262"/>
      <c r="EM15" s="262"/>
      <c r="EN15" s="262"/>
      <c r="EO15" s="262"/>
      <c r="EP15" s="262"/>
      <c r="EQ15" s="262"/>
      <c r="ER15" s="262"/>
      <c r="ES15" s="262"/>
      <c r="ET15" s="262"/>
      <c r="EU15" s="262"/>
      <c r="EV15" s="262"/>
      <c r="EW15" s="262"/>
      <c r="EX15" s="262"/>
      <c r="EY15" s="262"/>
      <c r="EZ15" s="262"/>
      <c r="FA15" s="262"/>
      <c r="FB15" s="262"/>
      <c r="FC15" s="262"/>
      <c r="FD15" s="262"/>
      <c r="FE15" s="262"/>
      <c r="FF15" s="262"/>
      <c r="FG15" s="262"/>
      <c r="FH15" s="262"/>
      <c r="FI15" s="262"/>
      <c r="FJ15" s="262"/>
      <c r="FK15" s="262"/>
      <c r="FL15" s="262"/>
      <c r="FM15" s="262"/>
      <c r="FN15" s="262"/>
      <c r="FO15" s="262"/>
      <c r="FP15" s="262"/>
      <c r="FQ15" s="262"/>
      <c r="FR15" s="262"/>
      <c r="FS15" s="262"/>
      <c r="FT15" s="262"/>
      <c r="FU15" s="262"/>
      <c r="FV15" s="262"/>
      <c r="FW15" s="262"/>
      <c r="FX15" s="262"/>
      <c r="FY15" s="262"/>
      <c r="FZ15" s="262"/>
      <c r="GA15" s="262"/>
      <c r="GB15" s="262"/>
      <c r="GC15" s="262"/>
      <c r="GD15" s="262"/>
      <c r="GE15" s="262"/>
      <c r="GF15" s="262"/>
      <c r="GG15" s="262"/>
      <c r="GH15" s="262"/>
      <c r="GI15" s="262"/>
      <c r="GJ15" s="262"/>
      <c r="GK15" s="262"/>
      <c r="GL15" s="262"/>
      <c r="GM15" s="262"/>
      <c r="GN15" s="262"/>
      <c r="GO15" s="262"/>
      <c r="GP15" s="262"/>
      <c r="GQ15" s="262"/>
      <c r="GR15" s="262"/>
      <c r="GS15" s="262"/>
      <c r="GT15" s="262"/>
      <c r="GU15" s="262"/>
      <c r="GV15" s="262"/>
      <c r="GW15" s="262"/>
      <c r="GX15" s="262"/>
      <c r="GY15" s="262"/>
      <c r="GZ15" s="262"/>
      <c r="HA15" s="262"/>
      <c r="HB15" s="262"/>
      <c r="HC15" s="262"/>
      <c r="HD15" s="262"/>
      <c r="HE15" s="262"/>
      <c r="HF15" s="262"/>
      <c r="HG15" s="262"/>
      <c r="HH15" s="262"/>
      <c r="HI15" s="262"/>
      <c r="HJ15" s="262"/>
      <c r="HK15" s="262"/>
      <c r="HL15" s="262"/>
      <c r="HM15" s="262"/>
      <c r="HN15" s="262"/>
      <c r="HO15" s="262"/>
      <c r="HP15" s="262"/>
      <c r="HQ15" s="262"/>
      <c r="HR15" s="262"/>
      <c r="HS15" s="262"/>
      <c r="HT15" s="262"/>
      <c r="HU15" s="262"/>
      <c r="HV15" s="262"/>
      <c r="HW15" s="262"/>
      <c r="HX15" s="262"/>
      <c r="HY15" s="262"/>
      <c r="HZ15" s="262"/>
      <c r="IA15" s="262"/>
      <c r="IB15" s="262"/>
      <c r="IC15" s="262"/>
      <c r="ID15" s="262"/>
      <c r="IE15" s="262"/>
      <c r="IF15" s="262"/>
      <c r="IG15" s="262"/>
      <c r="IH15" s="262"/>
      <c r="II15" s="262"/>
      <c r="IJ15" s="262"/>
      <c r="IK15" s="262"/>
      <c r="IL15" s="262"/>
      <c r="IM15" s="262"/>
      <c r="IN15" s="262"/>
      <c r="IO15" s="262"/>
      <c r="IP15" s="262"/>
      <c r="IQ15" s="262"/>
      <c r="IR15" s="262"/>
      <c r="IS15" s="262"/>
      <c r="IT15" s="262"/>
      <c r="IU15" s="262"/>
    </row>
    <row r="16" ht="24" hidden="1" customHeight="1" spans="1:255">
      <c r="A16" s="267">
        <v>1017</v>
      </c>
      <c r="B16" s="268" t="s">
        <v>1395</v>
      </c>
      <c r="C16" s="225" t="s">
        <v>1380</v>
      </c>
      <c r="D16" s="230">
        <v>1310.95898302481</v>
      </c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  <c r="BS16" s="262"/>
      <c r="BT16" s="262"/>
      <c r="BU16" s="262"/>
      <c r="BV16" s="262"/>
      <c r="BW16" s="262"/>
      <c r="BX16" s="262"/>
      <c r="BY16" s="262"/>
      <c r="BZ16" s="262"/>
      <c r="CA16" s="262"/>
      <c r="CB16" s="262"/>
      <c r="CC16" s="262"/>
      <c r="CD16" s="262"/>
      <c r="CE16" s="262"/>
      <c r="CF16" s="262"/>
      <c r="CG16" s="262"/>
      <c r="CH16" s="262"/>
      <c r="CI16" s="262"/>
      <c r="CJ16" s="262"/>
      <c r="CK16" s="262"/>
      <c r="CL16" s="262"/>
      <c r="CM16" s="262"/>
      <c r="CN16" s="262"/>
      <c r="CO16" s="262"/>
      <c r="CP16" s="262"/>
      <c r="CQ16" s="262"/>
      <c r="CR16" s="262"/>
      <c r="CS16" s="262"/>
      <c r="CT16" s="262"/>
      <c r="CU16" s="262"/>
      <c r="CV16" s="262"/>
      <c r="CW16" s="262"/>
      <c r="CX16" s="262"/>
      <c r="CY16" s="262"/>
      <c r="CZ16" s="262"/>
      <c r="DA16" s="262"/>
      <c r="DB16" s="262"/>
      <c r="DC16" s="262"/>
      <c r="DD16" s="262"/>
      <c r="DE16" s="262"/>
      <c r="DF16" s="262"/>
      <c r="DG16" s="262"/>
      <c r="DH16" s="262"/>
      <c r="DI16" s="262"/>
      <c r="DJ16" s="262"/>
      <c r="DK16" s="262"/>
      <c r="DL16" s="262"/>
      <c r="DM16" s="262"/>
      <c r="DN16" s="262"/>
      <c r="DO16" s="262"/>
      <c r="DP16" s="262"/>
      <c r="DQ16" s="262"/>
      <c r="DR16" s="262"/>
      <c r="DS16" s="262"/>
      <c r="DT16" s="262"/>
      <c r="DU16" s="262"/>
      <c r="DV16" s="262"/>
      <c r="DW16" s="262"/>
      <c r="DX16" s="262"/>
      <c r="DY16" s="262"/>
      <c r="DZ16" s="262"/>
      <c r="EA16" s="262"/>
      <c r="EB16" s="262"/>
      <c r="EC16" s="262"/>
      <c r="ED16" s="262"/>
      <c r="EE16" s="262"/>
      <c r="EF16" s="262"/>
      <c r="EG16" s="262"/>
      <c r="EH16" s="262"/>
      <c r="EI16" s="262"/>
      <c r="EJ16" s="262"/>
      <c r="EK16" s="262"/>
      <c r="EL16" s="262"/>
      <c r="EM16" s="262"/>
      <c r="EN16" s="262"/>
      <c r="EO16" s="262"/>
      <c r="EP16" s="262"/>
      <c r="EQ16" s="262"/>
      <c r="ER16" s="262"/>
      <c r="ES16" s="262"/>
      <c r="ET16" s="262"/>
      <c r="EU16" s="262"/>
      <c r="EV16" s="262"/>
      <c r="EW16" s="262"/>
      <c r="EX16" s="262"/>
      <c r="EY16" s="262"/>
      <c r="EZ16" s="262"/>
      <c r="FA16" s="262"/>
      <c r="FB16" s="262"/>
      <c r="FC16" s="262"/>
      <c r="FD16" s="262"/>
      <c r="FE16" s="262"/>
      <c r="FF16" s="262"/>
      <c r="FG16" s="262"/>
      <c r="FH16" s="262"/>
      <c r="FI16" s="262"/>
      <c r="FJ16" s="262"/>
      <c r="FK16" s="262"/>
      <c r="FL16" s="262"/>
      <c r="FM16" s="262"/>
      <c r="FN16" s="262"/>
      <c r="FO16" s="262"/>
      <c r="FP16" s="262"/>
      <c r="FQ16" s="262"/>
      <c r="FR16" s="262"/>
      <c r="FS16" s="262"/>
      <c r="FT16" s="262"/>
      <c r="FU16" s="262"/>
      <c r="FV16" s="262"/>
      <c r="FW16" s="262"/>
      <c r="FX16" s="262"/>
      <c r="FY16" s="262"/>
      <c r="FZ16" s="262"/>
      <c r="GA16" s="262"/>
      <c r="GB16" s="262"/>
      <c r="GC16" s="262"/>
      <c r="GD16" s="262"/>
      <c r="GE16" s="262"/>
      <c r="GF16" s="262"/>
      <c r="GG16" s="262"/>
      <c r="GH16" s="262"/>
      <c r="GI16" s="262"/>
      <c r="GJ16" s="262"/>
      <c r="GK16" s="262"/>
      <c r="GL16" s="262"/>
      <c r="GM16" s="262"/>
      <c r="GN16" s="262"/>
      <c r="GO16" s="262"/>
      <c r="GP16" s="262"/>
      <c r="GQ16" s="262"/>
      <c r="GR16" s="262"/>
      <c r="GS16" s="262"/>
      <c r="GT16" s="262"/>
      <c r="GU16" s="262"/>
      <c r="GV16" s="262"/>
      <c r="GW16" s="262"/>
      <c r="GX16" s="262"/>
      <c r="GY16" s="262"/>
      <c r="GZ16" s="262"/>
      <c r="HA16" s="262"/>
      <c r="HB16" s="262"/>
      <c r="HC16" s="262"/>
      <c r="HD16" s="262"/>
      <c r="HE16" s="262"/>
      <c r="HF16" s="262"/>
      <c r="HG16" s="262"/>
      <c r="HH16" s="262"/>
      <c r="HI16" s="262"/>
      <c r="HJ16" s="262"/>
      <c r="HK16" s="262"/>
      <c r="HL16" s="262"/>
      <c r="HM16" s="262"/>
      <c r="HN16" s="262"/>
      <c r="HO16" s="262"/>
      <c r="HP16" s="262"/>
      <c r="HQ16" s="262"/>
      <c r="HR16" s="262"/>
      <c r="HS16" s="262"/>
      <c r="HT16" s="262"/>
      <c r="HU16" s="262"/>
      <c r="HV16" s="262"/>
      <c r="HW16" s="262"/>
      <c r="HX16" s="262"/>
      <c r="HY16" s="262"/>
      <c r="HZ16" s="262"/>
      <c r="IA16" s="262"/>
      <c r="IB16" s="262"/>
      <c r="IC16" s="262"/>
      <c r="ID16" s="262"/>
      <c r="IE16" s="262"/>
      <c r="IF16" s="262"/>
      <c r="IG16" s="262"/>
      <c r="IH16" s="262"/>
      <c r="II16" s="262"/>
      <c r="IJ16" s="262"/>
      <c r="IK16" s="262"/>
      <c r="IL16" s="262"/>
      <c r="IM16" s="262"/>
      <c r="IN16" s="262"/>
      <c r="IO16" s="262"/>
      <c r="IP16" s="262"/>
      <c r="IQ16" s="262"/>
      <c r="IR16" s="262"/>
      <c r="IS16" s="262"/>
      <c r="IT16" s="262"/>
      <c r="IU16" s="262"/>
    </row>
    <row r="17" ht="24" hidden="1" customHeight="1" spans="1:255">
      <c r="A17" s="267">
        <v>1018</v>
      </c>
      <c r="B17" s="268" t="s">
        <v>1396</v>
      </c>
      <c r="C17" s="225" t="s">
        <v>1380</v>
      </c>
      <c r="D17" s="230">
        <v>1452.18249736624</v>
      </c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62"/>
      <c r="BH17" s="262"/>
      <c r="BI17" s="262"/>
      <c r="BJ17" s="262"/>
      <c r="BK17" s="262"/>
      <c r="BL17" s="262"/>
      <c r="BM17" s="262"/>
      <c r="BN17" s="262"/>
      <c r="BO17" s="262"/>
      <c r="BP17" s="262"/>
      <c r="BQ17" s="262"/>
      <c r="BR17" s="262"/>
      <c r="BS17" s="262"/>
      <c r="BT17" s="262"/>
      <c r="BU17" s="262"/>
      <c r="BV17" s="262"/>
      <c r="BW17" s="262"/>
      <c r="BX17" s="262"/>
      <c r="BY17" s="262"/>
      <c r="BZ17" s="262"/>
      <c r="CA17" s="262"/>
      <c r="CB17" s="262"/>
      <c r="CC17" s="262"/>
      <c r="CD17" s="262"/>
      <c r="CE17" s="262"/>
      <c r="CF17" s="262"/>
      <c r="CG17" s="262"/>
      <c r="CH17" s="262"/>
      <c r="CI17" s="262"/>
      <c r="CJ17" s="262"/>
      <c r="CK17" s="262"/>
      <c r="CL17" s="262"/>
      <c r="CM17" s="262"/>
      <c r="CN17" s="262"/>
      <c r="CO17" s="262"/>
      <c r="CP17" s="262"/>
      <c r="CQ17" s="262"/>
      <c r="CR17" s="262"/>
      <c r="CS17" s="262"/>
      <c r="CT17" s="262"/>
      <c r="CU17" s="262"/>
      <c r="CV17" s="262"/>
      <c r="CW17" s="262"/>
      <c r="CX17" s="262"/>
      <c r="CY17" s="262"/>
      <c r="CZ17" s="262"/>
      <c r="DA17" s="262"/>
      <c r="DB17" s="262"/>
      <c r="DC17" s="262"/>
      <c r="DD17" s="262"/>
      <c r="DE17" s="262"/>
      <c r="DF17" s="262"/>
      <c r="DG17" s="262"/>
      <c r="DH17" s="262"/>
      <c r="DI17" s="262"/>
      <c r="DJ17" s="262"/>
      <c r="DK17" s="262"/>
      <c r="DL17" s="262"/>
      <c r="DM17" s="262"/>
      <c r="DN17" s="262"/>
      <c r="DO17" s="262"/>
      <c r="DP17" s="262"/>
      <c r="DQ17" s="262"/>
      <c r="DR17" s="262"/>
      <c r="DS17" s="262"/>
      <c r="DT17" s="262"/>
      <c r="DU17" s="262"/>
      <c r="DV17" s="262"/>
      <c r="DW17" s="262"/>
      <c r="DX17" s="262"/>
      <c r="DY17" s="262"/>
      <c r="DZ17" s="262"/>
      <c r="EA17" s="262"/>
      <c r="EB17" s="262"/>
      <c r="EC17" s="262"/>
      <c r="ED17" s="262"/>
      <c r="EE17" s="262"/>
      <c r="EF17" s="262"/>
      <c r="EG17" s="262"/>
      <c r="EH17" s="262"/>
      <c r="EI17" s="262"/>
      <c r="EJ17" s="262"/>
      <c r="EK17" s="262"/>
      <c r="EL17" s="262"/>
      <c r="EM17" s="262"/>
      <c r="EN17" s="262"/>
      <c r="EO17" s="262"/>
      <c r="EP17" s="262"/>
      <c r="EQ17" s="262"/>
      <c r="ER17" s="262"/>
      <c r="ES17" s="262"/>
      <c r="ET17" s="262"/>
      <c r="EU17" s="262"/>
      <c r="EV17" s="262"/>
      <c r="EW17" s="262"/>
      <c r="EX17" s="262"/>
      <c r="EY17" s="262"/>
      <c r="EZ17" s="262"/>
      <c r="FA17" s="262"/>
      <c r="FB17" s="262"/>
      <c r="FC17" s="262"/>
      <c r="FD17" s="262"/>
      <c r="FE17" s="262"/>
      <c r="FF17" s="262"/>
      <c r="FG17" s="262"/>
      <c r="FH17" s="262"/>
      <c r="FI17" s="262"/>
      <c r="FJ17" s="262"/>
      <c r="FK17" s="262"/>
      <c r="FL17" s="262"/>
      <c r="FM17" s="262"/>
      <c r="FN17" s="262"/>
      <c r="FO17" s="262"/>
      <c r="FP17" s="262"/>
      <c r="FQ17" s="262"/>
      <c r="FR17" s="262"/>
      <c r="FS17" s="262"/>
      <c r="FT17" s="262"/>
      <c r="FU17" s="262"/>
      <c r="FV17" s="262"/>
      <c r="FW17" s="262"/>
      <c r="FX17" s="262"/>
      <c r="FY17" s="262"/>
      <c r="FZ17" s="262"/>
      <c r="GA17" s="262"/>
      <c r="GB17" s="262"/>
      <c r="GC17" s="262"/>
      <c r="GD17" s="262"/>
      <c r="GE17" s="262"/>
      <c r="GF17" s="262"/>
      <c r="GG17" s="262"/>
      <c r="GH17" s="262"/>
      <c r="GI17" s="262"/>
      <c r="GJ17" s="262"/>
      <c r="GK17" s="262"/>
      <c r="GL17" s="262"/>
      <c r="GM17" s="262"/>
      <c r="GN17" s="262"/>
      <c r="GO17" s="262"/>
      <c r="GP17" s="262"/>
      <c r="GQ17" s="262"/>
      <c r="GR17" s="262"/>
      <c r="GS17" s="262"/>
      <c r="GT17" s="262"/>
      <c r="GU17" s="262"/>
      <c r="GV17" s="262"/>
      <c r="GW17" s="262"/>
      <c r="GX17" s="262"/>
      <c r="GY17" s="262"/>
      <c r="GZ17" s="262"/>
      <c r="HA17" s="262"/>
      <c r="HB17" s="262"/>
      <c r="HC17" s="262"/>
      <c r="HD17" s="262"/>
      <c r="HE17" s="262"/>
      <c r="HF17" s="262"/>
      <c r="HG17" s="262"/>
      <c r="HH17" s="262"/>
      <c r="HI17" s="262"/>
      <c r="HJ17" s="262"/>
      <c r="HK17" s="262"/>
      <c r="HL17" s="262"/>
      <c r="HM17" s="262"/>
      <c r="HN17" s="262"/>
      <c r="HO17" s="262"/>
      <c r="HP17" s="262"/>
      <c r="HQ17" s="262"/>
      <c r="HR17" s="262"/>
      <c r="HS17" s="262"/>
      <c r="HT17" s="262"/>
      <c r="HU17" s="262"/>
      <c r="HV17" s="262"/>
      <c r="HW17" s="262"/>
      <c r="HX17" s="262"/>
      <c r="HY17" s="262"/>
      <c r="HZ17" s="262"/>
      <c r="IA17" s="262"/>
      <c r="IB17" s="262"/>
      <c r="IC17" s="262"/>
      <c r="ID17" s="262"/>
      <c r="IE17" s="262"/>
      <c r="IF17" s="262"/>
      <c r="IG17" s="262"/>
      <c r="IH17" s="262"/>
      <c r="II17" s="262"/>
      <c r="IJ17" s="262"/>
      <c r="IK17" s="262"/>
      <c r="IL17" s="262"/>
      <c r="IM17" s="262"/>
      <c r="IN17" s="262"/>
      <c r="IO17" s="262"/>
      <c r="IP17" s="262"/>
      <c r="IQ17" s="262"/>
      <c r="IR17" s="262"/>
      <c r="IS17" s="262"/>
      <c r="IT17" s="262"/>
      <c r="IU17" s="262"/>
    </row>
    <row r="18" ht="24" hidden="1" customHeight="1" spans="1:255">
      <c r="A18" s="267">
        <v>1019</v>
      </c>
      <c r="B18" s="268" t="s">
        <v>1397</v>
      </c>
      <c r="C18" s="225" t="s">
        <v>1380</v>
      </c>
      <c r="D18" s="230">
        <v>1250.98332384098</v>
      </c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262"/>
      <c r="BR18" s="262"/>
      <c r="BS18" s="262"/>
      <c r="BT18" s="262"/>
      <c r="BU18" s="262"/>
      <c r="BV18" s="262"/>
      <c r="BW18" s="262"/>
      <c r="BX18" s="262"/>
      <c r="BY18" s="262"/>
      <c r="BZ18" s="262"/>
      <c r="CA18" s="262"/>
      <c r="CB18" s="262"/>
      <c r="CC18" s="262"/>
      <c r="CD18" s="262"/>
      <c r="CE18" s="262"/>
      <c r="CF18" s="262"/>
      <c r="CG18" s="262"/>
      <c r="CH18" s="262"/>
      <c r="CI18" s="262"/>
      <c r="CJ18" s="262"/>
      <c r="CK18" s="262"/>
      <c r="CL18" s="262"/>
      <c r="CM18" s="262"/>
      <c r="CN18" s="262"/>
      <c r="CO18" s="262"/>
      <c r="CP18" s="262"/>
      <c r="CQ18" s="262"/>
      <c r="CR18" s="262"/>
      <c r="CS18" s="262"/>
      <c r="CT18" s="262"/>
      <c r="CU18" s="262"/>
      <c r="CV18" s="262"/>
      <c r="CW18" s="262"/>
      <c r="CX18" s="262"/>
      <c r="CY18" s="262"/>
      <c r="CZ18" s="262"/>
      <c r="DA18" s="262"/>
      <c r="DB18" s="262"/>
      <c r="DC18" s="262"/>
      <c r="DD18" s="262"/>
      <c r="DE18" s="262"/>
      <c r="DF18" s="262"/>
      <c r="DG18" s="262"/>
      <c r="DH18" s="262"/>
      <c r="DI18" s="262"/>
      <c r="DJ18" s="262"/>
      <c r="DK18" s="262"/>
      <c r="DL18" s="262"/>
      <c r="DM18" s="262"/>
      <c r="DN18" s="262"/>
      <c r="DO18" s="262"/>
      <c r="DP18" s="262"/>
      <c r="DQ18" s="262"/>
      <c r="DR18" s="262"/>
      <c r="DS18" s="262"/>
      <c r="DT18" s="262"/>
      <c r="DU18" s="262"/>
      <c r="DV18" s="262"/>
      <c r="DW18" s="262"/>
      <c r="DX18" s="262"/>
      <c r="DY18" s="262"/>
      <c r="DZ18" s="262"/>
      <c r="EA18" s="262"/>
      <c r="EB18" s="262"/>
      <c r="EC18" s="262"/>
      <c r="ED18" s="262"/>
      <c r="EE18" s="262"/>
      <c r="EF18" s="262"/>
      <c r="EG18" s="262"/>
      <c r="EH18" s="262"/>
      <c r="EI18" s="262"/>
      <c r="EJ18" s="262"/>
      <c r="EK18" s="262"/>
      <c r="EL18" s="262"/>
      <c r="EM18" s="262"/>
      <c r="EN18" s="262"/>
      <c r="EO18" s="262"/>
      <c r="EP18" s="262"/>
      <c r="EQ18" s="262"/>
      <c r="ER18" s="262"/>
      <c r="ES18" s="262"/>
      <c r="ET18" s="262"/>
      <c r="EU18" s="262"/>
      <c r="EV18" s="262"/>
      <c r="EW18" s="262"/>
      <c r="EX18" s="262"/>
      <c r="EY18" s="262"/>
      <c r="EZ18" s="262"/>
      <c r="FA18" s="262"/>
      <c r="FB18" s="262"/>
      <c r="FC18" s="262"/>
      <c r="FD18" s="262"/>
      <c r="FE18" s="262"/>
      <c r="FF18" s="262"/>
      <c r="FG18" s="262"/>
      <c r="FH18" s="262"/>
      <c r="FI18" s="262"/>
      <c r="FJ18" s="262"/>
      <c r="FK18" s="262"/>
      <c r="FL18" s="262"/>
      <c r="FM18" s="262"/>
      <c r="FN18" s="262"/>
      <c r="FO18" s="262"/>
      <c r="FP18" s="262"/>
      <c r="FQ18" s="262"/>
      <c r="FR18" s="262"/>
      <c r="FS18" s="262"/>
      <c r="FT18" s="262"/>
      <c r="FU18" s="262"/>
      <c r="FV18" s="262"/>
      <c r="FW18" s="262"/>
      <c r="FX18" s="262"/>
      <c r="FY18" s="262"/>
      <c r="FZ18" s="262"/>
      <c r="GA18" s="262"/>
      <c r="GB18" s="262"/>
      <c r="GC18" s="262"/>
      <c r="GD18" s="262"/>
      <c r="GE18" s="262"/>
      <c r="GF18" s="262"/>
      <c r="GG18" s="262"/>
      <c r="GH18" s="262"/>
      <c r="GI18" s="262"/>
      <c r="GJ18" s="262"/>
      <c r="GK18" s="262"/>
      <c r="GL18" s="262"/>
      <c r="GM18" s="262"/>
      <c r="GN18" s="262"/>
      <c r="GO18" s="262"/>
      <c r="GP18" s="262"/>
      <c r="GQ18" s="262"/>
      <c r="GR18" s="262"/>
      <c r="GS18" s="262"/>
      <c r="GT18" s="262"/>
      <c r="GU18" s="262"/>
      <c r="GV18" s="262"/>
      <c r="GW18" s="262"/>
      <c r="GX18" s="262"/>
      <c r="GY18" s="262"/>
      <c r="GZ18" s="262"/>
      <c r="HA18" s="262"/>
      <c r="HB18" s="262"/>
      <c r="HC18" s="262"/>
      <c r="HD18" s="262"/>
      <c r="HE18" s="262"/>
      <c r="HF18" s="262"/>
      <c r="HG18" s="262"/>
      <c r="HH18" s="262"/>
      <c r="HI18" s="262"/>
      <c r="HJ18" s="262"/>
      <c r="HK18" s="262"/>
      <c r="HL18" s="262"/>
      <c r="HM18" s="262"/>
      <c r="HN18" s="262"/>
      <c r="HO18" s="262"/>
      <c r="HP18" s="262"/>
      <c r="HQ18" s="262"/>
      <c r="HR18" s="262"/>
      <c r="HS18" s="262"/>
      <c r="HT18" s="262"/>
      <c r="HU18" s="262"/>
      <c r="HV18" s="262"/>
      <c r="HW18" s="262"/>
      <c r="HX18" s="262"/>
      <c r="HY18" s="262"/>
      <c r="HZ18" s="262"/>
      <c r="IA18" s="262"/>
      <c r="IB18" s="262"/>
      <c r="IC18" s="262"/>
      <c r="ID18" s="262"/>
      <c r="IE18" s="262"/>
      <c r="IF18" s="262"/>
      <c r="IG18" s="262"/>
      <c r="IH18" s="262"/>
      <c r="II18" s="262"/>
      <c r="IJ18" s="262"/>
      <c r="IK18" s="262"/>
      <c r="IL18" s="262"/>
      <c r="IM18" s="262"/>
      <c r="IN18" s="262"/>
      <c r="IO18" s="262"/>
      <c r="IP18" s="262"/>
      <c r="IQ18" s="262"/>
      <c r="IR18" s="262"/>
      <c r="IS18" s="262"/>
      <c r="IT18" s="262"/>
      <c r="IU18" s="262"/>
    </row>
    <row r="19" ht="24" hidden="1" customHeight="1" spans="1:255">
      <c r="A19" s="267">
        <v>1020</v>
      </c>
      <c r="B19" s="268" t="s">
        <v>1398</v>
      </c>
      <c r="C19" s="225" t="s">
        <v>1380</v>
      </c>
      <c r="D19" s="230">
        <v>1381.72622653826</v>
      </c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62"/>
      <c r="BH19" s="262"/>
      <c r="BI19" s="262"/>
      <c r="BJ19" s="262"/>
      <c r="BK19" s="262"/>
      <c r="BL19" s="262"/>
      <c r="BM19" s="262"/>
      <c r="BN19" s="262"/>
      <c r="BO19" s="262"/>
      <c r="BP19" s="262"/>
      <c r="BQ19" s="262"/>
      <c r="BR19" s="262"/>
      <c r="BS19" s="262"/>
      <c r="BT19" s="262"/>
      <c r="BU19" s="262"/>
      <c r="BV19" s="262"/>
      <c r="BW19" s="262"/>
      <c r="BX19" s="262"/>
      <c r="BY19" s="262"/>
      <c r="BZ19" s="262"/>
      <c r="CA19" s="262"/>
      <c r="CB19" s="262"/>
      <c r="CC19" s="262"/>
      <c r="CD19" s="262"/>
      <c r="CE19" s="262"/>
      <c r="CF19" s="262"/>
      <c r="CG19" s="262"/>
      <c r="CH19" s="262"/>
      <c r="CI19" s="262"/>
      <c r="CJ19" s="262"/>
      <c r="CK19" s="262"/>
      <c r="CL19" s="262"/>
      <c r="CM19" s="262"/>
      <c r="CN19" s="262"/>
      <c r="CO19" s="262"/>
      <c r="CP19" s="262"/>
      <c r="CQ19" s="262"/>
      <c r="CR19" s="262"/>
      <c r="CS19" s="262"/>
      <c r="CT19" s="262"/>
      <c r="CU19" s="262"/>
      <c r="CV19" s="262"/>
      <c r="CW19" s="262"/>
      <c r="CX19" s="262"/>
      <c r="CY19" s="262"/>
      <c r="CZ19" s="262"/>
      <c r="DA19" s="262"/>
      <c r="DB19" s="262"/>
      <c r="DC19" s="262"/>
      <c r="DD19" s="262"/>
      <c r="DE19" s="262"/>
      <c r="DF19" s="262"/>
      <c r="DG19" s="262"/>
      <c r="DH19" s="262"/>
      <c r="DI19" s="262"/>
      <c r="DJ19" s="262"/>
      <c r="DK19" s="262"/>
      <c r="DL19" s="262"/>
      <c r="DM19" s="262"/>
      <c r="DN19" s="262"/>
      <c r="DO19" s="262"/>
      <c r="DP19" s="262"/>
      <c r="DQ19" s="262"/>
      <c r="DR19" s="262"/>
      <c r="DS19" s="262"/>
      <c r="DT19" s="262"/>
      <c r="DU19" s="262"/>
      <c r="DV19" s="262"/>
      <c r="DW19" s="262"/>
      <c r="DX19" s="262"/>
      <c r="DY19" s="262"/>
      <c r="DZ19" s="262"/>
      <c r="EA19" s="262"/>
      <c r="EB19" s="262"/>
      <c r="EC19" s="262"/>
      <c r="ED19" s="262"/>
      <c r="EE19" s="262"/>
      <c r="EF19" s="262"/>
      <c r="EG19" s="262"/>
      <c r="EH19" s="262"/>
      <c r="EI19" s="262"/>
      <c r="EJ19" s="262"/>
      <c r="EK19" s="262"/>
      <c r="EL19" s="262"/>
      <c r="EM19" s="262"/>
      <c r="EN19" s="262"/>
      <c r="EO19" s="262"/>
      <c r="EP19" s="262"/>
      <c r="EQ19" s="262"/>
      <c r="ER19" s="262"/>
      <c r="ES19" s="262"/>
      <c r="ET19" s="262"/>
      <c r="EU19" s="262"/>
      <c r="EV19" s="262"/>
      <c r="EW19" s="262"/>
      <c r="EX19" s="262"/>
      <c r="EY19" s="262"/>
      <c r="EZ19" s="262"/>
      <c r="FA19" s="262"/>
      <c r="FB19" s="262"/>
      <c r="FC19" s="262"/>
      <c r="FD19" s="262"/>
      <c r="FE19" s="262"/>
      <c r="FF19" s="262"/>
      <c r="FG19" s="262"/>
      <c r="FH19" s="262"/>
      <c r="FI19" s="262"/>
      <c r="FJ19" s="262"/>
      <c r="FK19" s="262"/>
      <c r="FL19" s="262"/>
      <c r="FM19" s="262"/>
      <c r="FN19" s="262"/>
      <c r="FO19" s="262"/>
      <c r="FP19" s="262"/>
      <c r="FQ19" s="262"/>
      <c r="FR19" s="262"/>
      <c r="FS19" s="262"/>
      <c r="FT19" s="262"/>
      <c r="FU19" s="262"/>
      <c r="FV19" s="262"/>
      <c r="FW19" s="262"/>
      <c r="FX19" s="262"/>
      <c r="FY19" s="262"/>
      <c r="FZ19" s="262"/>
      <c r="GA19" s="262"/>
      <c r="GB19" s="262"/>
      <c r="GC19" s="262"/>
      <c r="GD19" s="262"/>
      <c r="GE19" s="262"/>
      <c r="GF19" s="262"/>
      <c r="GG19" s="262"/>
      <c r="GH19" s="262"/>
      <c r="GI19" s="262"/>
      <c r="GJ19" s="262"/>
      <c r="GK19" s="262"/>
      <c r="GL19" s="262"/>
      <c r="GM19" s="262"/>
      <c r="GN19" s="262"/>
      <c r="GO19" s="262"/>
      <c r="GP19" s="262"/>
      <c r="GQ19" s="262"/>
      <c r="GR19" s="262"/>
      <c r="GS19" s="262"/>
      <c r="GT19" s="262"/>
      <c r="GU19" s="262"/>
      <c r="GV19" s="262"/>
      <c r="GW19" s="262"/>
      <c r="GX19" s="262"/>
      <c r="GY19" s="262"/>
      <c r="GZ19" s="262"/>
      <c r="HA19" s="262"/>
      <c r="HB19" s="262"/>
      <c r="HC19" s="262"/>
      <c r="HD19" s="262"/>
      <c r="HE19" s="262"/>
      <c r="HF19" s="262"/>
      <c r="HG19" s="262"/>
      <c r="HH19" s="262"/>
      <c r="HI19" s="262"/>
      <c r="HJ19" s="262"/>
      <c r="HK19" s="262"/>
      <c r="HL19" s="262"/>
      <c r="HM19" s="262"/>
      <c r="HN19" s="262"/>
      <c r="HO19" s="262"/>
      <c r="HP19" s="262"/>
      <c r="HQ19" s="262"/>
      <c r="HR19" s="262"/>
      <c r="HS19" s="262"/>
      <c r="HT19" s="262"/>
      <c r="HU19" s="262"/>
      <c r="HV19" s="262"/>
      <c r="HW19" s="262"/>
      <c r="HX19" s="262"/>
      <c r="HY19" s="262"/>
      <c r="HZ19" s="262"/>
      <c r="IA19" s="262"/>
      <c r="IB19" s="262"/>
      <c r="IC19" s="262"/>
      <c r="ID19" s="262"/>
      <c r="IE19" s="262"/>
      <c r="IF19" s="262"/>
      <c r="IG19" s="262"/>
      <c r="IH19" s="262"/>
      <c r="II19" s="262"/>
      <c r="IJ19" s="262"/>
      <c r="IK19" s="262"/>
      <c r="IL19" s="262"/>
      <c r="IM19" s="262"/>
      <c r="IN19" s="262"/>
      <c r="IO19" s="262"/>
      <c r="IP19" s="262"/>
      <c r="IQ19" s="262"/>
      <c r="IR19" s="262"/>
      <c r="IS19" s="262"/>
      <c r="IT19" s="262"/>
      <c r="IU19" s="262"/>
    </row>
    <row r="20" ht="24" hidden="1" customHeight="1" spans="1:255">
      <c r="A20" s="267">
        <v>1021</v>
      </c>
      <c r="B20" s="268" t="s">
        <v>1399</v>
      </c>
      <c r="C20" s="225" t="s">
        <v>1380</v>
      </c>
      <c r="D20" s="230">
        <v>1582.92540006352</v>
      </c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  <c r="BS20" s="262"/>
      <c r="BT20" s="262"/>
      <c r="BU20" s="262"/>
      <c r="BV20" s="262"/>
      <c r="BW20" s="262"/>
      <c r="BX20" s="262"/>
      <c r="BY20" s="262"/>
      <c r="BZ20" s="262"/>
      <c r="CA20" s="262"/>
      <c r="CB20" s="262"/>
      <c r="CC20" s="262"/>
      <c r="CD20" s="262"/>
      <c r="CE20" s="262"/>
      <c r="CF20" s="262"/>
      <c r="CG20" s="262"/>
      <c r="CH20" s="262"/>
      <c r="CI20" s="262"/>
      <c r="CJ20" s="262"/>
      <c r="CK20" s="262"/>
      <c r="CL20" s="262"/>
      <c r="CM20" s="262"/>
      <c r="CN20" s="262"/>
      <c r="CO20" s="262"/>
      <c r="CP20" s="262"/>
      <c r="CQ20" s="262"/>
      <c r="CR20" s="262"/>
      <c r="CS20" s="262"/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62"/>
      <c r="DF20" s="262"/>
      <c r="DG20" s="262"/>
      <c r="DH20" s="262"/>
      <c r="DI20" s="262"/>
      <c r="DJ20" s="262"/>
      <c r="DK20" s="262"/>
      <c r="DL20" s="262"/>
      <c r="DM20" s="262"/>
      <c r="DN20" s="262"/>
      <c r="DO20" s="262"/>
      <c r="DP20" s="262"/>
      <c r="DQ20" s="262"/>
      <c r="DR20" s="262"/>
      <c r="DS20" s="262"/>
      <c r="DT20" s="262"/>
      <c r="DU20" s="262"/>
      <c r="DV20" s="262"/>
      <c r="DW20" s="262"/>
      <c r="DX20" s="262"/>
      <c r="DY20" s="262"/>
      <c r="DZ20" s="262"/>
      <c r="EA20" s="262"/>
      <c r="EB20" s="262"/>
      <c r="EC20" s="262"/>
      <c r="ED20" s="262"/>
      <c r="EE20" s="262"/>
      <c r="EF20" s="262"/>
      <c r="EG20" s="262"/>
      <c r="EH20" s="262"/>
      <c r="EI20" s="262"/>
      <c r="EJ20" s="262"/>
      <c r="EK20" s="262"/>
      <c r="EL20" s="262"/>
      <c r="EM20" s="262"/>
      <c r="EN20" s="262"/>
      <c r="EO20" s="262"/>
      <c r="EP20" s="262"/>
      <c r="EQ20" s="262"/>
      <c r="ER20" s="262"/>
      <c r="ES20" s="262"/>
      <c r="ET20" s="262"/>
      <c r="EU20" s="262"/>
      <c r="EV20" s="262"/>
      <c r="EW20" s="262"/>
      <c r="EX20" s="262"/>
      <c r="EY20" s="262"/>
      <c r="EZ20" s="262"/>
      <c r="FA20" s="262"/>
      <c r="FB20" s="262"/>
      <c r="FC20" s="262"/>
      <c r="FD20" s="262"/>
      <c r="FE20" s="262"/>
      <c r="FF20" s="262"/>
      <c r="FG20" s="262"/>
      <c r="FH20" s="262"/>
      <c r="FI20" s="262"/>
      <c r="FJ20" s="262"/>
      <c r="FK20" s="262"/>
      <c r="FL20" s="262"/>
      <c r="FM20" s="262"/>
      <c r="FN20" s="262"/>
      <c r="FO20" s="262"/>
      <c r="FP20" s="262"/>
      <c r="FQ20" s="262"/>
      <c r="FR20" s="262"/>
      <c r="FS20" s="262"/>
      <c r="FT20" s="262"/>
      <c r="FU20" s="262"/>
      <c r="FV20" s="262"/>
      <c r="FW20" s="262"/>
      <c r="FX20" s="262"/>
      <c r="FY20" s="262"/>
      <c r="FZ20" s="262"/>
      <c r="GA20" s="262"/>
      <c r="GB20" s="262"/>
      <c r="GC20" s="262"/>
      <c r="GD20" s="262"/>
      <c r="GE20" s="262"/>
      <c r="GF20" s="262"/>
      <c r="GG20" s="262"/>
      <c r="GH20" s="262"/>
      <c r="GI20" s="262"/>
      <c r="GJ20" s="262"/>
      <c r="GK20" s="262"/>
      <c r="GL20" s="262"/>
      <c r="GM20" s="262"/>
      <c r="GN20" s="262"/>
      <c r="GO20" s="262"/>
      <c r="GP20" s="262"/>
      <c r="GQ20" s="262"/>
      <c r="GR20" s="262"/>
      <c r="GS20" s="262"/>
      <c r="GT20" s="262"/>
      <c r="GU20" s="262"/>
      <c r="GV20" s="262"/>
      <c r="GW20" s="262"/>
      <c r="GX20" s="262"/>
      <c r="GY20" s="262"/>
      <c r="GZ20" s="262"/>
      <c r="HA20" s="262"/>
      <c r="HB20" s="262"/>
      <c r="HC20" s="262"/>
      <c r="HD20" s="262"/>
      <c r="HE20" s="262"/>
      <c r="HF20" s="262"/>
      <c r="HG20" s="262"/>
      <c r="HH20" s="262"/>
      <c r="HI20" s="262"/>
      <c r="HJ20" s="262"/>
      <c r="HK20" s="262"/>
      <c r="HL20" s="262"/>
      <c r="HM20" s="262"/>
      <c r="HN20" s="262"/>
      <c r="HO20" s="262"/>
      <c r="HP20" s="262"/>
      <c r="HQ20" s="262"/>
      <c r="HR20" s="262"/>
      <c r="HS20" s="262"/>
      <c r="HT20" s="262"/>
      <c r="HU20" s="262"/>
      <c r="HV20" s="262"/>
      <c r="HW20" s="262"/>
      <c r="HX20" s="262"/>
      <c r="HY20" s="262"/>
      <c r="HZ20" s="262"/>
      <c r="IA20" s="262"/>
      <c r="IB20" s="262"/>
      <c r="IC20" s="262"/>
      <c r="ID20" s="262"/>
      <c r="IE20" s="262"/>
      <c r="IF20" s="262"/>
      <c r="IG20" s="262"/>
      <c r="IH20" s="262"/>
      <c r="II20" s="262"/>
      <c r="IJ20" s="262"/>
      <c r="IK20" s="262"/>
      <c r="IL20" s="262"/>
      <c r="IM20" s="262"/>
      <c r="IN20" s="262"/>
      <c r="IO20" s="262"/>
      <c r="IP20" s="262"/>
      <c r="IQ20" s="262"/>
      <c r="IR20" s="262"/>
      <c r="IS20" s="262"/>
      <c r="IT20" s="262"/>
      <c r="IU20" s="262"/>
    </row>
    <row r="21" ht="24" hidden="1" customHeight="1" spans="1:255">
      <c r="A21" s="267">
        <v>1030</v>
      </c>
      <c r="B21" s="268" t="s">
        <v>1400</v>
      </c>
      <c r="C21" s="225" t="s">
        <v>1380</v>
      </c>
      <c r="D21" s="230">
        <v>1086.32401325062</v>
      </c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62"/>
      <c r="BH21" s="262"/>
      <c r="BI21" s="262"/>
      <c r="BJ21" s="262"/>
      <c r="BK21" s="262"/>
      <c r="BL21" s="262"/>
      <c r="BM21" s="262"/>
      <c r="BN21" s="262"/>
      <c r="BO21" s="262"/>
      <c r="BP21" s="262"/>
      <c r="BQ21" s="262"/>
      <c r="BR21" s="262"/>
      <c r="BS21" s="262"/>
      <c r="BT21" s="262"/>
      <c r="BU21" s="262"/>
      <c r="BV21" s="262"/>
      <c r="BW21" s="262"/>
      <c r="BX21" s="262"/>
      <c r="BY21" s="262"/>
      <c r="BZ21" s="262"/>
      <c r="CA21" s="262"/>
      <c r="CB21" s="262"/>
      <c r="CC21" s="262"/>
      <c r="CD21" s="262"/>
      <c r="CE21" s="262"/>
      <c r="CF21" s="262"/>
      <c r="CG21" s="262"/>
      <c r="CH21" s="262"/>
      <c r="CI21" s="262"/>
      <c r="CJ21" s="262"/>
      <c r="CK21" s="262"/>
      <c r="CL21" s="262"/>
      <c r="CM21" s="262"/>
      <c r="CN21" s="262"/>
      <c r="CO21" s="262"/>
      <c r="CP21" s="262"/>
      <c r="CQ21" s="262"/>
      <c r="CR21" s="262"/>
      <c r="CS21" s="262"/>
      <c r="CT21" s="262"/>
      <c r="CU21" s="262"/>
      <c r="CV21" s="262"/>
      <c r="CW21" s="262"/>
      <c r="CX21" s="262"/>
      <c r="CY21" s="262"/>
      <c r="CZ21" s="262"/>
      <c r="DA21" s="262"/>
      <c r="DB21" s="262"/>
      <c r="DC21" s="262"/>
      <c r="DD21" s="262"/>
      <c r="DE21" s="262"/>
      <c r="DF21" s="262"/>
      <c r="DG21" s="262"/>
      <c r="DH21" s="262"/>
      <c r="DI21" s="262"/>
      <c r="DJ21" s="262"/>
      <c r="DK21" s="262"/>
      <c r="DL21" s="262"/>
      <c r="DM21" s="262"/>
      <c r="DN21" s="262"/>
      <c r="DO21" s="262"/>
      <c r="DP21" s="262"/>
      <c r="DQ21" s="262"/>
      <c r="DR21" s="262"/>
      <c r="DS21" s="262"/>
      <c r="DT21" s="262"/>
      <c r="DU21" s="262"/>
      <c r="DV21" s="262"/>
      <c r="DW21" s="262"/>
      <c r="DX21" s="262"/>
      <c r="DY21" s="262"/>
      <c r="DZ21" s="262"/>
      <c r="EA21" s="262"/>
      <c r="EB21" s="262"/>
      <c r="EC21" s="262"/>
      <c r="ED21" s="262"/>
      <c r="EE21" s="262"/>
      <c r="EF21" s="262"/>
      <c r="EG21" s="262"/>
      <c r="EH21" s="262"/>
      <c r="EI21" s="262"/>
      <c r="EJ21" s="262"/>
      <c r="EK21" s="262"/>
      <c r="EL21" s="262"/>
      <c r="EM21" s="262"/>
      <c r="EN21" s="262"/>
      <c r="EO21" s="262"/>
      <c r="EP21" s="262"/>
      <c r="EQ21" s="262"/>
      <c r="ER21" s="262"/>
      <c r="ES21" s="262"/>
      <c r="ET21" s="262"/>
      <c r="EU21" s="262"/>
      <c r="EV21" s="262"/>
      <c r="EW21" s="262"/>
      <c r="EX21" s="262"/>
      <c r="EY21" s="262"/>
      <c r="EZ21" s="262"/>
      <c r="FA21" s="262"/>
      <c r="FB21" s="262"/>
      <c r="FC21" s="262"/>
      <c r="FD21" s="262"/>
      <c r="FE21" s="262"/>
      <c r="FF21" s="262"/>
      <c r="FG21" s="262"/>
      <c r="FH21" s="262"/>
      <c r="FI21" s="262"/>
      <c r="FJ21" s="262"/>
      <c r="FK21" s="262"/>
      <c r="FL21" s="262"/>
      <c r="FM21" s="262"/>
      <c r="FN21" s="262"/>
      <c r="FO21" s="262"/>
      <c r="FP21" s="262"/>
      <c r="FQ21" s="262"/>
      <c r="FR21" s="262"/>
      <c r="FS21" s="262"/>
      <c r="FT21" s="262"/>
      <c r="FU21" s="262"/>
      <c r="FV21" s="262"/>
      <c r="FW21" s="262"/>
      <c r="FX21" s="262"/>
      <c r="FY21" s="262"/>
      <c r="FZ21" s="262"/>
      <c r="GA21" s="262"/>
      <c r="GB21" s="262"/>
      <c r="GC21" s="262"/>
      <c r="GD21" s="262"/>
      <c r="GE21" s="262"/>
      <c r="GF21" s="262"/>
      <c r="GG21" s="262"/>
      <c r="GH21" s="262"/>
      <c r="GI21" s="262"/>
      <c r="GJ21" s="262"/>
      <c r="GK21" s="262"/>
      <c r="GL21" s="262"/>
      <c r="GM21" s="262"/>
      <c r="GN21" s="262"/>
      <c r="GO21" s="262"/>
      <c r="GP21" s="262"/>
      <c r="GQ21" s="262"/>
      <c r="GR21" s="262"/>
      <c r="GS21" s="262"/>
      <c r="GT21" s="262"/>
      <c r="GU21" s="262"/>
      <c r="GV21" s="262"/>
      <c r="GW21" s="262"/>
      <c r="GX21" s="262"/>
      <c r="GY21" s="262"/>
      <c r="GZ21" s="262"/>
      <c r="HA21" s="262"/>
      <c r="HB21" s="262"/>
      <c r="HC21" s="262"/>
      <c r="HD21" s="262"/>
      <c r="HE21" s="262"/>
      <c r="HF21" s="262"/>
      <c r="HG21" s="262"/>
      <c r="HH21" s="262"/>
      <c r="HI21" s="262"/>
      <c r="HJ21" s="262"/>
      <c r="HK21" s="262"/>
      <c r="HL21" s="262"/>
      <c r="HM21" s="262"/>
      <c r="HN21" s="262"/>
      <c r="HO21" s="262"/>
      <c r="HP21" s="262"/>
      <c r="HQ21" s="262"/>
      <c r="HR21" s="262"/>
      <c r="HS21" s="262"/>
      <c r="HT21" s="262"/>
      <c r="HU21" s="262"/>
      <c r="HV21" s="262"/>
      <c r="HW21" s="262"/>
      <c r="HX21" s="262"/>
      <c r="HY21" s="262"/>
      <c r="HZ21" s="262"/>
      <c r="IA21" s="262"/>
      <c r="IB21" s="262"/>
      <c r="IC21" s="262"/>
      <c r="ID21" s="262"/>
      <c r="IE21" s="262"/>
      <c r="IF21" s="262"/>
      <c r="IG21" s="262"/>
      <c r="IH21" s="262"/>
      <c r="II21" s="262"/>
      <c r="IJ21" s="262"/>
      <c r="IK21" s="262"/>
      <c r="IL21" s="262"/>
      <c r="IM21" s="262"/>
      <c r="IN21" s="262"/>
      <c r="IO21" s="262"/>
      <c r="IP21" s="262"/>
      <c r="IQ21" s="262"/>
      <c r="IR21" s="262"/>
      <c r="IS21" s="262"/>
      <c r="IT21" s="262"/>
      <c r="IU21" s="262"/>
    </row>
    <row r="22" ht="24" hidden="1" customHeight="1" spans="1:255">
      <c r="A22" s="267">
        <v>1031</v>
      </c>
      <c r="B22" s="268" t="s">
        <v>1401</v>
      </c>
      <c r="C22" s="225" t="s">
        <v>1380</v>
      </c>
      <c r="D22" s="230">
        <v>881.270702464775</v>
      </c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262"/>
      <c r="BR22" s="262"/>
      <c r="BS22" s="262"/>
      <c r="BT22" s="262"/>
      <c r="BU22" s="262"/>
      <c r="BV22" s="262"/>
      <c r="BW22" s="262"/>
      <c r="BX22" s="262"/>
      <c r="BY22" s="262"/>
      <c r="BZ22" s="262"/>
      <c r="CA22" s="262"/>
      <c r="CB22" s="262"/>
      <c r="CC22" s="262"/>
      <c r="CD22" s="262"/>
      <c r="CE22" s="262"/>
      <c r="CF22" s="262"/>
      <c r="CG22" s="262"/>
      <c r="CH22" s="262"/>
      <c r="CI22" s="262"/>
      <c r="CJ22" s="262"/>
      <c r="CK22" s="262"/>
      <c r="CL22" s="262"/>
      <c r="CM22" s="262"/>
      <c r="CN22" s="262"/>
      <c r="CO22" s="262"/>
      <c r="CP22" s="262"/>
      <c r="CQ22" s="262"/>
      <c r="CR22" s="262"/>
      <c r="CS22" s="262"/>
      <c r="CT22" s="262"/>
      <c r="CU22" s="262"/>
      <c r="CV22" s="262"/>
      <c r="CW22" s="262"/>
      <c r="CX22" s="262"/>
      <c r="CY22" s="262"/>
      <c r="CZ22" s="262"/>
      <c r="DA22" s="262"/>
      <c r="DB22" s="262"/>
      <c r="DC22" s="262"/>
      <c r="DD22" s="262"/>
      <c r="DE22" s="262"/>
      <c r="DF22" s="262"/>
      <c r="DG22" s="262"/>
      <c r="DH22" s="262"/>
      <c r="DI22" s="262"/>
      <c r="DJ22" s="262"/>
      <c r="DK22" s="262"/>
      <c r="DL22" s="262"/>
      <c r="DM22" s="262"/>
      <c r="DN22" s="262"/>
      <c r="DO22" s="262"/>
      <c r="DP22" s="262"/>
      <c r="DQ22" s="262"/>
      <c r="DR22" s="262"/>
      <c r="DS22" s="262"/>
      <c r="DT22" s="262"/>
      <c r="DU22" s="262"/>
      <c r="DV22" s="262"/>
      <c r="DW22" s="262"/>
      <c r="DX22" s="262"/>
      <c r="DY22" s="262"/>
      <c r="DZ22" s="262"/>
      <c r="EA22" s="262"/>
      <c r="EB22" s="262"/>
      <c r="EC22" s="262"/>
      <c r="ED22" s="262"/>
      <c r="EE22" s="262"/>
      <c r="EF22" s="262"/>
      <c r="EG22" s="262"/>
      <c r="EH22" s="262"/>
      <c r="EI22" s="262"/>
      <c r="EJ22" s="262"/>
      <c r="EK22" s="262"/>
      <c r="EL22" s="262"/>
      <c r="EM22" s="262"/>
      <c r="EN22" s="262"/>
      <c r="EO22" s="262"/>
      <c r="EP22" s="262"/>
      <c r="EQ22" s="262"/>
      <c r="ER22" s="262"/>
      <c r="ES22" s="262"/>
      <c r="ET22" s="262"/>
      <c r="EU22" s="262"/>
      <c r="EV22" s="262"/>
      <c r="EW22" s="262"/>
      <c r="EX22" s="262"/>
      <c r="EY22" s="262"/>
      <c r="EZ22" s="262"/>
      <c r="FA22" s="262"/>
      <c r="FB22" s="262"/>
      <c r="FC22" s="262"/>
      <c r="FD22" s="262"/>
      <c r="FE22" s="262"/>
      <c r="FF22" s="262"/>
      <c r="FG22" s="262"/>
      <c r="FH22" s="262"/>
      <c r="FI22" s="262"/>
      <c r="FJ22" s="262"/>
      <c r="FK22" s="262"/>
      <c r="FL22" s="262"/>
      <c r="FM22" s="262"/>
      <c r="FN22" s="262"/>
      <c r="FO22" s="262"/>
      <c r="FP22" s="262"/>
      <c r="FQ22" s="262"/>
      <c r="FR22" s="262"/>
      <c r="FS22" s="262"/>
      <c r="FT22" s="262"/>
      <c r="FU22" s="262"/>
      <c r="FV22" s="262"/>
      <c r="FW22" s="262"/>
      <c r="FX22" s="262"/>
      <c r="FY22" s="262"/>
      <c r="FZ22" s="262"/>
      <c r="GA22" s="262"/>
      <c r="GB22" s="262"/>
      <c r="GC22" s="262"/>
      <c r="GD22" s="262"/>
      <c r="GE22" s="262"/>
      <c r="GF22" s="262"/>
      <c r="GG22" s="262"/>
      <c r="GH22" s="262"/>
      <c r="GI22" s="262"/>
      <c r="GJ22" s="262"/>
      <c r="GK22" s="262"/>
      <c r="GL22" s="262"/>
      <c r="GM22" s="262"/>
      <c r="GN22" s="262"/>
      <c r="GO22" s="262"/>
      <c r="GP22" s="262"/>
      <c r="GQ22" s="262"/>
      <c r="GR22" s="262"/>
      <c r="GS22" s="262"/>
      <c r="GT22" s="262"/>
      <c r="GU22" s="262"/>
      <c r="GV22" s="262"/>
      <c r="GW22" s="262"/>
      <c r="GX22" s="262"/>
      <c r="GY22" s="262"/>
      <c r="GZ22" s="262"/>
      <c r="HA22" s="262"/>
      <c r="HB22" s="262"/>
      <c r="HC22" s="262"/>
      <c r="HD22" s="262"/>
      <c r="HE22" s="262"/>
      <c r="HF22" s="262"/>
      <c r="HG22" s="262"/>
      <c r="HH22" s="262"/>
      <c r="HI22" s="262"/>
      <c r="HJ22" s="262"/>
      <c r="HK22" s="262"/>
      <c r="HL22" s="262"/>
      <c r="HM22" s="262"/>
      <c r="HN22" s="262"/>
      <c r="HO22" s="262"/>
      <c r="HP22" s="262"/>
      <c r="HQ22" s="262"/>
      <c r="HR22" s="262"/>
      <c r="HS22" s="262"/>
      <c r="HT22" s="262"/>
      <c r="HU22" s="262"/>
      <c r="HV22" s="262"/>
      <c r="HW22" s="262"/>
      <c r="HX22" s="262"/>
      <c r="HY22" s="262"/>
      <c r="HZ22" s="262"/>
      <c r="IA22" s="262"/>
      <c r="IB22" s="262"/>
      <c r="IC22" s="262"/>
      <c r="ID22" s="262"/>
      <c r="IE22" s="262"/>
      <c r="IF22" s="262"/>
      <c r="IG22" s="262"/>
      <c r="IH22" s="262"/>
      <c r="II22" s="262"/>
      <c r="IJ22" s="262"/>
      <c r="IK22" s="262"/>
      <c r="IL22" s="262"/>
      <c r="IM22" s="262"/>
      <c r="IN22" s="262"/>
      <c r="IO22" s="262"/>
      <c r="IP22" s="262"/>
      <c r="IQ22" s="262"/>
      <c r="IR22" s="262"/>
      <c r="IS22" s="262"/>
      <c r="IT22" s="262"/>
      <c r="IU22" s="262"/>
    </row>
    <row r="23" ht="24" hidden="1" customHeight="1" spans="1:255">
      <c r="A23" s="267">
        <v>1032</v>
      </c>
      <c r="B23" s="268" t="s">
        <v>1402</v>
      </c>
      <c r="C23" s="225" t="s">
        <v>1380</v>
      </c>
      <c r="D23" s="230">
        <v>936.310424250446</v>
      </c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62"/>
      <c r="BK23" s="262"/>
      <c r="BL23" s="262"/>
      <c r="BM23" s="262"/>
      <c r="BN23" s="262"/>
      <c r="BO23" s="262"/>
      <c r="BP23" s="262"/>
      <c r="BQ23" s="262"/>
      <c r="BR23" s="262"/>
      <c r="BS23" s="262"/>
      <c r="BT23" s="262"/>
      <c r="BU23" s="262"/>
      <c r="BV23" s="262"/>
      <c r="BW23" s="262"/>
      <c r="BX23" s="262"/>
      <c r="BY23" s="262"/>
      <c r="BZ23" s="262"/>
      <c r="CA23" s="262"/>
      <c r="CB23" s="262"/>
      <c r="CC23" s="262"/>
      <c r="CD23" s="262"/>
      <c r="CE23" s="262"/>
      <c r="CF23" s="262"/>
      <c r="CG23" s="262"/>
      <c r="CH23" s="262"/>
      <c r="CI23" s="262"/>
      <c r="CJ23" s="262"/>
      <c r="CK23" s="262"/>
      <c r="CL23" s="262"/>
      <c r="CM23" s="262"/>
      <c r="CN23" s="262"/>
      <c r="CO23" s="262"/>
      <c r="CP23" s="262"/>
      <c r="CQ23" s="262"/>
      <c r="CR23" s="262"/>
      <c r="CS23" s="262"/>
      <c r="CT23" s="262"/>
      <c r="CU23" s="262"/>
      <c r="CV23" s="262"/>
      <c r="CW23" s="262"/>
      <c r="CX23" s="262"/>
      <c r="CY23" s="262"/>
      <c r="CZ23" s="262"/>
      <c r="DA23" s="262"/>
      <c r="DB23" s="262"/>
      <c r="DC23" s="262"/>
      <c r="DD23" s="262"/>
      <c r="DE23" s="262"/>
      <c r="DF23" s="262"/>
      <c r="DG23" s="262"/>
      <c r="DH23" s="262"/>
      <c r="DI23" s="262"/>
      <c r="DJ23" s="262"/>
      <c r="DK23" s="262"/>
      <c r="DL23" s="262"/>
      <c r="DM23" s="262"/>
      <c r="DN23" s="262"/>
      <c r="DO23" s="262"/>
      <c r="DP23" s="262"/>
      <c r="DQ23" s="262"/>
      <c r="DR23" s="262"/>
      <c r="DS23" s="262"/>
      <c r="DT23" s="262"/>
      <c r="DU23" s="262"/>
      <c r="DV23" s="262"/>
      <c r="DW23" s="262"/>
      <c r="DX23" s="262"/>
      <c r="DY23" s="262"/>
      <c r="DZ23" s="262"/>
      <c r="EA23" s="262"/>
      <c r="EB23" s="262"/>
      <c r="EC23" s="262"/>
      <c r="ED23" s="262"/>
      <c r="EE23" s="262"/>
      <c r="EF23" s="262"/>
      <c r="EG23" s="262"/>
      <c r="EH23" s="262"/>
      <c r="EI23" s="262"/>
      <c r="EJ23" s="262"/>
      <c r="EK23" s="262"/>
      <c r="EL23" s="262"/>
      <c r="EM23" s="262"/>
      <c r="EN23" s="262"/>
      <c r="EO23" s="262"/>
      <c r="EP23" s="262"/>
      <c r="EQ23" s="262"/>
      <c r="ER23" s="262"/>
      <c r="ES23" s="262"/>
      <c r="ET23" s="262"/>
      <c r="EU23" s="262"/>
      <c r="EV23" s="262"/>
      <c r="EW23" s="262"/>
      <c r="EX23" s="262"/>
      <c r="EY23" s="262"/>
      <c r="EZ23" s="262"/>
      <c r="FA23" s="262"/>
      <c r="FB23" s="262"/>
      <c r="FC23" s="262"/>
      <c r="FD23" s="262"/>
      <c r="FE23" s="262"/>
      <c r="FF23" s="262"/>
      <c r="FG23" s="262"/>
      <c r="FH23" s="262"/>
      <c r="FI23" s="262"/>
      <c r="FJ23" s="262"/>
      <c r="FK23" s="262"/>
      <c r="FL23" s="262"/>
      <c r="FM23" s="262"/>
      <c r="FN23" s="262"/>
      <c r="FO23" s="262"/>
      <c r="FP23" s="262"/>
      <c r="FQ23" s="262"/>
      <c r="FR23" s="262"/>
      <c r="FS23" s="262"/>
      <c r="FT23" s="262"/>
      <c r="FU23" s="262"/>
      <c r="FV23" s="262"/>
      <c r="FW23" s="262"/>
      <c r="FX23" s="262"/>
      <c r="FY23" s="262"/>
      <c r="FZ23" s="262"/>
      <c r="GA23" s="262"/>
      <c r="GB23" s="262"/>
      <c r="GC23" s="262"/>
      <c r="GD23" s="262"/>
      <c r="GE23" s="262"/>
      <c r="GF23" s="262"/>
      <c r="GG23" s="262"/>
      <c r="GH23" s="262"/>
      <c r="GI23" s="262"/>
      <c r="GJ23" s="262"/>
      <c r="GK23" s="262"/>
      <c r="GL23" s="262"/>
      <c r="GM23" s="262"/>
      <c r="GN23" s="262"/>
      <c r="GO23" s="262"/>
      <c r="GP23" s="262"/>
      <c r="GQ23" s="262"/>
      <c r="GR23" s="262"/>
      <c r="GS23" s="262"/>
      <c r="GT23" s="262"/>
      <c r="GU23" s="262"/>
      <c r="GV23" s="262"/>
      <c r="GW23" s="262"/>
      <c r="GX23" s="262"/>
      <c r="GY23" s="262"/>
      <c r="GZ23" s="262"/>
      <c r="HA23" s="262"/>
      <c r="HB23" s="262"/>
      <c r="HC23" s="262"/>
      <c r="HD23" s="262"/>
      <c r="HE23" s="262"/>
      <c r="HF23" s="262"/>
      <c r="HG23" s="262"/>
      <c r="HH23" s="262"/>
      <c r="HI23" s="262"/>
      <c r="HJ23" s="262"/>
      <c r="HK23" s="262"/>
      <c r="HL23" s="262"/>
      <c r="HM23" s="262"/>
      <c r="HN23" s="262"/>
      <c r="HO23" s="262"/>
      <c r="HP23" s="262"/>
      <c r="HQ23" s="262"/>
      <c r="HR23" s="262"/>
      <c r="HS23" s="262"/>
      <c r="HT23" s="262"/>
      <c r="HU23" s="262"/>
      <c r="HV23" s="262"/>
      <c r="HW23" s="262"/>
      <c r="HX23" s="262"/>
      <c r="HY23" s="262"/>
      <c r="HZ23" s="262"/>
      <c r="IA23" s="262"/>
      <c r="IB23" s="262"/>
      <c r="IC23" s="262"/>
      <c r="ID23" s="262"/>
      <c r="IE23" s="262"/>
      <c r="IF23" s="262"/>
      <c r="IG23" s="262"/>
      <c r="IH23" s="262"/>
      <c r="II23" s="262"/>
      <c r="IJ23" s="262"/>
      <c r="IK23" s="262"/>
      <c r="IL23" s="262"/>
      <c r="IM23" s="262"/>
      <c r="IN23" s="262"/>
      <c r="IO23" s="262"/>
      <c r="IP23" s="262"/>
      <c r="IQ23" s="262"/>
      <c r="IR23" s="262"/>
      <c r="IS23" s="262"/>
      <c r="IT23" s="262"/>
      <c r="IU23" s="262"/>
    </row>
    <row r="24" ht="24" hidden="1" customHeight="1" spans="1:255">
      <c r="A24" s="267">
        <v>1033</v>
      </c>
      <c r="B24" s="268" t="s">
        <v>1403</v>
      </c>
      <c r="C24" s="225" t="s">
        <v>1380</v>
      </c>
      <c r="D24" s="230">
        <v>881.270702464775</v>
      </c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/>
      <c r="CR24" s="262"/>
      <c r="CS24" s="262"/>
      <c r="CT24" s="262"/>
      <c r="CU24" s="262"/>
      <c r="CV24" s="262"/>
      <c r="CW24" s="262"/>
      <c r="CX24" s="262"/>
      <c r="CY24" s="262"/>
      <c r="CZ24" s="262"/>
      <c r="DA24" s="262"/>
      <c r="DB24" s="262"/>
      <c r="DC24" s="262"/>
      <c r="DD24" s="262"/>
      <c r="DE24" s="262"/>
      <c r="DF24" s="262"/>
      <c r="DG24" s="262"/>
      <c r="DH24" s="262"/>
      <c r="DI24" s="262"/>
      <c r="DJ24" s="262"/>
      <c r="DK24" s="262"/>
      <c r="DL24" s="262"/>
      <c r="DM24" s="262"/>
      <c r="DN24" s="262"/>
      <c r="DO24" s="262"/>
      <c r="DP24" s="262"/>
      <c r="DQ24" s="262"/>
      <c r="DR24" s="262"/>
      <c r="DS24" s="262"/>
      <c r="DT24" s="262"/>
      <c r="DU24" s="262"/>
      <c r="DV24" s="262"/>
      <c r="DW24" s="262"/>
      <c r="DX24" s="262"/>
      <c r="DY24" s="262"/>
      <c r="DZ24" s="262"/>
      <c r="EA24" s="262"/>
      <c r="EB24" s="262"/>
      <c r="EC24" s="262"/>
      <c r="ED24" s="262"/>
      <c r="EE24" s="262"/>
      <c r="EF24" s="262"/>
      <c r="EG24" s="262"/>
      <c r="EH24" s="262"/>
      <c r="EI24" s="262"/>
      <c r="EJ24" s="262"/>
      <c r="EK24" s="262"/>
      <c r="EL24" s="262"/>
      <c r="EM24" s="262"/>
      <c r="EN24" s="262"/>
      <c r="EO24" s="262"/>
      <c r="EP24" s="262"/>
      <c r="EQ24" s="262"/>
      <c r="ER24" s="262"/>
      <c r="ES24" s="262"/>
      <c r="ET24" s="262"/>
      <c r="EU24" s="262"/>
      <c r="EV24" s="262"/>
      <c r="EW24" s="262"/>
      <c r="EX24" s="262"/>
      <c r="EY24" s="262"/>
      <c r="EZ24" s="262"/>
      <c r="FA24" s="262"/>
      <c r="FB24" s="262"/>
      <c r="FC24" s="262"/>
      <c r="FD24" s="262"/>
      <c r="FE24" s="262"/>
      <c r="FF24" s="262"/>
      <c r="FG24" s="262"/>
      <c r="FH24" s="262"/>
      <c r="FI24" s="262"/>
      <c r="FJ24" s="262"/>
      <c r="FK24" s="262"/>
      <c r="FL24" s="262"/>
      <c r="FM24" s="262"/>
      <c r="FN24" s="262"/>
      <c r="FO24" s="262"/>
      <c r="FP24" s="262"/>
      <c r="FQ24" s="262"/>
      <c r="FR24" s="262"/>
      <c r="FS24" s="262"/>
      <c r="FT24" s="262"/>
      <c r="FU24" s="262"/>
      <c r="FV24" s="262"/>
      <c r="FW24" s="262"/>
      <c r="FX24" s="262"/>
      <c r="FY24" s="262"/>
      <c r="FZ24" s="262"/>
      <c r="GA24" s="262"/>
      <c r="GB24" s="262"/>
      <c r="GC24" s="262"/>
      <c r="GD24" s="262"/>
      <c r="GE24" s="262"/>
      <c r="GF24" s="262"/>
      <c r="GG24" s="262"/>
      <c r="GH24" s="262"/>
      <c r="GI24" s="262"/>
      <c r="GJ24" s="262"/>
      <c r="GK24" s="262"/>
      <c r="GL24" s="262"/>
      <c r="GM24" s="262"/>
      <c r="GN24" s="262"/>
      <c r="GO24" s="262"/>
      <c r="GP24" s="262"/>
      <c r="GQ24" s="262"/>
      <c r="GR24" s="262"/>
      <c r="GS24" s="262"/>
      <c r="GT24" s="262"/>
      <c r="GU24" s="262"/>
      <c r="GV24" s="262"/>
      <c r="GW24" s="262"/>
      <c r="GX24" s="262"/>
      <c r="GY24" s="262"/>
      <c r="GZ24" s="262"/>
      <c r="HA24" s="262"/>
      <c r="HB24" s="262"/>
      <c r="HC24" s="262"/>
      <c r="HD24" s="262"/>
      <c r="HE24" s="262"/>
      <c r="HF24" s="262"/>
      <c r="HG24" s="262"/>
      <c r="HH24" s="262"/>
      <c r="HI24" s="262"/>
      <c r="HJ24" s="262"/>
      <c r="HK24" s="262"/>
      <c r="HL24" s="262"/>
      <c r="HM24" s="262"/>
      <c r="HN24" s="262"/>
      <c r="HO24" s="262"/>
      <c r="HP24" s="262"/>
      <c r="HQ24" s="262"/>
      <c r="HR24" s="262"/>
      <c r="HS24" s="262"/>
      <c r="HT24" s="262"/>
      <c r="HU24" s="262"/>
      <c r="HV24" s="262"/>
      <c r="HW24" s="262"/>
      <c r="HX24" s="262"/>
      <c r="HY24" s="262"/>
      <c r="HZ24" s="262"/>
      <c r="IA24" s="262"/>
      <c r="IB24" s="262"/>
      <c r="IC24" s="262"/>
      <c r="ID24" s="262"/>
      <c r="IE24" s="262"/>
      <c r="IF24" s="262"/>
      <c r="IG24" s="262"/>
      <c r="IH24" s="262"/>
      <c r="II24" s="262"/>
      <c r="IJ24" s="262"/>
      <c r="IK24" s="262"/>
      <c r="IL24" s="262"/>
      <c r="IM24" s="262"/>
      <c r="IN24" s="262"/>
      <c r="IO24" s="262"/>
      <c r="IP24" s="262"/>
      <c r="IQ24" s="262"/>
      <c r="IR24" s="262"/>
      <c r="IS24" s="262"/>
      <c r="IT24" s="262"/>
      <c r="IU24" s="262"/>
    </row>
    <row r="25" ht="24" hidden="1" customHeight="1" spans="1:255">
      <c r="A25" s="267">
        <v>1034</v>
      </c>
      <c r="B25" s="268" t="s">
        <v>1404</v>
      </c>
      <c r="C25" s="225" t="s">
        <v>1380</v>
      </c>
      <c r="D25" s="230">
        <v>931.685459537752</v>
      </c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DW25" s="262"/>
      <c r="DX25" s="262"/>
      <c r="DY25" s="262"/>
      <c r="DZ25" s="262"/>
      <c r="EA25" s="262"/>
      <c r="EB25" s="262"/>
      <c r="EC25" s="262"/>
      <c r="ED25" s="262"/>
      <c r="EE25" s="262"/>
      <c r="EF25" s="262"/>
      <c r="EG25" s="262"/>
      <c r="EH25" s="262"/>
      <c r="EI25" s="262"/>
      <c r="EJ25" s="262"/>
      <c r="EK25" s="262"/>
      <c r="EL25" s="262"/>
      <c r="EM25" s="262"/>
      <c r="EN25" s="262"/>
      <c r="EO25" s="262"/>
      <c r="EP25" s="262"/>
      <c r="EQ25" s="262"/>
      <c r="ER25" s="262"/>
      <c r="ES25" s="262"/>
      <c r="ET25" s="262"/>
      <c r="EU25" s="262"/>
      <c r="EV25" s="262"/>
      <c r="EW25" s="262"/>
      <c r="EX25" s="262"/>
      <c r="EY25" s="262"/>
      <c r="EZ25" s="262"/>
      <c r="FA25" s="262"/>
      <c r="FB25" s="262"/>
      <c r="FC25" s="262"/>
      <c r="FD25" s="262"/>
      <c r="FE25" s="262"/>
      <c r="FF25" s="262"/>
      <c r="FG25" s="262"/>
      <c r="FH25" s="262"/>
      <c r="FI25" s="262"/>
      <c r="FJ25" s="262"/>
      <c r="FK25" s="262"/>
      <c r="FL25" s="262"/>
      <c r="FM25" s="262"/>
      <c r="FN25" s="262"/>
      <c r="FO25" s="262"/>
      <c r="FP25" s="262"/>
      <c r="FQ25" s="262"/>
      <c r="FR25" s="262"/>
      <c r="FS25" s="262"/>
      <c r="FT25" s="262"/>
      <c r="FU25" s="262"/>
      <c r="FV25" s="262"/>
      <c r="FW25" s="262"/>
      <c r="FX25" s="262"/>
      <c r="FY25" s="262"/>
      <c r="FZ25" s="262"/>
      <c r="GA25" s="262"/>
      <c r="GB25" s="262"/>
      <c r="GC25" s="262"/>
      <c r="GD25" s="262"/>
      <c r="GE25" s="262"/>
      <c r="GF25" s="262"/>
      <c r="GG25" s="262"/>
      <c r="GH25" s="262"/>
      <c r="GI25" s="262"/>
      <c r="GJ25" s="262"/>
      <c r="GK25" s="262"/>
      <c r="GL25" s="262"/>
      <c r="GM25" s="262"/>
      <c r="GN25" s="262"/>
      <c r="GO25" s="262"/>
      <c r="GP25" s="262"/>
      <c r="GQ25" s="262"/>
      <c r="GR25" s="262"/>
      <c r="GS25" s="262"/>
      <c r="GT25" s="262"/>
      <c r="GU25" s="262"/>
      <c r="GV25" s="262"/>
      <c r="GW25" s="262"/>
      <c r="GX25" s="262"/>
      <c r="GY25" s="262"/>
      <c r="GZ25" s="262"/>
      <c r="HA25" s="262"/>
      <c r="HB25" s="262"/>
      <c r="HC25" s="262"/>
      <c r="HD25" s="262"/>
      <c r="HE25" s="262"/>
      <c r="HF25" s="262"/>
      <c r="HG25" s="262"/>
      <c r="HH25" s="262"/>
      <c r="HI25" s="262"/>
      <c r="HJ25" s="262"/>
      <c r="HK25" s="262"/>
      <c r="HL25" s="262"/>
      <c r="HM25" s="262"/>
      <c r="HN25" s="262"/>
      <c r="HO25" s="262"/>
      <c r="HP25" s="262"/>
      <c r="HQ25" s="262"/>
      <c r="HR25" s="262"/>
      <c r="HS25" s="262"/>
      <c r="HT25" s="262"/>
      <c r="HU25" s="262"/>
      <c r="HV25" s="262"/>
      <c r="HW25" s="262"/>
      <c r="HX25" s="262"/>
      <c r="HY25" s="262"/>
      <c r="HZ25" s="262"/>
      <c r="IA25" s="262"/>
      <c r="IB25" s="262"/>
      <c r="IC25" s="262"/>
      <c r="ID25" s="262"/>
      <c r="IE25" s="262"/>
      <c r="IF25" s="262"/>
      <c r="IG25" s="262"/>
      <c r="IH25" s="262"/>
      <c r="II25" s="262"/>
      <c r="IJ25" s="262"/>
      <c r="IK25" s="262"/>
      <c r="IL25" s="262"/>
      <c r="IM25" s="262"/>
      <c r="IN25" s="262"/>
      <c r="IO25" s="262"/>
      <c r="IP25" s="262"/>
      <c r="IQ25" s="262"/>
      <c r="IR25" s="262"/>
      <c r="IS25" s="262"/>
      <c r="IT25" s="262"/>
      <c r="IU25" s="262"/>
    </row>
    <row r="26" ht="24" hidden="1" customHeight="1" spans="1:255">
      <c r="A26" s="267">
        <v>1035</v>
      </c>
      <c r="B26" s="268" t="s">
        <v>1405</v>
      </c>
      <c r="C26" s="225" t="s">
        <v>1380</v>
      </c>
      <c r="D26" s="230">
        <v>981.329389158614</v>
      </c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2"/>
      <c r="CT26" s="262"/>
      <c r="CU26" s="262"/>
      <c r="CV26" s="262"/>
      <c r="CW26" s="262"/>
      <c r="CX26" s="262"/>
      <c r="CY26" s="262"/>
      <c r="CZ26" s="262"/>
      <c r="DA26" s="262"/>
      <c r="DB26" s="262"/>
      <c r="DC26" s="262"/>
      <c r="DD26" s="262"/>
      <c r="DE26" s="262"/>
      <c r="DF26" s="262"/>
      <c r="DG26" s="262"/>
      <c r="DH26" s="262"/>
      <c r="DI26" s="262"/>
      <c r="DJ26" s="262"/>
      <c r="DK26" s="262"/>
      <c r="DL26" s="262"/>
      <c r="DM26" s="262"/>
      <c r="DN26" s="262"/>
      <c r="DO26" s="262"/>
      <c r="DP26" s="262"/>
      <c r="DQ26" s="262"/>
      <c r="DR26" s="262"/>
      <c r="DS26" s="262"/>
      <c r="DT26" s="262"/>
      <c r="DU26" s="262"/>
      <c r="DV26" s="262"/>
      <c r="DW26" s="262"/>
      <c r="DX26" s="262"/>
      <c r="DY26" s="262"/>
      <c r="DZ26" s="262"/>
      <c r="EA26" s="262"/>
      <c r="EB26" s="262"/>
      <c r="EC26" s="262"/>
      <c r="ED26" s="262"/>
      <c r="EE26" s="262"/>
      <c r="EF26" s="262"/>
      <c r="EG26" s="262"/>
      <c r="EH26" s="262"/>
      <c r="EI26" s="262"/>
      <c r="EJ26" s="262"/>
      <c r="EK26" s="262"/>
      <c r="EL26" s="262"/>
      <c r="EM26" s="262"/>
      <c r="EN26" s="262"/>
      <c r="EO26" s="262"/>
      <c r="EP26" s="262"/>
      <c r="EQ26" s="262"/>
      <c r="ER26" s="262"/>
      <c r="ES26" s="262"/>
      <c r="ET26" s="262"/>
      <c r="EU26" s="262"/>
      <c r="EV26" s="262"/>
      <c r="EW26" s="262"/>
      <c r="EX26" s="262"/>
      <c r="EY26" s="262"/>
      <c r="EZ26" s="262"/>
      <c r="FA26" s="262"/>
      <c r="FB26" s="262"/>
      <c r="FC26" s="262"/>
      <c r="FD26" s="262"/>
      <c r="FE26" s="262"/>
      <c r="FF26" s="262"/>
      <c r="FG26" s="262"/>
      <c r="FH26" s="262"/>
      <c r="FI26" s="262"/>
      <c r="FJ26" s="262"/>
      <c r="FK26" s="262"/>
      <c r="FL26" s="262"/>
      <c r="FM26" s="262"/>
      <c r="FN26" s="262"/>
      <c r="FO26" s="262"/>
      <c r="FP26" s="262"/>
      <c r="FQ26" s="262"/>
      <c r="FR26" s="262"/>
      <c r="FS26" s="262"/>
      <c r="FT26" s="262"/>
      <c r="FU26" s="262"/>
      <c r="FV26" s="262"/>
      <c r="FW26" s="262"/>
      <c r="FX26" s="262"/>
      <c r="FY26" s="262"/>
      <c r="FZ26" s="262"/>
      <c r="GA26" s="262"/>
      <c r="GB26" s="262"/>
      <c r="GC26" s="262"/>
      <c r="GD26" s="262"/>
      <c r="GE26" s="262"/>
      <c r="GF26" s="262"/>
      <c r="GG26" s="262"/>
      <c r="GH26" s="262"/>
      <c r="GI26" s="262"/>
      <c r="GJ26" s="262"/>
      <c r="GK26" s="262"/>
      <c r="GL26" s="262"/>
      <c r="GM26" s="262"/>
      <c r="GN26" s="262"/>
      <c r="GO26" s="262"/>
      <c r="GP26" s="262"/>
      <c r="GQ26" s="262"/>
      <c r="GR26" s="262"/>
      <c r="GS26" s="262"/>
      <c r="GT26" s="262"/>
      <c r="GU26" s="262"/>
      <c r="GV26" s="262"/>
      <c r="GW26" s="262"/>
      <c r="GX26" s="262"/>
      <c r="GY26" s="262"/>
      <c r="GZ26" s="262"/>
      <c r="HA26" s="262"/>
      <c r="HB26" s="262"/>
      <c r="HC26" s="262"/>
      <c r="HD26" s="262"/>
      <c r="HE26" s="262"/>
      <c r="HF26" s="262"/>
      <c r="HG26" s="262"/>
      <c r="HH26" s="262"/>
      <c r="HI26" s="262"/>
      <c r="HJ26" s="262"/>
      <c r="HK26" s="262"/>
      <c r="HL26" s="262"/>
      <c r="HM26" s="262"/>
      <c r="HN26" s="262"/>
      <c r="HO26" s="262"/>
      <c r="HP26" s="262"/>
      <c r="HQ26" s="262"/>
      <c r="HR26" s="262"/>
      <c r="HS26" s="262"/>
      <c r="HT26" s="262"/>
      <c r="HU26" s="262"/>
      <c r="HV26" s="262"/>
      <c r="HW26" s="262"/>
      <c r="HX26" s="262"/>
      <c r="HY26" s="262"/>
      <c r="HZ26" s="262"/>
      <c r="IA26" s="262"/>
      <c r="IB26" s="262"/>
      <c r="IC26" s="262"/>
      <c r="ID26" s="262"/>
      <c r="IE26" s="262"/>
      <c r="IF26" s="262"/>
      <c r="IG26" s="262"/>
      <c r="IH26" s="262"/>
      <c r="II26" s="262"/>
      <c r="IJ26" s="262"/>
      <c r="IK26" s="262"/>
      <c r="IL26" s="262"/>
      <c r="IM26" s="262"/>
      <c r="IN26" s="262"/>
      <c r="IO26" s="262"/>
      <c r="IP26" s="262"/>
      <c r="IQ26" s="262"/>
      <c r="IR26" s="262"/>
      <c r="IS26" s="262"/>
      <c r="IT26" s="262"/>
      <c r="IU26" s="262"/>
    </row>
    <row r="27" ht="24" hidden="1" customHeight="1" spans="1:255">
      <c r="A27" s="267">
        <v>1036</v>
      </c>
      <c r="B27" s="268" t="s">
        <v>1406</v>
      </c>
      <c r="C27" s="225" t="s">
        <v>1380</v>
      </c>
      <c r="D27" s="230">
        <v>1036.68008362975</v>
      </c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62"/>
      <c r="BH27" s="262"/>
      <c r="BI27" s="262"/>
      <c r="BJ27" s="262"/>
      <c r="BK27" s="262"/>
      <c r="BL27" s="262"/>
      <c r="BM27" s="262"/>
      <c r="BN27" s="262"/>
      <c r="BO27" s="262"/>
      <c r="BP27" s="262"/>
      <c r="BQ27" s="262"/>
      <c r="BR27" s="262"/>
      <c r="BS27" s="262"/>
      <c r="BT27" s="262"/>
      <c r="BU27" s="262"/>
      <c r="BV27" s="262"/>
      <c r="BW27" s="262"/>
      <c r="BX27" s="262"/>
      <c r="BY27" s="262"/>
      <c r="BZ27" s="262"/>
      <c r="CA27" s="262"/>
      <c r="CB27" s="262"/>
      <c r="CC27" s="262"/>
      <c r="CD27" s="262"/>
      <c r="CE27" s="262"/>
      <c r="CF27" s="262"/>
      <c r="CG27" s="262"/>
      <c r="CH27" s="262"/>
      <c r="CI27" s="262"/>
      <c r="CJ27" s="262"/>
      <c r="CK27" s="262"/>
      <c r="CL27" s="262"/>
      <c r="CM27" s="262"/>
      <c r="CN27" s="262"/>
      <c r="CO27" s="262"/>
      <c r="CP27" s="262"/>
      <c r="CQ27" s="262"/>
      <c r="CR27" s="262"/>
      <c r="CS27" s="262"/>
      <c r="CT27" s="262"/>
      <c r="CU27" s="262"/>
      <c r="CV27" s="262"/>
      <c r="CW27" s="262"/>
      <c r="CX27" s="262"/>
      <c r="CY27" s="262"/>
      <c r="CZ27" s="262"/>
      <c r="DA27" s="262"/>
      <c r="DB27" s="262"/>
      <c r="DC27" s="262"/>
      <c r="DD27" s="262"/>
      <c r="DE27" s="262"/>
      <c r="DF27" s="262"/>
      <c r="DG27" s="262"/>
      <c r="DH27" s="262"/>
      <c r="DI27" s="262"/>
      <c r="DJ27" s="262"/>
      <c r="DK27" s="262"/>
      <c r="DL27" s="262"/>
      <c r="DM27" s="262"/>
      <c r="DN27" s="262"/>
      <c r="DO27" s="262"/>
      <c r="DP27" s="262"/>
      <c r="DQ27" s="262"/>
      <c r="DR27" s="262"/>
      <c r="DS27" s="262"/>
      <c r="DT27" s="262"/>
      <c r="DU27" s="262"/>
      <c r="DV27" s="262"/>
      <c r="DW27" s="262"/>
      <c r="DX27" s="262"/>
      <c r="DY27" s="262"/>
      <c r="DZ27" s="262"/>
      <c r="EA27" s="262"/>
      <c r="EB27" s="262"/>
      <c r="EC27" s="262"/>
      <c r="ED27" s="262"/>
      <c r="EE27" s="262"/>
      <c r="EF27" s="262"/>
      <c r="EG27" s="262"/>
      <c r="EH27" s="262"/>
      <c r="EI27" s="262"/>
      <c r="EJ27" s="262"/>
      <c r="EK27" s="262"/>
      <c r="EL27" s="262"/>
      <c r="EM27" s="262"/>
      <c r="EN27" s="262"/>
      <c r="EO27" s="262"/>
      <c r="EP27" s="262"/>
      <c r="EQ27" s="262"/>
      <c r="ER27" s="262"/>
      <c r="ES27" s="262"/>
      <c r="ET27" s="262"/>
      <c r="EU27" s="262"/>
      <c r="EV27" s="262"/>
      <c r="EW27" s="262"/>
      <c r="EX27" s="262"/>
      <c r="EY27" s="262"/>
      <c r="EZ27" s="262"/>
      <c r="FA27" s="262"/>
      <c r="FB27" s="262"/>
      <c r="FC27" s="262"/>
      <c r="FD27" s="262"/>
      <c r="FE27" s="262"/>
      <c r="FF27" s="262"/>
      <c r="FG27" s="262"/>
      <c r="FH27" s="262"/>
      <c r="FI27" s="262"/>
      <c r="FJ27" s="262"/>
      <c r="FK27" s="262"/>
      <c r="FL27" s="262"/>
      <c r="FM27" s="262"/>
      <c r="FN27" s="262"/>
      <c r="FO27" s="262"/>
      <c r="FP27" s="262"/>
      <c r="FQ27" s="262"/>
      <c r="FR27" s="262"/>
      <c r="FS27" s="262"/>
      <c r="FT27" s="262"/>
      <c r="FU27" s="262"/>
      <c r="FV27" s="262"/>
      <c r="FW27" s="262"/>
      <c r="FX27" s="262"/>
      <c r="FY27" s="262"/>
      <c r="FZ27" s="262"/>
      <c r="GA27" s="262"/>
      <c r="GB27" s="262"/>
      <c r="GC27" s="262"/>
      <c r="GD27" s="262"/>
      <c r="GE27" s="262"/>
      <c r="GF27" s="262"/>
      <c r="GG27" s="262"/>
      <c r="GH27" s="262"/>
      <c r="GI27" s="262"/>
      <c r="GJ27" s="262"/>
      <c r="GK27" s="262"/>
      <c r="GL27" s="262"/>
      <c r="GM27" s="262"/>
      <c r="GN27" s="262"/>
      <c r="GO27" s="262"/>
      <c r="GP27" s="262"/>
      <c r="GQ27" s="262"/>
      <c r="GR27" s="262"/>
      <c r="GS27" s="262"/>
      <c r="GT27" s="262"/>
      <c r="GU27" s="262"/>
      <c r="GV27" s="262"/>
      <c r="GW27" s="262"/>
      <c r="GX27" s="262"/>
      <c r="GY27" s="262"/>
      <c r="GZ27" s="262"/>
      <c r="HA27" s="262"/>
      <c r="HB27" s="262"/>
      <c r="HC27" s="262"/>
      <c r="HD27" s="262"/>
      <c r="HE27" s="262"/>
      <c r="HF27" s="262"/>
      <c r="HG27" s="262"/>
      <c r="HH27" s="262"/>
      <c r="HI27" s="262"/>
      <c r="HJ27" s="262"/>
      <c r="HK27" s="262"/>
      <c r="HL27" s="262"/>
      <c r="HM27" s="262"/>
      <c r="HN27" s="262"/>
      <c r="HO27" s="262"/>
      <c r="HP27" s="262"/>
      <c r="HQ27" s="262"/>
      <c r="HR27" s="262"/>
      <c r="HS27" s="262"/>
      <c r="HT27" s="262"/>
      <c r="HU27" s="262"/>
      <c r="HV27" s="262"/>
      <c r="HW27" s="262"/>
      <c r="HX27" s="262"/>
      <c r="HY27" s="262"/>
      <c r="HZ27" s="262"/>
      <c r="IA27" s="262"/>
      <c r="IB27" s="262"/>
      <c r="IC27" s="262"/>
      <c r="ID27" s="262"/>
      <c r="IE27" s="262"/>
      <c r="IF27" s="262"/>
      <c r="IG27" s="262"/>
      <c r="IH27" s="262"/>
      <c r="II27" s="262"/>
      <c r="IJ27" s="262"/>
      <c r="IK27" s="262"/>
      <c r="IL27" s="262"/>
      <c r="IM27" s="262"/>
      <c r="IN27" s="262"/>
      <c r="IO27" s="262"/>
      <c r="IP27" s="262"/>
      <c r="IQ27" s="262"/>
      <c r="IR27" s="262"/>
      <c r="IS27" s="262"/>
      <c r="IT27" s="262"/>
      <c r="IU27" s="262"/>
    </row>
    <row r="28" ht="24" hidden="1" customHeight="1" spans="1:255">
      <c r="A28" s="267">
        <v>1037</v>
      </c>
      <c r="B28" s="268" t="s">
        <v>1407</v>
      </c>
      <c r="C28" s="225" t="s">
        <v>1380</v>
      </c>
      <c r="D28" s="230">
        <v>9007.65983943056</v>
      </c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62"/>
      <c r="BH28" s="262"/>
      <c r="BI28" s="262"/>
      <c r="BJ28" s="262"/>
      <c r="BK28" s="262"/>
      <c r="BL28" s="262"/>
      <c r="BM28" s="262"/>
      <c r="BN28" s="262"/>
      <c r="BO28" s="262"/>
      <c r="BP28" s="262"/>
      <c r="BQ28" s="262"/>
      <c r="BR28" s="262"/>
      <c r="BS28" s="262"/>
      <c r="BT28" s="262"/>
      <c r="BU28" s="262"/>
      <c r="BV28" s="262"/>
      <c r="BW28" s="262"/>
      <c r="BX28" s="262"/>
      <c r="BY28" s="262"/>
      <c r="BZ28" s="262"/>
      <c r="CA28" s="262"/>
      <c r="CB28" s="262"/>
      <c r="CC28" s="262"/>
      <c r="CD28" s="262"/>
      <c r="CE28" s="262"/>
      <c r="CF28" s="262"/>
      <c r="CG28" s="262"/>
      <c r="CH28" s="262"/>
      <c r="CI28" s="262"/>
      <c r="CJ28" s="262"/>
      <c r="CK28" s="262"/>
      <c r="CL28" s="262"/>
      <c r="CM28" s="262"/>
      <c r="CN28" s="262"/>
      <c r="CO28" s="262"/>
      <c r="CP28" s="262"/>
      <c r="CQ28" s="262"/>
      <c r="CR28" s="262"/>
      <c r="CS28" s="262"/>
      <c r="CT28" s="262"/>
      <c r="CU28" s="262"/>
      <c r="CV28" s="262"/>
      <c r="CW28" s="262"/>
      <c r="CX28" s="262"/>
      <c r="CY28" s="262"/>
      <c r="CZ28" s="262"/>
      <c r="DA28" s="262"/>
      <c r="DB28" s="262"/>
      <c r="DC28" s="262"/>
      <c r="DD28" s="262"/>
      <c r="DE28" s="262"/>
      <c r="DF28" s="262"/>
      <c r="DG28" s="262"/>
      <c r="DH28" s="262"/>
      <c r="DI28" s="262"/>
      <c r="DJ28" s="262"/>
      <c r="DK28" s="262"/>
      <c r="DL28" s="262"/>
      <c r="DM28" s="262"/>
      <c r="DN28" s="262"/>
      <c r="DO28" s="262"/>
      <c r="DP28" s="262"/>
      <c r="DQ28" s="262"/>
      <c r="DR28" s="262"/>
      <c r="DS28" s="262"/>
      <c r="DT28" s="262"/>
      <c r="DU28" s="262"/>
      <c r="DV28" s="262"/>
      <c r="DW28" s="262"/>
      <c r="DX28" s="262"/>
      <c r="DY28" s="262"/>
      <c r="DZ28" s="262"/>
      <c r="EA28" s="262"/>
      <c r="EB28" s="262"/>
      <c r="EC28" s="262"/>
      <c r="ED28" s="262"/>
      <c r="EE28" s="262"/>
      <c r="EF28" s="262"/>
      <c r="EG28" s="262"/>
      <c r="EH28" s="262"/>
      <c r="EI28" s="262"/>
      <c r="EJ28" s="262"/>
      <c r="EK28" s="262"/>
      <c r="EL28" s="262"/>
      <c r="EM28" s="262"/>
      <c r="EN28" s="262"/>
      <c r="EO28" s="262"/>
      <c r="EP28" s="262"/>
      <c r="EQ28" s="262"/>
      <c r="ER28" s="262"/>
      <c r="ES28" s="262"/>
      <c r="ET28" s="262"/>
      <c r="EU28" s="262"/>
      <c r="EV28" s="262"/>
      <c r="EW28" s="262"/>
      <c r="EX28" s="262"/>
      <c r="EY28" s="262"/>
      <c r="EZ28" s="262"/>
      <c r="FA28" s="262"/>
      <c r="FB28" s="262"/>
      <c r="FC28" s="262"/>
      <c r="FD28" s="262"/>
      <c r="FE28" s="262"/>
      <c r="FF28" s="262"/>
      <c r="FG28" s="262"/>
      <c r="FH28" s="262"/>
      <c r="FI28" s="262"/>
      <c r="FJ28" s="262"/>
      <c r="FK28" s="262"/>
      <c r="FL28" s="262"/>
      <c r="FM28" s="262"/>
      <c r="FN28" s="262"/>
      <c r="FO28" s="262"/>
      <c r="FP28" s="262"/>
      <c r="FQ28" s="262"/>
      <c r="FR28" s="262"/>
      <c r="FS28" s="262"/>
      <c r="FT28" s="262"/>
      <c r="FU28" s="262"/>
      <c r="FV28" s="262"/>
      <c r="FW28" s="262"/>
      <c r="FX28" s="262"/>
      <c r="FY28" s="262"/>
      <c r="FZ28" s="262"/>
      <c r="GA28" s="262"/>
      <c r="GB28" s="262"/>
      <c r="GC28" s="262"/>
      <c r="GD28" s="262"/>
      <c r="GE28" s="262"/>
      <c r="GF28" s="262"/>
      <c r="GG28" s="262"/>
      <c r="GH28" s="262"/>
      <c r="GI28" s="262"/>
      <c r="GJ28" s="262"/>
      <c r="GK28" s="262"/>
      <c r="GL28" s="262"/>
      <c r="GM28" s="262"/>
      <c r="GN28" s="262"/>
      <c r="GO28" s="262"/>
      <c r="GP28" s="262"/>
      <c r="GQ28" s="262"/>
      <c r="GR28" s="262"/>
      <c r="GS28" s="262"/>
      <c r="GT28" s="262"/>
      <c r="GU28" s="262"/>
      <c r="GV28" s="262"/>
      <c r="GW28" s="262"/>
      <c r="GX28" s="262"/>
      <c r="GY28" s="262"/>
      <c r="GZ28" s="262"/>
      <c r="HA28" s="262"/>
      <c r="HB28" s="262"/>
      <c r="HC28" s="262"/>
      <c r="HD28" s="262"/>
      <c r="HE28" s="262"/>
      <c r="HF28" s="262"/>
      <c r="HG28" s="262"/>
      <c r="HH28" s="262"/>
      <c r="HI28" s="262"/>
      <c r="HJ28" s="262"/>
      <c r="HK28" s="262"/>
      <c r="HL28" s="262"/>
      <c r="HM28" s="262"/>
      <c r="HN28" s="262"/>
      <c r="HO28" s="262"/>
      <c r="HP28" s="262"/>
      <c r="HQ28" s="262"/>
      <c r="HR28" s="262"/>
      <c r="HS28" s="262"/>
      <c r="HT28" s="262"/>
      <c r="HU28" s="262"/>
      <c r="HV28" s="262"/>
      <c r="HW28" s="262"/>
      <c r="HX28" s="262"/>
      <c r="HY28" s="262"/>
      <c r="HZ28" s="262"/>
      <c r="IA28" s="262"/>
      <c r="IB28" s="262"/>
      <c r="IC28" s="262"/>
      <c r="ID28" s="262"/>
      <c r="IE28" s="262"/>
      <c r="IF28" s="262"/>
      <c r="IG28" s="262"/>
      <c r="IH28" s="262"/>
      <c r="II28" s="262"/>
      <c r="IJ28" s="262"/>
      <c r="IK28" s="262"/>
      <c r="IL28" s="262"/>
      <c r="IM28" s="262"/>
      <c r="IN28" s="262"/>
      <c r="IO28" s="262"/>
      <c r="IP28" s="262"/>
      <c r="IQ28" s="262"/>
      <c r="IR28" s="262"/>
      <c r="IS28" s="262"/>
      <c r="IT28" s="262"/>
      <c r="IU28" s="262"/>
    </row>
    <row r="29" ht="24" hidden="1" customHeight="1" spans="1:255">
      <c r="A29" s="267">
        <v>1038</v>
      </c>
      <c r="B29" s="268" t="s">
        <v>1408</v>
      </c>
      <c r="C29" s="225" t="s">
        <v>1380</v>
      </c>
      <c r="D29" s="230">
        <v>10477.2072605524</v>
      </c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/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62"/>
      <c r="BH29" s="262"/>
      <c r="BI29" s="262"/>
      <c r="BJ29" s="262"/>
      <c r="BK29" s="262"/>
      <c r="BL29" s="262"/>
      <c r="BM29" s="262"/>
      <c r="BN29" s="262"/>
      <c r="BO29" s="262"/>
      <c r="BP29" s="262"/>
      <c r="BQ29" s="262"/>
      <c r="BR29" s="262"/>
      <c r="BS29" s="262"/>
      <c r="BT29" s="262"/>
      <c r="BU29" s="262"/>
      <c r="BV29" s="262"/>
      <c r="BW29" s="262"/>
      <c r="BX29" s="262"/>
      <c r="BY29" s="262"/>
      <c r="BZ29" s="262"/>
      <c r="CA29" s="262"/>
      <c r="CB29" s="262"/>
      <c r="CC29" s="262"/>
      <c r="CD29" s="262"/>
      <c r="CE29" s="262"/>
      <c r="CF29" s="262"/>
      <c r="CG29" s="262"/>
      <c r="CH29" s="262"/>
      <c r="CI29" s="262"/>
      <c r="CJ29" s="262"/>
      <c r="CK29" s="262"/>
      <c r="CL29" s="262"/>
      <c r="CM29" s="262"/>
      <c r="CN29" s="262"/>
      <c r="CO29" s="262"/>
      <c r="CP29" s="262"/>
      <c r="CQ29" s="262"/>
      <c r="CR29" s="262"/>
      <c r="CS29" s="262"/>
      <c r="CT29" s="262"/>
      <c r="CU29" s="262"/>
      <c r="CV29" s="262"/>
      <c r="CW29" s="262"/>
      <c r="CX29" s="262"/>
      <c r="CY29" s="262"/>
      <c r="CZ29" s="262"/>
      <c r="DA29" s="262"/>
      <c r="DB29" s="262"/>
      <c r="DC29" s="262"/>
      <c r="DD29" s="262"/>
      <c r="DE29" s="262"/>
      <c r="DF29" s="262"/>
      <c r="DG29" s="262"/>
      <c r="DH29" s="262"/>
      <c r="DI29" s="262"/>
      <c r="DJ29" s="262"/>
      <c r="DK29" s="262"/>
      <c r="DL29" s="262"/>
      <c r="DM29" s="262"/>
      <c r="DN29" s="262"/>
      <c r="DO29" s="262"/>
      <c r="DP29" s="262"/>
      <c r="DQ29" s="262"/>
      <c r="DR29" s="262"/>
      <c r="DS29" s="262"/>
      <c r="DT29" s="262"/>
      <c r="DU29" s="262"/>
      <c r="DV29" s="262"/>
      <c r="DW29" s="262"/>
      <c r="DX29" s="262"/>
      <c r="DY29" s="262"/>
      <c r="DZ29" s="262"/>
      <c r="EA29" s="262"/>
      <c r="EB29" s="262"/>
      <c r="EC29" s="262"/>
      <c r="ED29" s="262"/>
      <c r="EE29" s="262"/>
      <c r="EF29" s="262"/>
      <c r="EG29" s="262"/>
      <c r="EH29" s="262"/>
      <c r="EI29" s="262"/>
      <c r="EJ29" s="262"/>
      <c r="EK29" s="262"/>
      <c r="EL29" s="262"/>
      <c r="EM29" s="262"/>
      <c r="EN29" s="262"/>
      <c r="EO29" s="262"/>
      <c r="EP29" s="262"/>
      <c r="EQ29" s="262"/>
      <c r="ER29" s="262"/>
      <c r="ES29" s="262"/>
      <c r="ET29" s="262"/>
      <c r="EU29" s="262"/>
      <c r="EV29" s="262"/>
      <c r="EW29" s="262"/>
      <c r="EX29" s="262"/>
      <c r="EY29" s="262"/>
      <c r="EZ29" s="262"/>
      <c r="FA29" s="262"/>
      <c r="FB29" s="262"/>
      <c r="FC29" s="262"/>
      <c r="FD29" s="262"/>
      <c r="FE29" s="262"/>
      <c r="FF29" s="262"/>
      <c r="FG29" s="262"/>
      <c r="FH29" s="262"/>
      <c r="FI29" s="262"/>
      <c r="FJ29" s="262"/>
      <c r="FK29" s="262"/>
      <c r="FL29" s="262"/>
      <c r="FM29" s="262"/>
      <c r="FN29" s="262"/>
      <c r="FO29" s="262"/>
      <c r="FP29" s="262"/>
      <c r="FQ29" s="262"/>
      <c r="FR29" s="262"/>
      <c r="FS29" s="262"/>
      <c r="FT29" s="262"/>
      <c r="FU29" s="262"/>
      <c r="FV29" s="262"/>
      <c r="FW29" s="262"/>
      <c r="FX29" s="262"/>
      <c r="FY29" s="262"/>
      <c r="FZ29" s="262"/>
      <c r="GA29" s="262"/>
      <c r="GB29" s="262"/>
      <c r="GC29" s="262"/>
      <c r="GD29" s="262"/>
      <c r="GE29" s="262"/>
      <c r="GF29" s="262"/>
      <c r="GG29" s="262"/>
      <c r="GH29" s="262"/>
      <c r="GI29" s="262"/>
      <c r="GJ29" s="262"/>
      <c r="GK29" s="262"/>
      <c r="GL29" s="262"/>
      <c r="GM29" s="262"/>
      <c r="GN29" s="262"/>
      <c r="GO29" s="262"/>
      <c r="GP29" s="262"/>
      <c r="GQ29" s="262"/>
      <c r="GR29" s="262"/>
      <c r="GS29" s="262"/>
      <c r="GT29" s="262"/>
      <c r="GU29" s="262"/>
      <c r="GV29" s="262"/>
      <c r="GW29" s="262"/>
      <c r="GX29" s="262"/>
      <c r="GY29" s="262"/>
      <c r="GZ29" s="262"/>
      <c r="HA29" s="262"/>
      <c r="HB29" s="262"/>
      <c r="HC29" s="262"/>
      <c r="HD29" s="262"/>
      <c r="HE29" s="262"/>
      <c r="HF29" s="262"/>
      <c r="HG29" s="262"/>
      <c r="HH29" s="262"/>
      <c r="HI29" s="262"/>
      <c r="HJ29" s="262"/>
      <c r="HK29" s="262"/>
      <c r="HL29" s="262"/>
      <c r="HM29" s="262"/>
      <c r="HN29" s="262"/>
      <c r="HO29" s="262"/>
      <c r="HP29" s="262"/>
      <c r="HQ29" s="262"/>
      <c r="HR29" s="262"/>
      <c r="HS29" s="262"/>
      <c r="HT29" s="262"/>
      <c r="HU29" s="262"/>
      <c r="HV29" s="262"/>
      <c r="HW29" s="262"/>
      <c r="HX29" s="262"/>
      <c r="HY29" s="262"/>
      <c r="HZ29" s="262"/>
      <c r="IA29" s="262"/>
      <c r="IB29" s="262"/>
      <c r="IC29" s="262"/>
      <c r="ID29" s="262"/>
      <c r="IE29" s="262"/>
      <c r="IF29" s="262"/>
      <c r="IG29" s="262"/>
      <c r="IH29" s="262"/>
      <c r="II29" s="262"/>
      <c r="IJ29" s="262"/>
      <c r="IK29" s="262"/>
      <c r="IL29" s="262"/>
      <c r="IM29" s="262"/>
      <c r="IN29" s="262"/>
      <c r="IO29" s="262"/>
      <c r="IP29" s="262"/>
      <c r="IQ29" s="262"/>
      <c r="IR29" s="262"/>
      <c r="IS29" s="262"/>
      <c r="IT29" s="262"/>
      <c r="IU29" s="262"/>
    </row>
    <row r="30" ht="24" hidden="1" customHeight="1" spans="1:255">
      <c r="A30" s="267">
        <v>1042</v>
      </c>
      <c r="B30" s="268" t="s">
        <v>1409</v>
      </c>
      <c r="C30" s="225" t="s">
        <v>1380</v>
      </c>
      <c r="D30" s="230">
        <v>7540.40222926937</v>
      </c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/>
      <c r="BJ30" s="262"/>
      <c r="BK30" s="262"/>
      <c r="BL30" s="262"/>
      <c r="BM30" s="262"/>
      <c r="BN30" s="262"/>
      <c r="BO30" s="262"/>
      <c r="BP30" s="262"/>
      <c r="BQ30" s="262"/>
      <c r="BR30" s="262"/>
      <c r="BS30" s="262"/>
      <c r="BT30" s="262"/>
      <c r="BU30" s="262"/>
      <c r="BV30" s="262"/>
      <c r="BW30" s="262"/>
      <c r="BX30" s="262"/>
      <c r="BY30" s="262"/>
      <c r="BZ30" s="262"/>
      <c r="CA30" s="262"/>
      <c r="CB30" s="262"/>
      <c r="CC30" s="262"/>
      <c r="CD30" s="262"/>
      <c r="CE30" s="262"/>
      <c r="CF30" s="262"/>
      <c r="CG30" s="262"/>
      <c r="CH30" s="262"/>
      <c r="CI30" s="262"/>
      <c r="CJ30" s="262"/>
      <c r="CK30" s="262"/>
      <c r="CL30" s="262"/>
      <c r="CM30" s="262"/>
      <c r="CN30" s="262"/>
      <c r="CO30" s="262"/>
      <c r="CP30" s="262"/>
      <c r="CQ30" s="262"/>
      <c r="CR30" s="262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2"/>
      <c r="DJ30" s="262"/>
      <c r="DK30" s="262"/>
      <c r="DL30" s="262"/>
      <c r="DM30" s="262"/>
      <c r="DN30" s="262"/>
      <c r="DO30" s="262"/>
      <c r="DP30" s="262"/>
      <c r="DQ30" s="262"/>
      <c r="DR30" s="262"/>
      <c r="DS30" s="262"/>
      <c r="DT30" s="262"/>
      <c r="DU30" s="262"/>
      <c r="DV30" s="262"/>
      <c r="DW30" s="262"/>
      <c r="DX30" s="262"/>
      <c r="DY30" s="262"/>
      <c r="DZ30" s="262"/>
      <c r="EA30" s="262"/>
      <c r="EB30" s="262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2"/>
      <c r="ET30" s="262"/>
      <c r="EU30" s="262"/>
      <c r="EV30" s="262"/>
      <c r="EW30" s="262"/>
      <c r="EX30" s="262"/>
      <c r="EY30" s="262"/>
      <c r="EZ30" s="262"/>
      <c r="FA30" s="262"/>
      <c r="FB30" s="262"/>
      <c r="FC30" s="262"/>
      <c r="FD30" s="262"/>
      <c r="FE30" s="262"/>
      <c r="FF30" s="262"/>
      <c r="FG30" s="262"/>
      <c r="FH30" s="262"/>
      <c r="FI30" s="262"/>
      <c r="FJ30" s="262"/>
      <c r="FK30" s="262"/>
      <c r="FL30" s="262"/>
      <c r="FM30" s="262"/>
      <c r="FN30" s="262"/>
      <c r="FO30" s="262"/>
      <c r="FP30" s="262"/>
      <c r="FQ30" s="262"/>
      <c r="FR30" s="262"/>
      <c r="FS30" s="262"/>
      <c r="FT30" s="262"/>
      <c r="FU30" s="262"/>
      <c r="FV30" s="262"/>
      <c r="FW30" s="262"/>
      <c r="FX30" s="262"/>
      <c r="FY30" s="262"/>
      <c r="FZ30" s="262"/>
      <c r="GA30" s="262"/>
      <c r="GB30" s="262"/>
      <c r="GC30" s="262"/>
      <c r="GD30" s="262"/>
      <c r="GE30" s="262"/>
      <c r="GF30" s="262"/>
      <c r="GG30" s="262"/>
      <c r="GH30" s="262"/>
      <c r="GI30" s="262"/>
      <c r="GJ30" s="262"/>
      <c r="GK30" s="262"/>
      <c r="GL30" s="262"/>
      <c r="GM30" s="262"/>
      <c r="GN30" s="262"/>
      <c r="GO30" s="262"/>
      <c r="GP30" s="262"/>
      <c r="GQ30" s="262"/>
      <c r="GR30" s="262"/>
      <c r="GS30" s="262"/>
      <c r="GT30" s="262"/>
      <c r="GU30" s="262"/>
      <c r="GV30" s="262"/>
      <c r="GW30" s="262"/>
      <c r="GX30" s="262"/>
      <c r="GY30" s="262"/>
      <c r="GZ30" s="262"/>
      <c r="HA30" s="262"/>
      <c r="HB30" s="262"/>
      <c r="HC30" s="262"/>
      <c r="HD30" s="262"/>
      <c r="HE30" s="262"/>
      <c r="HF30" s="262"/>
      <c r="HG30" s="262"/>
      <c r="HH30" s="262"/>
      <c r="HI30" s="262"/>
      <c r="HJ30" s="262"/>
      <c r="HK30" s="262"/>
      <c r="HL30" s="262"/>
      <c r="HM30" s="262"/>
      <c r="HN30" s="262"/>
      <c r="HO30" s="262"/>
      <c r="HP30" s="262"/>
      <c r="HQ30" s="262"/>
      <c r="HR30" s="262"/>
      <c r="HS30" s="262"/>
      <c r="HT30" s="262"/>
      <c r="HU30" s="262"/>
      <c r="HV30" s="262"/>
      <c r="HW30" s="262"/>
      <c r="HX30" s="262"/>
      <c r="HY30" s="262"/>
      <c r="HZ30" s="262"/>
      <c r="IA30" s="262"/>
      <c r="IB30" s="262"/>
      <c r="IC30" s="262"/>
      <c r="ID30" s="262"/>
      <c r="IE30" s="262"/>
      <c r="IF30" s="262"/>
      <c r="IG30" s="262"/>
      <c r="IH30" s="262"/>
      <c r="II30" s="262"/>
      <c r="IJ30" s="262"/>
      <c r="IK30" s="262"/>
      <c r="IL30" s="262"/>
      <c r="IM30" s="262"/>
      <c r="IN30" s="262"/>
      <c r="IO30" s="262"/>
      <c r="IP30" s="262"/>
      <c r="IQ30" s="262"/>
      <c r="IR30" s="262"/>
      <c r="IS30" s="262"/>
      <c r="IT30" s="262"/>
      <c r="IU30" s="262"/>
    </row>
    <row r="31" ht="24" hidden="1" customHeight="1" spans="1:255">
      <c r="A31" s="267">
        <v>1042</v>
      </c>
      <c r="B31" s="268" t="s">
        <v>1410</v>
      </c>
      <c r="C31" s="225" t="s">
        <v>1380</v>
      </c>
      <c r="D31" s="230">
        <v>4539.02364155723</v>
      </c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2"/>
      <c r="CC31" s="262"/>
      <c r="CD31" s="262"/>
      <c r="CE31" s="262"/>
      <c r="CF31" s="262"/>
      <c r="CG31" s="262"/>
      <c r="CH31" s="262"/>
      <c r="CI31" s="262"/>
      <c r="CJ31" s="262"/>
      <c r="CK31" s="262"/>
      <c r="CL31" s="262"/>
      <c r="CM31" s="262"/>
      <c r="CN31" s="262"/>
      <c r="CO31" s="262"/>
      <c r="CP31" s="262"/>
      <c r="CQ31" s="262"/>
      <c r="CR31" s="262"/>
      <c r="CS31" s="262"/>
      <c r="CT31" s="262"/>
      <c r="CU31" s="262"/>
      <c r="CV31" s="262"/>
      <c r="CW31" s="262"/>
      <c r="CX31" s="262"/>
      <c r="CY31" s="262"/>
      <c r="CZ31" s="262"/>
      <c r="DA31" s="262"/>
      <c r="DB31" s="262"/>
      <c r="DC31" s="262"/>
      <c r="DD31" s="262"/>
      <c r="DE31" s="262"/>
      <c r="DF31" s="262"/>
      <c r="DG31" s="262"/>
      <c r="DH31" s="262"/>
      <c r="DI31" s="262"/>
      <c r="DJ31" s="262"/>
      <c r="DK31" s="262"/>
      <c r="DL31" s="262"/>
      <c r="DM31" s="262"/>
      <c r="DN31" s="262"/>
      <c r="DO31" s="262"/>
      <c r="DP31" s="262"/>
      <c r="DQ31" s="262"/>
      <c r="DR31" s="262"/>
      <c r="DS31" s="262"/>
      <c r="DT31" s="262"/>
      <c r="DU31" s="262"/>
      <c r="DV31" s="262"/>
      <c r="DW31" s="262"/>
      <c r="DX31" s="262"/>
      <c r="DY31" s="262"/>
      <c r="DZ31" s="262"/>
      <c r="EA31" s="262"/>
      <c r="EB31" s="262"/>
      <c r="EC31" s="262"/>
      <c r="ED31" s="262"/>
      <c r="EE31" s="262"/>
      <c r="EF31" s="262"/>
      <c r="EG31" s="262"/>
      <c r="EH31" s="262"/>
      <c r="EI31" s="262"/>
      <c r="EJ31" s="262"/>
      <c r="EK31" s="262"/>
      <c r="EL31" s="262"/>
      <c r="EM31" s="262"/>
      <c r="EN31" s="262"/>
      <c r="EO31" s="262"/>
      <c r="EP31" s="262"/>
      <c r="EQ31" s="262"/>
      <c r="ER31" s="262"/>
      <c r="ES31" s="262"/>
      <c r="ET31" s="262"/>
      <c r="EU31" s="262"/>
      <c r="EV31" s="262"/>
      <c r="EW31" s="262"/>
      <c r="EX31" s="262"/>
      <c r="EY31" s="262"/>
      <c r="EZ31" s="262"/>
      <c r="FA31" s="262"/>
      <c r="FB31" s="262"/>
      <c r="FC31" s="262"/>
      <c r="FD31" s="262"/>
      <c r="FE31" s="262"/>
      <c r="FF31" s="262"/>
      <c r="FG31" s="262"/>
      <c r="FH31" s="262"/>
      <c r="FI31" s="262"/>
      <c r="FJ31" s="262"/>
      <c r="FK31" s="262"/>
      <c r="FL31" s="262"/>
      <c r="FM31" s="262"/>
      <c r="FN31" s="262"/>
      <c r="FO31" s="262"/>
      <c r="FP31" s="262"/>
      <c r="FQ31" s="262"/>
      <c r="FR31" s="262"/>
      <c r="FS31" s="262"/>
      <c r="FT31" s="262"/>
      <c r="FU31" s="262"/>
      <c r="FV31" s="262"/>
      <c r="FW31" s="262"/>
      <c r="FX31" s="262"/>
      <c r="FY31" s="262"/>
      <c r="FZ31" s="262"/>
      <c r="GA31" s="262"/>
      <c r="GB31" s="262"/>
      <c r="GC31" s="262"/>
      <c r="GD31" s="262"/>
      <c r="GE31" s="262"/>
      <c r="GF31" s="262"/>
      <c r="GG31" s="262"/>
      <c r="GH31" s="262"/>
      <c r="GI31" s="262"/>
      <c r="GJ31" s="262"/>
      <c r="GK31" s="262"/>
      <c r="GL31" s="262"/>
      <c r="GM31" s="262"/>
      <c r="GN31" s="262"/>
      <c r="GO31" s="262"/>
      <c r="GP31" s="262"/>
      <c r="GQ31" s="262"/>
      <c r="GR31" s="262"/>
      <c r="GS31" s="262"/>
      <c r="GT31" s="262"/>
      <c r="GU31" s="262"/>
      <c r="GV31" s="262"/>
      <c r="GW31" s="262"/>
      <c r="GX31" s="262"/>
      <c r="GY31" s="262"/>
      <c r="GZ31" s="262"/>
      <c r="HA31" s="262"/>
      <c r="HB31" s="262"/>
      <c r="HC31" s="262"/>
      <c r="HD31" s="262"/>
      <c r="HE31" s="262"/>
      <c r="HF31" s="262"/>
      <c r="HG31" s="262"/>
      <c r="HH31" s="262"/>
      <c r="HI31" s="262"/>
      <c r="HJ31" s="262"/>
      <c r="HK31" s="262"/>
      <c r="HL31" s="262"/>
      <c r="HM31" s="262"/>
      <c r="HN31" s="262"/>
      <c r="HO31" s="262"/>
      <c r="HP31" s="262"/>
      <c r="HQ31" s="262"/>
      <c r="HR31" s="262"/>
      <c r="HS31" s="262"/>
      <c r="HT31" s="262"/>
      <c r="HU31" s="262"/>
      <c r="HV31" s="262"/>
      <c r="HW31" s="262"/>
      <c r="HX31" s="262"/>
      <c r="HY31" s="262"/>
      <c r="HZ31" s="262"/>
      <c r="IA31" s="262"/>
      <c r="IB31" s="262"/>
      <c r="IC31" s="262"/>
      <c r="ID31" s="262"/>
      <c r="IE31" s="262"/>
      <c r="IF31" s="262"/>
      <c r="IG31" s="262"/>
      <c r="IH31" s="262"/>
      <c r="II31" s="262"/>
      <c r="IJ31" s="262"/>
      <c r="IK31" s="262"/>
      <c r="IL31" s="262"/>
      <c r="IM31" s="262"/>
      <c r="IN31" s="262"/>
      <c r="IO31" s="262"/>
      <c r="IP31" s="262"/>
      <c r="IQ31" s="262"/>
      <c r="IR31" s="262"/>
      <c r="IS31" s="262"/>
      <c r="IT31" s="262"/>
      <c r="IU31" s="262"/>
    </row>
    <row r="32" ht="24" hidden="1" customHeight="1" spans="1:255">
      <c r="A32" s="267">
        <v>1043</v>
      </c>
      <c r="B32" s="268" t="s">
        <v>1411</v>
      </c>
      <c r="C32" s="225" t="s">
        <v>1380</v>
      </c>
      <c r="D32" s="230">
        <v>8886.90262735319</v>
      </c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62"/>
      <c r="BH32" s="262"/>
      <c r="BI32" s="262"/>
      <c r="BJ32" s="262"/>
      <c r="BK32" s="262"/>
      <c r="BL32" s="262"/>
      <c r="BM32" s="262"/>
      <c r="BN32" s="262"/>
      <c r="BO32" s="262"/>
      <c r="BP32" s="262"/>
      <c r="BQ32" s="262"/>
      <c r="BR32" s="262"/>
      <c r="BS32" s="262"/>
      <c r="BT32" s="262"/>
      <c r="BU32" s="262"/>
      <c r="BV32" s="262"/>
      <c r="BW32" s="262"/>
      <c r="BX32" s="262"/>
      <c r="BY32" s="262"/>
      <c r="BZ32" s="262"/>
      <c r="CA32" s="262"/>
      <c r="CB32" s="262"/>
      <c r="CC32" s="262"/>
      <c r="CD32" s="262"/>
      <c r="CE32" s="262"/>
      <c r="CF32" s="262"/>
      <c r="CG32" s="262"/>
      <c r="CH32" s="262"/>
      <c r="CI32" s="262"/>
      <c r="CJ32" s="262"/>
      <c r="CK32" s="262"/>
      <c r="CL32" s="262"/>
      <c r="CM32" s="262"/>
      <c r="CN32" s="262"/>
      <c r="CO32" s="262"/>
      <c r="CP32" s="262"/>
      <c r="CQ32" s="262"/>
      <c r="CR32" s="262"/>
      <c r="CS32" s="262"/>
      <c r="CT32" s="262"/>
      <c r="CU32" s="262"/>
      <c r="CV32" s="262"/>
      <c r="CW32" s="262"/>
      <c r="CX32" s="262"/>
      <c r="CY32" s="262"/>
      <c r="CZ32" s="262"/>
      <c r="DA32" s="262"/>
      <c r="DB32" s="262"/>
      <c r="DC32" s="262"/>
      <c r="DD32" s="262"/>
      <c r="DE32" s="262"/>
      <c r="DF32" s="262"/>
      <c r="DG32" s="262"/>
      <c r="DH32" s="262"/>
      <c r="DI32" s="262"/>
      <c r="DJ32" s="262"/>
      <c r="DK32" s="262"/>
      <c r="DL32" s="262"/>
      <c r="DM32" s="262"/>
      <c r="DN32" s="262"/>
      <c r="DO32" s="262"/>
      <c r="DP32" s="262"/>
      <c r="DQ32" s="262"/>
      <c r="DR32" s="262"/>
      <c r="DS32" s="262"/>
      <c r="DT32" s="262"/>
      <c r="DU32" s="262"/>
      <c r="DV32" s="262"/>
      <c r="DW32" s="262"/>
      <c r="DX32" s="262"/>
      <c r="DY32" s="262"/>
      <c r="DZ32" s="262"/>
      <c r="EA32" s="262"/>
      <c r="EB32" s="262"/>
      <c r="EC32" s="262"/>
      <c r="ED32" s="262"/>
      <c r="EE32" s="262"/>
      <c r="EF32" s="262"/>
      <c r="EG32" s="262"/>
      <c r="EH32" s="262"/>
      <c r="EI32" s="262"/>
      <c r="EJ32" s="262"/>
      <c r="EK32" s="262"/>
      <c r="EL32" s="262"/>
      <c r="EM32" s="262"/>
      <c r="EN32" s="262"/>
      <c r="EO32" s="262"/>
      <c r="EP32" s="262"/>
      <c r="EQ32" s="262"/>
      <c r="ER32" s="262"/>
      <c r="ES32" s="262"/>
      <c r="ET32" s="262"/>
      <c r="EU32" s="262"/>
      <c r="EV32" s="262"/>
      <c r="EW32" s="262"/>
      <c r="EX32" s="262"/>
      <c r="EY32" s="262"/>
      <c r="EZ32" s="262"/>
      <c r="FA32" s="262"/>
      <c r="FB32" s="262"/>
      <c r="FC32" s="262"/>
      <c r="FD32" s="262"/>
      <c r="FE32" s="262"/>
      <c r="FF32" s="262"/>
      <c r="FG32" s="262"/>
      <c r="FH32" s="262"/>
      <c r="FI32" s="262"/>
      <c r="FJ32" s="262"/>
      <c r="FK32" s="262"/>
      <c r="FL32" s="262"/>
      <c r="FM32" s="262"/>
      <c r="FN32" s="262"/>
      <c r="FO32" s="262"/>
      <c r="FP32" s="262"/>
      <c r="FQ32" s="262"/>
      <c r="FR32" s="262"/>
      <c r="FS32" s="262"/>
      <c r="FT32" s="262"/>
      <c r="FU32" s="262"/>
      <c r="FV32" s="262"/>
      <c r="FW32" s="262"/>
      <c r="FX32" s="262"/>
      <c r="FY32" s="262"/>
      <c r="FZ32" s="262"/>
      <c r="GA32" s="262"/>
      <c r="GB32" s="262"/>
      <c r="GC32" s="262"/>
      <c r="GD32" s="262"/>
      <c r="GE32" s="262"/>
      <c r="GF32" s="262"/>
      <c r="GG32" s="262"/>
      <c r="GH32" s="262"/>
      <c r="GI32" s="262"/>
      <c r="GJ32" s="262"/>
      <c r="GK32" s="262"/>
      <c r="GL32" s="262"/>
      <c r="GM32" s="262"/>
      <c r="GN32" s="262"/>
      <c r="GO32" s="262"/>
      <c r="GP32" s="262"/>
      <c r="GQ32" s="262"/>
      <c r="GR32" s="262"/>
      <c r="GS32" s="262"/>
      <c r="GT32" s="262"/>
      <c r="GU32" s="262"/>
      <c r="GV32" s="262"/>
      <c r="GW32" s="262"/>
      <c r="GX32" s="262"/>
      <c r="GY32" s="262"/>
      <c r="GZ32" s="262"/>
      <c r="HA32" s="262"/>
      <c r="HB32" s="262"/>
      <c r="HC32" s="262"/>
      <c r="HD32" s="262"/>
      <c r="HE32" s="262"/>
      <c r="HF32" s="262"/>
      <c r="HG32" s="262"/>
      <c r="HH32" s="262"/>
      <c r="HI32" s="262"/>
      <c r="HJ32" s="262"/>
      <c r="HK32" s="262"/>
      <c r="HL32" s="262"/>
      <c r="HM32" s="262"/>
      <c r="HN32" s="262"/>
      <c r="HO32" s="262"/>
      <c r="HP32" s="262"/>
      <c r="HQ32" s="262"/>
      <c r="HR32" s="262"/>
      <c r="HS32" s="262"/>
      <c r="HT32" s="262"/>
      <c r="HU32" s="262"/>
      <c r="HV32" s="262"/>
      <c r="HW32" s="262"/>
      <c r="HX32" s="262"/>
      <c r="HY32" s="262"/>
      <c r="HZ32" s="262"/>
      <c r="IA32" s="262"/>
      <c r="IB32" s="262"/>
      <c r="IC32" s="262"/>
      <c r="ID32" s="262"/>
      <c r="IE32" s="262"/>
      <c r="IF32" s="262"/>
      <c r="IG32" s="262"/>
      <c r="IH32" s="262"/>
      <c r="II32" s="262"/>
      <c r="IJ32" s="262"/>
      <c r="IK32" s="262"/>
      <c r="IL32" s="262"/>
      <c r="IM32" s="262"/>
      <c r="IN32" s="262"/>
      <c r="IO32" s="262"/>
      <c r="IP32" s="262"/>
      <c r="IQ32" s="262"/>
      <c r="IR32" s="262"/>
      <c r="IS32" s="262"/>
      <c r="IT32" s="262"/>
      <c r="IU32" s="262"/>
    </row>
    <row r="33" ht="24" hidden="1" customHeight="1" spans="1:255">
      <c r="A33" s="267">
        <v>1056</v>
      </c>
      <c r="B33" s="268" t="s">
        <v>1412</v>
      </c>
      <c r="C33" s="225" t="s">
        <v>1380</v>
      </c>
      <c r="D33" s="230">
        <v>2376.93050983496</v>
      </c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62"/>
      <c r="BH33" s="262"/>
      <c r="BI33" s="262"/>
      <c r="BJ33" s="262"/>
      <c r="BK33" s="262"/>
      <c r="BL33" s="262"/>
      <c r="BM33" s="262"/>
      <c r="BN33" s="262"/>
      <c r="BO33" s="262"/>
      <c r="BP33" s="262"/>
      <c r="BQ33" s="262"/>
      <c r="BR33" s="262"/>
      <c r="BS33" s="262"/>
      <c r="BT33" s="262"/>
      <c r="BU33" s="262"/>
      <c r="BV33" s="262"/>
      <c r="BW33" s="262"/>
      <c r="BX33" s="262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2"/>
      <c r="CR33" s="262"/>
      <c r="CS33" s="262"/>
      <c r="CT33" s="262"/>
      <c r="CU33" s="262"/>
      <c r="CV33" s="262"/>
      <c r="CW33" s="262"/>
      <c r="CX33" s="262"/>
      <c r="CY33" s="262"/>
      <c r="CZ33" s="262"/>
      <c r="DA33" s="262"/>
      <c r="DB33" s="262"/>
      <c r="DC33" s="262"/>
      <c r="DD33" s="262"/>
      <c r="DE33" s="262"/>
      <c r="DF33" s="262"/>
      <c r="DG33" s="262"/>
      <c r="DH33" s="262"/>
      <c r="DI33" s="262"/>
      <c r="DJ33" s="262"/>
      <c r="DK33" s="262"/>
      <c r="DL33" s="262"/>
      <c r="DM33" s="262"/>
      <c r="DN33" s="262"/>
      <c r="DO33" s="262"/>
      <c r="DP33" s="262"/>
      <c r="DQ33" s="262"/>
      <c r="DR33" s="262"/>
      <c r="DS33" s="262"/>
      <c r="DT33" s="262"/>
      <c r="DU33" s="262"/>
      <c r="DV33" s="262"/>
      <c r="DW33" s="262"/>
      <c r="DX33" s="262"/>
      <c r="DY33" s="262"/>
      <c r="DZ33" s="262"/>
      <c r="EA33" s="262"/>
      <c r="EB33" s="262"/>
      <c r="EC33" s="262"/>
      <c r="ED33" s="262"/>
      <c r="EE33" s="262"/>
      <c r="EF33" s="262"/>
      <c r="EG33" s="262"/>
      <c r="EH33" s="262"/>
      <c r="EI33" s="262"/>
      <c r="EJ33" s="262"/>
      <c r="EK33" s="262"/>
      <c r="EL33" s="262"/>
      <c r="EM33" s="262"/>
      <c r="EN33" s="262"/>
      <c r="EO33" s="262"/>
      <c r="EP33" s="262"/>
      <c r="EQ33" s="262"/>
      <c r="ER33" s="262"/>
      <c r="ES33" s="262"/>
      <c r="ET33" s="262"/>
      <c r="EU33" s="262"/>
      <c r="EV33" s="262"/>
      <c r="EW33" s="262"/>
      <c r="EX33" s="262"/>
      <c r="EY33" s="262"/>
      <c r="EZ33" s="262"/>
      <c r="FA33" s="262"/>
      <c r="FB33" s="262"/>
      <c r="FC33" s="262"/>
      <c r="FD33" s="262"/>
      <c r="FE33" s="262"/>
      <c r="FF33" s="262"/>
      <c r="FG33" s="262"/>
      <c r="FH33" s="262"/>
      <c r="FI33" s="262"/>
      <c r="FJ33" s="262"/>
      <c r="FK33" s="262"/>
      <c r="FL33" s="262"/>
      <c r="FM33" s="262"/>
      <c r="FN33" s="262"/>
      <c r="FO33" s="262"/>
      <c r="FP33" s="262"/>
      <c r="FQ33" s="262"/>
      <c r="FR33" s="262"/>
      <c r="FS33" s="262"/>
      <c r="FT33" s="262"/>
      <c r="FU33" s="262"/>
      <c r="FV33" s="262"/>
      <c r="FW33" s="262"/>
      <c r="FX33" s="262"/>
      <c r="FY33" s="262"/>
      <c r="FZ33" s="262"/>
      <c r="GA33" s="262"/>
      <c r="GB33" s="262"/>
      <c r="GC33" s="262"/>
      <c r="GD33" s="262"/>
      <c r="GE33" s="262"/>
      <c r="GF33" s="262"/>
      <c r="GG33" s="262"/>
      <c r="GH33" s="262"/>
      <c r="GI33" s="262"/>
      <c r="GJ33" s="262"/>
      <c r="GK33" s="262"/>
      <c r="GL33" s="262"/>
      <c r="GM33" s="262"/>
      <c r="GN33" s="262"/>
      <c r="GO33" s="262"/>
      <c r="GP33" s="262"/>
      <c r="GQ33" s="262"/>
      <c r="GR33" s="262"/>
      <c r="GS33" s="262"/>
      <c r="GT33" s="262"/>
      <c r="GU33" s="262"/>
      <c r="GV33" s="262"/>
      <c r="GW33" s="262"/>
      <c r="GX33" s="262"/>
      <c r="GY33" s="262"/>
      <c r="GZ33" s="262"/>
      <c r="HA33" s="262"/>
      <c r="HB33" s="262"/>
      <c r="HC33" s="262"/>
      <c r="HD33" s="262"/>
      <c r="HE33" s="262"/>
      <c r="HF33" s="262"/>
      <c r="HG33" s="262"/>
      <c r="HH33" s="262"/>
      <c r="HI33" s="262"/>
      <c r="HJ33" s="262"/>
      <c r="HK33" s="262"/>
      <c r="HL33" s="262"/>
      <c r="HM33" s="262"/>
      <c r="HN33" s="262"/>
      <c r="HO33" s="262"/>
      <c r="HP33" s="262"/>
      <c r="HQ33" s="262"/>
      <c r="HR33" s="262"/>
      <c r="HS33" s="262"/>
      <c r="HT33" s="262"/>
      <c r="HU33" s="262"/>
      <c r="HV33" s="262"/>
      <c r="HW33" s="262"/>
      <c r="HX33" s="262"/>
      <c r="HY33" s="262"/>
      <c r="HZ33" s="262"/>
      <c r="IA33" s="262"/>
      <c r="IB33" s="262"/>
      <c r="IC33" s="262"/>
      <c r="ID33" s="262"/>
      <c r="IE33" s="262"/>
      <c r="IF33" s="262"/>
      <c r="IG33" s="262"/>
      <c r="IH33" s="262"/>
      <c r="II33" s="262"/>
      <c r="IJ33" s="262"/>
      <c r="IK33" s="262"/>
      <c r="IL33" s="262"/>
      <c r="IM33" s="262"/>
      <c r="IN33" s="262"/>
      <c r="IO33" s="262"/>
      <c r="IP33" s="262"/>
      <c r="IQ33" s="262"/>
      <c r="IR33" s="262"/>
      <c r="IS33" s="262"/>
      <c r="IT33" s="262"/>
      <c r="IU33" s="262"/>
    </row>
    <row r="34" ht="24" hidden="1" customHeight="1" spans="1:255">
      <c r="A34" s="267">
        <v>1057</v>
      </c>
      <c r="B34" s="268" t="s">
        <v>1413</v>
      </c>
      <c r="C34" s="225" t="s">
        <v>1380</v>
      </c>
      <c r="D34" s="230">
        <v>2170.33554414488</v>
      </c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62"/>
      <c r="BH34" s="262"/>
      <c r="BI34" s="262"/>
      <c r="BJ34" s="262"/>
      <c r="BK34" s="262"/>
      <c r="BL34" s="262"/>
      <c r="BM34" s="262"/>
      <c r="BN34" s="262"/>
      <c r="BO34" s="262"/>
      <c r="BP34" s="262"/>
      <c r="BQ34" s="262"/>
      <c r="BR34" s="262"/>
      <c r="BS34" s="262"/>
      <c r="BT34" s="262"/>
      <c r="BU34" s="262"/>
      <c r="BV34" s="262"/>
      <c r="BW34" s="262"/>
      <c r="BX34" s="262"/>
      <c r="BY34" s="262"/>
      <c r="BZ34" s="262"/>
      <c r="CA34" s="262"/>
      <c r="CB34" s="262"/>
      <c r="CC34" s="262"/>
      <c r="CD34" s="262"/>
      <c r="CE34" s="262"/>
      <c r="CF34" s="262"/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  <c r="CR34" s="262"/>
      <c r="CS34" s="262"/>
      <c r="CT34" s="262"/>
      <c r="CU34" s="262"/>
      <c r="CV34" s="262"/>
      <c r="CW34" s="262"/>
      <c r="CX34" s="262"/>
      <c r="CY34" s="262"/>
      <c r="CZ34" s="262"/>
      <c r="DA34" s="262"/>
      <c r="DB34" s="262"/>
      <c r="DC34" s="262"/>
      <c r="DD34" s="262"/>
      <c r="DE34" s="262"/>
      <c r="DF34" s="262"/>
      <c r="DG34" s="262"/>
      <c r="DH34" s="262"/>
      <c r="DI34" s="262"/>
      <c r="DJ34" s="262"/>
      <c r="DK34" s="262"/>
      <c r="DL34" s="262"/>
      <c r="DM34" s="262"/>
      <c r="DN34" s="262"/>
      <c r="DO34" s="262"/>
      <c r="DP34" s="262"/>
      <c r="DQ34" s="262"/>
      <c r="DR34" s="262"/>
      <c r="DS34" s="262"/>
      <c r="DT34" s="262"/>
      <c r="DU34" s="262"/>
      <c r="DV34" s="262"/>
      <c r="DW34" s="262"/>
      <c r="DX34" s="262"/>
      <c r="DY34" s="262"/>
      <c r="DZ34" s="262"/>
      <c r="EA34" s="262"/>
      <c r="EB34" s="262"/>
      <c r="EC34" s="262"/>
      <c r="ED34" s="262"/>
      <c r="EE34" s="262"/>
      <c r="EF34" s="262"/>
      <c r="EG34" s="262"/>
      <c r="EH34" s="262"/>
      <c r="EI34" s="262"/>
      <c r="EJ34" s="262"/>
      <c r="EK34" s="262"/>
      <c r="EL34" s="262"/>
      <c r="EM34" s="262"/>
      <c r="EN34" s="262"/>
      <c r="EO34" s="262"/>
      <c r="EP34" s="262"/>
      <c r="EQ34" s="262"/>
      <c r="ER34" s="262"/>
      <c r="ES34" s="262"/>
      <c r="ET34" s="262"/>
      <c r="EU34" s="262"/>
      <c r="EV34" s="262"/>
      <c r="EW34" s="262"/>
      <c r="EX34" s="262"/>
      <c r="EY34" s="262"/>
      <c r="EZ34" s="262"/>
      <c r="FA34" s="262"/>
      <c r="FB34" s="262"/>
      <c r="FC34" s="262"/>
      <c r="FD34" s="262"/>
      <c r="FE34" s="262"/>
      <c r="FF34" s="262"/>
      <c r="FG34" s="262"/>
      <c r="FH34" s="262"/>
      <c r="FI34" s="262"/>
      <c r="FJ34" s="262"/>
      <c r="FK34" s="262"/>
      <c r="FL34" s="262"/>
      <c r="FM34" s="262"/>
      <c r="FN34" s="262"/>
      <c r="FO34" s="262"/>
      <c r="FP34" s="262"/>
      <c r="FQ34" s="262"/>
      <c r="FR34" s="262"/>
      <c r="FS34" s="262"/>
      <c r="FT34" s="262"/>
      <c r="FU34" s="262"/>
      <c r="FV34" s="262"/>
      <c r="FW34" s="262"/>
      <c r="FX34" s="262"/>
      <c r="FY34" s="262"/>
      <c r="FZ34" s="262"/>
      <c r="GA34" s="262"/>
      <c r="GB34" s="262"/>
      <c r="GC34" s="262"/>
      <c r="GD34" s="262"/>
      <c r="GE34" s="262"/>
      <c r="GF34" s="262"/>
      <c r="GG34" s="262"/>
      <c r="GH34" s="262"/>
      <c r="GI34" s="262"/>
      <c r="GJ34" s="262"/>
      <c r="GK34" s="262"/>
      <c r="GL34" s="262"/>
      <c r="GM34" s="262"/>
      <c r="GN34" s="262"/>
      <c r="GO34" s="262"/>
      <c r="GP34" s="262"/>
      <c r="GQ34" s="262"/>
      <c r="GR34" s="262"/>
      <c r="GS34" s="262"/>
      <c r="GT34" s="262"/>
      <c r="GU34" s="262"/>
      <c r="GV34" s="262"/>
      <c r="GW34" s="262"/>
      <c r="GX34" s="262"/>
      <c r="GY34" s="262"/>
      <c r="GZ34" s="262"/>
      <c r="HA34" s="262"/>
      <c r="HB34" s="262"/>
      <c r="HC34" s="262"/>
      <c r="HD34" s="262"/>
      <c r="HE34" s="262"/>
      <c r="HF34" s="262"/>
      <c r="HG34" s="262"/>
      <c r="HH34" s="262"/>
      <c r="HI34" s="262"/>
      <c r="HJ34" s="262"/>
      <c r="HK34" s="262"/>
      <c r="HL34" s="262"/>
      <c r="HM34" s="262"/>
      <c r="HN34" s="262"/>
      <c r="HO34" s="262"/>
      <c r="HP34" s="262"/>
      <c r="HQ34" s="262"/>
      <c r="HR34" s="262"/>
      <c r="HS34" s="262"/>
      <c r="HT34" s="262"/>
      <c r="HU34" s="262"/>
      <c r="HV34" s="262"/>
      <c r="HW34" s="262"/>
      <c r="HX34" s="262"/>
      <c r="HY34" s="262"/>
      <c r="HZ34" s="262"/>
      <c r="IA34" s="262"/>
      <c r="IB34" s="262"/>
      <c r="IC34" s="262"/>
      <c r="ID34" s="262"/>
      <c r="IE34" s="262"/>
      <c r="IF34" s="262"/>
      <c r="IG34" s="262"/>
      <c r="IH34" s="262"/>
      <c r="II34" s="262"/>
      <c r="IJ34" s="262"/>
      <c r="IK34" s="262"/>
      <c r="IL34" s="262"/>
      <c r="IM34" s="262"/>
      <c r="IN34" s="262"/>
      <c r="IO34" s="262"/>
      <c r="IP34" s="262"/>
      <c r="IQ34" s="262"/>
      <c r="IR34" s="262"/>
      <c r="IS34" s="262"/>
      <c r="IT34" s="262"/>
      <c r="IU34" s="262"/>
    </row>
    <row r="35" ht="24" hidden="1" customHeight="1" spans="1:255">
      <c r="A35" s="267">
        <v>1063</v>
      </c>
      <c r="B35" s="268" t="s">
        <v>1414</v>
      </c>
      <c r="C35" s="225" t="s">
        <v>1380</v>
      </c>
      <c r="D35" s="230">
        <v>692.60203840475</v>
      </c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62"/>
      <c r="BH35" s="262"/>
      <c r="BI35" s="262"/>
      <c r="BJ35" s="262"/>
      <c r="BK35" s="262"/>
      <c r="BL35" s="262"/>
      <c r="BM35" s="262"/>
      <c r="BN35" s="262"/>
      <c r="BO35" s="262"/>
      <c r="BP35" s="262"/>
      <c r="BQ35" s="262"/>
      <c r="BR35" s="262"/>
      <c r="BS35" s="262"/>
      <c r="BT35" s="262"/>
      <c r="BU35" s="262"/>
      <c r="BV35" s="262"/>
      <c r="BW35" s="262"/>
      <c r="BX35" s="262"/>
      <c r="BY35" s="262"/>
      <c r="BZ35" s="262"/>
      <c r="CA35" s="262"/>
      <c r="CB35" s="262"/>
      <c r="CC35" s="262"/>
      <c r="CD35" s="262"/>
      <c r="CE35" s="262"/>
      <c r="CF35" s="262"/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  <c r="CR35" s="262"/>
      <c r="CS35" s="262"/>
      <c r="CT35" s="262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2"/>
      <c r="DX35" s="262"/>
      <c r="DY35" s="262"/>
      <c r="DZ35" s="262"/>
      <c r="EA35" s="262"/>
      <c r="EB35" s="262"/>
      <c r="EC35" s="262"/>
      <c r="ED35" s="262"/>
      <c r="EE35" s="262"/>
      <c r="EF35" s="262"/>
      <c r="EG35" s="262"/>
      <c r="EH35" s="262"/>
      <c r="EI35" s="262"/>
      <c r="EJ35" s="262"/>
      <c r="EK35" s="262"/>
      <c r="EL35" s="262"/>
      <c r="EM35" s="262"/>
      <c r="EN35" s="262"/>
      <c r="EO35" s="262"/>
      <c r="EP35" s="262"/>
      <c r="EQ35" s="262"/>
      <c r="ER35" s="262"/>
      <c r="ES35" s="262"/>
      <c r="ET35" s="262"/>
      <c r="EU35" s="262"/>
      <c r="EV35" s="262"/>
      <c r="EW35" s="262"/>
      <c r="EX35" s="262"/>
      <c r="EY35" s="262"/>
      <c r="EZ35" s="262"/>
      <c r="FA35" s="262"/>
      <c r="FB35" s="262"/>
      <c r="FC35" s="262"/>
      <c r="FD35" s="262"/>
      <c r="FE35" s="262"/>
      <c r="FF35" s="262"/>
      <c r="FG35" s="262"/>
      <c r="FH35" s="262"/>
      <c r="FI35" s="262"/>
      <c r="FJ35" s="262"/>
      <c r="FK35" s="262"/>
      <c r="FL35" s="262"/>
      <c r="FM35" s="262"/>
      <c r="FN35" s="262"/>
      <c r="FO35" s="262"/>
      <c r="FP35" s="262"/>
      <c r="FQ35" s="262"/>
      <c r="FR35" s="262"/>
      <c r="FS35" s="262"/>
      <c r="FT35" s="262"/>
      <c r="FU35" s="262"/>
      <c r="FV35" s="262"/>
      <c r="FW35" s="262"/>
      <c r="FX35" s="262"/>
      <c r="FY35" s="262"/>
      <c r="FZ35" s="262"/>
      <c r="GA35" s="262"/>
      <c r="GB35" s="262"/>
      <c r="GC35" s="262"/>
      <c r="GD35" s="262"/>
      <c r="GE35" s="262"/>
      <c r="GF35" s="262"/>
      <c r="GG35" s="262"/>
      <c r="GH35" s="262"/>
      <c r="GI35" s="262"/>
      <c r="GJ35" s="262"/>
      <c r="GK35" s="262"/>
      <c r="GL35" s="262"/>
      <c r="GM35" s="262"/>
      <c r="GN35" s="262"/>
      <c r="GO35" s="262"/>
      <c r="GP35" s="262"/>
      <c r="GQ35" s="262"/>
      <c r="GR35" s="262"/>
      <c r="GS35" s="262"/>
      <c r="GT35" s="262"/>
      <c r="GU35" s="262"/>
      <c r="GV35" s="262"/>
      <c r="GW35" s="262"/>
      <c r="GX35" s="262"/>
      <c r="GY35" s="262"/>
      <c r="GZ35" s="262"/>
      <c r="HA35" s="262"/>
      <c r="HB35" s="262"/>
      <c r="HC35" s="262"/>
      <c r="HD35" s="262"/>
      <c r="HE35" s="262"/>
      <c r="HF35" s="262"/>
      <c r="HG35" s="262"/>
      <c r="HH35" s="262"/>
      <c r="HI35" s="262"/>
      <c r="HJ35" s="262"/>
      <c r="HK35" s="262"/>
      <c r="HL35" s="262"/>
      <c r="HM35" s="262"/>
      <c r="HN35" s="262"/>
      <c r="HO35" s="262"/>
      <c r="HP35" s="262"/>
      <c r="HQ35" s="262"/>
      <c r="HR35" s="262"/>
      <c r="HS35" s="262"/>
      <c r="HT35" s="262"/>
      <c r="HU35" s="262"/>
      <c r="HV35" s="262"/>
      <c r="HW35" s="262"/>
      <c r="HX35" s="262"/>
      <c r="HY35" s="262"/>
      <c r="HZ35" s="262"/>
      <c r="IA35" s="262"/>
      <c r="IB35" s="262"/>
      <c r="IC35" s="262"/>
      <c r="ID35" s="262"/>
      <c r="IE35" s="262"/>
      <c r="IF35" s="262"/>
      <c r="IG35" s="262"/>
      <c r="IH35" s="262"/>
      <c r="II35" s="262"/>
      <c r="IJ35" s="262"/>
      <c r="IK35" s="262"/>
      <c r="IL35" s="262"/>
      <c r="IM35" s="262"/>
      <c r="IN35" s="262"/>
      <c r="IO35" s="262"/>
      <c r="IP35" s="262"/>
      <c r="IQ35" s="262"/>
      <c r="IR35" s="262"/>
      <c r="IS35" s="262"/>
      <c r="IT35" s="262"/>
      <c r="IU35" s="262"/>
    </row>
    <row r="36" ht="24" hidden="1" customHeight="1" spans="1:255">
      <c r="A36" s="267">
        <v>1064</v>
      </c>
      <c r="B36" s="268" t="s">
        <v>1415</v>
      </c>
      <c r="C36" s="225" t="s">
        <v>1380</v>
      </c>
      <c r="D36" s="230">
        <v>538.464215024318</v>
      </c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62"/>
      <c r="BH36" s="262"/>
      <c r="BI36" s="262"/>
      <c r="BJ36" s="262"/>
      <c r="BK36" s="262"/>
      <c r="BL36" s="262"/>
      <c r="BM36" s="262"/>
      <c r="BN36" s="262"/>
      <c r="BO36" s="262"/>
      <c r="BP36" s="262"/>
      <c r="BQ36" s="262"/>
      <c r="BR36" s="262"/>
      <c r="BS36" s="262"/>
      <c r="BT36" s="262"/>
      <c r="BU36" s="262"/>
      <c r="BV36" s="262"/>
      <c r="BW36" s="262"/>
      <c r="BX36" s="262"/>
      <c r="BY36" s="262"/>
      <c r="BZ36" s="262"/>
      <c r="CA36" s="262"/>
      <c r="CB36" s="262"/>
      <c r="CC36" s="262"/>
      <c r="CD36" s="262"/>
      <c r="CE36" s="262"/>
      <c r="CF36" s="262"/>
      <c r="CG36" s="262"/>
      <c r="CH36" s="262"/>
      <c r="CI36" s="262"/>
      <c r="CJ36" s="262"/>
      <c r="CK36" s="262"/>
      <c r="CL36" s="262"/>
      <c r="CM36" s="262"/>
      <c r="CN36" s="262"/>
      <c r="CO36" s="262"/>
      <c r="CP36" s="262"/>
      <c r="CQ36" s="262"/>
      <c r="CR36" s="262"/>
      <c r="CS36" s="262"/>
      <c r="CT36" s="262"/>
      <c r="CU36" s="262"/>
      <c r="CV36" s="262"/>
      <c r="CW36" s="262"/>
      <c r="CX36" s="262"/>
      <c r="CY36" s="262"/>
      <c r="CZ36" s="262"/>
      <c r="DA36" s="262"/>
      <c r="DB36" s="262"/>
      <c r="DC36" s="262"/>
      <c r="DD36" s="262"/>
      <c r="DE36" s="262"/>
      <c r="DF36" s="262"/>
      <c r="DG36" s="262"/>
      <c r="DH36" s="262"/>
      <c r="DI36" s="262"/>
      <c r="DJ36" s="262"/>
      <c r="DK36" s="262"/>
      <c r="DL36" s="262"/>
      <c r="DM36" s="262"/>
      <c r="DN36" s="262"/>
      <c r="DO36" s="262"/>
      <c r="DP36" s="262"/>
      <c r="DQ36" s="262"/>
      <c r="DR36" s="262"/>
      <c r="DS36" s="262"/>
      <c r="DT36" s="262"/>
      <c r="DU36" s="262"/>
      <c r="DV36" s="262"/>
      <c r="DW36" s="262"/>
      <c r="DX36" s="262"/>
      <c r="DY36" s="262"/>
      <c r="DZ36" s="262"/>
      <c r="EA36" s="262"/>
      <c r="EB36" s="262"/>
      <c r="EC36" s="262"/>
      <c r="ED36" s="262"/>
      <c r="EE36" s="262"/>
      <c r="EF36" s="262"/>
      <c r="EG36" s="262"/>
      <c r="EH36" s="262"/>
      <c r="EI36" s="262"/>
      <c r="EJ36" s="262"/>
      <c r="EK36" s="262"/>
      <c r="EL36" s="262"/>
      <c r="EM36" s="262"/>
      <c r="EN36" s="262"/>
      <c r="EO36" s="262"/>
      <c r="EP36" s="262"/>
      <c r="EQ36" s="262"/>
      <c r="ER36" s="262"/>
      <c r="ES36" s="262"/>
      <c r="ET36" s="262"/>
      <c r="EU36" s="262"/>
      <c r="EV36" s="262"/>
      <c r="EW36" s="262"/>
      <c r="EX36" s="262"/>
      <c r="EY36" s="262"/>
      <c r="EZ36" s="262"/>
      <c r="FA36" s="262"/>
      <c r="FB36" s="262"/>
      <c r="FC36" s="262"/>
      <c r="FD36" s="262"/>
      <c r="FE36" s="262"/>
      <c r="FF36" s="262"/>
      <c r="FG36" s="262"/>
      <c r="FH36" s="262"/>
      <c r="FI36" s="262"/>
      <c r="FJ36" s="262"/>
      <c r="FK36" s="262"/>
      <c r="FL36" s="262"/>
      <c r="FM36" s="262"/>
      <c r="FN36" s="262"/>
      <c r="FO36" s="262"/>
      <c r="FP36" s="262"/>
      <c r="FQ36" s="262"/>
      <c r="FR36" s="262"/>
      <c r="FS36" s="262"/>
      <c r="FT36" s="262"/>
      <c r="FU36" s="262"/>
      <c r="FV36" s="262"/>
      <c r="FW36" s="262"/>
      <c r="FX36" s="262"/>
      <c r="FY36" s="262"/>
      <c r="FZ36" s="262"/>
      <c r="GA36" s="262"/>
      <c r="GB36" s="262"/>
      <c r="GC36" s="262"/>
      <c r="GD36" s="262"/>
      <c r="GE36" s="262"/>
      <c r="GF36" s="262"/>
      <c r="GG36" s="262"/>
      <c r="GH36" s="262"/>
      <c r="GI36" s="262"/>
      <c r="GJ36" s="262"/>
      <c r="GK36" s="262"/>
      <c r="GL36" s="262"/>
      <c r="GM36" s="262"/>
      <c r="GN36" s="262"/>
      <c r="GO36" s="262"/>
      <c r="GP36" s="262"/>
      <c r="GQ36" s="262"/>
      <c r="GR36" s="262"/>
      <c r="GS36" s="262"/>
      <c r="GT36" s="262"/>
      <c r="GU36" s="262"/>
      <c r="GV36" s="262"/>
      <c r="GW36" s="262"/>
      <c r="GX36" s="262"/>
      <c r="GY36" s="262"/>
      <c r="GZ36" s="262"/>
      <c r="HA36" s="262"/>
      <c r="HB36" s="262"/>
      <c r="HC36" s="262"/>
      <c r="HD36" s="262"/>
      <c r="HE36" s="262"/>
      <c r="HF36" s="262"/>
      <c r="HG36" s="262"/>
      <c r="HH36" s="262"/>
      <c r="HI36" s="262"/>
      <c r="HJ36" s="262"/>
      <c r="HK36" s="262"/>
      <c r="HL36" s="262"/>
      <c r="HM36" s="262"/>
      <c r="HN36" s="262"/>
      <c r="HO36" s="262"/>
      <c r="HP36" s="262"/>
      <c r="HQ36" s="262"/>
      <c r="HR36" s="262"/>
      <c r="HS36" s="262"/>
      <c r="HT36" s="262"/>
      <c r="HU36" s="262"/>
      <c r="HV36" s="262"/>
      <c r="HW36" s="262"/>
      <c r="HX36" s="262"/>
      <c r="HY36" s="262"/>
      <c r="HZ36" s="262"/>
      <c r="IA36" s="262"/>
      <c r="IB36" s="262"/>
      <c r="IC36" s="262"/>
      <c r="ID36" s="262"/>
      <c r="IE36" s="262"/>
      <c r="IF36" s="262"/>
      <c r="IG36" s="262"/>
      <c r="IH36" s="262"/>
      <c r="II36" s="262"/>
      <c r="IJ36" s="262"/>
      <c r="IK36" s="262"/>
      <c r="IL36" s="262"/>
      <c r="IM36" s="262"/>
      <c r="IN36" s="262"/>
      <c r="IO36" s="262"/>
      <c r="IP36" s="262"/>
      <c r="IQ36" s="262"/>
      <c r="IR36" s="262"/>
      <c r="IS36" s="262"/>
      <c r="IT36" s="262"/>
      <c r="IU36" s="262"/>
    </row>
    <row r="37" ht="24" hidden="1" customHeight="1" spans="1:255">
      <c r="A37" s="267">
        <v>1065</v>
      </c>
      <c r="B37" s="268" t="s">
        <v>1416</v>
      </c>
      <c r="C37" s="225" t="s">
        <v>1380</v>
      </c>
      <c r="D37" s="230">
        <v>342.498708643125</v>
      </c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62"/>
      <c r="BH37" s="262"/>
      <c r="BI37" s="262"/>
      <c r="BJ37" s="262"/>
      <c r="BK37" s="262"/>
      <c r="BL37" s="262"/>
      <c r="BM37" s="262"/>
      <c r="BN37" s="262"/>
      <c r="BO37" s="262"/>
      <c r="BP37" s="262"/>
      <c r="BQ37" s="262"/>
      <c r="BR37" s="262"/>
      <c r="BS37" s="262"/>
      <c r="BT37" s="262"/>
      <c r="BU37" s="262"/>
      <c r="BV37" s="262"/>
      <c r="BW37" s="262"/>
      <c r="BX37" s="262"/>
      <c r="BY37" s="262"/>
      <c r="BZ37" s="262"/>
      <c r="CA37" s="262"/>
      <c r="CB37" s="262"/>
      <c r="CC37" s="262"/>
      <c r="CD37" s="262"/>
      <c r="CE37" s="262"/>
      <c r="CF37" s="262"/>
      <c r="CG37" s="262"/>
      <c r="CH37" s="262"/>
      <c r="CI37" s="262"/>
      <c r="CJ37" s="262"/>
      <c r="CK37" s="262"/>
      <c r="CL37" s="262"/>
      <c r="CM37" s="262"/>
      <c r="CN37" s="262"/>
      <c r="CO37" s="262"/>
      <c r="CP37" s="262"/>
      <c r="CQ37" s="262"/>
      <c r="CR37" s="262"/>
      <c r="CS37" s="262"/>
      <c r="CT37" s="262"/>
      <c r="CU37" s="262"/>
      <c r="CV37" s="262"/>
      <c r="CW37" s="262"/>
      <c r="CX37" s="262"/>
      <c r="CY37" s="262"/>
      <c r="CZ37" s="262"/>
      <c r="DA37" s="262"/>
      <c r="DB37" s="262"/>
      <c r="DC37" s="262"/>
      <c r="DD37" s="262"/>
      <c r="DE37" s="262"/>
      <c r="DF37" s="262"/>
      <c r="DG37" s="262"/>
      <c r="DH37" s="262"/>
      <c r="DI37" s="262"/>
      <c r="DJ37" s="262"/>
      <c r="DK37" s="262"/>
      <c r="DL37" s="262"/>
      <c r="DM37" s="262"/>
      <c r="DN37" s="262"/>
      <c r="DO37" s="262"/>
      <c r="DP37" s="262"/>
      <c r="DQ37" s="262"/>
      <c r="DR37" s="262"/>
      <c r="DS37" s="262"/>
      <c r="DT37" s="262"/>
      <c r="DU37" s="262"/>
      <c r="DV37" s="262"/>
      <c r="DW37" s="262"/>
      <c r="DX37" s="262"/>
      <c r="DY37" s="262"/>
      <c r="DZ37" s="262"/>
      <c r="EA37" s="262"/>
      <c r="EB37" s="262"/>
      <c r="EC37" s="262"/>
      <c r="ED37" s="262"/>
      <c r="EE37" s="262"/>
      <c r="EF37" s="262"/>
      <c r="EG37" s="262"/>
      <c r="EH37" s="262"/>
      <c r="EI37" s="262"/>
      <c r="EJ37" s="262"/>
      <c r="EK37" s="262"/>
      <c r="EL37" s="262"/>
      <c r="EM37" s="262"/>
      <c r="EN37" s="262"/>
      <c r="EO37" s="262"/>
      <c r="EP37" s="262"/>
      <c r="EQ37" s="262"/>
      <c r="ER37" s="262"/>
      <c r="ES37" s="262"/>
      <c r="ET37" s="262"/>
      <c r="EU37" s="262"/>
      <c r="EV37" s="262"/>
      <c r="EW37" s="262"/>
      <c r="EX37" s="262"/>
      <c r="EY37" s="262"/>
      <c r="EZ37" s="262"/>
      <c r="FA37" s="262"/>
      <c r="FB37" s="262"/>
      <c r="FC37" s="262"/>
      <c r="FD37" s="262"/>
      <c r="FE37" s="262"/>
      <c r="FF37" s="262"/>
      <c r="FG37" s="262"/>
      <c r="FH37" s="262"/>
      <c r="FI37" s="262"/>
      <c r="FJ37" s="262"/>
      <c r="FK37" s="262"/>
      <c r="FL37" s="262"/>
      <c r="FM37" s="262"/>
      <c r="FN37" s="262"/>
      <c r="FO37" s="262"/>
      <c r="FP37" s="262"/>
      <c r="FQ37" s="262"/>
      <c r="FR37" s="262"/>
      <c r="FS37" s="262"/>
      <c r="FT37" s="262"/>
      <c r="FU37" s="262"/>
      <c r="FV37" s="262"/>
      <c r="FW37" s="262"/>
      <c r="FX37" s="262"/>
      <c r="FY37" s="262"/>
      <c r="FZ37" s="262"/>
      <c r="GA37" s="262"/>
      <c r="GB37" s="262"/>
      <c r="GC37" s="262"/>
      <c r="GD37" s="262"/>
      <c r="GE37" s="262"/>
      <c r="GF37" s="262"/>
      <c r="GG37" s="262"/>
      <c r="GH37" s="262"/>
      <c r="GI37" s="262"/>
      <c r="GJ37" s="262"/>
      <c r="GK37" s="262"/>
      <c r="GL37" s="262"/>
      <c r="GM37" s="262"/>
      <c r="GN37" s="262"/>
      <c r="GO37" s="262"/>
      <c r="GP37" s="262"/>
      <c r="GQ37" s="262"/>
      <c r="GR37" s="262"/>
      <c r="GS37" s="262"/>
      <c r="GT37" s="262"/>
      <c r="GU37" s="262"/>
      <c r="GV37" s="262"/>
      <c r="GW37" s="262"/>
      <c r="GX37" s="262"/>
      <c r="GY37" s="262"/>
      <c r="GZ37" s="262"/>
      <c r="HA37" s="262"/>
      <c r="HB37" s="262"/>
      <c r="HC37" s="262"/>
      <c r="HD37" s="262"/>
      <c r="HE37" s="262"/>
      <c r="HF37" s="262"/>
      <c r="HG37" s="262"/>
      <c r="HH37" s="262"/>
      <c r="HI37" s="262"/>
      <c r="HJ37" s="262"/>
      <c r="HK37" s="262"/>
      <c r="HL37" s="262"/>
      <c r="HM37" s="262"/>
      <c r="HN37" s="262"/>
      <c r="HO37" s="262"/>
      <c r="HP37" s="262"/>
      <c r="HQ37" s="262"/>
      <c r="HR37" s="262"/>
      <c r="HS37" s="262"/>
      <c r="HT37" s="262"/>
      <c r="HU37" s="262"/>
      <c r="HV37" s="262"/>
      <c r="HW37" s="262"/>
      <c r="HX37" s="262"/>
      <c r="HY37" s="262"/>
      <c r="HZ37" s="262"/>
      <c r="IA37" s="262"/>
      <c r="IB37" s="262"/>
      <c r="IC37" s="262"/>
      <c r="ID37" s="262"/>
      <c r="IE37" s="262"/>
      <c r="IF37" s="262"/>
      <c r="IG37" s="262"/>
      <c r="IH37" s="262"/>
      <c r="II37" s="262"/>
      <c r="IJ37" s="262"/>
      <c r="IK37" s="262"/>
      <c r="IL37" s="262"/>
      <c r="IM37" s="262"/>
      <c r="IN37" s="262"/>
      <c r="IO37" s="262"/>
      <c r="IP37" s="262"/>
      <c r="IQ37" s="262"/>
      <c r="IR37" s="262"/>
      <c r="IS37" s="262"/>
      <c r="IT37" s="262"/>
      <c r="IU37" s="262"/>
    </row>
    <row r="38" ht="24" hidden="1" customHeight="1" spans="1:255">
      <c r="A38" s="267">
        <v>1067</v>
      </c>
      <c r="B38" s="268" t="s">
        <v>1417</v>
      </c>
      <c r="C38" s="225" t="s">
        <v>1380</v>
      </c>
      <c r="D38" s="230">
        <v>3029.71210526495</v>
      </c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62"/>
      <c r="BH38" s="262"/>
      <c r="BI38" s="262"/>
      <c r="BJ38" s="262"/>
      <c r="BK38" s="262"/>
      <c r="BL38" s="262"/>
      <c r="BM38" s="262"/>
      <c r="BN38" s="262"/>
      <c r="BO38" s="262"/>
      <c r="BP38" s="262"/>
      <c r="BQ38" s="262"/>
      <c r="BR38" s="262"/>
      <c r="BS38" s="262"/>
      <c r="BT38" s="262"/>
      <c r="BU38" s="262"/>
      <c r="BV38" s="262"/>
      <c r="BW38" s="262"/>
      <c r="BX38" s="262"/>
      <c r="BY38" s="262"/>
      <c r="BZ38" s="262"/>
      <c r="CA38" s="262"/>
      <c r="CB38" s="262"/>
      <c r="CC38" s="262"/>
      <c r="CD38" s="262"/>
      <c r="CE38" s="262"/>
      <c r="CF38" s="262"/>
      <c r="CG38" s="262"/>
      <c r="CH38" s="262"/>
      <c r="CI38" s="262"/>
      <c r="CJ38" s="262"/>
      <c r="CK38" s="262"/>
      <c r="CL38" s="262"/>
      <c r="CM38" s="262"/>
      <c r="CN38" s="262"/>
      <c r="CO38" s="262"/>
      <c r="CP38" s="262"/>
      <c r="CQ38" s="262"/>
      <c r="CR38" s="262"/>
      <c r="CS38" s="262"/>
      <c r="CT38" s="262"/>
      <c r="CU38" s="262"/>
      <c r="CV38" s="262"/>
      <c r="CW38" s="262"/>
      <c r="CX38" s="262"/>
      <c r="CY38" s="262"/>
      <c r="CZ38" s="262"/>
      <c r="DA38" s="262"/>
      <c r="DB38" s="262"/>
      <c r="DC38" s="262"/>
      <c r="DD38" s="262"/>
      <c r="DE38" s="262"/>
      <c r="DF38" s="262"/>
      <c r="DG38" s="262"/>
      <c r="DH38" s="262"/>
      <c r="DI38" s="262"/>
      <c r="DJ38" s="262"/>
      <c r="DK38" s="262"/>
      <c r="DL38" s="262"/>
      <c r="DM38" s="262"/>
      <c r="DN38" s="262"/>
      <c r="DO38" s="262"/>
      <c r="DP38" s="262"/>
      <c r="DQ38" s="262"/>
      <c r="DR38" s="262"/>
      <c r="DS38" s="262"/>
      <c r="DT38" s="262"/>
      <c r="DU38" s="262"/>
      <c r="DV38" s="262"/>
      <c r="DW38" s="262"/>
      <c r="DX38" s="262"/>
      <c r="DY38" s="262"/>
      <c r="DZ38" s="262"/>
      <c r="EA38" s="262"/>
      <c r="EB38" s="262"/>
      <c r="EC38" s="262"/>
      <c r="ED38" s="262"/>
      <c r="EE38" s="262"/>
      <c r="EF38" s="262"/>
      <c r="EG38" s="262"/>
      <c r="EH38" s="262"/>
      <c r="EI38" s="262"/>
      <c r="EJ38" s="262"/>
      <c r="EK38" s="262"/>
      <c r="EL38" s="262"/>
      <c r="EM38" s="262"/>
      <c r="EN38" s="262"/>
      <c r="EO38" s="262"/>
      <c r="EP38" s="262"/>
      <c r="EQ38" s="262"/>
      <c r="ER38" s="262"/>
      <c r="ES38" s="262"/>
      <c r="ET38" s="262"/>
      <c r="EU38" s="262"/>
      <c r="EV38" s="262"/>
      <c r="EW38" s="262"/>
      <c r="EX38" s="262"/>
      <c r="EY38" s="262"/>
      <c r="EZ38" s="262"/>
      <c r="FA38" s="262"/>
      <c r="FB38" s="262"/>
      <c r="FC38" s="262"/>
      <c r="FD38" s="262"/>
      <c r="FE38" s="262"/>
      <c r="FF38" s="262"/>
      <c r="FG38" s="262"/>
      <c r="FH38" s="262"/>
      <c r="FI38" s="262"/>
      <c r="FJ38" s="262"/>
      <c r="FK38" s="262"/>
      <c r="FL38" s="262"/>
      <c r="FM38" s="262"/>
      <c r="FN38" s="262"/>
      <c r="FO38" s="262"/>
      <c r="FP38" s="262"/>
      <c r="FQ38" s="262"/>
      <c r="FR38" s="262"/>
      <c r="FS38" s="262"/>
      <c r="FT38" s="262"/>
      <c r="FU38" s="262"/>
      <c r="FV38" s="262"/>
      <c r="FW38" s="262"/>
      <c r="FX38" s="262"/>
      <c r="FY38" s="262"/>
      <c r="FZ38" s="262"/>
      <c r="GA38" s="262"/>
      <c r="GB38" s="262"/>
      <c r="GC38" s="262"/>
      <c r="GD38" s="262"/>
      <c r="GE38" s="262"/>
      <c r="GF38" s="262"/>
      <c r="GG38" s="262"/>
      <c r="GH38" s="262"/>
      <c r="GI38" s="262"/>
      <c r="GJ38" s="262"/>
      <c r="GK38" s="262"/>
      <c r="GL38" s="262"/>
      <c r="GM38" s="262"/>
      <c r="GN38" s="262"/>
      <c r="GO38" s="262"/>
      <c r="GP38" s="262"/>
      <c r="GQ38" s="262"/>
      <c r="GR38" s="262"/>
      <c r="GS38" s="262"/>
      <c r="GT38" s="262"/>
      <c r="GU38" s="262"/>
      <c r="GV38" s="262"/>
      <c r="GW38" s="262"/>
      <c r="GX38" s="262"/>
      <c r="GY38" s="262"/>
      <c r="GZ38" s="262"/>
      <c r="HA38" s="262"/>
      <c r="HB38" s="262"/>
      <c r="HC38" s="262"/>
      <c r="HD38" s="262"/>
      <c r="HE38" s="262"/>
      <c r="HF38" s="262"/>
      <c r="HG38" s="262"/>
      <c r="HH38" s="262"/>
      <c r="HI38" s="262"/>
      <c r="HJ38" s="262"/>
      <c r="HK38" s="262"/>
      <c r="HL38" s="262"/>
      <c r="HM38" s="262"/>
      <c r="HN38" s="262"/>
      <c r="HO38" s="262"/>
      <c r="HP38" s="262"/>
      <c r="HQ38" s="262"/>
      <c r="HR38" s="262"/>
      <c r="HS38" s="262"/>
      <c r="HT38" s="262"/>
      <c r="HU38" s="262"/>
      <c r="HV38" s="262"/>
      <c r="HW38" s="262"/>
      <c r="HX38" s="262"/>
      <c r="HY38" s="262"/>
      <c r="HZ38" s="262"/>
      <c r="IA38" s="262"/>
      <c r="IB38" s="262"/>
      <c r="IC38" s="262"/>
      <c r="ID38" s="262"/>
      <c r="IE38" s="262"/>
      <c r="IF38" s="262"/>
      <c r="IG38" s="262"/>
      <c r="IH38" s="262"/>
      <c r="II38" s="262"/>
      <c r="IJ38" s="262"/>
      <c r="IK38" s="262"/>
      <c r="IL38" s="262"/>
      <c r="IM38" s="262"/>
      <c r="IN38" s="262"/>
      <c r="IO38" s="262"/>
      <c r="IP38" s="262"/>
      <c r="IQ38" s="262"/>
      <c r="IR38" s="262"/>
      <c r="IS38" s="262"/>
      <c r="IT38" s="262"/>
      <c r="IU38" s="262"/>
    </row>
    <row r="39" ht="24" hidden="1" customHeight="1" spans="1:255">
      <c r="A39" s="267">
        <v>1078</v>
      </c>
      <c r="B39" s="268" t="s">
        <v>1418</v>
      </c>
      <c r="C39" s="225" t="s">
        <v>1380</v>
      </c>
      <c r="D39" s="230">
        <v>1206.9409634362</v>
      </c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2"/>
      <c r="CB39" s="262"/>
      <c r="CC39" s="262"/>
      <c r="CD39" s="262"/>
      <c r="CE39" s="262"/>
      <c r="CF39" s="262"/>
      <c r="CG39" s="262"/>
      <c r="CH39" s="262"/>
      <c r="CI39" s="262"/>
      <c r="CJ39" s="262"/>
      <c r="CK39" s="262"/>
      <c r="CL39" s="262"/>
      <c r="CM39" s="262"/>
      <c r="CN39" s="262"/>
      <c r="CO39" s="262"/>
      <c r="CP39" s="262"/>
      <c r="CQ39" s="262"/>
      <c r="CR39" s="262"/>
      <c r="CS39" s="262"/>
      <c r="CT39" s="262"/>
      <c r="CU39" s="262"/>
      <c r="CV39" s="262"/>
      <c r="CW39" s="262"/>
      <c r="CX39" s="262"/>
      <c r="CY39" s="262"/>
      <c r="CZ39" s="262"/>
      <c r="DA39" s="262"/>
      <c r="DB39" s="262"/>
      <c r="DC39" s="262"/>
      <c r="DD39" s="262"/>
      <c r="DE39" s="262"/>
      <c r="DF39" s="262"/>
      <c r="DG39" s="262"/>
      <c r="DH39" s="262"/>
      <c r="DI39" s="262"/>
      <c r="DJ39" s="262"/>
      <c r="DK39" s="262"/>
      <c r="DL39" s="262"/>
      <c r="DM39" s="262"/>
      <c r="DN39" s="262"/>
      <c r="DO39" s="262"/>
      <c r="DP39" s="262"/>
      <c r="DQ39" s="262"/>
      <c r="DR39" s="262"/>
      <c r="DS39" s="262"/>
      <c r="DT39" s="262"/>
      <c r="DU39" s="262"/>
      <c r="DV39" s="262"/>
      <c r="DW39" s="262"/>
      <c r="DX39" s="262"/>
      <c r="DY39" s="262"/>
      <c r="DZ39" s="262"/>
      <c r="EA39" s="262"/>
      <c r="EB39" s="262"/>
      <c r="EC39" s="262"/>
      <c r="ED39" s="262"/>
      <c r="EE39" s="262"/>
      <c r="EF39" s="262"/>
      <c r="EG39" s="262"/>
      <c r="EH39" s="262"/>
      <c r="EI39" s="262"/>
      <c r="EJ39" s="262"/>
      <c r="EK39" s="262"/>
      <c r="EL39" s="262"/>
      <c r="EM39" s="262"/>
      <c r="EN39" s="262"/>
      <c r="EO39" s="262"/>
      <c r="EP39" s="262"/>
      <c r="EQ39" s="262"/>
      <c r="ER39" s="262"/>
      <c r="ES39" s="262"/>
      <c r="ET39" s="262"/>
      <c r="EU39" s="262"/>
      <c r="EV39" s="262"/>
      <c r="EW39" s="262"/>
      <c r="EX39" s="262"/>
      <c r="EY39" s="262"/>
      <c r="EZ39" s="262"/>
      <c r="FA39" s="262"/>
      <c r="FB39" s="262"/>
      <c r="FC39" s="262"/>
      <c r="FD39" s="262"/>
      <c r="FE39" s="262"/>
      <c r="FF39" s="262"/>
      <c r="FG39" s="262"/>
      <c r="FH39" s="262"/>
      <c r="FI39" s="262"/>
      <c r="FJ39" s="262"/>
      <c r="FK39" s="262"/>
      <c r="FL39" s="262"/>
      <c r="FM39" s="262"/>
      <c r="FN39" s="262"/>
      <c r="FO39" s="262"/>
      <c r="FP39" s="262"/>
      <c r="FQ39" s="262"/>
      <c r="FR39" s="262"/>
      <c r="FS39" s="262"/>
      <c r="FT39" s="262"/>
      <c r="FU39" s="262"/>
      <c r="FV39" s="262"/>
      <c r="FW39" s="262"/>
      <c r="FX39" s="262"/>
      <c r="FY39" s="262"/>
      <c r="FZ39" s="262"/>
      <c r="GA39" s="262"/>
      <c r="GB39" s="262"/>
      <c r="GC39" s="262"/>
      <c r="GD39" s="262"/>
      <c r="GE39" s="262"/>
      <c r="GF39" s="262"/>
      <c r="GG39" s="262"/>
      <c r="GH39" s="262"/>
      <c r="GI39" s="262"/>
      <c r="GJ39" s="262"/>
      <c r="GK39" s="262"/>
      <c r="GL39" s="262"/>
      <c r="GM39" s="262"/>
      <c r="GN39" s="262"/>
      <c r="GO39" s="262"/>
      <c r="GP39" s="262"/>
      <c r="GQ39" s="262"/>
      <c r="GR39" s="262"/>
      <c r="GS39" s="262"/>
      <c r="GT39" s="262"/>
      <c r="GU39" s="262"/>
      <c r="GV39" s="262"/>
      <c r="GW39" s="262"/>
      <c r="GX39" s="262"/>
      <c r="GY39" s="262"/>
      <c r="GZ39" s="262"/>
      <c r="HA39" s="262"/>
      <c r="HB39" s="262"/>
      <c r="HC39" s="262"/>
      <c r="HD39" s="262"/>
      <c r="HE39" s="262"/>
      <c r="HF39" s="262"/>
      <c r="HG39" s="262"/>
      <c r="HH39" s="262"/>
      <c r="HI39" s="262"/>
      <c r="HJ39" s="262"/>
      <c r="HK39" s="262"/>
      <c r="HL39" s="262"/>
      <c r="HM39" s="262"/>
      <c r="HN39" s="262"/>
      <c r="HO39" s="262"/>
      <c r="HP39" s="262"/>
      <c r="HQ39" s="262"/>
      <c r="HR39" s="262"/>
      <c r="HS39" s="262"/>
      <c r="HT39" s="262"/>
      <c r="HU39" s="262"/>
      <c r="HV39" s="262"/>
      <c r="HW39" s="262"/>
      <c r="HX39" s="262"/>
      <c r="HY39" s="262"/>
      <c r="HZ39" s="262"/>
      <c r="IA39" s="262"/>
      <c r="IB39" s="262"/>
      <c r="IC39" s="262"/>
      <c r="ID39" s="262"/>
      <c r="IE39" s="262"/>
      <c r="IF39" s="262"/>
      <c r="IG39" s="262"/>
      <c r="IH39" s="262"/>
      <c r="II39" s="262"/>
      <c r="IJ39" s="262"/>
      <c r="IK39" s="262"/>
      <c r="IL39" s="262"/>
      <c r="IM39" s="262"/>
      <c r="IN39" s="262"/>
      <c r="IO39" s="262"/>
      <c r="IP39" s="262"/>
      <c r="IQ39" s="262"/>
      <c r="IR39" s="262"/>
      <c r="IS39" s="262"/>
      <c r="IT39" s="262"/>
      <c r="IU39" s="262"/>
    </row>
    <row r="40" s="262" customFormat="1" ht="18" customHeight="1" spans="1:256">
      <c r="A40" s="267">
        <v>1129</v>
      </c>
      <c r="B40" s="268" t="s">
        <v>1419</v>
      </c>
      <c r="C40" s="225" t="s">
        <v>1380</v>
      </c>
      <c r="D40" s="230">
        <v>225.491499762827</v>
      </c>
      <c r="IV40" s="263"/>
    </row>
    <row r="41" s="262" customFormat="1" ht="18" customHeight="1" spans="1:256">
      <c r="A41" s="267">
        <v>1130</v>
      </c>
      <c r="B41" s="268" t="s">
        <v>1420</v>
      </c>
      <c r="C41" s="225" t="s">
        <v>1380</v>
      </c>
      <c r="D41" s="230">
        <v>316.200345026035</v>
      </c>
      <c r="IV41" s="263"/>
    </row>
    <row r="42" s="262" customFormat="1" ht="18" customHeight="1" spans="1:256">
      <c r="A42" s="267">
        <v>1130</v>
      </c>
      <c r="B42" s="268" t="s">
        <v>1421</v>
      </c>
      <c r="C42" s="225" t="s">
        <v>1380</v>
      </c>
      <c r="D42" s="230">
        <v>350.832744027894</v>
      </c>
      <c r="IV42" s="263"/>
    </row>
    <row r="43" ht="18" customHeight="1" spans="1:255">
      <c r="A43" s="267">
        <v>1144</v>
      </c>
      <c r="B43" s="268" t="s">
        <v>1422</v>
      </c>
      <c r="C43" s="225" t="s">
        <v>1380</v>
      </c>
      <c r="D43" s="230">
        <v>297.222140872987</v>
      </c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2"/>
      <c r="CM43" s="262"/>
      <c r="CN43" s="262"/>
      <c r="CO43" s="262"/>
      <c r="CP43" s="262"/>
      <c r="CQ43" s="262"/>
      <c r="CR43" s="262"/>
      <c r="CS43" s="262"/>
      <c r="CT43" s="262"/>
      <c r="CU43" s="262"/>
      <c r="CV43" s="262"/>
      <c r="CW43" s="262"/>
      <c r="CX43" s="262"/>
      <c r="CY43" s="262"/>
      <c r="CZ43" s="262"/>
      <c r="DA43" s="262"/>
      <c r="DB43" s="262"/>
      <c r="DC43" s="262"/>
      <c r="DD43" s="262"/>
      <c r="DE43" s="262"/>
      <c r="DF43" s="262"/>
      <c r="DG43" s="262"/>
      <c r="DH43" s="262"/>
      <c r="DI43" s="262"/>
      <c r="DJ43" s="262"/>
      <c r="DK43" s="262"/>
      <c r="DL43" s="262"/>
      <c r="DM43" s="262"/>
      <c r="DN43" s="262"/>
      <c r="DO43" s="262"/>
      <c r="DP43" s="262"/>
      <c r="DQ43" s="262"/>
      <c r="DR43" s="262"/>
      <c r="DS43" s="262"/>
      <c r="DT43" s="262"/>
      <c r="DU43" s="262"/>
      <c r="DV43" s="262"/>
      <c r="DW43" s="262"/>
      <c r="DX43" s="262"/>
      <c r="DY43" s="262"/>
      <c r="DZ43" s="262"/>
      <c r="EA43" s="262"/>
      <c r="EB43" s="262"/>
      <c r="EC43" s="262"/>
      <c r="ED43" s="262"/>
      <c r="EE43" s="262"/>
      <c r="EF43" s="262"/>
      <c r="EG43" s="262"/>
      <c r="EH43" s="262"/>
      <c r="EI43" s="262"/>
      <c r="EJ43" s="262"/>
      <c r="EK43" s="262"/>
      <c r="EL43" s="262"/>
      <c r="EM43" s="262"/>
      <c r="EN43" s="262"/>
      <c r="EO43" s="262"/>
      <c r="EP43" s="262"/>
      <c r="EQ43" s="262"/>
      <c r="ER43" s="262"/>
      <c r="ES43" s="262"/>
      <c r="ET43" s="262"/>
      <c r="EU43" s="262"/>
      <c r="EV43" s="262"/>
      <c r="EW43" s="262"/>
      <c r="EX43" s="262"/>
      <c r="EY43" s="262"/>
      <c r="EZ43" s="262"/>
      <c r="FA43" s="262"/>
      <c r="FB43" s="262"/>
      <c r="FC43" s="262"/>
      <c r="FD43" s="262"/>
      <c r="FE43" s="262"/>
      <c r="FF43" s="262"/>
      <c r="FG43" s="262"/>
      <c r="FH43" s="262"/>
      <c r="FI43" s="262"/>
      <c r="FJ43" s="262"/>
      <c r="FK43" s="262"/>
      <c r="FL43" s="262"/>
      <c r="FM43" s="262"/>
      <c r="FN43" s="262"/>
      <c r="FO43" s="262"/>
      <c r="FP43" s="262"/>
      <c r="FQ43" s="262"/>
      <c r="FR43" s="262"/>
      <c r="FS43" s="262"/>
      <c r="FT43" s="262"/>
      <c r="FU43" s="262"/>
      <c r="FV43" s="262"/>
      <c r="FW43" s="262"/>
      <c r="FX43" s="262"/>
      <c r="FY43" s="262"/>
      <c r="FZ43" s="262"/>
      <c r="GA43" s="262"/>
      <c r="GB43" s="262"/>
      <c r="GC43" s="262"/>
      <c r="GD43" s="262"/>
      <c r="GE43" s="262"/>
      <c r="GF43" s="262"/>
      <c r="GG43" s="262"/>
      <c r="GH43" s="262"/>
      <c r="GI43" s="262"/>
      <c r="GJ43" s="262"/>
      <c r="GK43" s="262"/>
      <c r="GL43" s="262"/>
      <c r="GM43" s="262"/>
      <c r="GN43" s="262"/>
      <c r="GO43" s="262"/>
      <c r="GP43" s="262"/>
      <c r="GQ43" s="262"/>
      <c r="GR43" s="262"/>
      <c r="GS43" s="262"/>
      <c r="GT43" s="262"/>
      <c r="GU43" s="262"/>
      <c r="GV43" s="262"/>
      <c r="GW43" s="262"/>
      <c r="GX43" s="262"/>
      <c r="GY43" s="262"/>
      <c r="GZ43" s="262"/>
      <c r="HA43" s="262"/>
      <c r="HB43" s="262"/>
      <c r="HC43" s="262"/>
      <c r="HD43" s="262"/>
      <c r="HE43" s="262"/>
      <c r="HF43" s="262"/>
      <c r="HG43" s="262"/>
      <c r="HH43" s="262"/>
      <c r="HI43" s="262"/>
      <c r="HJ43" s="262"/>
      <c r="HK43" s="262"/>
      <c r="HL43" s="262"/>
      <c r="HM43" s="262"/>
      <c r="HN43" s="262"/>
      <c r="HO43" s="262"/>
      <c r="HP43" s="262"/>
      <c r="HQ43" s="262"/>
      <c r="HR43" s="262"/>
      <c r="HS43" s="262"/>
      <c r="HT43" s="262"/>
      <c r="HU43" s="262"/>
      <c r="HV43" s="262"/>
      <c r="HW43" s="262"/>
      <c r="HX43" s="262"/>
      <c r="HY43" s="262"/>
      <c r="HZ43" s="262"/>
      <c r="IA43" s="262"/>
      <c r="IB43" s="262"/>
      <c r="IC43" s="262"/>
      <c r="ID43" s="262"/>
      <c r="IE43" s="262"/>
      <c r="IF43" s="262"/>
      <c r="IG43" s="262"/>
      <c r="IH43" s="262"/>
      <c r="II43" s="262"/>
      <c r="IJ43" s="262"/>
      <c r="IK43" s="262"/>
      <c r="IL43" s="262"/>
      <c r="IM43" s="262"/>
      <c r="IN43" s="262"/>
      <c r="IO43" s="262"/>
      <c r="IP43" s="262"/>
      <c r="IQ43" s="262"/>
      <c r="IR43" s="262"/>
      <c r="IS43" s="262"/>
      <c r="IT43" s="262"/>
      <c r="IU43" s="262"/>
    </row>
    <row r="44" s="262" customFormat="1" ht="18" customHeight="1" spans="1:256">
      <c r="A44" s="267">
        <v>1145</v>
      </c>
      <c r="B44" s="268" t="s">
        <v>1423</v>
      </c>
      <c r="C44" s="225" t="s">
        <v>1380</v>
      </c>
      <c r="D44" s="230">
        <v>324.922119861723</v>
      </c>
      <c r="IV44" s="263"/>
    </row>
    <row r="45" s="262" customFormat="1" ht="18" customHeight="1" spans="1:256">
      <c r="A45" s="267">
        <v>1151</v>
      </c>
      <c r="B45" s="269" t="s">
        <v>1424</v>
      </c>
      <c r="C45" s="225" t="s">
        <v>1380</v>
      </c>
      <c r="D45" s="230">
        <v>2060.66244716672</v>
      </c>
      <c r="IV45" s="263"/>
    </row>
    <row r="46" s="262" customFormat="1" ht="15.95" customHeight="1" spans="1:256">
      <c r="A46" s="267">
        <v>1162</v>
      </c>
      <c r="B46" s="268" t="s">
        <v>1425</v>
      </c>
      <c r="C46" s="225" t="s">
        <v>1380</v>
      </c>
      <c r="D46" s="230">
        <v>2187.5598600158</v>
      </c>
      <c r="IV46" s="263"/>
    </row>
    <row r="47" ht="15.95" customHeight="1" spans="1:255">
      <c r="A47" s="267">
        <v>1147</v>
      </c>
      <c r="B47" s="269" t="s">
        <v>1426</v>
      </c>
      <c r="C47" s="225" t="s">
        <v>1380</v>
      </c>
      <c r="D47" s="230">
        <v>1429.2101683971</v>
      </c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62"/>
      <c r="BH47" s="262"/>
      <c r="BI47" s="262"/>
      <c r="BJ47" s="262"/>
      <c r="BK47" s="262"/>
      <c r="BL47" s="262"/>
      <c r="BM47" s="262"/>
      <c r="BN47" s="262"/>
      <c r="BO47" s="262"/>
      <c r="BP47" s="262"/>
      <c r="BQ47" s="262"/>
      <c r="BR47" s="262"/>
      <c r="BS47" s="262"/>
      <c r="BT47" s="262"/>
      <c r="BU47" s="262"/>
      <c r="BV47" s="262"/>
      <c r="BW47" s="262"/>
      <c r="BX47" s="262"/>
      <c r="BY47" s="262"/>
      <c r="BZ47" s="262"/>
      <c r="CA47" s="262"/>
      <c r="CB47" s="262"/>
      <c r="CC47" s="262"/>
      <c r="CD47" s="262"/>
      <c r="CE47" s="262"/>
      <c r="CF47" s="262"/>
      <c r="CG47" s="262"/>
      <c r="CH47" s="262"/>
      <c r="CI47" s="262"/>
      <c r="CJ47" s="262"/>
      <c r="CK47" s="262"/>
      <c r="CL47" s="262"/>
      <c r="CM47" s="262"/>
      <c r="CN47" s="262"/>
      <c r="CO47" s="262"/>
      <c r="CP47" s="262"/>
      <c r="CQ47" s="262"/>
      <c r="CR47" s="262"/>
      <c r="CS47" s="262"/>
      <c r="CT47" s="262"/>
      <c r="CU47" s="262"/>
      <c r="CV47" s="262"/>
      <c r="CW47" s="262"/>
      <c r="CX47" s="262"/>
      <c r="CY47" s="262"/>
      <c r="CZ47" s="262"/>
      <c r="DA47" s="262"/>
      <c r="DB47" s="262"/>
      <c r="DC47" s="262"/>
      <c r="DD47" s="262"/>
      <c r="DE47" s="262"/>
      <c r="DF47" s="262"/>
      <c r="DG47" s="262"/>
      <c r="DH47" s="262"/>
      <c r="DI47" s="262"/>
      <c r="DJ47" s="262"/>
      <c r="DK47" s="262"/>
      <c r="DL47" s="262"/>
      <c r="DM47" s="262"/>
      <c r="DN47" s="262"/>
      <c r="DO47" s="262"/>
      <c r="DP47" s="262"/>
      <c r="DQ47" s="262"/>
      <c r="DR47" s="262"/>
      <c r="DS47" s="262"/>
      <c r="DT47" s="262"/>
      <c r="DU47" s="262"/>
      <c r="DV47" s="262"/>
      <c r="DW47" s="262"/>
      <c r="DX47" s="262"/>
      <c r="DY47" s="262"/>
      <c r="DZ47" s="262"/>
      <c r="EA47" s="262"/>
      <c r="EB47" s="262"/>
      <c r="EC47" s="262"/>
      <c r="ED47" s="262"/>
      <c r="EE47" s="262"/>
      <c r="EF47" s="262"/>
      <c r="EG47" s="262"/>
      <c r="EH47" s="262"/>
      <c r="EI47" s="262"/>
      <c r="EJ47" s="262"/>
      <c r="EK47" s="262"/>
      <c r="EL47" s="262"/>
      <c r="EM47" s="262"/>
      <c r="EN47" s="262"/>
      <c r="EO47" s="262"/>
      <c r="EP47" s="262"/>
      <c r="EQ47" s="262"/>
      <c r="ER47" s="262"/>
      <c r="ES47" s="262"/>
      <c r="ET47" s="262"/>
      <c r="EU47" s="262"/>
      <c r="EV47" s="262"/>
      <c r="EW47" s="262"/>
      <c r="EX47" s="262"/>
      <c r="EY47" s="262"/>
      <c r="EZ47" s="262"/>
      <c r="FA47" s="262"/>
      <c r="FB47" s="262"/>
      <c r="FC47" s="262"/>
      <c r="FD47" s="262"/>
      <c r="FE47" s="262"/>
      <c r="FF47" s="262"/>
      <c r="FG47" s="262"/>
      <c r="FH47" s="262"/>
      <c r="FI47" s="262"/>
      <c r="FJ47" s="262"/>
      <c r="FK47" s="262"/>
      <c r="FL47" s="262"/>
      <c r="FM47" s="262"/>
      <c r="FN47" s="262"/>
      <c r="FO47" s="262"/>
      <c r="FP47" s="262"/>
      <c r="FQ47" s="262"/>
      <c r="FR47" s="262"/>
      <c r="FS47" s="262"/>
      <c r="FT47" s="262"/>
      <c r="FU47" s="262"/>
      <c r="FV47" s="262"/>
      <c r="FW47" s="262"/>
      <c r="FX47" s="262"/>
      <c r="FY47" s="262"/>
      <c r="FZ47" s="262"/>
      <c r="GA47" s="262"/>
      <c r="GB47" s="262"/>
      <c r="GC47" s="262"/>
      <c r="GD47" s="262"/>
      <c r="GE47" s="262"/>
      <c r="GF47" s="262"/>
      <c r="GG47" s="262"/>
      <c r="GH47" s="262"/>
      <c r="GI47" s="262"/>
      <c r="GJ47" s="262"/>
      <c r="GK47" s="262"/>
      <c r="GL47" s="262"/>
      <c r="GM47" s="262"/>
      <c r="GN47" s="262"/>
      <c r="GO47" s="262"/>
      <c r="GP47" s="262"/>
      <c r="GQ47" s="262"/>
      <c r="GR47" s="262"/>
      <c r="GS47" s="262"/>
      <c r="GT47" s="262"/>
      <c r="GU47" s="262"/>
      <c r="GV47" s="262"/>
      <c r="GW47" s="262"/>
      <c r="GX47" s="262"/>
      <c r="GY47" s="262"/>
      <c r="GZ47" s="262"/>
      <c r="HA47" s="262"/>
      <c r="HB47" s="262"/>
      <c r="HC47" s="262"/>
      <c r="HD47" s="262"/>
      <c r="HE47" s="262"/>
      <c r="HF47" s="262"/>
      <c r="HG47" s="262"/>
      <c r="HH47" s="262"/>
      <c r="HI47" s="262"/>
      <c r="HJ47" s="262"/>
      <c r="HK47" s="262"/>
      <c r="HL47" s="262"/>
      <c r="HM47" s="262"/>
      <c r="HN47" s="262"/>
      <c r="HO47" s="262"/>
      <c r="HP47" s="262"/>
      <c r="HQ47" s="262"/>
      <c r="HR47" s="262"/>
      <c r="HS47" s="262"/>
      <c r="HT47" s="262"/>
      <c r="HU47" s="262"/>
      <c r="HV47" s="262"/>
      <c r="HW47" s="262"/>
      <c r="HX47" s="262"/>
      <c r="HY47" s="262"/>
      <c r="HZ47" s="262"/>
      <c r="IA47" s="262"/>
      <c r="IB47" s="262"/>
      <c r="IC47" s="262"/>
      <c r="ID47" s="262"/>
      <c r="IE47" s="262"/>
      <c r="IF47" s="262"/>
      <c r="IG47" s="262"/>
      <c r="IH47" s="262"/>
      <c r="II47" s="262"/>
      <c r="IJ47" s="262"/>
      <c r="IK47" s="262"/>
      <c r="IL47" s="262"/>
      <c r="IM47" s="262"/>
      <c r="IN47" s="262"/>
      <c r="IO47" s="262"/>
      <c r="IP47" s="262"/>
      <c r="IQ47" s="262"/>
      <c r="IR47" s="262"/>
      <c r="IS47" s="262"/>
      <c r="IT47" s="262"/>
      <c r="IU47" s="262"/>
    </row>
    <row r="48" s="262" customFormat="1" ht="15.95" customHeight="1" spans="1:256">
      <c r="A48" s="267">
        <v>1158</v>
      </c>
      <c r="B48" s="269" t="s">
        <v>1427</v>
      </c>
      <c r="C48" s="225" t="s">
        <v>1380</v>
      </c>
      <c r="D48" s="230">
        <v>1116.69319556942</v>
      </c>
      <c r="IV48" s="263"/>
    </row>
    <row r="49" ht="15.95" customHeight="1" spans="1:255">
      <c r="A49" s="267">
        <v>1162</v>
      </c>
      <c r="B49" s="268" t="s">
        <v>1428</v>
      </c>
      <c r="C49" s="225" t="s">
        <v>1380</v>
      </c>
      <c r="D49" s="230">
        <v>1016.19080796818</v>
      </c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  <c r="CA49" s="262"/>
      <c r="CB49" s="262"/>
      <c r="CC49" s="262"/>
      <c r="CD49" s="262"/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  <c r="CO49" s="262"/>
      <c r="CP49" s="262"/>
      <c r="CQ49" s="262"/>
      <c r="CR49" s="262"/>
      <c r="CS49" s="262"/>
      <c r="CT49" s="262"/>
      <c r="CU49" s="262"/>
      <c r="CV49" s="262"/>
      <c r="CW49" s="262"/>
      <c r="CX49" s="262"/>
      <c r="CY49" s="262"/>
      <c r="CZ49" s="262"/>
      <c r="DA49" s="262"/>
      <c r="DB49" s="262"/>
      <c r="DC49" s="262"/>
      <c r="DD49" s="262"/>
      <c r="DE49" s="262"/>
      <c r="DF49" s="262"/>
      <c r="DG49" s="262"/>
      <c r="DH49" s="262"/>
      <c r="DI49" s="262"/>
      <c r="DJ49" s="262"/>
      <c r="DK49" s="262"/>
      <c r="DL49" s="262"/>
      <c r="DM49" s="262"/>
      <c r="DN49" s="262"/>
      <c r="DO49" s="262"/>
      <c r="DP49" s="262"/>
      <c r="DQ49" s="262"/>
      <c r="DR49" s="262"/>
      <c r="DS49" s="262"/>
      <c r="DT49" s="262"/>
      <c r="DU49" s="262"/>
      <c r="DV49" s="262"/>
      <c r="DW49" s="262"/>
      <c r="DX49" s="262"/>
      <c r="DY49" s="262"/>
      <c r="DZ49" s="262"/>
      <c r="EA49" s="262"/>
      <c r="EB49" s="262"/>
      <c r="EC49" s="262"/>
      <c r="ED49" s="262"/>
      <c r="EE49" s="262"/>
      <c r="EF49" s="262"/>
      <c r="EG49" s="262"/>
      <c r="EH49" s="262"/>
      <c r="EI49" s="262"/>
      <c r="EJ49" s="262"/>
      <c r="EK49" s="262"/>
      <c r="EL49" s="262"/>
      <c r="EM49" s="262"/>
      <c r="EN49" s="262"/>
      <c r="EO49" s="262"/>
      <c r="EP49" s="262"/>
      <c r="EQ49" s="262"/>
      <c r="ER49" s="262"/>
      <c r="ES49" s="262"/>
      <c r="ET49" s="262"/>
      <c r="EU49" s="262"/>
      <c r="EV49" s="262"/>
      <c r="EW49" s="262"/>
      <c r="EX49" s="262"/>
      <c r="EY49" s="262"/>
      <c r="EZ49" s="262"/>
      <c r="FA49" s="262"/>
      <c r="FB49" s="262"/>
      <c r="FC49" s="262"/>
      <c r="FD49" s="262"/>
      <c r="FE49" s="262"/>
      <c r="FF49" s="262"/>
      <c r="FG49" s="262"/>
      <c r="FH49" s="262"/>
      <c r="FI49" s="262"/>
      <c r="FJ49" s="262"/>
      <c r="FK49" s="262"/>
      <c r="FL49" s="262"/>
      <c r="FM49" s="262"/>
      <c r="FN49" s="262"/>
      <c r="FO49" s="262"/>
      <c r="FP49" s="262"/>
      <c r="FQ49" s="262"/>
      <c r="FR49" s="262"/>
      <c r="FS49" s="262"/>
      <c r="FT49" s="262"/>
      <c r="FU49" s="262"/>
      <c r="FV49" s="262"/>
      <c r="FW49" s="262"/>
      <c r="FX49" s="262"/>
      <c r="FY49" s="262"/>
      <c r="FZ49" s="262"/>
      <c r="GA49" s="262"/>
      <c r="GB49" s="262"/>
      <c r="GC49" s="262"/>
      <c r="GD49" s="262"/>
      <c r="GE49" s="262"/>
      <c r="GF49" s="262"/>
      <c r="GG49" s="262"/>
      <c r="GH49" s="262"/>
      <c r="GI49" s="262"/>
      <c r="GJ49" s="262"/>
      <c r="GK49" s="262"/>
      <c r="GL49" s="262"/>
      <c r="GM49" s="262"/>
      <c r="GN49" s="262"/>
      <c r="GO49" s="262"/>
      <c r="GP49" s="262"/>
      <c r="GQ49" s="262"/>
      <c r="GR49" s="262"/>
      <c r="GS49" s="262"/>
      <c r="GT49" s="262"/>
      <c r="GU49" s="262"/>
      <c r="GV49" s="262"/>
      <c r="GW49" s="262"/>
      <c r="GX49" s="262"/>
      <c r="GY49" s="262"/>
      <c r="GZ49" s="262"/>
      <c r="HA49" s="262"/>
      <c r="HB49" s="262"/>
      <c r="HC49" s="262"/>
      <c r="HD49" s="262"/>
      <c r="HE49" s="262"/>
      <c r="HF49" s="262"/>
      <c r="HG49" s="262"/>
      <c r="HH49" s="262"/>
      <c r="HI49" s="262"/>
      <c r="HJ49" s="262"/>
      <c r="HK49" s="262"/>
      <c r="HL49" s="262"/>
      <c r="HM49" s="262"/>
      <c r="HN49" s="262"/>
      <c r="HO49" s="262"/>
      <c r="HP49" s="262"/>
      <c r="HQ49" s="262"/>
      <c r="HR49" s="262"/>
      <c r="HS49" s="262"/>
      <c r="HT49" s="262"/>
      <c r="HU49" s="262"/>
      <c r="HV49" s="262"/>
      <c r="HW49" s="262"/>
      <c r="HX49" s="262"/>
      <c r="HY49" s="262"/>
      <c r="HZ49" s="262"/>
      <c r="IA49" s="262"/>
      <c r="IB49" s="262"/>
      <c r="IC49" s="262"/>
      <c r="ID49" s="262"/>
      <c r="IE49" s="262"/>
      <c r="IF49" s="262"/>
      <c r="IG49" s="262"/>
      <c r="IH49" s="262"/>
      <c r="II49" s="262"/>
      <c r="IJ49" s="262"/>
      <c r="IK49" s="262"/>
      <c r="IL49" s="262"/>
      <c r="IM49" s="262"/>
      <c r="IN49" s="262"/>
      <c r="IO49" s="262"/>
      <c r="IP49" s="262"/>
      <c r="IQ49" s="262"/>
      <c r="IR49" s="262"/>
      <c r="IS49" s="262"/>
      <c r="IT49" s="262"/>
      <c r="IU49" s="262"/>
    </row>
    <row r="50" s="262" customFormat="1" ht="18" customHeight="1" spans="1:256">
      <c r="A50" s="267">
        <v>1163</v>
      </c>
      <c r="B50" s="269" t="s">
        <v>1429</v>
      </c>
      <c r="C50" s="225" t="s">
        <v>1380</v>
      </c>
      <c r="D50" s="230">
        <v>2377.45675146759</v>
      </c>
      <c r="IV50" s="263"/>
    </row>
    <row r="51" s="262" customFormat="1" ht="18" customHeight="1" spans="1:256">
      <c r="A51" s="267">
        <v>1180</v>
      </c>
      <c r="B51" s="269" t="s">
        <v>1430</v>
      </c>
      <c r="C51" s="225" t="s">
        <v>1380</v>
      </c>
      <c r="D51" s="230">
        <v>1749.51618110922</v>
      </c>
      <c r="IV51" s="263"/>
    </row>
    <row r="52" ht="18" customHeight="1" spans="1:255">
      <c r="A52" s="267">
        <v>1201</v>
      </c>
      <c r="B52" s="269" t="s">
        <v>1431</v>
      </c>
      <c r="C52" s="225" t="s">
        <v>1380</v>
      </c>
      <c r="D52" s="230">
        <v>1557.08095295318</v>
      </c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62"/>
      <c r="BP52" s="262"/>
      <c r="BQ52" s="262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  <c r="EE52" s="262"/>
      <c r="EF52" s="262"/>
      <c r="EG52" s="262"/>
      <c r="EH52" s="262"/>
      <c r="EI52" s="262"/>
      <c r="EJ52" s="262"/>
      <c r="EK52" s="262"/>
      <c r="EL52" s="262"/>
      <c r="EM52" s="262"/>
      <c r="EN52" s="262"/>
      <c r="EO52" s="262"/>
      <c r="EP52" s="262"/>
      <c r="EQ52" s="262"/>
      <c r="ER52" s="262"/>
      <c r="ES52" s="262"/>
      <c r="ET52" s="262"/>
      <c r="EU52" s="262"/>
      <c r="EV52" s="262"/>
      <c r="EW52" s="262"/>
      <c r="EX52" s="262"/>
      <c r="EY52" s="262"/>
      <c r="EZ52" s="262"/>
      <c r="FA52" s="262"/>
      <c r="FB52" s="262"/>
      <c r="FC52" s="262"/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2"/>
      <c r="FU52" s="262"/>
      <c r="FV52" s="262"/>
      <c r="FW52" s="262"/>
      <c r="FX52" s="262"/>
      <c r="FY52" s="262"/>
      <c r="FZ52" s="262"/>
      <c r="GA52" s="262"/>
      <c r="GB52" s="262"/>
      <c r="GC52" s="262"/>
      <c r="GD52" s="262"/>
      <c r="GE52" s="262"/>
      <c r="GF52" s="262"/>
      <c r="GG52" s="262"/>
      <c r="GH52" s="262"/>
      <c r="GI52" s="262"/>
      <c r="GJ52" s="262"/>
      <c r="GK52" s="262"/>
      <c r="GL52" s="262"/>
      <c r="GM52" s="262"/>
      <c r="GN52" s="262"/>
      <c r="GO52" s="262"/>
      <c r="GP52" s="262"/>
      <c r="GQ52" s="262"/>
      <c r="GR52" s="262"/>
      <c r="GS52" s="262"/>
      <c r="GT52" s="262"/>
      <c r="GU52" s="262"/>
      <c r="GV52" s="262"/>
      <c r="GW52" s="262"/>
      <c r="GX52" s="262"/>
      <c r="GY52" s="262"/>
      <c r="GZ52" s="262"/>
      <c r="HA52" s="262"/>
      <c r="HB52" s="262"/>
      <c r="HC52" s="262"/>
      <c r="HD52" s="262"/>
      <c r="HE52" s="262"/>
      <c r="HF52" s="262"/>
      <c r="HG52" s="262"/>
      <c r="HH52" s="262"/>
      <c r="HI52" s="262"/>
      <c r="HJ52" s="262"/>
      <c r="HK52" s="262"/>
      <c r="HL52" s="262"/>
      <c r="HM52" s="262"/>
      <c r="HN52" s="262"/>
      <c r="HO52" s="262"/>
      <c r="HP52" s="262"/>
      <c r="HQ52" s="262"/>
      <c r="HR52" s="262"/>
      <c r="HS52" s="262"/>
      <c r="HT52" s="262"/>
      <c r="HU52" s="262"/>
      <c r="HV52" s="262"/>
      <c r="HW52" s="262"/>
      <c r="HX52" s="262"/>
      <c r="HY52" s="262"/>
      <c r="HZ52" s="262"/>
      <c r="IA52" s="262"/>
      <c r="IB52" s="262"/>
      <c r="IC52" s="262"/>
      <c r="ID52" s="262"/>
      <c r="IE52" s="262"/>
      <c r="IF52" s="262"/>
      <c r="IG52" s="262"/>
      <c r="IH52" s="262"/>
      <c r="II52" s="262"/>
      <c r="IJ52" s="262"/>
      <c r="IK52" s="262"/>
      <c r="IL52" s="262"/>
      <c r="IM52" s="262"/>
      <c r="IN52" s="262"/>
      <c r="IO52" s="262"/>
      <c r="IP52" s="262"/>
      <c r="IQ52" s="262"/>
      <c r="IR52" s="262"/>
      <c r="IS52" s="262"/>
      <c r="IT52" s="262"/>
      <c r="IU52" s="262"/>
    </row>
    <row r="53" s="262" customFormat="1" ht="18" customHeight="1" spans="1:256">
      <c r="A53" s="267">
        <v>1206</v>
      </c>
      <c r="B53" s="269" t="s">
        <v>1432</v>
      </c>
      <c r="C53" s="225" t="s">
        <v>1380</v>
      </c>
      <c r="D53" s="230">
        <v>3089.09634041515</v>
      </c>
      <c r="E53" s="263"/>
      <c r="IV53" s="263"/>
    </row>
    <row r="54" ht="18" hidden="1" customHeight="1" spans="1:255">
      <c r="A54" s="267"/>
      <c r="B54" s="269"/>
      <c r="C54" s="225"/>
      <c r="D54" s="230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62"/>
      <c r="BH54" s="262"/>
      <c r="BI54" s="262"/>
      <c r="BJ54" s="262"/>
      <c r="BK54" s="262"/>
      <c r="BL54" s="262"/>
      <c r="BM54" s="262"/>
      <c r="BN54" s="262"/>
      <c r="BO54" s="262"/>
      <c r="BP54" s="262"/>
      <c r="BQ54" s="262"/>
      <c r="BR54" s="262"/>
      <c r="BS54" s="262"/>
      <c r="BT54" s="262"/>
      <c r="BU54" s="262"/>
      <c r="BV54" s="262"/>
      <c r="BW54" s="262"/>
      <c r="BX54" s="262"/>
      <c r="BY54" s="262"/>
      <c r="BZ54" s="262"/>
      <c r="CA54" s="262"/>
      <c r="CB54" s="262"/>
      <c r="CC54" s="262"/>
      <c r="CD54" s="262"/>
      <c r="CE54" s="262"/>
      <c r="CF54" s="262"/>
      <c r="CG54" s="262"/>
      <c r="CH54" s="262"/>
      <c r="CI54" s="262"/>
      <c r="CJ54" s="262"/>
      <c r="CK54" s="262"/>
      <c r="CL54" s="262"/>
      <c r="CM54" s="262"/>
      <c r="CN54" s="262"/>
      <c r="CO54" s="262"/>
      <c r="CP54" s="262"/>
      <c r="CQ54" s="262"/>
      <c r="CR54" s="262"/>
      <c r="CS54" s="262"/>
      <c r="CT54" s="262"/>
      <c r="CU54" s="262"/>
      <c r="CV54" s="262"/>
      <c r="CW54" s="262"/>
      <c r="CX54" s="262"/>
      <c r="CY54" s="262"/>
      <c r="CZ54" s="262"/>
      <c r="DA54" s="262"/>
      <c r="DB54" s="262"/>
      <c r="DC54" s="262"/>
      <c r="DD54" s="262"/>
      <c r="DE54" s="262"/>
      <c r="DF54" s="262"/>
      <c r="DG54" s="262"/>
      <c r="DH54" s="262"/>
      <c r="DI54" s="262"/>
      <c r="DJ54" s="262"/>
      <c r="DK54" s="262"/>
      <c r="DL54" s="262"/>
      <c r="DM54" s="262"/>
      <c r="DN54" s="262"/>
      <c r="DO54" s="262"/>
      <c r="DP54" s="262"/>
      <c r="DQ54" s="262"/>
      <c r="DR54" s="262"/>
      <c r="DS54" s="262"/>
      <c r="DT54" s="262"/>
      <c r="DU54" s="262"/>
      <c r="DV54" s="262"/>
      <c r="DW54" s="262"/>
      <c r="DX54" s="262"/>
      <c r="DY54" s="262"/>
      <c r="DZ54" s="262"/>
      <c r="EA54" s="262"/>
      <c r="EB54" s="262"/>
      <c r="EC54" s="262"/>
      <c r="ED54" s="262"/>
      <c r="EE54" s="262"/>
      <c r="EF54" s="262"/>
      <c r="EG54" s="262"/>
      <c r="EH54" s="262"/>
      <c r="EI54" s="262"/>
      <c r="EJ54" s="262"/>
      <c r="EK54" s="262"/>
      <c r="EL54" s="262"/>
      <c r="EM54" s="262"/>
      <c r="EN54" s="262"/>
      <c r="EO54" s="262"/>
      <c r="EP54" s="262"/>
      <c r="EQ54" s="262"/>
      <c r="ER54" s="262"/>
      <c r="ES54" s="262"/>
      <c r="ET54" s="262"/>
      <c r="EU54" s="262"/>
      <c r="EV54" s="262"/>
      <c r="EW54" s="262"/>
      <c r="EX54" s="262"/>
      <c r="EY54" s="262"/>
      <c r="EZ54" s="262"/>
      <c r="FA54" s="262"/>
      <c r="FB54" s="262"/>
      <c r="FC54" s="262"/>
      <c r="FD54" s="262"/>
      <c r="FE54" s="262"/>
      <c r="FF54" s="262"/>
      <c r="FG54" s="262"/>
      <c r="FH54" s="262"/>
      <c r="FI54" s="262"/>
      <c r="FJ54" s="262"/>
      <c r="FK54" s="262"/>
      <c r="FL54" s="262"/>
      <c r="FM54" s="262"/>
      <c r="FN54" s="262"/>
      <c r="FO54" s="262"/>
      <c r="FP54" s="262"/>
      <c r="FQ54" s="262"/>
      <c r="FR54" s="262"/>
      <c r="FS54" s="262"/>
      <c r="FT54" s="262"/>
      <c r="FU54" s="262"/>
      <c r="FV54" s="262"/>
      <c r="FW54" s="262"/>
      <c r="FX54" s="262"/>
      <c r="FY54" s="262"/>
      <c r="FZ54" s="262"/>
      <c r="GA54" s="262"/>
      <c r="GB54" s="262"/>
      <c r="GC54" s="262"/>
      <c r="GD54" s="262"/>
      <c r="GE54" s="262"/>
      <c r="GF54" s="262"/>
      <c r="GG54" s="262"/>
      <c r="GH54" s="262"/>
      <c r="GI54" s="262"/>
      <c r="GJ54" s="262"/>
      <c r="GK54" s="262"/>
      <c r="GL54" s="262"/>
      <c r="GM54" s="262"/>
      <c r="GN54" s="262"/>
      <c r="GO54" s="262"/>
      <c r="GP54" s="262"/>
      <c r="GQ54" s="262"/>
      <c r="GR54" s="262"/>
      <c r="GS54" s="262"/>
      <c r="GT54" s="262"/>
      <c r="GU54" s="262"/>
      <c r="GV54" s="262"/>
      <c r="GW54" s="262"/>
      <c r="GX54" s="262"/>
      <c r="GY54" s="262"/>
      <c r="GZ54" s="262"/>
      <c r="HA54" s="262"/>
      <c r="HB54" s="262"/>
      <c r="HC54" s="262"/>
      <c r="HD54" s="262"/>
      <c r="HE54" s="262"/>
      <c r="HF54" s="262"/>
      <c r="HG54" s="262"/>
      <c r="HH54" s="262"/>
      <c r="HI54" s="262"/>
      <c r="HJ54" s="262"/>
      <c r="HK54" s="262"/>
      <c r="HL54" s="262"/>
      <c r="HM54" s="262"/>
      <c r="HN54" s="262"/>
      <c r="HO54" s="262"/>
      <c r="HP54" s="262"/>
      <c r="HQ54" s="262"/>
      <c r="HR54" s="262"/>
      <c r="HS54" s="262"/>
      <c r="HT54" s="262"/>
      <c r="HU54" s="262"/>
      <c r="HV54" s="262"/>
      <c r="HW54" s="262"/>
      <c r="HX54" s="262"/>
      <c r="HY54" s="262"/>
      <c r="HZ54" s="262"/>
      <c r="IA54" s="262"/>
      <c r="IB54" s="262"/>
      <c r="IC54" s="262"/>
      <c r="ID54" s="262"/>
      <c r="IE54" s="262"/>
      <c r="IF54" s="262"/>
      <c r="IG54" s="262"/>
      <c r="IH54" s="262"/>
      <c r="II54" s="262"/>
      <c r="IJ54" s="262"/>
      <c r="IK54" s="262"/>
      <c r="IL54" s="262"/>
      <c r="IM54" s="262"/>
      <c r="IN54" s="262"/>
      <c r="IO54" s="262"/>
      <c r="IP54" s="262"/>
      <c r="IQ54" s="262"/>
      <c r="IR54" s="262"/>
      <c r="IS54" s="262"/>
      <c r="IT54" s="262"/>
      <c r="IU54" s="262"/>
    </row>
    <row r="55" ht="18" customHeight="1" spans="1:255">
      <c r="A55" s="267">
        <v>1215</v>
      </c>
      <c r="B55" s="268" t="s">
        <v>1433</v>
      </c>
      <c r="C55" s="225" t="s">
        <v>1380</v>
      </c>
      <c r="D55" s="230">
        <v>2660.60163655931</v>
      </c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62"/>
      <c r="BH55" s="262"/>
      <c r="BI55" s="262"/>
      <c r="BJ55" s="262"/>
      <c r="BK55" s="262"/>
      <c r="BL55" s="262"/>
      <c r="BM55" s="262"/>
      <c r="BN55" s="262"/>
      <c r="BO55" s="262"/>
      <c r="BP55" s="262"/>
      <c r="BQ55" s="262"/>
      <c r="BR55" s="262"/>
      <c r="BS55" s="262"/>
      <c r="BT55" s="262"/>
      <c r="BU55" s="262"/>
      <c r="BV55" s="262"/>
      <c r="BW55" s="262"/>
      <c r="BX55" s="262"/>
      <c r="BY55" s="262"/>
      <c r="BZ55" s="262"/>
      <c r="CA55" s="262"/>
      <c r="CB55" s="262"/>
      <c r="CC55" s="262"/>
      <c r="CD55" s="262"/>
      <c r="CE55" s="262"/>
      <c r="CF55" s="262"/>
      <c r="CG55" s="262"/>
      <c r="CH55" s="262"/>
      <c r="CI55" s="262"/>
      <c r="CJ55" s="262"/>
      <c r="CK55" s="262"/>
      <c r="CL55" s="262"/>
      <c r="CM55" s="262"/>
      <c r="CN55" s="262"/>
      <c r="CO55" s="262"/>
      <c r="CP55" s="262"/>
      <c r="CQ55" s="262"/>
      <c r="CR55" s="262"/>
      <c r="CS55" s="262"/>
      <c r="CT55" s="262"/>
      <c r="CU55" s="262"/>
      <c r="CV55" s="262"/>
      <c r="CW55" s="262"/>
      <c r="CX55" s="262"/>
      <c r="CY55" s="262"/>
      <c r="CZ55" s="262"/>
      <c r="DA55" s="262"/>
      <c r="DB55" s="262"/>
      <c r="DC55" s="262"/>
      <c r="DD55" s="262"/>
      <c r="DE55" s="262"/>
      <c r="DF55" s="262"/>
      <c r="DG55" s="262"/>
      <c r="DH55" s="262"/>
      <c r="DI55" s="262"/>
      <c r="DJ55" s="262"/>
      <c r="DK55" s="262"/>
      <c r="DL55" s="262"/>
      <c r="DM55" s="262"/>
      <c r="DN55" s="262"/>
      <c r="DO55" s="262"/>
      <c r="DP55" s="262"/>
      <c r="DQ55" s="262"/>
      <c r="DR55" s="262"/>
      <c r="DS55" s="262"/>
      <c r="DT55" s="262"/>
      <c r="DU55" s="262"/>
      <c r="DV55" s="262"/>
      <c r="DW55" s="262"/>
      <c r="DX55" s="262"/>
      <c r="DY55" s="262"/>
      <c r="DZ55" s="262"/>
      <c r="EA55" s="262"/>
      <c r="EB55" s="262"/>
      <c r="EC55" s="262"/>
      <c r="ED55" s="262"/>
      <c r="EE55" s="262"/>
      <c r="EF55" s="262"/>
      <c r="EG55" s="262"/>
      <c r="EH55" s="262"/>
      <c r="EI55" s="262"/>
      <c r="EJ55" s="262"/>
      <c r="EK55" s="262"/>
      <c r="EL55" s="262"/>
      <c r="EM55" s="262"/>
      <c r="EN55" s="262"/>
      <c r="EO55" s="262"/>
      <c r="EP55" s="262"/>
      <c r="EQ55" s="262"/>
      <c r="ER55" s="262"/>
      <c r="ES55" s="262"/>
      <c r="ET55" s="262"/>
      <c r="EU55" s="262"/>
      <c r="EV55" s="262"/>
      <c r="EW55" s="262"/>
      <c r="EX55" s="262"/>
      <c r="EY55" s="262"/>
      <c r="EZ55" s="262"/>
      <c r="FA55" s="262"/>
      <c r="FB55" s="262"/>
      <c r="FC55" s="262"/>
      <c r="FD55" s="262"/>
      <c r="FE55" s="262"/>
      <c r="FF55" s="262"/>
      <c r="FG55" s="262"/>
      <c r="FH55" s="262"/>
      <c r="FI55" s="262"/>
      <c r="FJ55" s="262"/>
      <c r="FK55" s="262"/>
      <c r="FL55" s="262"/>
      <c r="FM55" s="262"/>
      <c r="FN55" s="262"/>
      <c r="FO55" s="262"/>
      <c r="FP55" s="262"/>
      <c r="FQ55" s="262"/>
      <c r="FR55" s="262"/>
      <c r="FS55" s="262"/>
      <c r="FT55" s="262"/>
      <c r="FU55" s="262"/>
      <c r="FV55" s="262"/>
      <c r="FW55" s="262"/>
      <c r="FX55" s="262"/>
      <c r="FY55" s="262"/>
      <c r="FZ55" s="262"/>
      <c r="GA55" s="262"/>
      <c r="GB55" s="262"/>
      <c r="GC55" s="262"/>
      <c r="GD55" s="262"/>
      <c r="GE55" s="262"/>
      <c r="GF55" s="262"/>
      <c r="GG55" s="262"/>
      <c r="GH55" s="262"/>
      <c r="GI55" s="262"/>
      <c r="GJ55" s="262"/>
      <c r="GK55" s="262"/>
      <c r="GL55" s="262"/>
      <c r="GM55" s="262"/>
      <c r="GN55" s="262"/>
      <c r="GO55" s="262"/>
      <c r="GP55" s="262"/>
      <c r="GQ55" s="262"/>
      <c r="GR55" s="262"/>
      <c r="GS55" s="262"/>
      <c r="GT55" s="262"/>
      <c r="GU55" s="262"/>
      <c r="GV55" s="262"/>
      <c r="GW55" s="262"/>
      <c r="GX55" s="262"/>
      <c r="GY55" s="262"/>
      <c r="GZ55" s="262"/>
      <c r="HA55" s="262"/>
      <c r="HB55" s="262"/>
      <c r="HC55" s="262"/>
      <c r="HD55" s="262"/>
      <c r="HE55" s="262"/>
      <c r="HF55" s="262"/>
      <c r="HG55" s="262"/>
      <c r="HH55" s="262"/>
      <c r="HI55" s="262"/>
      <c r="HJ55" s="262"/>
      <c r="HK55" s="262"/>
      <c r="HL55" s="262"/>
      <c r="HM55" s="262"/>
      <c r="HN55" s="262"/>
      <c r="HO55" s="262"/>
      <c r="HP55" s="262"/>
      <c r="HQ55" s="262"/>
      <c r="HR55" s="262"/>
      <c r="HS55" s="262"/>
      <c r="HT55" s="262"/>
      <c r="HU55" s="262"/>
      <c r="HV55" s="262"/>
      <c r="HW55" s="262"/>
      <c r="HX55" s="262"/>
      <c r="HY55" s="262"/>
      <c r="HZ55" s="262"/>
      <c r="IA55" s="262"/>
      <c r="IB55" s="262"/>
      <c r="IC55" s="262"/>
      <c r="ID55" s="262"/>
      <c r="IE55" s="262"/>
      <c r="IF55" s="262"/>
      <c r="IG55" s="262"/>
      <c r="IH55" s="262"/>
      <c r="II55" s="262"/>
      <c r="IJ55" s="262"/>
      <c r="IK55" s="262"/>
      <c r="IL55" s="262"/>
      <c r="IM55" s="262"/>
      <c r="IN55" s="262"/>
      <c r="IO55" s="262"/>
      <c r="IP55" s="262"/>
      <c r="IQ55" s="262"/>
      <c r="IR55" s="262"/>
      <c r="IS55" s="262"/>
      <c r="IT55" s="262"/>
      <c r="IU55" s="262"/>
    </row>
    <row r="56" s="262" customFormat="1" ht="18" customHeight="1" spans="1:256">
      <c r="A56" s="267">
        <v>1226</v>
      </c>
      <c r="B56" s="268" t="s">
        <v>1434</v>
      </c>
      <c r="C56" s="225" t="s">
        <v>1380</v>
      </c>
      <c r="D56" s="230">
        <v>664.065742313715</v>
      </c>
      <c r="IV56" s="263"/>
    </row>
    <row r="57" s="262" customFormat="1" ht="18" customHeight="1" spans="1:256">
      <c r="A57" s="267">
        <v>1229</v>
      </c>
      <c r="B57" s="268" t="s">
        <v>1435</v>
      </c>
      <c r="C57" s="225" t="s">
        <v>1380</v>
      </c>
      <c r="D57" s="230">
        <v>388.45115638374</v>
      </c>
      <c r="IV57" s="263"/>
    </row>
    <row r="58" ht="24" customHeight="1" spans="1:255">
      <c r="A58" s="267">
        <v>1230</v>
      </c>
      <c r="B58" s="268" t="s">
        <v>1436</v>
      </c>
      <c r="C58" s="225" t="s">
        <v>1380</v>
      </c>
      <c r="D58" s="230">
        <v>419.438287262557</v>
      </c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62"/>
      <c r="BH58" s="262"/>
      <c r="BI58" s="262"/>
      <c r="BJ58" s="262"/>
      <c r="BK58" s="262"/>
      <c r="BL58" s="262"/>
      <c r="BM58" s="262"/>
      <c r="BN58" s="262"/>
      <c r="BO58" s="262"/>
      <c r="BP58" s="262"/>
      <c r="BQ58" s="262"/>
      <c r="BR58" s="262"/>
      <c r="BS58" s="262"/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62"/>
      <c r="CG58" s="262"/>
      <c r="CH58" s="262"/>
      <c r="CI58" s="262"/>
      <c r="CJ58" s="262"/>
      <c r="CK58" s="262"/>
      <c r="CL58" s="262"/>
      <c r="CM58" s="262"/>
      <c r="CN58" s="262"/>
      <c r="CO58" s="262"/>
      <c r="CP58" s="262"/>
      <c r="CQ58" s="262"/>
      <c r="CR58" s="262"/>
      <c r="CS58" s="262"/>
      <c r="CT58" s="262"/>
      <c r="CU58" s="262"/>
      <c r="CV58" s="262"/>
      <c r="CW58" s="262"/>
      <c r="CX58" s="262"/>
      <c r="CY58" s="262"/>
      <c r="CZ58" s="262"/>
      <c r="DA58" s="262"/>
      <c r="DB58" s="262"/>
      <c r="DC58" s="262"/>
      <c r="DD58" s="262"/>
      <c r="DE58" s="262"/>
      <c r="DF58" s="262"/>
      <c r="DG58" s="262"/>
      <c r="DH58" s="262"/>
      <c r="DI58" s="262"/>
      <c r="DJ58" s="262"/>
      <c r="DK58" s="262"/>
      <c r="DL58" s="262"/>
      <c r="DM58" s="262"/>
      <c r="DN58" s="262"/>
      <c r="DO58" s="262"/>
      <c r="DP58" s="262"/>
      <c r="DQ58" s="262"/>
      <c r="DR58" s="262"/>
      <c r="DS58" s="262"/>
      <c r="DT58" s="262"/>
      <c r="DU58" s="262"/>
      <c r="DV58" s="262"/>
      <c r="DW58" s="262"/>
      <c r="DX58" s="262"/>
      <c r="DY58" s="262"/>
      <c r="DZ58" s="262"/>
      <c r="EA58" s="262"/>
      <c r="EB58" s="262"/>
      <c r="EC58" s="262"/>
      <c r="ED58" s="262"/>
      <c r="EE58" s="262"/>
      <c r="EF58" s="262"/>
      <c r="EG58" s="262"/>
      <c r="EH58" s="262"/>
      <c r="EI58" s="262"/>
      <c r="EJ58" s="262"/>
      <c r="EK58" s="262"/>
      <c r="EL58" s="262"/>
      <c r="EM58" s="262"/>
      <c r="EN58" s="262"/>
      <c r="EO58" s="262"/>
      <c r="EP58" s="262"/>
      <c r="EQ58" s="262"/>
      <c r="ER58" s="262"/>
      <c r="ES58" s="262"/>
      <c r="ET58" s="262"/>
      <c r="EU58" s="262"/>
      <c r="EV58" s="262"/>
      <c r="EW58" s="262"/>
      <c r="EX58" s="262"/>
      <c r="EY58" s="262"/>
      <c r="EZ58" s="262"/>
      <c r="FA58" s="262"/>
      <c r="FB58" s="262"/>
      <c r="FC58" s="262"/>
      <c r="FD58" s="262"/>
      <c r="FE58" s="262"/>
      <c r="FF58" s="262"/>
      <c r="FG58" s="262"/>
      <c r="FH58" s="262"/>
      <c r="FI58" s="262"/>
      <c r="FJ58" s="262"/>
      <c r="FK58" s="262"/>
      <c r="FL58" s="262"/>
      <c r="FM58" s="262"/>
      <c r="FN58" s="262"/>
      <c r="FO58" s="262"/>
      <c r="FP58" s="262"/>
      <c r="FQ58" s="262"/>
      <c r="FR58" s="262"/>
      <c r="FS58" s="262"/>
      <c r="FT58" s="262"/>
      <c r="FU58" s="262"/>
      <c r="FV58" s="262"/>
      <c r="FW58" s="262"/>
      <c r="FX58" s="262"/>
      <c r="FY58" s="262"/>
      <c r="FZ58" s="262"/>
      <c r="GA58" s="262"/>
      <c r="GB58" s="262"/>
      <c r="GC58" s="262"/>
      <c r="GD58" s="262"/>
      <c r="GE58" s="262"/>
      <c r="GF58" s="262"/>
      <c r="GG58" s="262"/>
      <c r="GH58" s="262"/>
      <c r="GI58" s="262"/>
      <c r="GJ58" s="262"/>
      <c r="GK58" s="262"/>
      <c r="GL58" s="262"/>
      <c r="GM58" s="262"/>
      <c r="GN58" s="262"/>
      <c r="GO58" s="262"/>
      <c r="GP58" s="262"/>
      <c r="GQ58" s="262"/>
      <c r="GR58" s="262"/>
      <c r="GS58" s="262"/>
      <c r="GT58" s="262"/>
      <c r="GU58" s="262"/>
      <c r="GV58" s="262"/>
      <c r="GW58" s="262"/>
      <c r="GX58" s="262"/>
      <c r="GY58" s="262"/>
      <c r="GZ58" s="262"/>
      <c r="HA58" s="262"/>
      <c r="HB58" s="262"/>
      <c r="HC58" s="262"/>
      <c r="HD58" s="262"/>
      <c r="HE58" s="262"/>
      <c r="HF58" s="262"/>
      <c r="HG58" s="262"/>
      <c r="HH58" s="262"/>
      <c r="HI58" s="262"/>
      <c r="HJ58" s="262"/>
      <c r="HK58" s="262"/>
      <c r="HL58" s="262"/>
      <c r="HM58" s="262"/>
      <c r="HN58" s="262"/>
      <c r="HO58" s="262"/>
      <c r="HP58" s="262"/>
      <c r="HQ58" s="262"/>
      <c r="HR58" s="262"/>
      <c r="HS58" s="262"/>
      <c r="HT58" s="262"/>
      <c r="HU58" s="262"/>
      <c r="HV58" s="262"/>
      <c r="HW58" s="262"/>
      <c r="HX58" s="262"/>
      <c r="HY58" s="262"/>
      <c r="HZ58" s="262"/>
      <c r="IA58" s="262"/>
      <c r="IB58" s="262"/>
      <c r="IC58" s="262"/>
      <c r="ID58" s="262"/>
      <c r="IE58" s="262"/>
      <c r="IF58" s="262"/>
      <c r="IG58" s="262"/>
      <c r="IH58" s="262"/>
      <c r="II58" s="262"/>
      <c r="IJ58" s="262"/>
      <c r="IK58" s="262"/>
      <c r="IL58" s="262"/>
      <c r="IM58" s="262"/>
      <c r="IN58" s="262"/>
      <c r="IO58" s="262"/>
      <c r="IP58" s="262"/>
      <c r="IQ58" s="262"/>
      <c r="IR58" s="262"/>
      <c r="IS58" s="262"/>
      <c r="IT58" s="262"/>
      <c r="IU58" s="262"/>
    </row>
    <row r="59" s="262" customFormat="1" ht="18" customHeight="1" spans="1:256">
      <c r="A59" s="267">
        <v>1237</v>
      </c>
      <c r="B59" s="268" t="s">
        <v>1437</v>
      </c>
      <c r="C59" s="225" t="s">
        <v>1380</v>
      </c>
      <c r="D59" s="230">
        <v>638.333983572025</v>
      </c>
      <c r="IV59" s="263"/>
    </row>
    <row r="60" s="262" customFormat="1" ht="18" customHeight="1" spans="1:256">
      <c r="A60" s="267">
        <v>1238</v>
      </c>
      <c r="B60" s="268" t="s">
        <v>1438</v>
      </c>
      <c r="C60" s="225" t="s">
        <v>1380</v>
      </c>
      <c r="D60" s="230">
        <f>2196.03950322279*0.8</f>
        <v>1756.83160257823</v>
      </c>
      <c r="IV60" s="263"/>
    </row>
    <row r="61" ht="18" customHeight="1" spans="1:255">
      <c r="A61" s="267" t="e">
        <f>#REF!</f>
        <v>#REF!</v>
      </c>
      <c r="B61" s="268" t="e">
        <f>#REF!</f>
        <v>#REF!</v>
      </c>
      <c r="C61" s="225" t="s">
        <v>1380</v>
      </c>
      <c r="D61" s="230">
        <v>1447.78337505069</v>
      </c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262"/>
      <c r="BV61" s="262"/>
      <c r="BW61" s="262"/>
      <c r="BX61" s="262"/>
      <c r="BY61" s="262"/>
      <c r="BZ61" s="262"/>
      <c r="CA61" s="262"/>
      <c r="CB61" s="262"/>
      <c r="CC61" s="262"/>
      <c r="CD61" s="262"/>
      <c r="CE61" s="262"/>
      <c r="CF61" s="262"/>
      <c r="CG61" s="262"/>
      <c r="CH61" s="262"/>
      <c r="CI61" s="262"/>
      <c r="CJ61" s="262"/>
      <c r="CK61" s="262"/>
      <c r="CL61" s="262"/>
      <c r="CM61" s="262"/>
      <c r="CN61" s="262"/>
      <c r="CO61" s="262"/>
      <c r="CP61" s="262"/>
      <c r="CQ61" s="262"/>
      <c r="CR61" s="262"/>
      <c r="CS61" s="262"/>
      <c r="CT61" s="262"/>
      <c r="CU61" s="262"/>
      <c r="CV61" s="262"/>
      <c r="CW61" s="262"/>
      <c r="CX61" s="262"/>
      <c r="CY61" s="262"/>
      <c r="CZ61" s="262"/>
      <c r="DA61" s="262"/>
      <c r="DB61" s="262"/>
      <c r="DC61" s="262"/>
      <c r="DD61" s="262"/>
      <c r="DE61" s="262"/>
      <c r="DF61" s="262"/>
      <c r="DG61" s="262"/>
      <c r="DH61" s="262"/>
      <c r="DI61" s="262"/>
      <c r="DJ61" s="262"/>
      <c r="DK61" s="262"/>
      <c r="DL61" s="262"/>
      <c r="DM61" s="262"/>
      <c r="DN61" s="262"/>
      <c r="DO61" s="262"/>
      <c r="DP61" s="262"/>
      <c r="DQ61" s="262"/>
      <c r="DR61" s="262"/>
      <c r="DS61" s="262"/>
      <c r="DT61" s="262"/>
      <c r="DU61" s="262"/>
      <c r="DV61" s="262"/>
      <c r="DW61" s="262"/>
      <c r="DX61" s="262"/>
      <c r="DY61" s="262"/>
      <c r="DZ61" s="262"/>
      <c r="EA61" s="262"/>
      <c r="EB61" s="262"/>
      <c r="EC61" s="262"/>
      <c r="ED61" s="262"/>
      <c r="EE61" s="262"/>
      <c r="EF61" s="262"/>
      <c r="EG61" s="262"/>
      <c r="EH61" s="262"/>
      <c r="EI61" s="262"/>
      <c r="EJ61" s="262"/>
      <c r="EK61" s="262"/>
      <c r="EL61" s="262"/>
      <c r="EM61" s="262"/>
      <c r="EN61" s="262"/>
      <c r="EO61" s="262"/>
      <c r="EP61" s="262"/>
      <c r="EQ61" s="262"/>
      <c r="ER61" s="262"/>
      <c r="ES61" s="262"/>
      <c r="ET61" s="262"/>
      <c r="EU61" s="262"/>
      <c r="EV61" s="262"/>
      <c r="EW61" s="262"/>
      <c r="EX61" s="262"/>
      <c r="EY61" s="262"/>
      <c r="EZ61" s="262"/>
      <c r="FA61" s="262"/>
      <c r="FB61" s="262"/>
      <c r="FC61" s="262"/>
      <c r="FD61" s="262"/>
      <c r="FE61" s="262"/>
      <c r="FF61" s="262"/>
      <c r="FG61" s="262"/>
      <c r="FH61" s="262"/>
      <c r="FI61" s="262"/>
      <c r="FJ61" s="262"/>
      <c r="FK61" s="262"/>
      <c r="FL61" s="262"/>
      <c r="FM61" s="262"/>
      <c r="FN61" s="262"/>
      <c r="FO61" s="262"/>
      <c r="FP61" s="262"/>
      <c r="FQ61" s="262"/>
      <c r="FR61" s="262"/>
      <c r="FS61" s="262"/>
      <c r="FT61" s="262"/>
      <c r="FU61" s="262"/>
      <c r="FV61" s="262"/>
      <c r="FW61" s="262"/>
      <c r="FX61" s="262"/>
      <c r="FY61" s="262"/>
      <c r="FZ61" s="262"/>
      <c r="GA61" s="262"/>
      <c r="GB61" s="262"/>
      <c r="GC61" s="262"/>
      <c r="GD61" s="262"/>
      <c r="GE61" s="262"/>
      <c r="GF61" s="262"/>
      <c r="GG61" s="262"/>
      <c r="GH61" s="262"/>
      <c r="GI61" s="262"/>
      <c r="GJ61" s="262"/>
      <c r="GK61" s="262"/>
      <c r="GL61" s="262"/>
      <c r="GM61" s="262"/>
      <c r="GN61" s="262"/>
      <c r="GO61" s="262"/>
      <c r="GP61" s="262"/>
      <c r="GQ61" s="262"/>
      <c r="GR61" s="262"/>
      <c r="GS61" s="262"/>
      <c r="GT61" s="262"/>
      <c r="GU61" s="262"/>
      <c r="GV61" s="262"/>
      <c r="GW61" s="262"/>
      <c r="GX61" s="262"/>
      <c r="GY61" s="262"/>
      <c r="GZ61" s="262"/>
      <c r="HA61" s="262"/>
      <c r="HB61" s="262"/>
      <c r="HC61" s="262"/>
      <c r="HD61" s="262"/>
      <c r="HE61" s="262"/>
      <c r="HF61" s="262"/>
      <c r="HG61" s="262"/>
      <c r="HH61" s="262"/>
      <c r="HI61" s="262"/>
      <c r="HJ61" s="262"/>
      <c r="HK61" s="262"/>
      <c r="HL61" s="262"/>
      <c r="HM61" s="262"/>
      <c r="HN61" s="262"/>
      <c r="HO61" s="262"/>
      <c r="HP61" s="262"/>
      <c r="HQ61" s="262"/>
      <c r="HR61" s="262"/>
      <c r="HS61" s="262"/>
      <c r="HT61" s="262"/>
      <c r="HU61" s="262"/>
      <c r="HV61" s="262"/>
      <c r="HW61" s="262"/>
      <c r="HX61" s="262"/>
      <c r="HY61" s="262"/>
      <c r="HZ61" s="262"/>
      <c r="IA61" s="262"/>
      <c r="IB61" s="262"/>
      <c r="IC61" s="262"/>
      <c r="ID61" s="262"/>
      <c r="IE61" s="262"/>
      <c r="IF61" s="262"/>
      <c r="IG61" s="262"/>
      <c r="IH61" s="262"/>
      <c r="II61" s="262"/>
      <c r="IJ61" s="262"/>
      <c r="IK61" s="262"/>
      <c r="IL61" s="262"/>
      <c r="IM61" s="262"/>
      <c r="IN61" s="262"/>
      <c r="IO61" s="262"/>
      <c r="IP61" s="262"/>
      <c r="IQ61" s="262"/>
      <c r="IR61" s="262"/>
      <c r="IS61" s="262"/>
      <c r="IT61" s="262"/>
      <c r="IU61" s="262"/>
    </row>
    <row r="62" ht="24" customHeight="1" spans="1:255">
      <c r="A62" s="267">
        <v>1249</v>
      </c>
      <c r="B62" s="268" t="s">
        <v>1439</v>
      </c>
      <c r="C62" s="225" t="s">
        <v>1440</v>
      </c>
      <c r="D62" s="230">
        <v>1543.09886428262</v>
      </c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62"/>
      <c r="BV62" s="262"/>
      <c r="BW62" s="262"/>
      <c r="BX62" s="262"/>
      <c r="BY62" s="262"/>
      <c r="BZ62" s="262"/>
      <c r="CA62" s="262"/>
      <c r="CB62" s="262"/>
      <c r="CC62" s="262"/>
      <c r="CD62" s="262"/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  <c r="DZ62" s="262"/>
      <c r="EA62" s="262"/>
      <c r="EB62" s="262"/>
      <c r="EC62" s="262"/>
      <c r="ED62" s="262"/>
      <c r="EE62" s="262"/>
      <c r="EF62" s="262"/>
      <c r="EG62" s="262"/>
      <c r="EH62" s="262"/>
      <c r="EI62" s="262"/>
      <c r="EJ62" s="262"/>
      <c r="EK62" s="262"/>
      <c r="EL62" s="262"/>
      <c r="EM62" s="262"/>
      <c r="EN62" s="262"/>
      <c r="EO62" s="262"/>
      <c r="EP62" s="262"/>
      <c r="EQ62" s="262"/>
      <c r="ER62" s="262"/>
      <c r="ES62" s="262"/>
      <c r="ET62" s="262"/>
      <c r="EU62" s="262"/>
      <c r="EV62" s="262"/>
      <c r="EW62" s="262"/>
      <c r="EX62" s="262"/>
      <c r="EY62" s="262"/>
      <c r="EZ62" s="262"/>
      <c r="FA62" s="262"/>
      <c r="FB62" s="262"/>
      <c r="FC62" s="262"/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2"/>
      <c r="FU62" s="262"/>
      <c r="FV62" s="262"/>
      <c r="FW62" s="262"/>
      <c r="FX62" s="262"/>
      <c r="FY62" s="262"/>
      <c r="FZ62" s="262"/>
      <c r="GA62" s="262"/>
      <c r="GB62" s="262"/>
      <c r="GC62" s="262"/>
      <c r="GD62" s="262"/>
      <c r="GE62" s="262"/>
      <c r="GF62" s="262"/>
      <c r="GG62" s="262"/>
      <c r="GH62" s="262"/>
      <c r="GI62" s="262"/>
      <c r="GJ62" s="262"/>
      <c r="GK62" s="262"/>
      <c r="GL62" s="262"/>
      <c r="GM62" s="262"/>
      <c r="GN62" s="262"/>
      <c r="GO62" s="262"/>
      <c r="GP62" s="262"/>
      <c r="GQ62" s="262"/>
      <c r="GR62" s="262"/>
      <c r="GS62" s="262"/>
      <c r="GT62" s="262"/>
      <c r="GU62" s="262"/>
      <c r="GV62" s="262"/>
      <c r="GW62" s="262"/>
      <c r="GX62" s="262"/>
      <c r="GY62" s="262"/>
      <c r="GZ62" s="262"/>
      <c r="HA62" s="262"/>
      <c r="HB62" s="262"/>
      <c r="HC62" s="262"/>
      <c r="HD62" s="262"/>
      <c r="HE62" s="262"/>
      <c r="HF62" s="262"/>
      <c r="HG62" s="262"/>
      <c r="HH62" s="262"/>
      <c r="HI62" s="262"/>
      <c r="HJ62" s="262"/>
      <c r="HK62" s="262"/>
      <c r="HL62" s="262"/>
      <c r="HM62" s="262"/>
      <c r="HN62" s="262"/>
      <c r="HO62" s="262"/>
      <c r="HP62" s="262"/>
      <c r="HQ62" s="262"/>
      <c r="HR62" s="262"/>
      <c r="HS62" s="262"/>
      <c r="HT62" s="262"/>
      <c r="HU62" s="262"/>
      <c r="HV62" s="262"/>
      <c r="HW62" s="262"/>
      <c r="HX62" s="262"/>
      <c r="HY62" s="262"/>
      <c r="HZ62" s="262"/>
      <c r="IA62" s="262"/>
      <c r="IB62" s="262"/>
      <c r="IC62" s="262"/>
      <c r="ID62" s="262"/>
      <c r="IE62" s="262"/>
      <c r="IF62" s="262"/>
      <c r="IG62" s="262"/>
      <c r="IH62" s="262"/>
      <c r="II62" s="262"/>
      <c r="IJ62" s="262"/>
      <c r="IK62" s="262"/>
      <c r="IL62" s="262"/>
      <c r="IM62" s="262"/>
      <c r="IN62" s="262"/>
      <c r="IO62" s="262"/>
      <c r="IP62" s="262"/>
      <c r="IQ62" s="262"/>
      <c r="IR62" s="262"/>
      <c r="IS62" s="262"/>
      <c r="IT62" s="262"/>
      <c r="IU62" s="262"/>
    </row>
    <row r="63" ht="24" hidden="1" customHeight="1" spans="1:255">
      <c r="A63" s="267">
        <v>1250</v>
      </c>
      <c r="B63" s="268" t="s">
        <v>1441</v>
      </c>
      <c r="C63" s="225" t="s">
        <v>1440</v>
      </c>
      <c r="D63" s="230">
        <v>2450.3737791779</v>
      </c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62"/>
      <c r="BM63" s="262"/>
      <c r="BN63" s="262"/>
      <c r="BO63" s="262"/>
      <c r="BP63" s="262"/>
      <c r="BQ63" s="262"/>
      <c r="BR63" s="262"/>
      <c r="BS63" s="262"/>
      <c r="BT63" s="262"/>
      <c r="BU63" s="262"/>
      <c r="BV63" s="262"/>
      <c r="BW63" s="262"/>
      <c r="BX63" s="262"/>
      <c r="BY63" s="262"/>
      <c r="BZ63" s="262"/>
      <c r="CA63" s="262"/>
      <c r="CB63" s="262"/>
      <c r="CC63" s="262"/>
      <c r="CD63" s="262"/>
      <c r="CE63" s="262"/>
      <c r="CF63" s="262"/>
      <c r="CG63" s="262"/>
      <c r="CH63" s="262"/>
      <c r="CI63" s="262"/>
      <c r="CJ63" s="262"/>
      <c r="CK63" s="262"/>
      <c r="CL63" s="262"/>
      <c r="CM63" s="262"/>
      <c r="CN63" s="262"/>
      <c r="CO63" s="262"/>
      <c r="CP63" s="262"/>
      <c r="CQ63" s="262"/>
      <c r="CR63" s="262"/>
      <c r="CS63" s="262"/>
      <c r="CT63" s="262"/>
      <c r="CU63" s="262"/>
      <c r="CV63" s="262"/>
      <c r="CW63" s="262"/>
      <c r="CX63" s="262"/>
      <c r="CY63" s="262"/>
      <c r="CZ63" s="262"/>
      <c r="DA63" s="262"/>
      <c r="DB63" s="262"/>
      <c r="DC63" s="262"/>
      <c r="DD63" s="262"/>
      <c r="DE63" s="262"/>
      <c r="DF63" s="262"/>
      <c r="DG63" s="262"/>
      <c r="DH63" s="262"/>
      <c r="DI63" s="262"/>
      <c r="DJ63" s="262"/>
      <c r="DK63" s="262"/>
      <c r="DL63" s="262"/>
      <c r="DM63" s="262"/>
      <c r="DN63" s="262"/>
      <c r="DO63" s="262"/>
      <c r="DP63" s="262"/>
      <c r="DQ63" s="262"/>
      <c r="DR63" s="262"/>
      <c r="DS63" s="262"/>
      <c r="DT63" s="262"/>
      <c r="DU63" s="262"/>
      <c r="DV63" s="262"/>
      <c r="DW63" s="262"/>
      <c r="DX63" s="262"/>
      <c r="DY63" s="262"/>
      <c r="DZ63" s="262"/>
      <c r="EA63" s="262"/>
      <c r="EB63" s="262"/>
      <c r="EC63" s="262"/>
      <c r="ED63" s="262"/>
      <c r="EE63" s="262"/>
      <c r="EF63" s="262"/>
      <c r="EG63" s="262"/>
      <c r="EH63" s="262"/>
      <c r="EI63" s="262"/>
      <c r="EJ63" s="262"/>
      <c r="EK63" s="262"/>
      <c r="EL63" s="262"/>
      <c r="EM63" s="262"/>
      <c r="EN63" s="262"/>
      <c r="EO63" s="262"/>
      <c r="EP63" s="262"/>
      <c r="EQ63" s="262"/>
      <c r="ER63" s="262"/>
      <c r="ES63" s="262"/>
      <c r="ET63" s="262"/>
      <c r="EU63" s="262"/>
      <c r="EV63" s="262"/>
      <c r="EW63" s="262"/>
      <c r="EX63" s="262"/>
      <c r="EY63" s="262"/>
      <c r="EZ63" s="262"/>
      <c r="FA63" s="262"/>
      <c r="FB63" s="262"/>
      <c r="FC63" s="262"/>
      <c r="FD63" s="262"/>
      <c r="FE63" s="262"/>
      <c r="FF63" s="262"/>
      <c r="FG63" s="262"/>
      <c r="FH63" s="262"/>
      <c r="FI63" s="262"/>
      <c r="FJ63" s="262"/>
      <c r="FK63" s="262"/>
      <c r="FL63" s="262"/>
      <c r="FM63" s="262"/>
      <c r="FN63" s="262"/>
      <c r="FO63" s="262"/>
      <c r="FP63" s="262"/>
      <c r="FQ63" s="262"/>
      <c r="FR63" s="262"/>
      <c r="FS63" s="262"/>
      <c r="FT63" s="262"/>
      <c r="FU63" s="262"/>
      <c r="FV63" s="262"/>
      <c r="FW63" s="262"/>
      <c r="FX63" s="262"/>
      <c r="FY63" s="262"/>
      <c r="FZ63" s="262"/>
      <c r="GA63" s="262"/>
      <c r="GB63" s="262"/>
      <c r="GC63" s="262"/>
      <c r="GD63" s="262"/>
      <c r="GE63" s="262"/>
      <c r="GF63" s="262"/>
      <c r="GG63" s="262"/>
      <c r="GH63" s="262"/>
      <c r="GI63" s="262"/>
      <c r="GJ63" s="262"/>
      <c r="GK63" s="262"/>
      <c r="GL63" s="262"/>
      <c r="GM63" s="262"/>
      <c r="GN63" s="262"/>
      <c r="GO63" s="262"/>
      <c r="GP63" s="262"/>
      <c r="GQ63" s="262"/>
      <c r="GR63" s="262"/>
      <c r="GS63" s="262"/>
      <c r="GT63" s="262"/>
      <c r="GU63" s="262"/>
      <c r="GV63" s="262"/>
      <c r="GW63" s="262"/>
      <c r="GX63" s="262"/>
      <c r="GY63" s="262"/>
      <c r="GZ63" s="262"/>
      <c r="HA63" s="262"/>
      <c r="HB63" s="262"/>
      <c r="HC63" s="262"/>
      <c r="HD63" s="262"/>
      <c r="HE63" s="262"/>
      <c r="HF63" s="262"/>
      <c r="HG63" s="262"/>
      <c r="HH63" s="262"/>
      <c r="HI63" s="262"/>
      <c r="HJ63" s="262"/>
      <c r="HK63" s="262"/>
      <c r="HL63" s="262"/>
      <c r="HM63" s="262"/>
      <c r="HN63" s="262"/>
      <c r="HO63" s="262"/>
      <c r="HP63" s="262"/>
      <c r="HQ63" s="262"/>
      <c r="HR63" s="262"/>
      <c r="HS63" s="262"/>
      <c r="HT63" s="262"/>
      <c r="HU63" s="262"/>
      <c r="HV63" s="262"/>
      <c r="HW63" s="262"/>
      <c r="HX63" s="262"/>
      <c r="HY63" s="262"/>
      <c r="HZ63" s="262"/>
      <c r="IA63" s="262"/>
      <c r="IB63" s="262"/>
      <c r="IC63" s="262"/>
      <c r="ID63" s="262"/>
      <c r="IE63" s="262"/>
      <c r="IF63" s="262"/>
      <c r="IG63" s="262"/>
      <c r="IH63" s="262"/>
      <c r="II63" s="262"/>
      <c r="IJ63" s="262"/>
      <c r="IK63" s="262"/>
      <c r="IL63" s="262"/>
      <c r="IM63" s="262"/>
      <c r="IN63" s="262"/>
      <c r="IO63" s="262"/>
      <c r="IP63" s="262"/>
      <c r="IQ63" s="262"/>
      <c r="IR63" s="262"/>
      <c r="IS63" s="262"/>
      <c r="IT63" s="262"/>
      <c r="IU63" s="262"/>
    </row>
    <row r="64" ht="24" hidden="1" customHeight="1" spans="1:255">
      <c r="A64" s="267">
        <v>1251</v>
      </c>
      <c r="B64" s="268" t="s">
        <v>1442</v>
      </c>
      <c r="C64" s="225" t="s">
        <v>1440</v>
      </c>
      <c r="D64" s="230">
        <v>3377.90357798692</v>
      </c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  <c r="AI64" s="262"/>
      <c r="AJ64" s="262"/>
      <c r="AK64" s="262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62"/>
      <c r="BH64" s="262"/>
      <c r="BI64" s="262"/>
      <c r="BJ64" s="262"/>
      <c r="BK64" s="262"/>
      <c r="BL64" s="262"/>
      <c r="BM64" s="262"/>
      <c r="BN64" s="262"/>
      <c r="BO64" s="262"/>
      <c r="BP64" s="262"/>
      <c r="BQ64" s="262"/>
      <c r="BR64" s="262"/>
      <c r="BS64" s="262"/>
      <c r="BT64" s="262"/>
      <c r="BU64" s="262"/>
      <c r="BV64" s="262"/>
      <c r="BW64" s="262"/>
      <c r="BX64" s="262"/>
      <c r="BY64" s="262"/>
      <c r="BZ64" s="262"/>
      <c r="CA64" s="262"/>
      <c r="CB64" s="262"/>
      <c r="CC64" s="262"/>
      <c r="CD64" s="262"/>
      <c r="CE64" s="262"/>
      <c r="CF64" s="262"/>
      <c r="CG64" s="262"/>
      <c r="CH64" s="262"/>
      <c r="CI64" s="262"/>
      <c r="CJ64" s="262"/>
      <c r="CK64" s="262"/>
      <c r="CL64" s="262"/>
      <c r="CM64" s="262"/>
      <c r="CN64" s="262"/>
      <c r="CO64" s="262"/>
      <c r="CP64" s="262"/>
      <c r="CQ64" s="262"/>
      <c r="CR64" s="262"/>
      <c r="CS64" s="262"/>
      <c r="CT64" s="262"/>
      <c r="CU64" s="262"/>
      <c r="CV64" s="262"/>
      <c r="CW64" s="262"/>
      <c r="CX64" s="262"/>
      <c r="CY64" s="262"/>
      <c r="CZ64" s="262"/>
      <c r="DA64" s="262"/>
      <c r="DB64" s="262"/>
      <c r="DC64" s="262"/>
      <c r="DD64" s="262"/>
      <c r="DE64" s="262"/>
      <c r="DF64" s="262"/>
      <c r="DG64" s="262"/>
      <c r="DH64" s="262"/>
      <c r="DI64" s="262"/>
      <c r="DJ64" s="262"/>
      <c r="DK64" s="262"/>
      <c r="DL64" s="262"/>
      <c r="DM64" s="262"/>
      <c r="DN64" s="262"/>
      <c r="DO64" s="262"/>
      <c r="DP64" s="262"/>
      <c r="DQ64" s="262"/>
      <c r="DR64" s="262"/>
      <c r="DS64" s="262"/>
      <c r="DT64" s="262"/>
      <c r="DU64" s="262"/>
      <c r="DV64" s="262"/>
      <c r="DW64" s="262"/>
      <c r="DX64" s="262"/>
      <c r="DY64" s="262"/>
      <c r="DZ64" s="262"/>
      <c r="EA64" s="262"/>
      <c r="EB64" s="262"/>
      <c r="EC64" s="262"/>
      <c r="ED64" s="262"/>
      <c r="EE64" s="262"/>
      <c r="EF64" s="262"/>
      <c r="EG64" s="262"/>
      <c r="EH64" s="262"/>
      <c r="EI64" s="262"/>
      <c r="EJ64" s="262"/>
      <c r="EK64" s="262"/>
      <c r="EL64" s="262"/>
      <c r="EM64" s="262"/>
      <c r="EN64" s="262"/>
      <c r="EO64" s="262"/>
      <c r="EP64" s="262"/>
      <c r="EQ64" s="262"/>
      <c r="ER64" s="262"/>
      <c r="ES64" s="262"/>
      <c r="ET64" s="262"/>
      <c r="EU64" s="262"/>
      <c r="EV64" s="262"/>
      <c r="EW64" s="262"/>
      <c r="EX64" s="262"/>
      <c r="EY64" s="262"/>
      <c r="EZ64" s="262"/>
      <c r="FA64" s="262"/>
      <c r="FB64" s="262"/>
      <c r="FC64" s="262"/>
      <c r="FD64" s="262"/>
      <c r="FE64" s="262"/>
      <c r="FF64" s="262"/>
      <c r="FG64" s="262"/>
      <c r="FH64" s="262"/>
      <c r="FI64" s="262"/>
      <c r="FJ64" s="262"/>
      <c r="FK64" s="262"/>
      <c r="FL64" s="262"/>
      <c r="FM64" s="262"/>
      <c r="FN64" s="262"/>
      <c r="FO64" s="262"/>
      <c r="FP64" s="262"/>
      <c r="FQ64" s="262"/>
      <c r="FR64" s="262"/>
      <c r="FS64" s="262"/>
      <c r="FT64" s="262"/>
      <c r="FU64" s="262"/>
      <c r="FV64" s="262"/>
      <c r="FW64" s="262"/>
      <c r="FX64" s="262"/>
      <c r="FY64" s="262"/>
      <c r="FZ64" s="262"/>
      <c r="GA64" s="262"/>
      <c r="GB64" s="262"/>
      <c r="GC64" s="262"/>
      <c r="GD64" s="262"/>
      <c r="GE64" s="262"/>
      <c r="GF64" s="262"/>
      <c r="GG64" s="262"/>
      <c r="GH64" s="262"/>
      <c r="GI64" s="262"/>
      <c r="GJ64" s="262"/>
      <c r="GK64" s="262"/>
      <c r="GL64" s="262"/>
      <c r="GM64" s="262"/>
      <c r="GN64" s="262"/>
      <c r="GO64" s="262"/>
      <c r="GP64" s="262"/>
      <c r="GQ64" s="262"/>
      <c r="GR64" s="262"/>
      <c r="GS64" s="262"/>
      <c r="GT64" s="262"/>
      <c r="GU64" s="262"/>
      <c r="GV64" s="262"/>
      <c r="GW64" s="262"/>
      <c r="GX64" s="262"/>
      <c r="GY64" s="262"/>
      <c r="GZ64" s="262"/>
      <c r="HA64" s="262"/>
      <c r="HB64" s="262"/>
      <c r="HC64" s="262"/>
      <c r="HD64" s="262"/>
      <c r="HE64" s="262"/>
      <c r="HF64" s="262"/>
      <c r="HG64" s="262"/>
      <c r="HH64" s="262"/>
      <c r="HI64" s="262"/>
      <c r="HJ64" s="262"/>
      <c r="HK64" s="262"/>
      <c r="HL64" s="262"/>
      <c r="HM64" s="262"/>
      <c r="HN64" s="262"/>
      <c r="HO64" s="262"/>
      <c r="HP64" s="262"/>
      <c r="HQ64" s="262"/>
      <c r="HR64" s="262"/>
      <c r="HS64" s="262"/>
      <c r="HT64" s="262"/>
      <c r="HU64" s="262"/>
      <c r="HV64" s="262"/>
      <c r="HW64" s="262"/>
      <c r="HX64" s="262"/>
      <c r="HY64" s="262"/>
      <c r="HZ64" s="262"/>
      <c r="IA64" s="262"/>
      <c r="IB64" s="262"/>
      <c r="IC64" s="262"/>
      <c r="ID64" s="262"/>
      <c r="IE64" s="262"/>
      <c r="IF64" s="262"/>
      <c r="IG64" s="262"/>
      <c r="IH64" s="262"/>
      <c r="II64" s="262"/>
      <c r="IJ64" s="262"/>
      <c r="IK64" s="262"/>
      <c r="IL64" s="262"/>
      <c r="IM64" s="262"/>
      <c r="IN64" s="262"/>
      <c r="IO64" s="262"/>
      <c r="IP64" s="262"/>
      <c r="IQ64" s="262"/>
      <c r="IR64" s="262"/>
      <c r="IS64" s="262"/>
      <c r="IT64" s="262"/>
      <c r="IU64" s="262"/>
    </row>
    <row r="65" ht="24" hidden="1" customHeight="1" spans="1:255">
      <c r="A65" s="267">
        <v>1252</v>
      </c>
      <c r="B65" s="268" t="s">
        <v>1443</v>
      </c>
      <c r="C65" s="225" t="s">
        <v>1440</v>
      </c>
      <c r="D65" s="230">
        <v>5198.92537833386</v>
      </c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62"/>
      <c r="BH65" s="262"/>
      <c r="BI65" s="262"/>
      <c r="BJ65" s="262"/>
      <c r="BK65" s="262"/>
      <c r="BL65" s="262"/>
      <c r="BM65" s="262"/>
      <c r="BN65" s="262"/>
      <c r="BO65" s="262"/>
      <c r="BP65" s="262"/>
      <c r="BQ65" s="262"/>
      <c r="BR65" s="262"/>
      <c r="BS65" s="262"/>
      <c r="BT65" s="262"/>
      <c r="BU65" s="262"/>
      <c r="BV65" s="262"/>
      <c r="BW65" s="262"/>
      <c r="BX65" s="262"/>
      <c r="BY65" s="262"/>
      <c r="BZ65" s="262"/>
      <c r="CA65" s="262"/>
      <c r="CB65" s="262"/>
      <c r="CC65" s="262"/>
      <c r="CD65" s="262"/>
      <c r="CE65" s="262"/>
      <c r="CF65" s="262"/>
      <c r="CG65" s="262"/>
      <c r="CH65" s="262"/>
      <c r="CI65" s="262"/>
      <c r="CJ65" s="262"/>
      <c r="CK65" s="262"/>
      <c r="CL65" s="262"/>
      <c r="CM65" s="262"/>
      <c r="CN65" s="262"/>
      <c r="CO65" s="262"/>
      <c r="CP65" s="262"/>
      <c r="CQ65" s="262"/>
      <c r="CR65" s="262"/>
      <c r="CS65" s="262"/>
      <c r="CT65" s="262"/>
      <c r="CU65" s="262"/>
      <c r="CV65" s="262"/>
      <c r="CW65" s="262"/>
      <c r="CX65" s="262"/>
      <c r="CY65" s="262"/>
      <c r="CZ65" s="262"/>
      <c r="DA65" s="262"/>
      <c r="DB65" s="262"/>
      <c r="DC65" s="262"/>
      <c r="DD65" s="262"/>
      <c r="DE65" s="262"/>
      <c r="DF65" s="262"/>
      <c r="DG65" s="262"/>
      <c r="DH65" s="262"/>
      <c r="DI65" s="262"/>
      <c r="DJ65" s="262"/>
      <c r="DK65" s="262"/>
      <c r="DL65" s="262"/>
      <c r="DM65" s="262"/>
      <c r="DN65" s="262"/>
      <c r="DO65" s="262"/>
      <c r="DP65" s="262"/>
      <c r="DQ65" s="262"/>
      <c r="DR65" s="262"/>
      <c r="DS65" s="262"/>
      <c r="DT65" s="262"/>
      <c r="DU65" s="262"/>
      <c r="DV65" s="262"/>
      <c r="DW65" s="262"/>
      <c r="DX65" s="262"/>
      <c r="DY65" s="262"/>
      <c r="DZ65" s="262"/>
      <c r="EA65" s="262"/>
      <c r="EB65" s="262"/>
      <c r="EC65" s="262"/>
      <c r="ED65" s="262"/>
      <c r="EE65" s="262"/>
      <c r="EF65" s="262"/>
      <c r="EG65" s="262"/>
      <c r="EH65" s="262"/>
      <c r="EI65" s="262"/>
      <c r="EJ65" s="262"/>
      <c r="EK65" s="262"/>
      <c r="EL65" s="262"/>
      <c r="EM65" s="262"/>
      <c r="EN65" s="262"/>
      <c r="EO65" s="262"/>
      <c r="EP65" s="262"/>
      <c r="EQ65" s="262"/>
      <c r="ER65" s="262"/>
      <c r="ES65" s="262"/>
      <c r="ET65" s="262"/>
      <c r="EU65" s="262"/>
      <c r="EV65" s="262"/>
      <c r="EW65" s="262"/>
      <c r="EX65" s="262"/>
      <c r="EY65" s="262"/>
      <c r="EZ65" s="262"/>
      <c r="FA65" s="262"/>
      <c r="FB65" s="262"/>
      <c r="FC65" s="262"/>
      <c r="FD65" s="262"/>
      <c r="FE65" s="262"/>
      <c r="FF65" s="262"/>
      <c r="FG65" s="262"/>
      <c r="FH65" s="262"/>
      <c r="FI65" s="262"/>
      <c r="FJ65" s="262"/>
      <c r="FK65" s="262"/>
      <c r="FL65" s="262"/>
      <c r="FM65" s="262"/>
      <c r="FN65" s="262"/>
      <c r="FO65" s="262"/>
      <c r="FP65" s="262"/>
      <c r="FQ65" s="262"/>
      <c r="FR65" s="262"/>
      <c r="FS65" s="262"/>
      <c r="FT65" s="262"/>
      <c r="FU65" s="262"/>
      <c r="FV65" s="262"/>
      <c r="FW65" s="262"/>
      <c r="FX65" s="262"/>
      <c r="FY65" s="262"/>
      <c r="FZ65" s="262"/>
      <c r="GA65" s="262"/>
      <c r="GB65" s="262"/>
      <c r="GC65" s="262"/>
      <c r="GD65" s="262"/>
      <c r="GE65" s="262"/>
      <c r="GF65" s="262"/>
      <c r="GG65" s="262"/>
      <c r="GH65" s="262"/>
      <c r="GI65" s="262"/>
      <c r="GJ65" s="262"/>
      <c r="GK65" s="262"/>
      <c r="GL65" s="262"/>
      <c r="GM65" s="262"/>
      <c r="GN65" s="262"/>
      <c r="GO65" s="262"/>
      <c r="GP65" s="262"/>
      <c r="GQ65" s="262"/>
      <c r="GR65" s="262"/>
      <c r="GS65" s="262"/>
      <c r="GT65" s="262"/>
      <c r="GU65" s="262"/>
      <c r="GV65" s="262"/>
      <c r="GW65" s="262"/>
      <c r="GX65" s="262"/>
      <c r="GY65" s="262"/>
      <c r="GZ65" s="262"/>
      <c r="HA65" s="262"/>
      <c r="HB65" s="262"/>
      <c r="HC65" s="262"/>
      <c r="HD65" s="262"/>
      <c r="HE65" s="262"/>
      <c r="HF65" s="262"/>
      <c r="HG65" s="262"/>
      <c r="HH65" s="262"/>
      <c r="HI65" s="262"/>
      <c r="HJ65" s="262"/>
      <c r="HK65" s="262"/>
      <c r="HL65" s="262"/>
      <c r="HM65" s="262"/>
      <c r="HN65" s="262"/>
      <c r="HO65" s="262"/>
      <c r="HP65" s="262"/>
      <c r="HQ65" s="262"/>
      <c r="HR65" s="262"/>
      <c r="HS65" s="262"/>
      <c r="HT65" s="262"/>
      <c r="HU65" s="262"/>
      <c r="HV65" s="262"/>
      <c r="HW65" s="262"/>
      <c r="HX65" s="262"/>
      <c r="HY65" s="262"/>
      <c r="HZ65" s="262"/>
      <c r="IA65" s="262"/>
      <c r="IB65" s="262"/>
      <c r="IC65" s="262"/>
      <c r="ID65" s="262"/>
      <c r="IE65" s="262"/>
      <c r="IF65" s="262"/>
      <c r="IG65" s="262"/>
      <c r="IH65" s="262"/>
      <c r="II65" s="262"/>
      <c r="IJ65" s="262"/>
      <c r="IK65" s="262"/>
      <c r="IL65" s="262"/>
      <c r="IM65" s="262"/>
      <c r="IN65" s="262"/>
      <c r="IO65" s="262"/>
      <c r="IP65" s="262"/>
      <c r="IQ65" s="262"/>
      <c r="IR65" s="262"/>
      <c r="IS65" s="262"/>
      <c r="IT65" s="262"/>
      <c r="IU65" s="262"/>
    </row>
    <row r="66" s="262" customFormat="1" ht="18" customHeight="1" spans="1:256">
      <c r="A66" s="267">
        <v>1254</v>
      </c>
      <c r="B66" s="268" t="s">
        <v>1444</v>
      </c>
      <c r="C66" s="225" t="s">
        <v>1440</v>
      </c>
      <c r="D66" s="230">
        <v>95.9965556181946</v>
      </c>
      <c r="IV66" s="263"/>
    </row>
    <row r="67" ht="18" customHeight="1" spans="1:255">
      <c r="A67" s="267">
        <v>1255</v>
      </c>
      <c r="B67" s="268" t="s">
        <v>1445</v>
      </c>
      <c r="C67" s="225" t="s">
        <v>1440</v>
      </c>
      <c r="D67" s="230">
        <v>31.1029402975186</v>
      </c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62"/>
      <c r="BP67" s="262"/>
      <c r="BQ67" s="262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  <c r="DW67" s="262"/>
      <c r="DX67" s="262"/>
      <c r="DY67" s="262"/>
      <c r="DZ67" s="262"/>
      <c r="EA67" s="262"/>
      <c r="EB67" s="262"/>
      <c r="EC67" s="262"/>
      <c r="ED67" s="262"/>
      <c r="EE67" s="262"/>
      <c r="EF67" s="262"/>
      <c r="EG67" s="262"/>
      <c r="EH67" s="262"/>
      <c r="EI67" s="262"/>
      <c r="EJ67" s="262"/>
      <c r="EK67" s="262"/>
      <c r="EL67" s="262"/>
      <c r="EM67" s="262"/>
      <c r="EN67" s="262"/>
      <c r="EO67" s="262"/>
      <c r="EP67" s="262"/>
      <c r="EQ67" s="262"/>
      <c r="ER67" s="262"/>
      <c r="ES67" s="262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2"/>
      <c r="FY67" s="262"/>
      <c r="FZ67" s="262"/>
      <c r="GA67" s="262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2"/>
      <c r="GP67" s="262"/>
      <c r="GQ67" s="262"/>
      <c r="GR67" s="262"/>
      <c r="GS67" s="262"/>
      <c r="GT67" s="262"/>
      <c r="GU67" s="262"/>
      <c r="GV67" s="262"/>
      <c r="GW67" s="262"/>
      <c r="GX67" s="262"/>
      <c r="GY67" s="262"/>
      <c r="GZ67" s="262"/>
      <c r="HA67" s="262"/>
      <c r="HB67" s="262"/>
      <c r="HC67" s="262"/>
      <c r="HD67" s="262"/>
      <c r="HE67" s="262"/>
      <c r="HF67" s="262"/>
      <c r="HG67" s="262"/>
      <c r="HH67" s="262"/>
      <c r="HI67" s="262"/>
      <c r="HJ67" s="262"/>
      <c r="HK67" s="262"/>
      <c r="HL67" s="262"/>
      <c r="HM67" s="262"/>
      <c r="HN67" s="262"/>
      <c r="HO67" s="262"/>
      <c r="HP67" s="262"/>
      <c r="HQ67" s="262"/>
      <c r="HR67" s="262"/>
      <c r="HS67" s="262"/>
      <c r="HT67" s="262"/>
      <c r="HU67" s="262"/>
      <c r="HV67" s="262"/>
      <c r="HW67" s="262"/>
      <c r="HX67" s="262"/>
      <c r="HY67" s="262"/>
      <c r="HZ67" s="262"/>
      <c r="IA67" s="262"/>
      <c r="IB67" s="262"/>
      <c r="IC67" s="262"/>
      <c r="ID67" s="262"/>
      <c r="IE67" s="262"/>
      <c r="IF67" s="262"/>
      <c r="IG67" s="262"/>
      <c r="IH67" s="262"/>
      <c r="II67" s="262"/>
      <c r="IJ67" s="262"/>
      <c r="IK67" s="262"/>
      <c r="IL67" s="262"/>
      <c r="IM67" s="262"/>
      <c r="IN67" s="262"/>
      <c r="IO67" s="262"/>
      <c r="IP67" s="262"/>
      <c r="IQ67" s="262"/>
      <c r="IR67" s="262"/>
      <c r="IS67" s="262"/>
      <c r="IT67" s="262"/>
      <c r="IU67" s="262"/>
    </row>
    <row r="68" ht="18" hidden="1" customHeight="1" spans="1:255">
      <c r="A68" s="267">
        <v>1259</v>
      </c>
      <c r="B68" s="268" t="s">
        <v>1446</v>
      </c>
      <c r="C68" s="225" t="s">
        <v>1440</v>
      </c>
      <c r="D68" s="230">
        <v>71.4148962989377</v>
      </c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  <c r="DW68" s="262"/>
      <c r="DX68" s="262"/>
      <c r="DY68" s="262"/>
      <c r="DZ68" s="262"/>
      <c r="EA68" s="262"/>
      <c r="EB68" s="262"/>
      <c r="EC68" s="262"/>
      <c r="ED68" s="262"/>
      <c r="EE68" s="262"/>
      <c r="EF68" s="262"/>
      <c r="EG68" s="262"/>
      <c r="EH68" s="262"/>
      <c r="EI68" s="262"/>
      <c r="EJ68" s="262"/>
      <c r="EK68" s="262"/>
      <c r="EL68" s="262"/>
      <c r="EM68" s="262"/>
      <c r="EN68" s="262"/>
      <c r="EO68" s="262"/>
      <c r="EP68" s="262"/>
      <c r="EQ68" s="262"/>
      <c r="ER68" s="262"/>
      <c r="ES68" s="262"/>
      <c r="ET68" s="262"/>
      <c r="EU68" s="262"/>
      <c r="EV68" s="262"/>
      <c r="EW68" s="262"/>
      <c r="EX68" s="262"/>
      <c r="EY68" s="262"/>
      <c r="EZ68" s="262"/>
      <c r="FA68" s="262"/>
      <c r="FB68" s="262"/>
      <c r="FC68" s="262"/>
      <c r="FD68" s="262"/>
      <c r="FE68" s="262"/>
      <c r="FF68" s="262"/>
      <c r="FG68" s="262"/>
      <c r="FH68" s="262"/>
      <c r="FI68" s="262"/>
      <c r="FJ68" s="262"/>
      <c r="FK68" s="262"/>
      <c r="FL68" s="262"/>
      <c r="FM68" s="262"/>
      <c r="FN68" s="262"/>
      <c r="FO68" s="262"/>
      <c r="FP68" s="262"/>
      <c r="FQ68" s="262"/>
      <c r="FR68" s="262"/>
      <c r="FS68" s="262"/>
      <c r="FT68" s="262"/>
      <c r="FU68" s="262"/>
      <c r="FV68" s="262"/>
      <c r="FW68" s="262"/>
      <c r="FX68" s="262"/>
      <c r="FY68" s="262"/>
      <c r="FZ68" s="262"/>
      <c r="GA68" s="262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2"/>
      <c r="GP68" s="262"/>
      <c r="GQ68" s="262"/>
      <c r="GR68" s="262"/>
      <c r="GS68" s="262"/>
      <c r="GT68" s="262"/>
      <c r="GU68" s="262"/>
      <c r="GV68" s="262"/>
      <c r="GW68" s="262"/>
      <c r="GX68" s="262"/>
      <c r="GY68" s="262"/>
      <c r="GZ68" s="262"/>
      <c r="HA68" s="262"/>
      <c r="HB68" s="262"/>
      <c r="HC68" s="262"/>
      <c r="HD68" s="262"/>
      <c r="HE68" s="262"/>
      <c r="HF68" s="262"/>
      <c r="HG68" s="262"/>
      <c r="HH68" s="262"/>
      <c r="HI68" s="262"/>
      <c r="HJ68" s="262"/>
      <c r="HK68" s="262"/>
      <c r="HL68" s="262"/>
      <c r="HM68" s="262"/>
      <c r="HN68" s="262"/>
      <c r="HO68" s="262"/>
      <c r="HP68" s="262"/>
      <c r="HQ68" s="262"/>
      <c r="HR68" s="262"/>
      <c r="HS68" s="262"/>
      <c r="HT68" s="262"/>
      <c r="HU68" s="262"/>
      <c r="HV68" s="262"/>
      <c r="HW68" s="262"/>
      <c r="HX68" s="262"/>
      <c r="HY68" s="262"/>
      <c r="HZ68" s="262"/>
      <c r="IA68" s="262"/>
      <c r="IB68" s="262"/>
      <c r="IC68" s="262"/>
      <c r="ID68" s="262"/>
      <c r="IE68" s="262"/>
      <c r="IF68" s="262"/>
      <c r="IG68" s="262"/>
      <c r="IH68" s="262"/>
      <c r="II68" s="262"/>
      <c r="IJ68" s="262"/>
      <c r="IK68" s="262"/>
      <c r="IL68" s="262"/>
      <c r="IM68" s="262"/>
      <c r="IN68" s="262"/>
      <c r="IO68" s="262"/>
      <c r="IP68" s="262"/>
      <c r="IQ68" s="262"/>
      <c r="IR68" s="262"/>
      <c r="IS68" s="262"/>
      <c r="IT68" s="262"/>
      <c r="IU68" s="262"/>
    </row>
    <row r="69" s="262" customFormat="1" ht="18" customHeight="1" spans="1:256">
      <c r="A69" s="267">
        <v>1262</v>
      </c>
      <c r="B69" s="268" t="s">
        <v>1447</v>
      </c>
      <c r="C69" s="225" t="s">
        <v>1440</v>
      </c>
      <c r="D69" s="230">
        <v>132.514307576918</v>
      </c>
      <c r="IV69" s="263"/>
    </row>
    <row r="70" s="262" customFormat="1" ht="18" customHeight="1" spans="1:256">
      <c r="A70" s="267">
        <v>1273</v>
      </c>
      <c r="B70" s="268" t="s">
        <v>1448</v>
      </c>
      <c r="C70" s="225" t="s">
        <v>1440</v>
      </c>
      <c r="D70" s="230">
        <v>179.024217663273</v>
      </c>
      <c r="IV70" s="263"/>
    </row>
    <row r="71" ht="18" customHeight="1" spans="1:255">
      <c r="A71" s="267">
        <v>1275</v>
      </c>
      <c r="B71" s="268" t="s">
        <v>1449</v>
      </c>
      <c r="C71" s="225" t="s">
        <v>1440</v>
      </c>
      <c r="D71" s="230">
        <v>66.9781873061201</v>
      </c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  <c r="AF71" s="262"/>
      <c r="AG71" s="262"/>
      <c r="AH71" s="262"/>
      <c r="AI71" s="262"/>
      <c r="AJ71" s="262"/>
      <c r="AK71" s="262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62"/>
      <c r="BH71" s="262"/>
      <c r="BI71" s="262"/>
      <c r="BJ71" s="262"/>
      <c r="BK71" s="262"/>
      <c r="BL71" s="262"/>
      <c r="BM71" s="262"/>
      <c r="BN71" s="262"/>
      <c r="BO71" s="262"/>
      <c r="BP71" s="262"/>
      <c r="BQ71" s="262"/>
      <c r="BR71" s="262"/>
      <c r="BS71" s="262"/>
      <c r="BT71" s="262"/>
      <c r="BU71" s="262"/>
      <c r="BV71" s="262"/>
      <c r="BW71" s="262"/>
      <c r="BX71" s="262"/>
      <c r="BY71" s="262"/>
      <c r="BZ71" s="262"/>
      <c r="CA71" s="262"/>
      <c r="CB71" s="262"/>
      <c r="CC71" s="262"/>
      <c r="CD71" s="262"/>
      <c r="CE71" s="262"/>
      <c r="CF71" s="262"/>
      <c r="CG71" s="262"/>
      <c r="CH71" s="262"/>
      <c r="CI71" s="262"/>
      <c r="CJ71" s="262"/>
      <c r="CK71" s="262"/>
      <c r="CL71" s="262"/>
      <c r="CM71" s="262"/>
      <c r="CN71" s="262"/>
      <c r="CO71" s="262"/>
      <c r="CP71" s="262"/>
      <c r="CQ71" s="262"/>
      <c r="CR71" s="262"/>
      <c r="CS71" s="262"/>
      <c r="CT71" s="262"/>
      <c r="CU71" s="262"/>
      <c r="CV71" s="262"/>
      <c r="CW71" s="262"/>
      <c r="CX71" s="262"/>
      <c r="CY71" s="262"/>
      <c r="CZ71" s="262"/>
      <c r="DA71" s="262"/>
      <c r="DB71" s="262"/>
      <c r="DC71" s="262"/>
      <c r="DD71" s="262"/>
      <c r="DE71" s="262"/>
      <c r="DF71" s="262"/>
      <c r="DG71" s="262"/>
      <c r="DH71" s="262"/>
      <c r="DI71" s="262"/>
      <c r="DJ71" s="262"/>
      <c r="DK71" s="262"/>
      <c r="DL71" s="262"/>
      <c r="DM71" s="262"/>
      <c r="DN71" s="262"/>
      <c r="DO71" s="262"/>
      <c r="DP71" s="262"/>
      <c r="DQ71" s="262"/>
      <c r="DR71" s="262"/>
      <c r="DS71" s="262"/>
      <c r="DT71" s="262"/>
      <c r="DU71" s="262"/>
      <c r="DV71" s="262"/>
      <c r="DW71" s="262"/>
      <c r="DX71" s="262"/>
      <c r="DY71" s="262"/>
      <c r="DZ71" s="262"/>
      <c r="EA71" s="262"/>
      <c r="EB71" s="262"/>
      <c r="EC71" s="262"/>
      <c r="ED71" s="262"/>
      <c r="EE71" s="262"/>
      <c r="EF71" s="262"/>
      <c r="EG71" s="262"/>
      <c r="EH71" s="262"/>
      <c r="EI71" s="262"/>
      <c r="EJ71" s="262"/>
      <c r="EK71" s="262"/>
      <c r="EL71" s="262"/>
      <c r="EM71" s="262"/>
      <c r="EN71" s="262"/>
      <c r="EO71" s="262"/>
      <c r="EP71" s="262"/>
      <c r="EQ71" s="262"/>
      <c r="ER71" s="262"/>
      <c r="ES71" s="262"/>
      <c r="ET71" s="262"/>
      <c r="EU71" s="262"/>
      <c r="EV71" s="262"/>
      <c r="EW71" s="262"/>
      <c r="EX71" s="262"/>
      <c r="EY71" s="262"/>
      <c r="EZ71" s="262"/>
      <c r="FA71" s="262"/>
      <c r="FB71" s="262"/>
      <c r="FC71" s="262"/>
      <c r="FD71" s="262"/>
      <c r="FE71" s="262"/>
      <c r="FF71" s="262"/>
      <c r="FG71" s="262"/>
      <c r="FH71" s="262"/>
      <c r="FI71" s="262"/>
      <c r="FJ71" s="262"/>
      <c r="FK71" s="262"/>
      <c r="FL71" s="262"/>
      <c r="FM71" s="262"/>
      <c r="FN71" s="262"/>
      <c r="FO71" s="262"/>
      <c r="FP71" s="262"/>
      <c r="FQ71" s="262"/>
      <c r="FR71" s="262"/>
      <c r="FS71" s="262"/>
      <c r="FT71" s="262"/>
      <c r="FU71" s="262"/>
      <c r="FV71" s="262"/>
      <c r="FW71" s="262"/>
      <c r="FX71" s="262"/>
      <c r="FY71" s="262"/>
      <c r="FZ71" s="262"/>
      <c r="GA71" s="262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2"/>
      <c r="GP71" s="262"/>
      <c r="GQ71" s="262"/>
      <c r="GR71" s="262"/>
      <c r="GS71" s="262"/>
      <c r="GT71" s="262"/>
      <c r="GU71" s="262"/>
      <c r="GV71" s="262"/>
      <c r="GW71" s="262"/>
      <c r="GX71" s="262"/>
      <c r="GY71" s="262"/>
      <c r="GZ71" s="262"/>
      <c r="HA71" s="262"/>
      <c r="HB71" s="262"/>
      <c r="HC71" s="262"/>
      <c r="HD71" s="262"/>
      <c r="HE71" s="262"/>
      <c r="HF71" s="262"/>
      <c r="HG71" s="262"/>
      <c r="HH71" s="262"/>
      <c r="HI71" s="262"/>
      <c r="HJ71" s="262"/>
      <c r="HK71" s="262"/>
      <c r="HL71" s="262"/>
      <c r="HM71" s="262"/>
      <c r="HN71" s="262"/>
      <c r="HO71" s="262"/>
      <c r="HP71" s="262"/>
      <c r="HQ71" s="262"/>
      <c r="HR71" s="262"/>
      <c r="HS71" s="262"/>
      <c r="HT71" s="262"/>
      <c r="HU71" s="262"/>
      <c r="HV71" s="262"/>
      <c r="HW71" s="262"/>
      <c r="HX71" s="262"/>
      <c r="HY71" s="262"/>
      <c r="HZ71" s="262"/>
      <c r="IA71" s="262"/>
      <c r="IB71" s="262"/>
      <c r="IC71" s="262"/>
      <c r="ID71" s="262"/>
      <c r="IE71" s="262"/>
      <c r="IF71" s="262"/>
      <c r="IG71" s="262"/>
      <c r="IH71" s="262"/>
      <c r="II71" s="262"/>
      <c r="IJ71" s="262"/>
      <c r="IK71" s="262"/>
      <c r="IL71" s="262"/>
      <c r="IM71" s="262"/>
      <c r="IN71" s="262"/>
      <c r="IO71" s="262"/>
      <c r="IP71" s="262"/>
      <c r="IQ71" s="262"/>
      <c r="IR71" s="262"/>
      <c r="IS71" s="262"/>
      <c r="IT71" s="262"/>
      <c r="IU71" s="262"/>
    </row>
    <row r="72" ht="24" hidden="1" customHeight="1" spans="1:255">
      <c r="A72" s="267">
        <v>1277</v>
      </c>
      <c r="B72" s="268" t="s">
        <v>1450</v>
      </c>
      <c r="C72" s="225" t="s">
        <v>1451</v>
      </c>
      <c r="D72" s="230">
        <v>2570.03592078282</v>
      </c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2"/>
      <c r="Z72" s="262"/>
      <c r="AA72" s="262"/>
      <c r="AB72" s="262"/>
      <c r="AC72" s="262"/>
      <c r="AD72" s="262"/>
      <c r="AE72" s="262"/>
      <c r="AF72" s="262"/>
      <c r="AG72" s="262"/>
      <c r="AH72" s="262"/>
      <c r="AI72" s="262"/>
      <c r="AJ72" s="262"/>
      <c r="AK72" s="262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62"/>
      <c r="BH72" s="262"/>
      <c r="BI72" s="262"/>
      <c r="BJ72" s="262"/>
      <c r="BK72" s="262"/>
      <c r="BL72" s="262"/>
      <c r="BM72" s="262"/>
      <c r="BN72" s="262"/>
      <c r="BO72" s="262"/>
      <c r="BP72" s="262"/>
      <c r="BQ72" s="262"/>
      <c r="BR72" s="262"/>
      <c r="BS72" s="262"/>
      <c r="BT72" s="262"/>
      <c r="BU72" s="262"/>
      <c r="BV72" s="262"/>
      <c r="BW72" s="262"/>
      <c r="BX72" s="262"/>
      <c r="BY72" s="262"/>
      <c r="BZ72" s="262"/>
      <c r="CA72" s="262"/>
      <c r="CB72" s="262"/>
      <c r="CC72" s="262"/>
      <c r="CD72" s="262"/>
      <c r="CE72" s="262"/>
      <c r="CF72" s="262"/>
      <c r="CG72" s="262"/>
      <c r="CH72" s="262"/>
      <c r="CI72" s="262"/>
      <c r="CJ72" s="262"/>
      <c r="CK72" s="262"/>
      <c r="CL72" s="262"/>
      <c r="CM72" s="262"/>
      <c r="CN72" s="262"/>
      <c r="CO72" s="262"/>
      <c r="CP72" s="262"/>
      <c r="CQ72" s="262"/>
      <c r="CR72" s="262"/>
      <c r="CS72" s="262"/>
      <c r="CT72" s="262"/>
      <c r="CU72" s="262"/>
      <c r="CV72" s="262"/>
      <c r="CW72" s="262"/>
      <c r="CX72" s="262"/>
      <c r="CY72" s="262"/>
      <c r="CZ72" s="262"/>
      <c r="DA72" s="262"/>
      <c r="DB72" s="262"/>
      <c r="DC72" s="262"/>
      <c r="DD72" s="262"/>
      <c r="DE72" s="262"/>
      <c r="DF72" s="262"/>
      <c r="DG72" s="262"/>
      <c r="DH72" s="262"/>
      <c r="DI72" s="262"/>
      <c r="DJ72" s="262"/>
      <c r="DK72" s="262"/>
      <c r="DL72" s="262"/>
      <c r="DM72" s="262"/>
      <c r="DN72" s="262"/>
      <c r="DO72" s="262"/>
      <c r="DP72" s="262"/>
      <c r="DQ72" s="262"/>
      <c r="DR72" s="262"/>
      <c r="DS72" s="262"/>
      <c r="DT72" s="262"/>
      <c r="DU72" s="262"/>
      <c r="DV72" s="262"/>
      <c r="DW72" s="262"/>
      <c r="DX72" s="262"/>
      <c r="DY72" s="262"/>
      <c r="DZ72" s="262"/>
      <c r="EA72" s="262"/>
      <c r="EB72" s="262"/>
      <c r="EC72" s="262"/>
      <c r="ED72" s="262"/>
      <c r="EE72" s="262"/>
      <c r="EF72" s="262"/>
      <c r="EG72" s="262"/>
      <c r="EH72" s="262"/>
      <c r="EI72" s="262"/>
      <c r="EJ72" s="262"/>
      <c r="EK72" s="262"/>
      <c r="EL72" s="262"/>
      <c r="EM72" s="262"/>
      <c r="EN72" s="262"/>
      <c r="EO72" s="262"/>
      <c r="EP72" s="262"/>
      <c r="EQ72" s="262"/>
      <c r="ER72" s="262"/>
      <c r="ES72" s="262"/>
      <c r="ET72" s="262"/>
      <c r="EU72" s="262"/>
      <c r="EV72" s="262"/>
      <c r="EW72" s="262"/>
      <c r="EX72" s="262"/>
      <c r="EY72" s="262"/>
      <c r="EZ72" s="262"/>
      <c r="FA72" s="262"/>
      <c r="FB72" s="262"/>
      <c r="FC72" s="262"/>
      <c r="FD72" s="262"/>
      <c r="FE72" s="262"/>
      <c r="FF72" s="262"/>
      <c r="FG72" s="262"/>
      <c r="FH72" s="262"/>
      <c r="FI72" s="262"/>
      <c r="FJ72" s="262"/>
      <c r="FK72" s="262"/>
      <c r="FL72" s="262"/>
      <c r="FM72" s="262"/>
      <c r="FN72" s="262"/>
      <c r="FO72" s="262"/>
      <c r="FP72" s="262"/>
      <c r="FQ72" s="262"/>
      <c r="FR72" s="262"/>
      <c r="FS72" s="262"/>
      <c r="FT72" s="262"/>
      <c r="FU72" s="262"/>
      <c r="FV72" s="262"/>
      <c r="FW72" s="262"/>
      <c r="FX72" s="262"/>
      <c r="FY72" s="262"/>
      <c r="FZ72" s="262"/>
      <c r="GA72" s="262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2"/>
      <c r="GP72" s="262"/>
      <c r="GQ72" s="262"/>
      <c r="GR72" s="262"/>
      <c r="GS72" s="262"/>
      <c r="GT72" s="262"/>
      <c r="GU72" s="262"/>
      <c r="GV72" s="262"/>
      <c r="GW72" s="262"/>
      <c r="GX72" s="262"/>
      <c r="GY72" s="262"/>
      <c r="GZ72" s="262"/>
      <c r="HA72" s="262"/>
      <c r="HB72" s="262"/>
      <c r="HC72" s="262"/>
      <c r="HD72" s="262"/>
      <c r="HE72" s="262"/>
      <c r="HF72" s="262"/>
      <c r="HG72" s="262"/>
      <c r="HH72" s="262"/>
      <c r="HI72" s="262"/>
      <c r="HJ72" s="262"/>
      <c r="HK72" s="262"/>
      <c r="HL72" s="262"/>
      <c r="HM72" s="262"/>
      <c r="HN72" s="262"/>
      <c r="HO72" s="262"/>
      <c r="HP72" s="262"/>
      <c r="HQ72" s="262"/>
      <c r="HR72" s="262"/>
      <c r="HS72" s="262"/>
      <c r="HT72" s="262"/>
      <c r="HU72" s="262"/>
      <c r="HV72" s="262"/>
      <c r="HW72" s="262"/>
      <c r="HX72" s="262"/>
      <c r="HY72" s="262"/>
      <c r="HZ72" s="262"/>
      <c r="IA72" s="262"/>
      <c r="IB72" s="262"/>
      <c r="IC72" s="262"/>
      <c r="ID72" s="262"/>
      <c r="IE72" s="262"/>
      <c r="IF72" s="262"/>
      <c r="IG72" s="262"/>
      <c r="IH72" s="262"/>
      <c r="II72" s="262"/>
      <c r="IJ72" s="262"/>
      <c r="IK72" s="262"/>
      <c r="IL72" s="262"/>
      <c r="IM72" s="262"/>
      <c r="IN72" s="262"/>
      <c r="IO72" s="262"/>
      <c r="IP72" s="262"/>
      <c r="IQ72" s="262"/>
      <c r="IR72" s="262"/>
      <c r="IS72" s="262"/>
      <c r="IT72" s="262"/>
      <c r="IU72" s="262"/>
    </row>
    <row r="73" s="262" customFormat="1" ht="24" hidden="1" customHeight="1" spans="1:4">
      <c r="A73" s="267">
        <v>1284</v>
      </c>
      <c r="B73" s="268" t="s">
        <v>1452</v>
      </c>
      <c r="C73" s="225" t="s">
        <v>1451</v>
      </c>
      <c r="D73" s="230">
        <v>8191.84608286068</v>
      </c>
    </row>
    <row r="74" s="261" customFormat="1" ht="24" hidden="1" customHeight="1" spans="1:4">
      <c r="A74" s="270" t="s">
        <v>1453</v>
      </c>
      <c r="B74" s="271"/>
      <c r="C74" s="271"/>
      <c r="D74" s="272"/>
    </row>
    <row r="75" s="262" customFormat="1" ht="24" hidden="1" customHeight="1" spans="1:4">
      <c r="A75" s="267">
        <v>2395</v>
      </c>
      <c r="B75" s="268" t="s">
        <v>1454</v>
      </c>
      <c r="C75" s="225" t="s">
        <v>1380</v>
      </c>
      <c r="D75" s="230">
        <v>5732.19147937584</v>
      </c>
    </row>
    <row r="76" s="262" customFormat="1" ht="24" hidden="1" customHeight="1" spans="1:4">
      <c r="A76" s="267">
        <v>2398</v>
      </c>
      <c r="B76" s="268" t="s">
        <v>1455</v>
      </c>
      <c r="C76" s="225" t="s">
        <v>1380</v>
      </c>
      <c r="D76" s="230">
        <v>6192.22088201272</v>
      </c>
    </row>
    <row r="77" s="262" customFormat="1" ht="24" customHeight="1" spans="1:4">
      <c r="A77" s="267">
        <v>2432</v>
      </c>
      <c r="B77" s="269" t="s">
        <v>1456</v>
      </c>
      <c r="C77" s="225" t="s">
        <v>1380</v>
      </c>
      <c r="D77" s="230">
        <v>3891.83252632697</v>
      </c>
    </row>
    <row r="78" s="262" customFormat="1" ht="17.25" hidden="1" customHeight="1" spans="1:4">
      <c r="A78" s="267">
        <v>2440</v>
      </c>
      <c r="B78" s="269" t="s">
        <v>1457</v>
      </c>
      <c r="C78" s="225" t="s">
        <v>1380</v>
      </c>
      <c r="D78" s="230">
        <v>4536.67370054928</v>
      </c>
    </row>
    <row r="79" s="261" customFormat="1" ht="18" hidden="1" customHeight="1" spans="1:4">
      <c r="A79" s="266" t="s">
        <v>1458</v>
      </c>
      <c r="B79" s="266"/>
      <c r="C79" s="271"/>
      <c r="D79" s="272"/>
    </row>
    <row r="80" s="261" customFormat="1" ht="18" hidden="1" customHeight="1" spans="1:255">
      <c r="A80" s="267">
        <v>3007</v>
      </c>
      <c r="B80" s="268" t="s">
        <v>1459</v>
      </c>
      <c r="C80" s="225" t="s">
        <v>1380</v>
      </c>
      <c r="D80" s="230">
        <v>13820.0642781194</v>
      </c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2"/>
      <c r="S80" s="262"/>
      <c r="T80" s="262"/>
      <c r="U80" s="262"/>
      <c r="V80" s="262"/>
      <c r="W80" s="262"/>
      <c r="X80" s="2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62"/>
      <c r="BH80" s="262"/>
      <c r="BI80" s="262"/>
      <c r="BJ80" s="262"/>
      <c r="BK80" s="262"/>
      <c r="BL80" s="262"/>
      <c r="BM80" s="262"/>
      <c r="BN80" s="262"/>
      <c r="BO80" s="262"/>
      <c r="BP80" s="262"/>
      <c r="BQ80" s="262"/>
      <c r="BR80" s="262"/>
      <c r="BS80" s="262"/>
      <c r="BT80" s="262"/>
      <c r="BU80" s="262"/>
      <c r="BV80" s="262"/>
      <c r="BW80" s="262"/>
      <c r="BX80" s="262"/>
      <c r="BY80" s="262"/>
      <c r="BZ80" s="262"/>
      <c r="CA80" s="262"/>
      <c r="CB80" s="262"/>
      <c r="CC80" s="262"/>
      <c r="CD80" s="262"/>
      <c r="CE80" s="262"/>
      <c r="CF80" s="262"/>
      <c r="CG80" s="262"/>
      <c r="CH80" s="262"/>
      <c r="CI80" s="262"/>
      <c r="CJ80" s="262"/>
      <c r="CK80" s="262"/>
      <c r="CL80" s="262"/>
      <c r="CM80" s="262"/>
      <c r="CN80" s="262"/>
      <c r="CO80" s="262"/>
      <c r="CP80" s="262"/>
      <c r="CQ80" s="262"/>
      <c r="CR80" s="262"/>
      <c r="CS80" s="262"/>
      <c r="CT80" s="262"/>
      <c r="CU80" s="262"/>
      <c r="CV80" s="262"/>
      <c r="CW80" s="262"/>
      <c r="CX80" s="262"/>
      <c r="CY80" s="262"/>
      <c r="CZ80" s="262"/>
      <c r="DA80" s="262"/>
      <c r="DB80" s="262"/>
      <c r="DC80" s="262"/>
      <c r="DD80" s="262"/>
      <c r="DE80" s="262"/>
      <c r="DF80" s="262"/>
      <c r="DG80" s="262"/>
      <c r="DH80" s="262"/>
      <c r="DI80" s="262"/>
      <c r="DJ80" s="262"/>
      <c r="DK80" s="262"/>
      <c r="DL80" s="262"/>
      <c r="DM80" s="262"/>
      <c r="DN80" s="262"/>
      <c r="DO80" s="262"/>
      <c r="DP80" s="262"/>
      <c r="DQ80" s="262"/>
      <c r="DR80" s="262"/>
      <c r="DS80" s="262"/>
      <c r="DT80" s="262"/>
      <c r="DU80" s="262"/>
      <c r="DV80" s="262"/>
      <c r="DW80" s="262"/>
      <c r="DX80" s="262"/>
      <c r="DY80" s="262"/>
      <c r="DZ80" s="262"/>
      <c r="EA80" s="262"/>
      <c r="EB80" s="262"/>
      <c r="EC80" s="262"/>
      <c r="ED80" s="262"/>
      <c r="EE80" s="262"/>
      <c r="EF80" s="262"/>
      <c r="EG80" s="262"/>
      <c r="EH80" s="262"/>
      <c r="EI80" s="262"/>
      <c r="EJ80" s="262"/>
      <c r="EK80" s="262"/>
      <c r="EL80" s="262"/>
      <c r="EM80" s="262"/>
      <c r="EN80" s="262"/>
      <c r="EO80" s="262"/>
      <c r="EP80" s="262"/>
      <c r="EQ80" s="262"/>
      <c r="ER80" s="262"/>
      <c r="ES80" s="262"/>
      <c r="ET80" s="262"/>
      <c r="EU80" s="262"/>
      <c r="EV80" s="262"/>
      <c r="EW80" s="262"/>
      <c r="EX80" s="262"/>
      <c r="EY80" s="262"/>
      <c r="EZ80" s="262"/>
      <c r="FA80" s="262"/>
      <c r="FB80" s="262"/>
      <c r="FC80" s="262"/>
      <c r="FD80" s="262"/>
      <c r="FE80" s="262"/>
      <c r="FF80" s="262"/>
      <c r="FG80" s="262"/>
      <c r="FH80" s="262"/>
      <c r="FI80" s="262"/>
      <c r="FJ80" s="262"/>
      <c r="FK80" s="262"/>
      <c r="FL80" s="262"/>
      <c r="FM80" s="262"/>
      <c r="FN80" s="262"/>
      <c r="FO80" s="262"/>
      <c r="FP80" s="262"/>
      <c r="FQ80" s="262"/>
      <c r="FR80" s="262"/>
      <c r="FS80" s="262"/>
      <c r="FT80" s="262"/>
      <c r="FU80" s="262"/>
      <c r="FV80" s="262"/>
      <c r="FW80" s="262"/>
      <c r="FX80" s="262"/>
      <c r="FY80" s="262"/>
      <c r="FZ80" s="262"/>
      <c r="GA80" s="262"/>
      <c r="GB80" s="262"/>
      <c r="GC80" s="262"/>
      <c r="GD80" s="262"/>
      <c r="GE80" s="262"/>
      <c r="GF80" s="262"/>
      <c r="GG80" s="262"/>
      <c r="GH80" s="262"/>
      <c r="GI80" s="262"/>
      <c r="GJ80" s="262"/>
      <c r="GK80" s="262"/>
      <c r="GL80" s="262"/>
      <c r="GM80" s="262"/>
      <c r="GN80" s="262"/>
      <c r="GO80" s="262"/>
      <c r="GP80" s="262"/>
      <c r="GQ80" s="262"/>
      <c r="GR80" s="262"/>
      <c r="GS80" s="262"/>
      <c r="GT80" s="262"/>
      <c r="GU80" s="262"/>
      <c r="GV80" s="262"/>
      <c r="GW80" s="262"/>
      <c r="GX80" s="262"/>
      <c r="GY80" s="262"/>
      <c r="GZ80" s="262"/>
      <c r="HA80" s="262"/>
      <c r="HB80" s="262"/>
      <c r="HC80" s="262"/>
      <c r="HD80" s="262"/>
      <c r="HE80" s="262"/>
      <c r="HF80" s="262"/>
      <c r="HG80" s="262"/>
      <c r="HH80" s="262"/>
      <c r="HI80" s="262"/>
      <c r="HJ80" s="262"/>
      <c r="HK80" s="262"/>
      <c r="HL80" s="262"/>
      <c r="HM80" s="262"/>
      <c r="HN80" s="262"/>
      <c r="HO80" s="262"/>
      <c r="HP80" s="262"/>
      <c r="HQ80" s="262"/>
      <c r="HR80" s="262"/>
      <c r="HS80" s="262"/>
      <c r="HT80" s="262"/>
      <c r="HU80" s="262"/>
      <c r="HV80" s="262"/>
      <c r="HW80" s="262"/>
      <c r="HX80" s="262"/>
      <c r="HY80" s="262"/>
      <c r="HZ80" s="262"/>
      <c r="IA80" s="262"/>
      <c r="IB80" s="262"/>
      <c r="IC80" s="262"/>
      <c r="ID80" s="262"/>
      <c r="IE80" s="262"/>
      <c r="IF80" s="262"/>
      <c r="IG80" s="262"/>
      <c r="IH80" s="262"/>
      <c r="II80" s="262"/>
      <c r="IJ80" s="262"/>
      <c r="IK80" s="262"/>
      <c r="IL80" s="262"/>
      <c r="IM80" s="262"/>
      <c r="IN80" s="262"/>
      <c r="IO80" s="262"/>
      <c r="IP80" s="262"/>
      <c r="IQ80" s="262"/>
      <c r="IR80" s="262"/>
      <c r="IS80" s="262"/>
      <c r="IT80" s="262"/>
      <c r="IU80" s="262"/>
    </row>
    <row r="81" s="262" customFormat="1" ht="18" customHeight="1" spans="1:256">
      <c r="A81" s="267">
        <v>3008</v>
      </c>
      <c r="B81" s="268" t="s">
        <v>1460</v>
      </c>
      <c r="C81" s="225" t="s">
        <v>1380</v>
      </c>
      <c r="D81" s="230">
        <v>12602.8555399238</v>
      </c>
      <c r="IV81" s="263"/>
    </row>
    <row r="82" s="262" customFormat="1" ht="18" customHeight="1" spans="1:256">
      <c r="A82" s="267">
        <v>3008</v>
      </c>
      <c r="B82" s="268" t="s">
        <v>1461</v>
      </c>
      <c r="C82" s="225" t="s">
        <v>1380</v>
      </c>
      <c r="D82" s="230">
        <v>6000.36322251776</v>
      </c>
      <c r="IV82" s="263"/>
    </row>
    <row r="83" ht="18" hidden="1" customHeight="1" spans="1:255">
      <c r="A83" s="267">
        <v>3009</v>
      </c>
      <c r="B83" s="268" t="s">
        <v>1462</v>
      </c>
      <c r="C83" s="225" t="s">
        <v>1380</v>
      </c>
      <c r="D83" s="230">
        <v>24597.9246789817</v>
      </c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62"/>
      <c r="BM83" s="262"/>
      <c r="BN83" s="262"/>
      <c r="BO83" s="262"/>
      <c r="BP83" s="262"/>
      <c r="BQ83" s="262"/>
      <c r="BR83" s="262"/>
      <c r="BS83" s="262"/>
      <c r="BT83" s="262"/>
      <c r="BU83" s="262"/>
      <c r="BV83" s="262"/>
      <c r="BW83" s="262"/>
      <c r="BX83" s="262"/>
      <c r="BY83" s="262"/>
      <c r="BZ83" s="262"/>
      <c r="CA83" s="262"/>
      <c r="CB83" s="262"/>
      <c r="CC83" s="262"/>
      <c r="CD83" s="262"/>
      <c r="CE83" s="262"/>
      <c r="CF83" s="262"/>
      <c r="CG83" s="262"/>
      <c r="CH83" s="262"/>
      <c r="CI83" s="262"/>
      <c r="CJ83" s="262"/>
      <c r="CK83" s="262"/>
      <c r="CL83" s="262"/>
      <c r="CM83" s="262"/>
      <c r="CN83" s="262"/>
      <c r="CO83" s="262"/>
      <c r="CP83" s="262"/>
      <c r="CQ83" s="262"/>
      <c r="CR83" s="262"/>
      <c r="CS83" s="262"/>
      <c r="CT83" s="262"/>
      <c r="CU83" s="262"/>
      <c r="CV83" s="262"/>
      <c r="CW83" s="262"/>
      <c r="CX83" s="262"/>
      <c r="CY83" s="262"/>
      <c r="CZ83" s="262"/>
      <c r="DA83" s="262"/>
      <c r="DB83" s="262"/>
      <c r="DC83" s="262"/>
      <c r="DD83" s="262"/>
      <c r="DE83" s="262"/>
      <c r="DF83" s="262"/>
      <c r="DG83" s="262"/>
      <c r="DH83" s="262"/>
      <c r="DI83" s="262"/>
      <c r="DJ83" s="262"/>
      <c r="DK83" s="262"/>
      <c r="DL83" s="262"/>
      <c r="DM83" s="262"/>
      <c r="DN83" s="262"/>
      <c r="DO83" s="262"/>
      <c r="DP83" s="262"/>
      <c r="DQ83" s="262"/>
      <c r="DR83" s="262"/>
      <c r="DS83" s="262"/>
      <c r="DT83" s="262"/>
      <c r="DU83" s="262"/>
      <c r="DV83" s="262"/>
      <c r="DW83" s="262"/>
      <c r="DX83" s="262"/>
      <c r="DY83" s="262"/>
      <c r="DZ83" s="262"/>
      <c r="EA83" s="262"/>
      <c r="EB83" s="262"/>
      <c r="EC83" s="262"/>
      <c r="ED83" s="262"/>
      <c r="EE83" s="262"/>
      <c r="EF83" s="262"/>
      <c r="EG83" s="262"/>
      <c r="EH83" s="262"/>
      <c r="EI83" s="262"/>
      <c r="EJ83" s="262"/>
      <c r="EK83" s="262"/>
      <c r="EL83" s="262"/>
      <c r="EM83" s="262"/>
      <c r="EN83" s="262"/>
      <c r="EO83" s="262"/>
      <c r="EP83" s="262"/>
      <c r="EQ83" s="262"/>
      <c r="ER83" s="262"/>
      <c r="ES83" s="262"/>
      <c r="ET83" s="262"/>
      <c r="EU83" s="262"/>
      <c r="EV83" s="262"/>
      <c r="EW83" s="262"/>
      <c r="EX83" s="262"/>
      <c r="EY83" s="262"/>
      <c r="EZ83" s="262"/>
      <c r="FA83" s="262"/>
      <c r="FB83" s="262"/>
      <c r="FC83" s="262"/>
      <c r="FD83" s="262"/>
      <c r="FE83" s="262"/>
      <c r="FF83" s="262"/>
      <c r="FG83" s="262"/>
      <c r="FH83" s="262"/>
      <c r="FI83" s="262"/>
      <c r="FJ83" s="262"/>
      <c r="FK83" s="262"/>
      <c r="FL83" s="262"/>
      <c r="FM83" s="262"/>
      <c r="FN83" s="262"/>
      <c r="FO83" s="262"/>
      <c r="FP83" s="262"/>
      <c r="FQ83" s="262"/>
      <c r="FR83" s="262"/>
      <c r="FS83" s="262"/>
      <c r="FT83" s="262"/>
      <c r="FU83" s="262"/>
      <c r="FV83" s="262"/>
      <c r="FW83" s="262"/>
      <c r="FX83" s="262"/>
      <c r="FY83" s="262"/>
      <c r="FZ83" s="262"/>
      <c r="GA83" s="262"/>
      <c r="GB83" s="262"/>
      <c r="GC83" s="262"/>
      <c r="GD83" s="262"/>
      <c r="GE83" s="262"/>
      <c r="GF83" s="262"/>
      <c r="GG83" s="262"/>
      <c r="GH83" s="262"/>
      <c r="GI83" s="262"/>
      <c r="GJ83" s="262"/>
      <c r="GK83" s="262"/>
      <c r="GL83" s="262"/>
      <c r="GM83" s="262"/>
      <c r="GN83" s="262"/>
      <c r="GO83" s="262"/>
      <c r="GP83" s="262"/>
      <c r="GQ83" s="262"/>
      <c r="GR83" s="262"/>
      <c r="GS83" s="262"/>
      <c r="GT83" s="262"/>
      <c r="GU83" s="262"/>
      <c r="GV83" s="262"/>
      <c r="GW83" s="262"/>
      <c r="GX83" s="262"/>
      <c r="GY83" s="262"/>
      <c r="GZ83" s="262"/>
      <c r="HA83" s="262"/>
      <c r="HB83" s="262"/>
      <c r="HC83" s="262"/>
      <c r="HD83" s="262"/>
      <c r="HE83" s="262"/>
      <c r="HF83" s="262"/>
      <c r="HG83" s="262"/>
      <c r="HH83" s="262"/>
      <c r="HI83" s="262"/>
      <c r="HJ83" s="262"/>
      <c r="HK83" s="262"/>
      <c r="HL83" s="262"/>
      <c r="HM83" s="262"/>
      <c r="HN83" s="262"/>
      <c r="HO83" s="262"/>
      <c r="HP83" s="262"/>
      <c r="HQ83" s="262"/>
      <c r="HR83" s="262"/>
      <c r="HS83" s="262"/>
      <c r="HT83" s="262"/>
      <c r="HU83" s="262"/>
      <c r="HV83" s="262"/>
      <c r="HW83" s="262"/>
      <c r="HX83" s="262"/>
      <c r="HY83" s="262"/>
      <c r="HZ83" s="262"/>
      <c r="IA83" s="262"/>
      <c r="IB83" s="262"/>
      <c r="IC83" s="262"/>
      <c r="ID83" s="262"/>
      <c r="IE83" s="262"/>
      <c r="IF83" s="262"/>
      <c r="IG83" s="262"/>
      <c r="IH83" s="262"/>
      <c r="II83" s="262"/>
      <c r="IJ83" s="262"/>
      <c r="IK83" s="262"/>
      <c r="IL83" s="262"/>
      <c r="IM83" s="262"/>
      <c r="IN83" s="262"/>
      <c r="IO83" s="262"/>
      <c r="IP83" s="262"/>
      <c r="IQ83" s="262"/>
      <c r="IR83" s="262"/>
      <c r="IS83" s="262"/>
      <c r="IT83" s="262"/>
      <c r="IU83" s="262"/>
    </row>
    <row r="84" ht="18" hidden="1" customHeight="1" spans="1:255">
      <c r="A84" s="267">
        <v>3011</v>
      </c>
      <c r="B84" s="268" t="s">
        <v>1463</v>
      </c>
      <c r="C84" s="225" t="s">
        <v>1380</v>
      </c>
      <c r="D84" s="230">
        <v>23896.8148129514</v>
      </c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Z84" s="262"/>
      <c r="AA84" s="262"/>
      <c r="AB84" s="262"/>
      <c r="AC84" s="262"/>
      <c r="AD84" s="262"/>
      <c r="AE84" s="262"/>
      <c r="AF84" s="262"/>
      <c r="AG84" s="262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62"/>
      <c r="BH84" s="262"/>
      <c r="BI84" s="262"/>
      <c r="BJ84" s="262"/>
      <c r="BK84" s="262"/>
      <c r="BL84" s="262"/>
      <c r="BM84" s="262"/>
      <c r="BN84" s="262"/>
      <c r="BO84" s="262"/>
      <c r="BP84" s="262"/>
      <c r="BQ84" s="262"/>
      <c r="BR84" s="262"/>
      <c r="BS84" s="262"/>
      <c r="BT84" s="262"/>
      <c r="BU84" s="262"/>
      <c r="BV84" s="262"/>
      <c r="BW84" s="262"/>
      <c r="BX84" s="262"/>
      <c r="BY84" s="262"/>
      <c r="BZ84" s="262"/>
      <c r="CA84" s="262"/>
      <c r="CB84" s="262"/>
      <c r="CC84" s="262"/>
      <c r="CD84" s="262"/>
      <c r="CE84" s="262"/>
      <c r="CF84" s="262"/>
      <c r="CG84" s="262"/>
      <c r="CH84" s="262"/>
      <c r="CI84" s="262"/>
      <c r="CJ84" s="262"/>
      <c r="CK84" s="262"/>
      <c r="CL84" s="262"/>
      <c r="CM84" s="262"/>
      <c r="CN84" s="262"/>
      <c r="CO84" s="262"/>
      <c r="CP84" s="262"/>
      <c r="CQ84" s="262"/>
      <c r="CR84" s="262"/>
      <c r="CS84" s="262"/>
      <c r="CT84" s="262"/>
      <c r="CU84" s="262"/>
      <c r="CV84" s="262"/>
      <c r="CW84" s="262"/>
      <c r="CX84" s="262"/>
      <c r="CY84" s="262"/>
      <c r="CZ84" s="262"/>
      <c r="DA84" s="262"/>
      <c r="DB84" s="262"/>
      <c r="DC84" s="262"/>
      <c r="DD84" s="262"/>
      <c r="DE84" s="262"/>
      <c r="DF84" s="262"/>
      <c r="DG84" s="262"/>
      <c r="DH84" s="262"/>
      <c r="DI84" s="262"/>
      <c r="DJ84" s="262"/>
      <c r="DK84" s="262"/>
      <c r="DL84" s="262"/>
      <c r="DM84" s="262"/>
      <c r="DN84" s="262"/>
      <c r="DO84" s="262"/>
      <c r="DP84" s="262"/>
      <c r="DQ84" s="262"/>
      <c r="DR84" s="262"/>
      <c r="DS84" s="262"/>
      <c r="DT84" s="262"/>
      <c r="DU84" s="262"/>
      <c r="DV84" s="262"/>
      <c r="DW84" s="262"/>
      <c r="DX84" s="262"/>
      <c r="DY84" s="262"/>
      <c r="DZ84" s="262"/>
      <c r="EA84" s="262"/>
      <c r="EB84" s="262"/>
      <c r="EC84" s="262"/>
      <c r="ED84" s="262"/>
      <c r="EE84" s="262"/>
      <c r="EF84" s="262"/>
      <c r="EG84" s="262"/>
      <c r="EH84" s="262"/>
      <c r="EI84" s="262"/>
      <c r="EJ84" s="262"/>
      <c r="EK84" s="262"/>
      <c r="EL84" s="262"/>
      <c r="EM84" s="262"/>
      <c r="EN84" s="262"/>
      <c r="EO84" s="262"/>
      <c r="EP84" s="262"/>
      <c r="EQ84" s="262"/>
      <c r="ER84" s="262"/>
      <c r="ES84" s="262"/>
      <c r="ET84" s="262"/>
      <c r="EU84" s="262"/>
      <c r="EV84" s="262"/>
      <c r="EW84" s="262"/>
      <c r="EX84" s="262"/>
      <c r="EY84" s="262"/>
      <c r="EZ84" s="262"/>
      <c r="FA84" s="262"/>
      <c r="FB84" s="262"/>
      <c r="FC84" s="262"/>
      <c r="FD84" s="262"/>
      <c r="FE84" s="262"/>
      <c r="FF84" s="262"/>
      <c r="FG84" s="262"/>
      <c r="FH84" s="262"/>
      <c r="FI84" s="262"/>
      <c r="FJ84" s="262"/>
      <c r="FK84" s="262"/>
      <c r="FL84" s="262"/>
      <c r="FM84" s="262"/>
      <c r="FN84" s="262"/>
      <c r="FO84" s="262"/>
      <c r="FP84" s="262"/>
      <c r="FQ84" s="262"/>
      <c r="FR84" s="262"/>
      <c r="FS84" s="262"/>
      <c r="FT84" s="262"/>
      <c r="FU84" s="262"/>
      <c r="FV84" s="262"/>
      <c r="FW84" s="262"/>
      <c r="FX84" s="262"/>
      <c r="FY84" s="262"/>
      <c r="FZ84" s="262"/>
      <c r="GA84" s="262"/>
      <c r="GB84" s="262"/>
      <c r="GC84" s="262"/>
      <c r="GD84" s="262"/>
      <c r="GE84" s="262"/>
      <c r="GF84" s="262"/>
      <c r="GG84" s="262"/>
      <c r="GH84" s="262"/>
      <c r="GI84" s="262"/>
      <c r="GJ84" s="262"/>
      <c r="GK84" s="262"/>
      <c r="GL84" s="262"/>
      <c r="GM84" s="262"/>
      <c r="GN84" s="262"/>
      <c r="GO84" s="262"/>
      <c r="GP84" s="262"/>
      <c r="GQ84" s="262"/>
      <c r="GR84" s="262"/>
      <c r="GS84" s="262"/>
      <c r="GT84" s="262"/>
      <c r="GU84" s="262"/>
      <c r="GV84" s="262"/>
      <c r="GW84" s="262"/>
      <c r="GX84" s="262"/>
      <c r="GY84" s="262"/>
      <c r="GZ84" s="262"/>
      <c r="HA84" s="262"/>
      <c r="HB84" s="262"/>
      <c r="HC84" s="262"/>
      <c r="HD84" s="262"/>
      <c r="HE84" s="262"/>
      <c r="HF84" s="262"/>
      <c r="HG84" s="262"/>
      <c r="HH84" s="262"/>
      <c r="HI84" s="262"/>
      <c r="HJ84" s="262"/>
      <c r="HK84" s="262"/>
      <c r="HL84" s="262"/>
      <c r="HM84" s="262"/>
      <c r="HN84" s="262"/>
      <c r="HO84" s="262"/>
      <c r="HP84" s="262"/>
      <c r="HQ84" s="262"/>
      <c r="HR84" s="262"/>
      <c r="HS84" s="262"/>
      <c r="HT84" s="262"/>
      <c r="HU84" s="262"/>
      <c r="HV84" s="262"/>
      <c r="HW84" s="262"/>
      <c r="HX84" s="262"/>
      <c r="HY84" s="262"/>
      <c r="HZ84" s="262"/>
      <c r="IA84" s="262"/>
      <c r="IB84" s="262"/>
      <c r="IC84" s="262"/>
      <c r="ID84" s="262"/>
      <c r="IE84" s="262"/>
      <c r="IF84" s="262"/>
      <c r="IG84" s="262"/>
      <c r="IH84" s="262"/>
      <c r="II84" s="262"/>
      <c r="IJ84" s="262"/>
      <c r="IK84" s="262"/>
      <c r="IL84" s="262"/>
      <c r="IM84" s="262"/>
      <c r="IN84" s="262"/>
      <c r="IO84" s="262"/>
      <c r="IP84" s="262"/>
      <c r="IQ84" s="262"/>
      <c r="IR84" s="262"/>
      <c r="IS84" s="262"/>
      <c r="IT84" s="262"/>
      <c r="IU84" s="262"/>
    </row>
    <row r="85" ht="18" hidden="1" customHeight="1" spans="1:255">
      <c r="A85" s="267">
        <v>3012</v>
      </c>
      <c r="B85" s="268" t="s">
        <v>1464</v>
      </c>
      <c r="C85" s="225" t="s">
        <v>1380</v>
      </c>
      <c r="D85" s="230">
        <v>23370.0349676638</v>
      </c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2"/>
      <c r="S85" s="262"/>
      <c r="T85" s="262"/>
      <c r="U85" s="262"/>
      <c r="V85" s="262"/>
      <c r="W85" s="262"/>
      <c r="X85" s="262"/>
      <c r="Y85" s="262"/>
      <c r="Z85" s="262"/>
      <c r="AA85" s="262"/>
      <c r="AB85" s="262"/>
      <c r="AC85" s="262"/>
      <c r="AD85" s="262"/>
      <c r="AE85" s="262"/>
      <c r="AF85" s="262"/>
      <c r="AG85" s="262"/>
      <c r="AH85" s="262"/>
      <c r="AI85" s="262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62"/>
      <c r="BH85" s="262"/>
      <c r="BI85" s="262"/>
      <c r="BJ85" s="262"/>
      <c r="BK85" s="262"/>
      <c r="BL85" s="262"/>
      <c r="BM85" s="262"/>
      <c r="BN85" s="262"/>
      <c r="BO85" s="262"/>
      <c r="BP85" s="262"/>
      <c r="BQ85" s="262"/>
      <c r="BR85" s="262"/>
      <c r="BS85" s="262"/>
      <c r="BT85" s="262"/>
      <c r="BU85" s="262"/>
      <c r="BV85" s="262"/>
      <c r="BW85" s="262"/>
      <c r="BX85" s="262"/>
      <c r="BY85" s="262"/>
      <c r="BZ85" s="262"/>
      <c r="CA85" s="262"/>
      <c r="CB85" s="262"/>
      <c r="CC85" s="262"/>
      <c r="CD85" s="262"/>
      <c r="CE85" s="262"/>
      <c r="CF85" s="262"/>
      <c r="CG85" s="262"/>
      <c r="CH85" s="262"/>
      <c r="CI85" s="262"/>
      <c r="CJ85" s="262"/>
      <c r="CK85" s="262"/>
      <c r="CL85" s="262"/>
      <c r="CM85" s="262"/>
      <c r="CN85" s="262"/>
      <c r="CO85" s="262"/>
      <c r="CP85" s="262"/>
      <c r="CQ85" s="262"/>
      <c r="CR85" s="262"/>
      <c r="CS85" s="262"/>
      <c r="CT85" s="262"/>
      <c r="CU85" s="262"/>
      <c r="CV85" s="262"/>
      <c r="CW85" s="262"/>
      <c r="CX85" s="262"/>
      <c r="CY85" s="262"/>
      <c r="CZ85" s="262"/>
      <c r="DA85" s="262"/>
      <c r="DB85" s="262"/>
      <c r="DC85" s="262"/>
      <c r="DD85" s="262"/>
      <c r="DE85" s="262"/>
      <c r="DF85" s="262"/>
      <c r="DG85" s="262"/>
      <c r="DH85" s="262"/>
      <c r="DI85" s="262"/>
      <c r="DJ85" s="262"/>
      <c r="DK85" s="262"/>
      <c r="DL85" s="262"/>
      <c r="DM85" s="262"/>
      <c r="DN85" s="262"/>
      <c r="DO85" s="262"/>
      <c r="DP85" s="262"/>
      <c r="DQ85" s="262"/>
      <c r="DR85" s="262"/>
      <c r="DS85" s="262"/>
      <c r="DT85" s="262"/>
      <c r="DU85" s="262"/>
      <c r="DV85" s="262"/>
      <c r="DW85" s="262"/>
      <c r="DX85" s="262"/>
      <c r="DY85" s="262"/>
      <c r="DZ85" s="262"/>
      <c r="EA85" s="262"/>
      <c r="EB85" s="262"/>
      <c r="EC85" s="262"/>
      <c r="ED85" s="262"/>
      <c r="EE85" s="262"/>
      <c r="EF85" s="262"/>
      <c r="EG85" s="262"/>
      <c r="EH85" s="262"/>
      <c r="EI85" s="262"/>
      <c r="EJ85" s="262"/>
      <c r="EK85" s="262"/>
      <c r="EL85" s="262"/>
      <c r="EM85" s="262"/>
      <c r="EN85" s="262"/>
      <c r="EO85" s="262"/>
      <c r="EP85" s="262"/>
      <c r="EQ85" s="262"/>
      <c r="ER85" s="262"/>
      <c r="ES85" s="262"/>
      <c r="ET85" s="262"/>
      <c r="EU85" s="262"/>
      <c r="EV85" s="262"/>
      <c r="EW85" s="262"/>
      <c r="EX85" s="262"/>
      <c r="EY85" s="262"/>
      <c r="EZ85" s="262"/>
      <c r="FA85" s="262"/>
      <c r="FB85" s="262"/>
      <c r="FC85" s="262"/>
      <c r="FD85" s="262"/>
      <c r="FE85" s="262"/>
      <c r="FF85" s="262"/>
      <c r="FG85" s="262"/>
      <c r="FH85" s="262"/>
      <c r="FI85" s="262"/>
      <c r="FJ85" s="262"/>
      <c r="FK85" s="262"/>
      <c r="FL85" s="262"/>
      <c r="FM85" s="262"/>
      <c r="FN85" s="262"/>
      <c r="FO85" s="262"/>
      <c r="FP85" s="262"/>
      <c r="FQ85" s="262"/>
      <c r="FR85" s="262"/>
      <c r="FS85" s="262"/>
      <c r="FT85" s="262"/>
      <c r="FU85" s="262"/>
      <c r="FV85" s="262"/>
      <c r="FW85" s="262"/>
      <c r="FX85" s="262"/>
      <c r="FY85" s="262"/>
      <c r="FZ85" s="262"/>
      <c r="GA85" s="262"/>
      <c r="GB85" s="262"/>
      <c r="GC85" s="262"/>
      <c r="GD85" s="262"/>
      <c r="GE85" s="262"/>
      <c r="GF85" s="262"/>
      <c r="GG85" s="262"/>
      <c r="GH85" s="262"/>
      <c r="GI85" s="262"/>
      <c r="GJ85" s="262"/>
      <c r="GK85" s="262"/>
      <c r="GL85" s="262"/>
      <c r="GM85" s="262"/>
      <c r="GN85" s="262"/>
      <c r="GO85" s="262"/>
      <c r="GP85" s="262"/>
      <c r="GQ85" s="262"/>
      <c r="GR85" s="262"/>
      <c r="GS85" s="262"/>
      <c r="GT85" s="262"/>
      <c r="GU85" s="262"/>
      <c r="GV85" s="262"/>
      <c r="GW85" s="262"/>
      <c r="GX85" s="262"/>
      <c r="GY85" s="262"/>
      <c r="GZ85" s="262"/>
      <c r="HA85" s="262"/>
      <c r="HB85" s="262"/>
      <c r="HC85" s="262"/>
      <c r="HD85" s="262"/>
      <c r="HE85" s="262"/>
      <c r="HF85" s="262"/>
      <c r="HG85" s="262"/>
      <c r="HH85" s="262"/>
      <c r="HI85" s="262"/>
      <c r="HJ85" s="262"/>
      <c r="HK85" s="262"/>
      <c r="HL85" s="262"/>
      <c r="HM85" s="262"/>
      <c r="HN85" s="262"/>
      <c r="HO85" s="262"/>
      <c r="HP85" s="262"/>
      <c r="HQ85" s="262"/>
      <c r="HR85" s="262"/>
      <c r="HS85" s="262"/>
      <c r="HT85" s="262"/>
      <c r="HU85" s="262"/>
      <c r="HV85" s="262"/>
      <c r="HW85" s="262"/>
      <c r="HX85" s="262"/>
      <c r="HY85" s="262"/>
      <c r="HZ85" s="262"/>
      <c r="IA85" s="262"/>
      <c r="IB85" s="262"/>
      <c r="IC85" s="262"/>
      <c r="ID85" s="262"/>
      <c r="IE85" s="262"/>
      <c r="IF85" s="262"/>
      <c r="IG85" s="262"/>
      <c r="IH85" s="262"/>
      <c r="II85" s="262"/>
      <c r="IJ85" s="262"/>
      <c r="IK85" s="262"/>
      <c r="IL85" s="262"/>
      <c r="IM85" s="262"/>
      <c r="IN85" s="262"/>
      <c r="IO85" s="262"/>
      <c r="IP85" s="262"/>
      <c r="IQ85" s="262"/>
      <c r="IR85" s="262"/>
      <c r="IS85" s="262"/>
      <c r="IT85" s="262"/>
      <c r="IU85" s="262"/>
    </row>
    <row r="86" s="262" customFormat="1" ht="18" customHeight="1" spans="1:256">
      <c r="A86" s="267">
        <v>3017</v>
      </c>
      <c r="B86" s="269" t="s">
        <v>1465</v>
      </c>
      <c r="C86" s="225" t="s">
        <v>1380</v>
      </c>
      <c r="D86" s="230">
        <v>36468.6235073884</v>
      </c>
      <c r="IV86" s="263"/>
    </row>
    <row r="87" ht="18" customHeight="1" spans="1:255">
      <c r="A87" s="267">
        <v>3017</v>
      </c>
      <c r="B87" s="269" t="s">
        <v>1466</v>
      </c>
      <c r="C87" s="225" t="s">
        <v>1380</v>
      </c>
      <c r="D87" s="230">
        <v>37177.3247022407</v>
      </c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2"/>
      <c r="S87" s="262"/>
      <c r="T87" s="262"/>
      <c r="U87" s="262"/>
      <c r="V87" s="262"/>
      <c r="W87" s="262"/>
      <c r="X87" s="262"/>
      <c r="Y87" s="262"/>
      <c r="Z87" s="262"/>
      <c r="AA87" s="262"/>
      <c r="AB87" s="262"/>
      <c r="AC87" s="262"/>
      <c r="AD87" s="262"/>
      <c r="AE87" s="262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62"/>
      <c r="BH87" s="262"/>
      <c r="BI87" s="262"/>
      <c r="BJ87" s="262"/>
      <c r="BK87" s="262"/>
      <c r="BL87" s="262"/>
      <c r="BM87" s="262"/>
      <c r="BN87" s="262"/>
      <c r="BO87" s="262"/>
      <c r="BP87" s="262"/>
      <c r="BQ87" s="262"/>
      <c r="BR87" s="262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262"/>
      <c r="CG87" s="262"/>
      <c r="CH87" s="262"/>
      <c r="CI87" s="262"/>
      <c r="CJ87" s="262"/>
      <c r="CK87" s="262"/>
      <c r="CL87" s="262"/>
      <c r="CM87" s="262"/>
      <c r="CN87" s="262"/>
      <c r="CO87" s="262"/>
      <c r="CP87" s="262"/>
      <c r="CQ87" s="262"/>
      <c r="CR87" s="262"/>
      <c r="CS87" s="262"/>
      <c r="CT87" s="262"/>
      <c r="CU87" s="262"/>
      <c r="CV87" s="262"/>
      <c r="CW87" s="262"/>
      <c r="CX87" s="262"/>
      <c r="CY87" s="262"/>
      <c r="CZ87" s="262"/>
      <c r="DA87" s="262"/>
      <c r="DB87" s="262"/>
      <c r="DC87" s="262"/>
      <c r="DD87" s="262"/>
      <c r="DE87" s="262"/>
      <c r="DF87" s="262"/>
      <c r="DG87" s="262"/>
      <c r="DH87" s="262"/>
      <c r="DI87" s="262"/>
      <c r="DJ87" s="262"/>
      <c r="DK87" s="262"/>
      <c r="DL87" s="262"/>
      <c r="DM87" s="262"/>
      <c r="DN87" s="262"/>
      <c r="DO87" s="262"/>
      <c r="DP87" s="262"/>
      <c r="DQ87" s="262"/>
      <c r="DR87" s="262"/>
      <c r="DS87" s="262"/>
      <c r="DT87" s="262"/>
      <c r="DU87" s="262"/>
      <c r="DV87" s="262"/>
      <c r="DW87" s="262"/>
      <c r="DX87" s="262"/>
      <c r="DY87" s="262"/>
      <c r="DZ87" s="262"/>
      <c r="EA87" s="262"/>
      <c r="EB87" s="262"/>
      <c r="EC87" s="262"/>
      <c r="ED87" s="262"/>
      <c r="EE87" s="262"/>
      <c r="EF87" s="262"/>
      <c r="EG87" s="262"/>
      <c r="EH87" s="262"/>
      <c r="EI87" s="262"/>
      <c r="EJ87" s="262"/>
      <c r="EK87" s="262"/>
      <c r="EL87" s="262"/>
      <c r="EM87" s="262"/>
      <c r="EN87" s="262"/>
      <c r="EO87" s="262"/>
      <c r="EP87" s="262"/>
      <c r="EQ87" s="262"/>
      <c r="ER87" s="262"/>
      <c r="ES87" s="262"/>
      <c r="ET87" s="262"/>
      <c r="EU87" s="262"/>
      <c r="EV87" s="262"/>
      <c r="EW87" s="262"/>
      <c r="EX87" s="262"/>
      <c r="EY87" s="262"/>
      <c r="EZ87" s="262"/>
      <c r="FA87" s="262"/>
      <c r="FB87" s="262"/>
      <c r="FC87" s="262"/>
      <c r="FD87" s="262"/>
      <c r="FE87" s="262"/>
      <c r="FF87" s="262"/>
      <c r="FG87" s="262"/>
      <c r="FH87" s="262"/>
      <c r="FI87" s="262"/>
      <c r="FJ87" s="262"/>
      <c r="FK87" s="262"/>
      <c r="FL87" s="262"/>
      <c r="FM87" s="262"/>
      <c r="FN87" s="262"/>
      <c r="FO87" s="262"/>
      <c r="FP87" s="262"/>
      <c r="FQ87" s="262"/>
      <c r="FR87" s="262"/>
      <c r="FS87" s="262"/>
      <c r="FT87" s="262"/>
      <c r="FU87" s="262"/>
      <c r="FV87" s="262"/>
      <c r="FW87" s="262"/>
      <c r="FX87" s="262"/>
      <c r="FY87" s="262"/>
      <c r="FZ87" s="262"/>
      <c r="GA87" s="262"/>
      <c r="GB87" s="262"/>
      <c r="GC87" s="262"/>
      <c r="GD87" s="262"/>
      <c r="GE87" s="262"/>
      <c r="GF87" s="262"/>
      <c r="GG87" s="262"/>
      <c r="GH87" s="262"/>
      <c r="GI87" s="262"/>
      <c r="GJ87" s="262"/>
      <c r="GK87" s="262"/>
      <c r="GL87" s="262"/>
      <c r="GM87" s="262"/>
      <c r="GN87" s="262"/>
      <c r="GO87" s="262"/>
      <c r="GP87" s="262"/>
      <c r="GQ87" s="262"/>
      <c r="GR87" s="262"/>
      <c r="GS87" s="262"/>
      <c r="GT87" s="262"/>
      <c r="GU87" s="262"/>
      <c r="GV87" s="262"/>
      <c r="GW87" s="262"/>
      <c r="GX87" s="262"/>
      <c r="GY87" s="262"/>
      <c r="GZ87" s="262"/>
      <c r="HA87" s="262"/>
      <c r="HB87" s="262"/>
      <c r="HC87" s="262"/>
      <c r="HD87" s="262"/>
      <c r="HE87" s="262"/>
      <c r="HF87" s="262"/>
      <c r="HG87" s="262"/>
      <c r="HH87" s="262"/>
      <c r="HI87" s="262"/>
      <c r="HJ87" s="262"/>
      <c r="HK87" s="262"/>
      <c r="HL87" s="262"/>
      <c r="HM87" s="262"/>
      <c r="HN87" s="262"/>
      <c r="HO87" s="262"/>
      <c r="HP87" s="262"/>
      <c r="HQ87" s="262"/>
      <c r="HR87" s="262"/>
      <c r="HS87" s="262"/>
      <c r="HT87" s="262"/>
      <c r="HU87" s="262"/>
      <c r="HV87" s="262"/>
      <c r="HW87" s="262"/>
      <c r="HX87" s="262"/>
      <c r="HY87" s="262"/>
      <c r="HZ87" s="262"/>
      <c r="IA87" s="262"/>
      <c r="IB87" s="262"/>
      <c r="IC87" s="262"/>
      <c r="ID87" s="262"/>
      <c r="IE87" s="262"/>
      <c r="IF87" s="262"/>
      <c r="IG87" s="262"/>
      <c r="IH87" s="262"/>
      <c r="II87" s="262"/>
      <c r="IJ87" s="262"/>
      <c r="IK87" s="262"/>
      <c r="IL87" s="262"/>
      <c r="IM87" s="262"/>
      <c r="IN87" s="262"/>
      <c r="IO87" s="262"/>
      <c r="IP87" s="262"/>
      <c r="IQ87" s="262"/>
      <c r="IR87" s="262"/>
      <c r="IS87" s="262"/>
      <c r="IT87" s="262"/>
      <c r="IU87" s="262"/>
    </row>
    <row r="88" ht="18" hidden="1" customHeight="1" spans="1:255">
      <c r="A88" s="267">
        <v>3018</v>
      </c>
      <c r="B88" s="269" t="s">
        <v>1467</v>
      </c>
      <c r="C88" s="225" t="s">
        <v>1380</v>
      </c>
      <c r="D88" s="230">
        <v>37666.1704338185</v>
      </c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2"/>
      <c r="S88" s="262"/>
      <c r="T88" s="262"/>
      <c r="U88" s="262"/>
      <c r="V88" s="262"/>
      <c r="W88" s="262"/>
      <c r="X88" s="262"/>
      <c r="Y88" s="262"/>
      <c r="Z88" s="262"/>
      <c r="AA88" s="262"/>
      <c r="AB88" s="262"/>
      <c r="AC88" s="262"/>
      <c r="AD88" s="262"/>
      <c r="AE88" s="262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  <c r="BO88" s="262"/>
      <c r="BP88" s="262"/>
      <c r="BQ88" s="262"/>
      <c r="BR88" s="262"/>
      <c r="BS88" s="262"/>
      <c r="BT88" s="262"/>
      <c r="BU88" s="262"/>
      <c r="BV88" s="262"/>
      <c r="BW88" s="262"/>
      <c r="BX88" s="262"/>
      <c r="BY88" s="262"/>
      <c r="BZ88" s="262"/>
      <c r="CA88" s="262"/>
      <c r="CB88" s="262"/>
      <c r="CC88" s="262"/>
      <c r="CD88" s="262"/>
      <c r="CE88" s="262"/>
      <c r="CF88" s="262"/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  <c r="CR88" s="262"/>
      <c r="CS88" s="262"/>
      <c r="CT88" s="262"/>
      <c r="CU88" s="262"/>
      <c r="CV88" s="262"/>
      <c r="CW88" s="262"/>
      <c r="CX88" s="262"/>
      <c r="CY88" s="262"/>
      <c r="CZ88" s="262"/>
      <c r="DA88" s="262"/>
      <c r="DB88" s="262"/>
      <c r="DC88" s="262"/>
      <c r="DD88" s="262"/>
      <c r="DE88" s="262"/>
      <c r="DF88" s="262"/>
      <c r="DG88" s="262"/>
      <c r="DH88" s="262"/>
      <c r="DI88" s="262"/>
      <c r="DJ88" s="262"/>
      <c r="DK88" s="262"/>
      <c r="DL88" s="262"/>
      <c r="DM88" s="262"/>
      <c r="DN88" s="262"/>
      <c r="DO88" s="262"/>
      <c r="DP88" s="262"/>
      <c r="DQ88" s="262"/>
      <c r="DR88" s="262"/>
      <c r="DS88" s="262"/>
      <c r="DT88" s="262"/>
      <c r="DU88" s="262"/>
      <c r="DV88" s="262"/>
      <c r="DW88" s="262"/>
      <c r="DX88" s="262"/>
      <c r="DY88" s="262"/>
      <c r="DZ88" s="262"/>
      <c r="EA88" s="262"/>
      <c r="EB88" s="262"/>
      <c r="EC88" s="262"/>
      <c r="ED88" s="262"/>
      <c r="EE88" s="262"/>
      <c r="EF88" s="262"/>
      <c r="EG88" s="262"/>
      <c r="EH88" s="262"/>
      <c r="EI88" s="262"/>
      <c r="EJ88" s="262"/>
      <c r="EK88" s="262"/>
      <c r="EL88" s="262"/>
      <c r="EM88" s="262"/>
      <c r="EN88" s="262"/>
      <c r="EO88" s="262"/>
      <c r="EP88" s="262"/>
      <c r="EQ88" s="262"/>
      <c r="ER88" s="262"/>
      <c r="ES88" s="262"/>
      <c r="ET88" s="262"/>
      <c r="EU88" s="262"/>
      <c r="EV88" s="262"/>
      <c r="EW88" s="262"/>
      <c r="EX88" s="262"/>
      <c r="EY88" s="262"/>
      <c r="EZ88" s="262"/>
      <c r="FA88" s="262"/>
      <c r="FB88" s="262"/>
      <c r="FC88" s="262"/>
      <c r="FD88" s="262"/>
      <c r="FE88" s="262"/>
      <c r="FF88" s="262"/>
      <c r="FG88" s="262"/>
      <c r="FH88" s="262"/>
      <c r="FI88" s="262"/>
      <c r="FJ88" s="262"/>
      <c r="FK88" s="262"/>
      <c r="FL88" s="262"/>
      <c r="FM88" s="262"/>
      <c r="FN88" s="262"/>
      <c r="FO88" s="262"/>
      <c r="FP88" s="262"/>
      <c r="FQ88" s="262"/>
      <c r="FR88" s="262"/>
      <c r="FS88" s="262"/>
      <c r="FT88" s="262"/>
      <c r="FU88" s="262"/>
      <c r="FV88" s="262"/>
      <c r="FW88" s="262"/>
      <c r="FX88" s="262"/>
      <c r="FY88" s="262"/>
      <c r="FZ88" s="262"/>
      <c r="GA88" s="262"/>
      <c r="GB88" s="262"/>
      <c r="GC88" s="262"/>
      <c r="GD88" s="262"/>
      <c r="GE88" s="262"/>
      <c r="GF88" s="262"/>
      <c r="GG88" s="262"/>
      <c r="GH88" s="262"/>
      <c r="GI88" s="262"/>
      <c r="GJ88" s="262"/>
      <c r="GK88" s="262"/>
      <c r="GL88" s="262"/>
      <c r="GM88" s="262"/>
      <c r="GN88" s="262"/>
      <c r="GO88" s="262"/>
      <c r="GP88" s="262"/>
      <c r="GQ88" s="262"/>
      <c r="GR88" s="262"/>
      <c r="GS88" s="262"/>
      <c r="GT88" s="262"/>
      <c r="GU88" s="262"/>
      <c r="GV88" s="262"/>
      <c r="GW88" s="262"/>
      <c r="GX88" s="262"/>
      <c r="GY88" s="262"/>
      <c r="GZ88" s="262"/>
      <c r="HA88" s="262"/>
      <c r="HB88" s="262"/>
      <c r="HC88" s="262"/>
      <c r="HD88" s="262"/>
      <c r="HE88" s="262"/>
      <c r="HF88" s="262"/>
      <c r="HG88" s="262"/>
      <c r="HH88" s="262"/>
      <c r="HI88" s="262"/>
      <c r="HJ88" s="262"/>
      <c r="HK88" s="262"/>
      <c r="HL88" s="262"/>
      <c r="HM88" s="262"/>
      <c r="HN88" s="262"/>
      <c r="HO88" s="262"/>
      <c r="HP88" s="262"/>
      <c r="HQ88" s="262"/>
      <c r="HR88" s="262"/>
      <c r="HS88" s="262"/>
      <c r="HT88" s="262"/>
      <c r="HU88" s="262"/>
      <c r="HV88" s="262"/>
      <c r="HW88" s="262"/>
      <c r="HX88" s="262"/>
      <c r="HY88" s="262"/>
      <c r="HZ88" s="262"/>
      <c r="IA88" s="262"/>
      <c r="IB88" s="262"/>
      <c r="IC88" s="262"/>
      <c r="ID88" s="262"/>
      <c r="IE88" s="262"/>
      <c r="IF88" s="262"/>
      <c r="IG88" s="262"/>
      <c r="IH88" s="262"/>
      <c r="II88" s="262"/>
      <c r="IJ88" s="262"/>
      <c r="IK88" s="262"/>
      <c r="IL88" s="262"/>
      <c r="IM88" s="262"/>
      <c r="IN88" s="262"/>
      <c r="IO88" s="262"/>
      <c r="IP88" s="262"/>
      <c r="IQ88" s="262"/>
      <c r="IR88" s="262"/>
      <c r="IS88" s="262"/>
      <c r="IT88" s="262"/>
      <c r="IU88" s="262"/>
    </row>
    <row r="89" ht="18" hidden="1" customHeight="1" spans="1:255">
      <c r="A89" s="267">
        <v>3018</v>
      </c>
      <c r="B89" s="269" t="s">
        <v>1468</v>
      </c>
      <c r="C89" s="225" t="s">
        <v>1380</v>
      </c>
      <c r="D89" s="230">
        <v>38374.8716286708</v>
      </c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2"/>
      <c r="S89" s="262"/>
      <c r="T89" s="262"/>
      <c r="U89" s="262"/>
      <c r="V89" s="262"/>
      <c r="W89" s="262"/>
      <c r="X89" s="262"/>
      <c r="Y89" s="262"/>
      <c r="Z89" s="262"/>
      <c r="AA89" s="262"/>
      <c r="AB89" s="262"/>
      <c r="AC89" s="262"/>
      <c r="AD89" s="262"/>
      <c r="AE89" s="262"/>
      <c r="AF89" s="262"/>
      <c r="AG89" s="262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62"/>
      <c r="BH89" s="262"/>
      <c r="BI89" s="262"/>
      <c r="BJ89" s="262"/>
      <c r="BK89" s="262"/>
      <c r="BL89" s="262"/>
      <c r="BM89" s="262"/>
      <c r="BN89" s="262"/>
      <c r="BO89" s="262"/>
      <c r="BP89" s="262"/>
      <c r="BQ89" s="262"/>
      <c r="BR89" s="262"/>
      <c r="BS89" s="262"/>
      <c r="BT89" s="262"/>
      <c r="BU89" s="262"/>
      <c r="BV89" s="262"/>
      <c r="BW89" s="262"/>
      <c r="BX89" s="262"/>
      <c r="BY89" s="262"/>
      <c r="BZ89" s="262"/>
      <c r="CA89" s="262"/>
      <c r="CB89" s="262"/>
      <c r="CC89" s="262"/>
      <c r="CD89" s="262"/>
      <c r="CE89" s="262"/>
      <c r="CF89" s="262"/>
      <c r="CG89" s="262"/>
      <c r="CH89" s="262"/>
      <c r="CI89" s="262"/>
      <c r="CJ89" s="262"/>
      <c r="CK89" s="262"/>
      <c r="CL89" s="262"/>
      <c r="CM89" s="262"/>
      <c r="CN89" s="262"/>
      <c r="CO89" s="262"/>
      <c r="CP89" s="262"/>
      <c r="CQ89" s="262"/>
      <c r="CR89" s="262"/>
      <c r="CS89" s="262"/>
      <c r="CT89" s="262"/>
      <c r="CU89" s="262"/>
      <c r="CV89" s="262"/>
      <c r="CW89" s="262"/>
      <c r="CX89" s="262"/>
      <c r="CY89" s="262"/>
      <c r="CZ89" s="262"/>
      <c r="DA89" s="262"/>
      <c r="DB89" s="262"/>
      <c r="DC89" s="262"/>
      <c r="DD89" s="262"/>
      <c r="DE89" s="262"/>
      <c r="DF89" s="262"/>
      <c r="DG89" s="262"/>
      <c r="DH89" s="262"/>
      <c r="DI89" s="262"/>
      <c r="DJ89" s="262"/>
      <c r="DK89" s="262"/>
      <c r="DL89" s="262"/>
      <c r="DM89" s="262"/>
      <c r="DN89" s="262"/>
      <c r="DO89" s="262"/>
      <c r="DP89" s="262"/>
      <c r="DQ89" s="262"/>
      <c r="DR89" s="262"/>
      <c r="DS89" s="262"/>
      <c r="DT89" s="262"/>
      <c r="DU89" s="262"/>
      <c r="DV89" s="262"/>
      <c r="DW89" s="262"/>
      <c r="DX89" s="262"/>
      <c r="DY89" s="262"/>
      <c r="DZ89" s="262"/>
      <c r="EA89" s="262"/>
      <c r="EB89" s="262"/>
      <c r="EC89" s="262"/>
      <c r="ED89" s="262"/>
      <c r="EE89" s="262"/>
      <c r="EF89" s="262"/>
      <c r="EG89" s="262"/>
      <c r="EH89" s="262"/>
      <c r="EI89" s="262"/>
      <c r="EJ89" s="262"/>
      <c r="EK89" s="262"/>
      <c r="EL89" s="262"/>
      <c r="EM89" s="262"/>
      <c r="EN89" s="262"/>
      <c r="EO89" s="262"/>
      <c r="EP89" s="262"/>
      <c r="EQ89" s="262"/>
      <c r="ER89" s="262"/>
      <c r="ES89" s="262"/>
      <c r="ET89" s="262"/>
      <c r="EU89" s="262"/>
      <c r="EV89" s="262"/>
      <c r="EW89" s="262"/>
      <c r="EX89" s="262"/>
      <c r="EY89" s="262"/>
      <c r="EZ89" s="262"/>
      <c r="FA89" s="262"/>
      <c r="FB89" s="262"/>
      <c r="FC89" s="262"/>
      <c r="FD89" s="262"/>
      <c r="FE89" s="262"/>
      <c r="FF89" s="262"/>
      <c r="FG89" s="262"/>
      <c r="FH89" s="262"/>
      <c r="FI89" s="262"/>
      <c r="FJ89" s="262"/>
      <c r="FK89" s="262"/>
      <c r="FL89" s="262"/>
      <c r="FM89" s="262"/>
      <c r="FN89" s="262"/>
      <c r="FO89" s="262"/>
      <c r="FP89" s="262"/>
      <c r="FQ89" s="262"/>
      <c r="FR89" s="262"/>
      <c r="FS89" s="262"/>
      <c r="FT89" s="262"/>
      <c r="FU89" s="262"/>
      <c r="FV89" s="262"/>
      <c r="FW89" s="262"/>
      <c r="FX89" s="262"/>
      <c r="FY89" s="262"/>
      <c r="FZ89" s="262"/>
      <c r="GA89" s="262"/>
      <c r="GB89" s="262"/>
      <c r="GC89" s="262"/>
      <c r="GD89" s="262"/>
      <c r="GE89" s="262"/>
      <c r="GF89" s="262"/>
      <c r="GG89" s="262"/>
      <c r="GH89" s="262"/>
      <c r="GI89" s="262"/>
      <c r="GJ89" s="262"/>
      <c r="GK89" s="262"/>
      <c r="GL89" s="262"/>
      <c r="GM89" s="262"/>
      <c r="GN89" s="262"/>
      <c r="GO89" s="262"/>
      <c r="GP89" s="262"/>
      <c r="GQ89" s="262"/>
      <c r="GR89" s="262"/>
      <c r="GS89" s="262"/>
      <c r="GT89" s="262"/>
      <c r="GU89" s="262"/>
      <c r="GV89" s="262"/>
      <c r="GW89" s="262"/>
      <c r="GX89" s="262"/>
      <c r="GY89" s="262"/>
      <c r="GZ89" s="262"/>
      <c r="HA89" s="262"/>
      <c r="HB89" s="262"/>
      <c r="HC89" s="262"/>
      <c r="HD89" s="262"/>
      <c r="HE89" s="262"/>
      <c r="HF89" s="262"/>
      <c r="HG89" s="262"/>
      <c r="HH89" s="262"/>
      <c r="HI89" s="262"/>
      <c r="HJ89" s="262"/>
      <c r="HK89" s="262"/>
      <c r="HL89" s="262"/>
      <c r="HM89" s="262"/>
      <c r="HN89" s="262"/>
      <c r="HO89" s="262"/>
      <c r="HP89" s="262"/>
      <c r="HQ89" s="262"/>
      <c r="HR89" s="262"/>
      <c r="HS89" s="262"/>
      <c r="HT89" s="262"/>
      <c r="HU89" s="262"/>
      <c r="HV89" s="262"/>
      <c r="HW89" s="262"/>
      <c r="HX89" s="262"/>
      <c r="HY89" s="262"/>
      <c r="HZ89" s="262"/>
      <c r="IA89" s="262"/>
      <c r="IB89" s="262"/>
      <c r="IC89" s="262"/>
      <c r="ID89" s="262"/>
      <c r="IE89" s="262"/>
      <c r="IF89" s="262"/>
      <c r="IG89" s="262"/>
      <c r="IH89" s="262"/>
      <c r="II89" s="262"/>
      <c r="IJ89" s="262"/>
      <c r="IK89" s="262"/>
      <c r="IL89" s="262"/>
      <c r="IM89" s="262"/>
      <c r="IN89" s="262"/>
      <c r="IO89" s="262"/>
      <c r="IP89" s="262"/>
      <c r="IQ89" s="262"/>
      <c r="IR89" s="262"/>
      <c r="IS89" s="262"/>
      <c r="IT89" s="262"/>
      <c r="IU89" s="262"/>
    </row>
    <row r="90" ht="18" customHeight="1" spans="1:255">
      <c r="A90" s="267">
        <v>3019</v>
      </c>
      <c r="B90" s="269" t="s">
        <v>1469</v>
      </c>
      <c r="C90" s="225" t="s">
        <v>1380</v>
      </c>
      <c r="D90" s="230">
        <v>35510.0797611799</v>
      </c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2"/>
      <c r="S90" s="262"/>
      <c r="T90" s="262"/>
      <c r="U90" s="262"/>
      <c r="V90" s="262"/>
      <c r="W90" s="262"/>
      <c r="X90" s="262"/>
      <c r="Y90" s="262"/>
      <c r="Z90" s="262"/>
      <c r="AA90" s="262"/>
      <c r="AB90" s="262"/>
      <c r="AC90" s="262"/>
      <c r="AD90" s="262"/>
      <c r="AE90" s="262"/>
      <c r="AF90" s="262"/>
      <c r="AG90" s="262"/>
      <c r="AH90" s="262"/>
      <c r="AI90" s="262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62"/>
      <c r="BH90" s="262"/>
      <c r="BI90" s="262"/>
      <c r="BJ90" s="262"/>
      <c r="BK90" s="262"/>
      <c r="BL90" s="262"/>
      <c r="BM90" s="262"/>
      <c r="BN90" s="262"/>
      <c r="BO90" s="262"/>
      <c r="BP90" s="262"/>
      <c r="BQ90" s="262"/>
      <c r="BR90" s="262"/>
      <c r="BS90" s="262"/>
      <c r="BT90" s="262"/>
      <c r="BU90" s="262"/>
      <c r="BV90" s="262"/>
      <c r="BW90" s="262"/>
      <c r="BX90" s="262"/>
      <c r="BY90" s="262"/>
      <c r="BZ90" s="262"/>
      <c r="CA90" s="262"/>
      <c r="CB90" s="262"/>
      <c r="CC90" s="262"/>
      <c r="CD90" s="262"/>
      <c r="CE90" s="262"/>
      <c r="CF90" s="262"/>
      <c r="CG90" s="262"/>
      <c r="CH90" s="262"/>
      <c r="CI90" s="262"/>
      <c r="CJ90" s="262"/>
      <c r="CK90" s="262"/>
      <c r="CL90" s="262"/>
      <c r="CM90" s="262"/>
      <c r="CN90" s="262"/>
      <c r="CO90" s="262"/>
      <c r="CP90" s="262"/>
      <c r="CQ90" s="262"/>
      <c r="CR90" s="262"/>
      <c r="CS90" s="262"/>
      <c r="CT90" s="262"/>
      <c r="CU90" s="262"/>
      <c r="CV90" s="262"/>
      <c r="CW90" s="262"/>
      <c r="CX90" s="262"/>
      <c r="CY90" s="262"/>
      <c r="CZ90" s="262"/>
      <c r="DA90" s="262"/>
      <c r="DB90" s="262"/>
      <c r="DC90" s="262"/>
      <c r="DD90" s="262"/>
      <c r="DE90" s="262"/>
      <c r="DF90" s="262"/>
      <c r="DG90" s="262"/>
      <c r="DH90" s="262"/>
      <c r="DI90" s="262"/>
      <c r="DJ90" s="262"/>
      <c r="DK90" s="262"/>
      <c r="DL90" s="262"/>
      <c r="DM90" s="262"/>
      <c r="DN90" s="262"/>
      <c r="DO90" s="262"/>
      <c r="DP90" s="262"/>
      <c r="DQ90" s="262"/>
      <c r="DR90" s="262"/>
      <c r="DS90" s="262"/>
      <c r="DT90" s="262"/>
      <c r="DU90" s="262"/>
      <c r="DV90" s="262"/>
      <c r="DW90" s="262"/>
      <c r="DX90" s="262"/>
      <c r="DY90" s="262"/>
      <c r="DZ90" s="262"/>
      <c r="EA90" s="262"/>
      <c r="EB90" s="262"/>
      <c r="EC90" s="262"/>
      <c r="ED90" s="262"/>
      <c r="EE90" s="262"/>
      <c r="EF90" s="262"/>
      <c r="EG90" s="262"/>
      <c r="EH90" s="262"/>
      <c r="EI90" s="262"/>
      <c r="EJ90" s="262"/>
      <c r="EK90" s="262"/>
      <c r="EL90" s="262"/>
      <c r="EM90" s="262"/>
      <c r="EN90" s="262"/>
      <c r="EO90" s="262"/>
      <c r="EP90" s="262"/>
      <c r="EQ90" s="262"/>
      <c r="ER90" s="262"/>
      <c r="ES90" s="262"/>
      <c r="ET90" s="262"/>
      <c r="EU90" s="262"/>
      <c r="EV90" s="262"/>
      <c r="EW90" s="262"/>
      <c r="EX90" s="262"/>
      <c r="EY90" s="262"/>
      <c r="EZ90" s="262"/>
      <c r="FA90" s="262"/>
      <c r="FB90" s="262"/>
      <c r="FC90" s="262"/>
      <c r="FD90" s="262"/>
      <c r="FE90" s="262"/>
      <c r="FF90" s="262"/>
      <c r="FG90" s="262"/>
      <c r="FH90" s="262"/>
      <c r="FI90" s="262"/>
      <c r="FJ90" s="262"/>
      <c r="FK90" s="262"/>
      <c r="FL90" s="262"/>
      <c r="FM90" s="262"/>
      <c r="FN90" s="262"/>
      <c r="FO90" s="262"/>
      <c r="FP90" s="262"/>
      <c r="FQ90" s="262"/>
      <c r="FR90" s="262"/>
      <c r="FS90" s="262"/>
      <c r="FT90" s="262"/>
      <c r="FU90" s="262"/>
      <c r="FV90" s="262"/>
      <c r="FW90" s="262"/>
      <c r="FX90" s="262"/>
      <c r="FY90" s="262"/>
      <c r="FZ90" s="262"/>
      <c r="GA90" s="262"/>
      <c r="GB90" s="262"/>
      <c r="GC90" s="262"/>
      <c r="GD90" s="262"/>
      <c r="GE90" s="262"/>
      <c r="GF90" s="262"/>
      <c r="GG90" s="262"/>
      <c r="GH90" s="262"/>
      <c r="GI90" s="262"/>
      <c r="GJ90" s="262"/>
      <c r="GK90" s="262"/>
      <c r="GL90" s="262"/>
      <c r="GM90" s="262"/>
      <c r="GN90" s="262"/>
      <c r="GO90" s="262"/>
      <c r="GP90" s="262"/>
      <c r="GQ90" s="262"/>
      <c r="GR90" s="262"/>
      <c r="GS90" s="262"/>
      <c r="GT90" s="262"/>
      <c r="GU90" s="262"/>
      <c r="GV90" s="262"/>
      <c r="GW90" s="262"/>
      <c r="GX90" s="262"/>
      <c r="GY90" s="262"/>
      <c r="GZ90" s="262"/>
      <c r="HA90" s="262"/>
      <c r="HB90" s="262"/>
      <c r="HC90" s="262"/>
      <c r="HD90" s="262"/>
      <c r="HE90" s="262"/>
      <c r="HF90" s="262"/>
      <c r="HG90" s="262"/>
      <c r="HH90" s="262"/>
      <c r="HI90" s="262"/>
      <c r="HJ90" s="262"/>
      <c r="HK90" s="262"/>
      <c r="HL90" s="262"/>
      <c r="HM90" s="262"/>
      <c r="HN90" s="262"/>
      <c r="HO90" s="262"/>
      <c r="HP90" s="262"/>
      <c r="HQ90" s="262"/>
      <c r="HR90" s="262"/>
      <c r="HS90" s="262"/>
      <c r="HT90" s="262"/>
      <c r="HU90" s="262"/>
      <c r="HV90" s="262"/>
      <c r="HW90" s="262"/>
      <c r="HX90" s="262"/>
      <c r="HY90" s="262"/>
      <c r="HZ90" s="262"/>
      <c r="IA90" s="262"/>
      <c r="IB90" s="262"/>
      <c r="IC90" s="262"/>
      <c r="ID90" s="262"/>
      <c r="IE90" s="262"/>
      <c r="IF90" s="262"/>
      <c r="IG90" s="262"/>
      <c r="IH90" s="262"/>
      <c r="II90" s="262"/>
      <c r="IJ90" s="262"/>
      <c r="IK90" s="262"/>
      <c r="IL90" s="262"/>
      <c r="IM90" s="262"/>
      <c r="IN90" s="262"/>
      <c r="IO90" s="262"/>
      <c r="IP90" s="262"/>
      <c r="IQ90" s="262"/>
      <c r="IR90" s="262"/>
      <c r="IS90" s="262"/>
      <c r="IT90" s="262"/>
      <c r="IU90" s="262"/>
    </row>
    <row r="91" ht="18" customHeight="1" spans="1:255">
      <c r="A91" s="267">
        <v>3019</v>
      </c>
      <c r="B91" s="269" t="s">
        <v>1470</v>
      </c>
      <c r="C91" s="225" t="s">
        <v>1380</v>
      </c>
      <c r="D91" s="230">
        <v>36218.7809560321</v>
      </c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62"/>
      <c r="BH91" s="262"/>
      <c r="BI91" s="262"/>
      <c r="BJ91" s="262"/>
      <c r="BK91" s="262"/>
      <c r="BL91" s="262"/>
      <c r="BM91" s="262"/>
      <c r="BN91" s="262"/>
      <c r="BO91" s="262"/>
      <c r="BP91" s="262"/>
      <c r="BQ91" s="262"/>
      <c r="BR91" s="262"/>
      <c r="BS91" s="262"/>
      <c r="BT91" s="262"/>
      <c r="BU91" s="262"/>
      <c r="BV91" s="262"/>
      <c r="BW91" s="262"/>
      <c r="BX91" s="262"/>
      <c r="BY91" s="262"/>
      <c r="BZ91" s="262"/>
      <c r="CA91" s="262"/>
      <c r="CB91" s="262"/>
      <c r="CC91" s="262"/>
      <c r="CD91" s="262"/>
      <c r="CE91" s="262"/>
      <c r="CF91" s="262"/>
      <c r="CG91" s="262"/>
      <c r="CH91" s="262"/>
      <c r="CI91" s="262"/>
      <c r="CJ91" s="262"/>
      <c r="CK91" s="262"/>
      <c r="CL91" s="262"/>
      <c r="CM91" s="262"/>
      <c r="CN91" s="262"/>
      <c r="CO91" s="262"/>
      <c r="CP91" s="262"/>
      <c r="CQ91" s="262"/>
      <c r="CR91" s="262"/>
      <c r="CS91" s="262"/>
      <c r="CT91" s="262"/>
      <c r="CU91" s="262"/>
      <c r="CV91" s="262"/>
      <c r="CW91" s="262"/>
      <c r="CX91" s="262"/>
      <c r="CY91" s="262"/>
      <c r="CZ91" s="262"/>
      <c r="DA91" s="262"/>
      <c r="DB91" s="262"/>
      <c r="DC91" s="262"/>
      <c r="DD91" s="262"/>
      <c r="DE91" s="262"/>
      <c r="DF91" s="262"/>
      <c r="DG91" s="262"/>
      <c r="DH91" s="262"/>
      <c r="DI91" s="262"/>
      <c r="DJ91" s="262"/>
      <c r="DK91" s="262"/>
      <c r="DL91" s="262"/>
      <c r="DM91" s="262"/>
      <c r="DN91" s="262"/>
      <c r="DO91" s="262"/>
      <c r="DP91" s="262"/>
      <c r="DQ91" s="262"/>
      <c r="DR91" s="262"/>
      <c r="DS91" s="262"/>
      <c r="DT91" s="262"/>
      <c r="DU91" s="262"/>
      <c r="DV91" s="262"/>
      <c r="DW91" s="262"/>
      <c r="DX91" s="262"/>
      <c r="DY91" s="262"/>
      <c r="DZ91" s="262"/>
      <c r="EA91" s="262"/>
      <c r="EB91" s="262"/>
      <c r="EC91" s="262"/>
      <c r="ED91" s="262"/>
      <c r="EE91" s="262"/>
      <c r="EF91" s="262"/>
      <c r="EG91" s="262"/>
      <c r="EH91" s="262"/>
      <c r="EI91" s="262"/>
      <c r="EJ91" s="262"/>
      <c r="EK91" s="262"/>
      <c r="EL91" s="262"/>
      <c r="EM91" s="262"/>
      <c r="EN91" s="262"/>
      <c r="EO91" s="262"/>
      <c r="EP91" s="262"/>
      <c r="EQ91" s="262"/>
      <c r="ER91" s="262"/>
      <c r="ES91" s="262"/>
      <c r="ET91" s="262"/>
      <c r="EU91" s="262"/>
      <c r="EV91" s="262"/>
      <c r="EW91" s="262"/>
      <c r="EX91" s="262"/>
      <c r="EY91" s="262"/>
      <c r="EZ91" s="262"/>
      <c r="FA91" s="262"/>
      <c r="FB91" s="262"/>
      <c r="FC91" s="262"/>
      <c r="FD91" s="262"/>
      <c r="FE91" s="262"/>
      <c r="FF91" s="262"/>
      <c r="FG91" s="262"/>
      <c r="FH91" s="262"/>
      <c r="FI91" s="262"/>
      <c r="FJ91" s="262"/>
      <c r="FK91" s="262"/>
      <c r="FL91" s="262"/>
      <c r="FM91" s="262"/>
      <c r="FN91" s="262"/>
      <c r="FO91" s="262"/>
      <c r="FP91" s="262"/>
      <c r="FQ91" s="262"/>
      <c r="FR91" s="262"/>
      <c r="FS91" s="262"/>
      <c r="FT91" s="262"/>
      <c r="FU91" s="262"/>
      <c r="FV91" s="262"/>
      <c r="FW91" s="262"/>
      <c r="FX91" s="262"/>
      <c r="FY91" s="262"/>
      <c r="FZ91" s="262"/>
      <c r="GA91" s="262"/>
      <c r="GB91" s="262"/>
      <c r="GC91" s="262"/>
      <c r="GD91" s="262"/>
      <c r="GE91" s="262"/>
      <c r="GF91" s="262"/>
      <c r="GG91" s="262"/>
      <c r="GH91" s="262"/>
      <c r="GI91" s="262"/>
      <c r="GJ91" s="262"/>
      <c r="GK91" s="262"/>
      <c r="GL91" s="262"/>
      <c r="GM91" s="262"/>
      <c r="GN91" s="262"/>
      <c r="GO91" s="262"/>
      <c r="GP91" s="262"/>
      <c r="GQ91" s="262"/>
      <c r="GR91" s="262"/>
      <c r="GS91" s="262"/>
      <c r="GT91" s="262"/>
      <c r="GU91" s="262"/>
      <c r="GV91" s="262"/>
      <c r="GW91" s="262"/>
      <c r="GX91" s="262"/>
      <c r="GY91" s="262"/>
      <c r="GZ91" s="262"/>
      <c r="HA91" s="262"/>
      <c r="HB91" s="262"/>
      <c r="HC91" s="262"/>
      <c r="HD91" s="262"/>
      <c r="HE91" s="262"/>
      <c r="HF91" s="262"/>
      <c r="HG91" s="262"/>
      <c r="HH91" s="262"/>
      <c r="HI91" s="262"/>
      <c r="HJ91" s="262"/>
      <c r="HK91" s="262"/>
      <c r="HL91" s="262"/>
      <c r="HM91" s="262"/>
      <c r="HN91" s="262"/>
      <c r="HO91" s="262"/>
      <c r="HP91" s="262"/>
      <c r="HQ91" s="262"/>
      <c r="HR91" s="262"/>
      <c r="HS91" s="262"/>
      <c r="HT91" s="262"/>
      <c r="HU91" s="262"/>
      <c r="HV91" s="262"/>
      <c r="HW91" s="262"/>
      <c r="HX91" s="262"/>
      <c r="HY91" s="262"/>
      <c r="HZ91" s="262"/>
      <c r="IA91" s="262"/>
      <c r="IB91" s="262"/>
      <c r="IC91" s="262"/>
      <c r="ID91" s="262"/>
      <c r="IE91" s="262"/>
      <c r="IF91" s="262"/>
      <c r="IG91" s="262"/>
      <c r="IH91" s="262"/>
      <c r="II91" s="262"/>
      <c r="IJ91" s="262"/>
      <c r="IK91" s="262"/>
      <c r="IL91" s="262"/>
      <c r="IM91" s="262"/>
      <c r="IN91" s="262"/>
      <c r="IO91" s="262"/>
      <c r="IP91" s="262"/>
      <c r="IQ91" s="262"/>
      <c r="IR91" s="262"/>
      <c r="IS91" s="262"/>
      <c r="IT91" s="262"/>
      <c r="IU91" s="262"/>
    </row>
    <row r="92" s="262" customFormat="1" ht="18" customHeight="1" spans="1:256">
      <c r="A92" s="267">
        <v>3020</v>
      </c>
      <c r="B92" s="269" t="s">
        <v>1471</v>
      </c>
      <c r="C92" s="225" t="s">
        <v>1380</v>
      </c>
      <c r="D92" s="230">
        <v>34376.2477590712</v>
      </c>
      <c r="IV92" s="263"/>
    </row>
    <row r="93" ht="18" customHeight="1" spans="1:255">
      <c r="A93" s="267">
        <v>3020</v>
      </c>
      <c r="B93" s="269" t="s">
        <v>1472</v>
      </c>
      <c r="C93" s="225" t="s">
        <v>1380</v>
      </c>
      <c r="D93" s="230">
        <v>35058.8494764927</v>
      </c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2"/>
      <c r="S93" s="262"/>
      <c r="T93" s="262"/>
      <c r="U93" s="262"/>
      <c r="V93" s="262"/>
      <c r="W93" s="262"/>
      <c r="X93" s="262"/>
      <c r="Y93" s="262"/>
      <c r="Z93" s="262"/>
      <c r="AA93" s="262"/>
      <c r="AB93" s="262"/>
      <c r="AC93" s="262"/>
      <c r="AD93" s="262"/>
      <c r="AE93" s="262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62"/>
      <c r="BH93" s="262"/>
      <c r="BI93" s="262"/>
      <c r="BJ93" s="262"/>
      <c r="BK93" s="262"/>
      <c r="BL93" s="262"/>
      <c r="BM93" s="262"/>
      <c r="BN93" s="262"/>
      <c r="BO93" s="262"/>
      <c r="BP93" s="262"/>
      <c r="BQ93" s="262"/>
      <c r="BR93" s="262"/>
      <c r="BS93" s="262"/>
      <c r="BT93" s="262"/>
      <c r="BU93" s="262"/>
      <c r="BV93" s="262"/>
      <c r="BW93" s="262"/>
      <c r="BX93" s="262"/>
      <c r="BY93" s="262"/>
      <c r="BZ93" s="262"/>
      <c r="CA93" s="262"/>
      <c r="CB93" s="262"/>
      <c r="CC93" s="262"/>
      <c r="CD93" s="262"/>
      <c r="CE93" s="262"/>
      <c r="CF93" s="262"/>
      <c r="CG93" s="262"/>
      <c r="CH93" s="262"/>
      <c r="CI93" s="262"/>
      <c r="CJ93" s="262"/>
      <c r="CK93" s="262"/>
      <c r="CL93" s="262"/>
      <c r="CM93" s="262"/>
      <c r="CN93" s="262"/>
      <c r="CO93" s="262"/>
      <c r="CP93" s="262"/>
      <c r="CQ93" s="262"/>
      <c r="CR93" s="262"/>
      <c r="CS93" s="262"/>
      <c r="CT93" s="262"/>
      <c r="CU93" s="262"/>
      <c r="CV93" s="262"/>
      <c r="CW93" s="262"/>
      <c r="CX93" s="262"/>
      <c r="CY93" s="262"/>
      <c r="CZ93" s="262"/>
      <c r="DA93" s="262"/>
      <c r="DB93" s="262"/>
      <c r="DC93" s="262"/>
      <c r="DD93" s="262"/>
      <c r="DE93" s="262"/>
      <c r="DF93" s="262"/>
      <c r="DG93" s="262"/>
      <c r="DH93" s="262"/>
      <c r="DI93" s="262"/>
      <c r="DJ93" s="262"/>
      <c r="DK93" s="262"/>
      <c r="DL93" s="262"/>
      <c r="DM93" s="262"/>
      <c r="DN93" s="262"/>
      <c r="DO93" s="262"/>
      <c r="DP93" s="262"/>
      <c r="DQ93" s="262"/>
      <c r="DR93" s="262"/>
      <c r="DS93" s="262"/>
      <c r="DT93" s="262"/>
      <c r="DU93" s="262"/>
      <c r="DV93" s="262"/>
      <c r="DW93" s="262"/>
      <c r="DX93" s="262"/>
      <c r="DY93" s="262"/>
      <c r="DZ93" s="262"/>
      <c r="EA93" s="262"/>
      <c r="EB93" s="262"/>
      <c r="EC93" s="262"/>
      <c r="ED93" s="262"/>
      <c r="EE93" s="262"/>
      <c r="EF93" s="262"/>
      <c r="EG93" s="262"/>
      <c r="EH93" s="262"/>
      <c r="EI93" s="262"/>
      <c r="EJ93" s="262"/>
      <c r="EK93" s="262"/>
      <c r="EL93" s="262"/>
      <c r="EM93" s="262"/>
      <c r="EN93" s="262"/>
      <c r="EO93" s="262"/>
      <c r="EP93" s="262"/>
      <c r="EQ93" s="262"/>
      <c r="ER93" s="262"/>
      <c r="ES93" s="262"/>
      <c r="ET93" s="262"/>
      <c r="EU93" s="262"/>
      <c r="EV93" s="262"/>
      <c r="EW93" s="262"/>
      <c r="EX93" s="262"/>
      <c r="EY93" s="262"/>
      <c r="EZ93" s="262"/>
      <c r="FA93" s="262"/>
      <c r="FB93" s="262"/>
      <c r="FC93" s="262"/>
      <c r="FD93" s="262"/>
      <c r="FE93" s="262"/>
      <c r="FF93" s="262"/>
      <c r="FG93" s="262"/>
      <c r="FH93" s="262"/>
      <c r="FI93" s="262"/>
      <c r="FJ93" s="262"/>
      <c r="FK93" s="262"/>
      <c r="FL93" s="262"/>
      <c r="FM93" s="262"/>
      <c r="FN93" s="262"/>
      <c r="FO93" s="262"/>
      <c r="FP93" s="262"/>
      <c r="FQ93" s="262"/>
      <c r="FR93" s="262"/>
      <c r="FS93" s="262"/>
      <c r="FT93" s="262"/>
      <c r="FU93" s="262"/>
      <c r="FV93" s="262"/>
      <c r="FW93" s="262"/>
      <c r="FX93" s="262"/>
      <c r="FY93" s="262"/>
      <c r="FZ93" s="262"/>
      <c r="GA93" s="262"/>
      <c r="GB93" s="262"/>
      <c r="GC93" s="262"/>
      <c r="GD93" s="262"/>
      <c r="GE93" s="262"/>
      <c r="GF93" s="262"/>
      <c r="GG93" s="262"/>
      <c r="GH93" s="262"/>
      <c r="GI93" s="262"/>
      <c r="GJ93" s="262"/>
      <c r="GK93" s="262"/>
      <c r="GL93" s="262"/>
      <c r="GM93" s="262"/>
      <c r="GN93" s="262"/>
      <c r="GO93" s="262"/>
      <c r="GP93" s="262"/>
      <c r="GQ93" s="262"/>
      <c r="GR93" s="262"/>
      <c r="GS93" s="262"/>
      <c r="GT93" s="262"/>
      <c r="GU93" s="262"/>
      <c r="GV93" s="262"/>
      <c r="GW93" s="262"/>
      <c r="GX93" s="262"/>
      <c r="GY93" s="262"/>
      <c r="GZ93" s="262"/>
      <c r="HA93" s="262"/>
      <c r="HB93" s="262"/>
      <c r="HC93" s="262"/>
      <c r="HD93" s="262"/>
      <c r="HE93" s="262"/>
      <c r="HF93" s="262"/>
      <c r="HG93" s="262"/>
      <c r="HH93" s="262"/>
      <c r="HI93" s="262"/>
      <c r="HJ93" s="262"/>
      <c r="HK93" s="262"/>
      <c r="HL93" s="262"/>
      <c r="HM93" s="262"/>
      <c r="HN93" s="262"/>
      <c r="HO93" s="262"/>
      <c r="HP93" s="262"/>
      <c r="HQ93" s="262"/>
      <c r="HR93" s="262"/>
      <c r="HS93" s="262"/>
      <c r="HT93" s="262"/>
      <c r="HU93" s="262"/>
      <c r="HV93" s="262"/>
      <c r="HW93" s="262"/>
      <c r="HX93" s="262"/>
      <c r="HY93" s="262"/>
      <c r="HZ93" s="262"/>
      <c r="IA93" s="262"/>
      <c r="IB93" s="262"/>
      <c r="IC93" s="262"/>
      <c r="ID93" s="262"/>
      <c r="IE93" s="262"/>
      <c r="IF93" s="262"/>
      <c r="IG93" s="262"/>
      <c r="IH93" s="262"/>
      <c r="II93" s="262"/>
      <c r="IJ93" s="262"/>
      <c r="IK93" s="262"/>
      <c r="IL93" s="262"/>
      <c r="IM93" s="262"/>
      <c r="IN93" s="262"/>
      <c r="IO93" s="262"/>
      <c r="IP93" s="262"/>
      <c r="IQ93" s="262"/>
      <c r="IR93" s="262"/>
      <c r="IS93" s="262"/>
      <c r="IT93" s="262"/>
      <c r="IU93" s="262"/>
    </row>
    <row r="94" ht="18" customHeight="1" spans="1:255">
      <c r="A94" s="267">
        <v>3021</v>
      </c>
      <c r="B94" s="269" t="s">
        <v>1473</v>
      </c>
      <c r="C94" s="225" t="s">
        <v>1380</v>
      </c>
      <c r="D94" s="230">
        <v>35944.9300023638</v>
      </c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2"/>
      <c r="S94" s="262"/>
      <c r="T94" s="262"/>
      <c r="U94" s="262"/>
      <c r="V94" s="262"/>
      <c r="W94" s="262"/>
      <c r="X94" s="262"/>
      <c r="Y94" s="262"/>
      <c r="Z94" s="262"/>
      <c r="AA94" s="262"/>
      <c r="AB94" s="262"/>
      <c r="AC94" s="262"/>
      <c r="AD94" s="262"/>
      <c r="AE94" s="262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62"/>
      <c r="BH94" s="262"/>
      <c r="BI94" s="262"/>
      <c r="BJ94" s="262"/>
      <c r="BK94" s="262"/>
      <c r="BL94" s="262"/>
      <c r="BM94" s="262"/>
      <c r="BN94" s="262"/>
      <c r="BO94" s="262"/>
      <c r="BP94" s="262"/>
      <c r="BQ94" s="262"/>
      <c r="BR94" s="262"/>
      <c r="BS94" s="262"/>
      <c r="BT94" s="262"/>
      <c r="BU94" s="262"/>
      <c r="BV94" s="262"/>
      <c r="BW94" s="262"/>
      <c r="BX94" s="262"/>
      <c r="BY94" s="262"/>
      <c r="BZ94" s="262"/>
      <c r="CA94" s="262"/>
      <c r="CB94" s="262"/>
      <c r="CC94" s="262"/>
      <c r="CD94" s="262"/>
      <c r="CE94" s="262"/>
      <c r="CF94" s="262"/>
      <c r="CG94" s="262"/>
      <c r="CH94" s="262"/>
      <c r="CI94" s="262"/>
      <c r="CJ94" s="262"/>
      <c r="CK94" s="262"/>
      <c r="CL94" s="262"/>
      <c r="CM94" s="262"/>
      <c r="CN94" s="262"/>
      <c r="CO94" s="262"/>
      <c r="CP94" s="262"/>
      <c r="CQ94" s="262"/>
      <c r="CR94" s="262"/>
      <c r="CS94" s="262"/>
      <c r="CT94" s="262"/>
      <c r="CU94" s="262"/>
      <c r="CV94" s="262"/>
      <c r="CW94" s="262"/>
      <c r="CX94" s="262"/>
      <c r="CY94" s="262"/>
      <c r="CZ94" s="262"/>
      <c r="DA94" s="262"/>
      <c r="DB94" s="262"/>
      <c r="DC94" s="262"/>
      <c r="DD94" s="262"/>
      <c r="DE94" s="262"/>
      <c r="DF94" s="262"/>
      <c r="DG94" s="262"/>
      <c r="DH94" s="262"/>
      <c r="DI94" s="262"/>
      <c r="DJ94" s="262"/>
      <c r="DK94" s="262"/>
      <c r="DL94" s="262"/>
      <c r="DM94" s="262"/>
      <c r="DN94" s="262"/>
      <c r="DO94" s="262"/>
      <c r="DP94" s="262"/>
      <c r="DQ94" s="262"/>
      <c r="DR94" s="262"/>
      <c r="DS94" s="262"/>
      <c r="DT94" s="262"/>
      <c r="DU94" s="262"/>
      <c r="DV94" s="262"/>
      <c r="DW94" s="262"/>
      <c r="DX94" s="262"/>
      <c r="DY94" s="262"/>
      <c r="DZ94" s="262"/>
      <c r="EA94" s="262"/>
      <c r="EB94" s="262"/>
      <c r="EC94" s="262"/>
      <c r="ED94" s="262"/>
      <c r="EE94" s="262"/>
      <c r="EF94" s="262"/>
      <c r="EG94" s="262"/>
      <c r="EH94" s="262"/>
      <c r="EI94" s="262"/>
      <c r="EJ94" s="262"/>
      <c r="EK94" s="262"/>
      <c r="EL94" s="262"/>
      <c r="EM94" s="262"/>
      <c r="EN94" s="262"/>
      <c r="EO94" s="262"/>
      <c r="EP94" s="262"/>
      <c r="EQ94" s="262"/>
      <c r="ER94" s="262"/>
      <c r="ES94" s="262"/>
      <c r="ET94" s="262"/>
      <c r="EU94" s="262"/>
      <c r="EV94" s="262"/>
      <c r="EW94" s="262"/>
      <c r="EX94" s="262"/>
      <c r="EY94" s="262"/>
      <c r="EZ94" s="262"/>
      <c r="FA94" s="262"/>
      <c r="FB94" s="262"/>
      <c r="FC94" s="262"/>
      <c r="FD94" s="262"/>
      <c r="FE94" s="262"/>
      <c r="FF94" s="262"/>
      <c r="FG94" s="262"/>
      <c r="FH94" s="262"/>
      <c r="FI94" s="262"/>
      <c r="FJ94" s="262"/>
      <c r="FK94" s="262"/>
      <c r="FL94" s="262"/>
      <c r="FM94" s="262"/>
      <c r="FN94" s="262"/>
      <c r="FO94" s="262"/>
      <c r="FP94" s="262"/>
      <c r="FQ94" s="262"/>
      <c r="FR94" s="262"/>
      <c r="FS94" s="262"/>
      <c r="FT94" s="262"/>
      <c r="FU94" s="262"/>
      <c r="FV94" s="262"/>
      <c r="FW94" s="262"/>
      <c r="FX94" s="262"/>
      <c r="FY94" s="262"/>
      <c r="FZ94" s="262"/>
      <c r="GA94" s="262"/>
      <c r="GB94" s="262"/>
      <c r="GC94" s="262"/>
      <c r="GD94" s="262"/>
      <c r="GE94" s="262"/>
      <c r="GF94" s="262"/>
      <c r="GG94" s="262"/>
      <c r="GH94" s="262"/>
      <c r="GI94" s="262"/>
      <c r="GJ94" s="262"/>
      <c r="GK94" s="262"/>
      <c r="GL94" s="262"/>
      <c r="GM94" s="262"/>
      <c r="GN94" s="262"/>
      <c r="GO94" s="262"/>
      <c r="GP94" s="262"/>
      <c r="GQ94" s="262"/>
      <c r="GR94" s="262"/>
      <c r="GS94" s="262"/>
      <c r="GT94" s="262"/>
      <c r="GU94" s="262"/>
      <c r="GV94" s="262"/>
      <c r="GW94" s="262"/>
      <c r="GX94" s="262"/>
      <c r="GY94" s="262"/>
      <c r="GZ94" s="262"/>
      <c r="HA94" s="262"/>
      <c r="HB94" s="262"/>
      <c r="HC94" s="262"/>
      <c r="HD94" s="262"/>
      <c r="HE94" s="262"/>
      <c r="HF94" s="262"/>
      <c r="HG94" s="262"/>
      <c r="HH94" s="262"/>
      <c r="HI94" s="262"/>
      <c r="HJ94" s="262"/>
      <c r="HK94" s="262"/>
      <c r="HL94" s="262"/>
      <c r="HM94" s="262"/>
      <c r="HN94" s="262"/>
      <c r="HO94" s="262"/>
      <c r="HP94" s="262"/>
      <c r="HQ94" s="262"/>
      <c r="HR94" s="262"/>
      <c r="HS94" s="262"/>
      <c r="HT94" s="262"/>
      <c r="HU94" s="262"/>
      <c r="HV94" s="262"/>
      <c r="HW94" s="262"/>
      <c r="HX94" s="262"/>
      <c r="HY94" s="262"/>
      <c r="HZ94" s="262"/>
      <c r="IA94" s="262"/>
      <c r="IB94" s="262"/>
      <c r="IC94" s="262"/>
      <c r="ID94" s="262"/>
      <c r="IE94" s="262"/>
      <c r="IF94" s="262"/>
      <c r="IG94" s="262"/>
      <c r="IH94" s="262"/>
      <c r="II94" s="262"/>
      <c r="IJ94" s="262"/>
      <c r="IK94" s="262"/>
      <c r="IL94" s="262"/>
      <c r="IM94" s="262"/>
      <c r="IN94" s="262"/>
      <c r="IO94" s="262"/>
      <c r="IP94" s="262"/>
      <c r="IQ94" s="262"/>
      <c r="IR94" s="262"/>
      <c r="IS94" s="262"/>
      <c r="IT94" s="262"/>
      <c r="IU94" s="262"/>
    </row>
    <row r="95" ht="18" customHeight="1" spans="1:255">
      <c r="A95" s="267">
        <v>3021</v>
      </c>
      <c r="B95" s="269" t="s">
        <v>1474</v>
      </c>
      <c r="C95" s="225" t="s">
        <v>1380</v>
      </c>
      <c r="D95" s="230">
        <v>36635.5623282256</v>
      </c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62"/>
      <c r="BH95" s="262"/>
      <c r="BI95" s="262"/>
      <c r="BJ95" s="262"/>
      <c r="BK95" s="262"/>
      <c r="BL95" s="262"/>
      <c r="BM95" s="262"/>
      <c r="BN95" s="262"/>
      <c r="BO95" s="262"/>
      <c r="BP95" s="262"/>
      <c r="BQ95" s="262"/>
      <c r="BR95" s="262"/>
      <c r="BS95" s="262"/>
      <c r="BT95" s="262"/>
      <c r="BU95" s="262"/>
      <c r="BV95" s="262"/>
      <c r="BW95" s="262"/>
      <c r="BX95" s="262"/>
      <c r="BY95" s="262"/>
      <c r="BZ95" s="262"/>
      <c r="CA95" s="262"/>
      <c r="CB95" s="262"/>
      <c r="CC95" s="262"/>
      <c r="CD95" s="262"/>
      <c r="CE95" s="262"/>
      <c r="CF95" s="262"/>
      <c r="CG95" s="262"/>
      <c r="CH95" s="262"/>
      <c r="CI95" s="262"/>
      <c r="CJ95" s="262"/>
      <c r="CK95" s="262"/>
      <c r="CL95" s="262"/>
      <c r="CM95" s="262"/>
      <c r="CN95" s="262"/>
      <c r="CO95" s="262"/>
      <c r="CP95" s="262"/>
      <c r="CQ95" s="262"/>
      <c r="CR95" s="262"/>
      <c r="CS95" s="262"/>
      <c r="CT95" s="262"/>
      <c r="CU95" s="262"/>
      <c r="CV95" s="262"/>
      <c r="CW95" s="262"/>
      <c r="CX95" s="262"/>
      <c r="CY95" s="262"/>
      <c r="CZ95" s="262"/>
      <c r="DA95" s="262"/>
      <c r="DB95" s="262"/>
      <c r="DC95" s="262"/>
      <c r="DD95" s="262"/>
      <c r="DE95" s="262"/>
      <c r="DF95" s="262"/>
      <c r="DG95" s="262"/>
      <c r="DH95" s="262"/>
      <c r="DI95" s="262"/>
      <c r="DJ95" s="262"/>
      <c r="DK95" s="262"/>
      <c r="DL95" s="262"/>
      <c r="DM95" s="262"/>
      <c r="DN95" s="262"/>
      <c r="DO95" s="262"/>
      <c r="DP95" s="262"/>
      <c r="DQ95" s="262"/>
      <c r="DR95" s="262"/>
      <c r="DS95" s="262"/>
      <c r="DT95" s="262"/>
      <c r="DU95" s="262"/>
      <c r="DV95" s="262"/>
      <c r="DW95" s="262"/>
      <c r="DX95" s="262"/>
      <c r="DY95" s="262"/>
      <c r="DZ95" s="262"/>
      <c r="EA95" s="262"/>
      <c r="EB95" s="262"/>
      <c r="EC95" s="262"/>
      <c r="ED95" s="262"/>
      <c r="EE95" s="262"/>
      <c r="EF95" s="262"/>
      <c r="EG95" s="262"/>
      <c r="EH95" s="262"/>
      <c r="EI95" s="262"/>
      <c r="EJ95" s="262"/>
      <c r="EK95" s="262"/>
      <c r="EL95" s="262"/>
      <c r="EM95" s="262"/>
      <c r="EN95" s="262"/>
      <c r="EO95" s="262"/>
      <c r="EP95" s="262"/>
      <c r="EQ95" s="262"/>
      <c r="ER95" s="262"/>
      <c r="ES95" s="262"/>
      <c r="ET95" s="262"/>
      <c r="EU95" s="262"/>
      <c r="EV95" s="262"/>
      <c r="EW95" s="262"/>
      <c r="EX95" s="262"/>
      <c r="EY95" s="262"/>
      <c r="EZ95" s="262"/>
      <c r="FA95" s="262"/>
      <c r="FB95" s="262"/>
      <c r="FC95" s="262"/>
      <c r="FD95" s="262"/>
      <c r="FE95" s="262"/>
      <c r="FF95" s="262"/>
      <c r="FG95" s="262"/>
      <c r="FH95" s="262"/>
      <c r="FI95" s="262"/>
      <c r="FJ95" s="262"/>
      <c r="FK95" s="262"/>
      <c r="FL95" s="262"/>
      <c r="FM95" s="262"/>
      <c r="FN95" s="262"/>
      <c r="FO95" s="262"/>
      <c r="FP95" s="262"/>
      <c r="FQ95" s="262"/>
      <c r="FR95" s="262"/>
      <c r="FS95" s="262"/>
      <c r="FT95" s="262"/>
      <c r="FU95" s="262"/>
      <c r="FV95" s="262"/>
      <c r="FW95" s="262"/>
      <c r="FX95" s="262"/>
      <c r="FY95" s="262"/>
      <c r="FZ95" s="262"/>
      <c r="GA95" s="262"/>
      <c r="GB95" s="262"/>
      <c r="GC95" s="262"/>
      <c r="GD95" s="262"/>
      <c r="GE95" s="262"/>
      <c r="GF95" s="262"/>
      <c r="GG95" s="262"/>
      <c r="GH95" s="262"/>
      <c r="GI95" s="262"/>
      <c r="GJ95" s="262"/>
      <c r="GK95" s="262"/>
      <c r="GL95" s="262"/>
      <c r="GM95" s="262"/>
      <c r="GN95" s="262"/>
      <c r="GO95" s="262"/>
      <c r="GP95" s="262"/>
      <c r="GQ95" s="262"/>
      <c r="GR95" s="262"/>
      <c r="GS95" s="262"/>
      <c r="GT95" s="262"/>
      <c r="GU95" s="262"/>
      <c r="GV95" s="262"/>
      <c r="GW95" s="262"/>
      <c r="GX95" s="262"/>
      <c r="GY95" s="262"/>
      <c r="GZ95" s="262"/>
      <c r="HA95" s="262"/>
      <c r="HB95" s="262"/>
      <c r="HC95" s="262"/>
      <c r="HD95" s="262"/>
      <c r="HE95" s="262"/>
      <c r="HF95" s="262"/>
      <c r="HG95" s="262"/>
      <c r="HH95" s="262"/>
      <c r="HI95" s="262"/>
      <c r="HJ95" s="262"/>
      <c r="HK95" s="262"/>
      <c r="HL95" s="262"/>
      <c r="HM95" s="262"/>
      <c r="HN95" s="262"/>
      <c r="HO95" s="262"/>
      <c r="HP95" s="262"/>
      <c r="HQ95" s="262"/>
      <c r="HR95" s="262"/>
      <c r="HS95" s="262"/>
      <c r="HT95" s="262"/>
      <c r="HU95" s="262"/>
      <c r="HV95" s="262"/>
      <c r="HW95" s="262"/>
      <c r="HX95" s="262"/>
      <c r="HY95" s="262"/>
      <c r="HZ95" s="262"/>
      <c r="IA95" s="262"/>
      <c r="IB95" s="262"/>
      <c r="IC95" s="262"/>
      <c r="ID95" s="262"/>
      <c r="IE95" s="262"/>
      <c r="IF95" s="262"/>
      <c r="IG95" s="262"/>
      <c r="IH95" s="262"/>
      <c r="II95" s="262"/>
      <c r="IJ95" s="262"/>
      <c r="IK95" s="262"/>
      <c r="IL95" s="262"/>
      <c r="IM95" s="262"/>
      <c r="IN95" s="262"/>
      <c r="IO95" s="262"/>
      <c r="IP95" s="262"/>
      <c r="IQ95" s="262"/>
      <c r="IR95" s="262"/>
      <c r="IS95" s="262"/>
      <c r="IT95" s="262"/>
      <c r="IU95" s="262"/>
    </row>
    <row r="96" ht="18" hidden="1" customHeight="1" spans="1:255">
      <c r="A96" s="267">
        <v>3022</v>
      </c>
      <c r="B96" s="269" t="s">
        <v>1475</v>
      </c>
      <c r="C96" s="225" t="s">
        <v>1380</v>
      </c>
      <c r="D96" s="230">
        <v>38144.2405279842</v>
      </c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2"/>
      <c r="S96" s="262"/>
      <c r="T96" s="262"/>
      <c r="U96" s="262"/>
      <c r="V96" s="262"/>
      <c r="W96" s="262"/>
      <c r="X96" s="262"/>
      <c r="Y96" s="262"/>
      <c r="Z96" s="262"/>
      <c r="AA96" s="262"/>
      <c r="AB96" s="262"/>
      <c r="AC96" s="262"/>
      <c r="AD96" s="262"/>
      <c r="AE96" s="262"/>
      <c r="AF96" s="262"/>
      <c r="AG96" s="262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62"/>
      <c r="BH96" s="262"/>
      <c r="BI96" s="262"/>
      <c r="BJ96" s="262"/>
      <c r="BK96" s="262"/>
      <c r="BL96" s="262"/>
      <c r="BM96" s="262"/>
      <c r="BN96" s="262"/>
      <c r="BO96" s="262"/>
      <c r="BP96" s="262"/>
      <c r="BQ96" s="262"/>
      <c r="BR96" s="262"/>
      <c r="BS96" s="262"/>
      <c r="BT96" s="262"/>
      <c r="BU96" s="262"/>
      <c r="BV96" s="262"/>
      <c r="BW96" s="262"/>
      <c r="BX96" s="262"/>
      <c r="BY96" s="262"/>
      <c r="BZ96" s="262"/>
      <c r="CA96" s="262"/>
      <c r="CB96" s="262"/>
      <c r="CC96" s="262"/>
      <c r="CD96" s="262"/>
      <c r="CE96" s="262"/>
      <c r="CF96" s="262"/>
      <c r="CG96" s="262"/>
      <c r="CH96" s="262"/>
      <c r="CI96" s="262"/>
      <c r="CJ96" s="262"/>
      <c r="CK96" s="262"/>
      <c r="CL96" s="262"/>
      <c r="CM96" s="262"/>
      <c r="CN96" s="262"/>
      <c r="CO96" s="262"/>
      <c r="CP96" s="262"/>
      <c r="CQ96" s="262"/>
      <c r="CR96" s="262"/>
      <c r="CS96" s="262"/>
      <c r="CT96" s="262"/>
      <c r="CU96" s="262"/>
      <c r="CV96" s="262"/>
      <c r="CW96" s="262"/>
      <c r="CX96" s="262"/>
      <c r="CY96" s="262"/>
      <c r="CZ96" s="262"/>
      <c r="DA96" s="262"/>
      <c r="DB96" s="262"/>
      <c r="DC96" s="262"/>
      <c r="DD96" s="262"/>
      <c r="DE96" s="262"/>
      <c r="DF96" s="262"/>
      <c r="DG96" s="262"/>
      <c r="DH96" s="262"/>
      <c r="DI96" s="262"/>
      <c r="DJ96" s="262"/>
      <c r="DK96" s="262"/>
      <c r="DL96" s="262"/>
      <c r="DM96" s="262"/>
      <c r="DN96" s="262"/>
      <c r="DO96" s="262"/>
      <c r="DP96" s="262"/>
      <c r="DQ96" s="262"/>
      <c r="DR96" s="262"/>
      <c r="DS96" s="262"/>
      <c r="DT96" s="262"/>
      <c r="DU96" s="262"/>
      <c r="DV96" s="262"/>
      <c r="DW96" s="262"/>
      <c r="DX96" s="262"/>
      <c r="DY96" s="262"/>
      <c r="DZ96" s="262"/>
      <c r="EA96" s="262"/>
      <c r="EB96" s="262"/>
      <c r="EC96" s="262"/>
      <c r="ED96" s="262"/>
      <c r="EE96" s="262"/>
      <c r="EF96" s="262"/>
      <c r="EG96" s="262"/>
      <c r="EH96" s="262"/>
      <c r="EI96" s="262"/>
      <c r="EJ96" s="262"/>
      <c r="EK96" s="262"/>
      <c r="EL96" s="262"/>
      <c r="EM96" s="262"/>
      <c r="EN96" s="262"/>
      <c r="EO96" s="262"/>
      <c r="EP96" s="262"/>
      <c r="EQ96" s="262"/>
      <c r="ER96" s="262"/>
      <c r="ES96" s="262"/>
      <c r="ET96" s="262"/>
      <c r="EU96" s="262"/>
      <c r="EV96" s="262"/>
      <c r="EW96" s="262"/>
      <c r="EX96" s="262"/>
      <c r="EY96" s="262"/>
      <c r="EZ96" s="262"/>
      <c r="FA96" s="262"/>
      <c r="FB96" s="262"/>
      <c r="FC96" s="262"/>
      <c r="FD96" s="262"/>
      <c r="FE96" s="262"/>
      <c r="FF96" s="262"/>
      <c r="FG96" s="262"/>
      <c r="FH96" s="262"/>
      <c r="FI96" s="262"/>
      <c r="FJ96" s="262"/>
      <c r="FK96" s="262"/>
      <c r="FL96" s="262"/>
      <c r="FM96" s="262"/>
      <c r="FN96" s="262"/>
      <c r="FO96" s="262"/>
      <c r="FP96" s="262"/>
      <c r="FQ96" s="262"/>
      <c r="FR96" s="262"/>
      <c r="FS96" s="262"/>
      <c r="FT96" s="262"/>
      <c r="FU96" s="262"/>
      <c r="FV96" s="262"/>
      <c r="FW96" s="262"/>
      <c r="FX96" s="262"/>
      <c r="FY96" s="262"/>
      <c r="FZ96" s="262"/>
      <c r="GA96" s="262"/>
      <c r="GB96" s="262"/>
      <c r="GC96" s="262"/>
      <c r="GD96" s="262"/>
      <c r="GE96" s="262"/>
      <c r="GF96" s="262"/>
      <c r="GG96" s="262"/>
      <c r="GH96" s="262"/>
      <c r="GI96" s="262"/>
      <c r="GJ96" s="262"/>
      <c r="GK96" s="262"/>
      <c r="GL96" s="262"/>
      <c r="GM96" s="262"/>
      <c r="GN96" s="262"/>
      <c r="GO96" s="262"/>
      <c r="GP96" s="262"/>
      <c r="GQ96" s="262"/>
      <c r="GR96" s="262"/>
      <c r="GS96" s="262"/>
      <c r="GT96" s="262"/>
      <c r="GU96" s="262"/>
      <c r="GV96" s="262"/>
      <c r="GW96" s="262"/>
      <c r="GX96" s="262"/>
      <c r="GY96" s="262"/>
      <c r="GZ96" s="262"/>
      <c r="HA96" s="262"/>
      <c r="HB96" s="262"/>
      <c r="HC96" s="262"/>
      <c r="HD96" s="262"/>
      <c r="HE96" s="262"/>
      <c r="HF96" s="262"/>
      <c r="HG96" s="262"/>
      <c r="HH96" s="262"/>
      <c r="HI96" s="262"/>
      <c r="HJ96" s="262"/>
      <c r="HK96" s="262"/>
      <c r="HL96" s="262"/>
      <c r="HM96" s="262"/>
      <c r="HN96" s="262"/>
      <c r="HO96" s="262"/>
      <c r="HP96" s="262"/>
      <c r="HQ96" s="262"/>
      <c r="HR96" s="262"/>
      <c r="HS96" s="262"/>
      <c r="HT96" s="262"/>
      <c r="HU96" s="262"/>
      <c r="HV96" s="262"/>
      <c r="HW96" s="262"/>
      <c r="HX96" s="262"/>
      <c r="HY96" s="262"/>
      <c r="HZ96" s="262"/>
      <c r="IA96" s="262"/>
      <c r="IB96" s="262"/>
      <c r="IC96" s="262"/>
      <c r="ID96" s="262"/>
      <c r="IE96" s="262"/>
      <c r="IF96" s="262"/>
      <c r="IG96" s="262"/>
      <c r="IH96" s="262"/>
      <c r="II96" s="262"/>
      <c r="IJ96" s="262"/>
      <c r="IK96" s="262"/>
      <c r="IL96" s="262"/>
      <c r="IM96" s="262"/>
      <c r="IN96" s="262"/>
      <c r="IO96" s="262"/>
      <c r="IP96" s="262"/>
      <c r="IQ96" s="262"/>
      <c r="IR96" s="262"/>
      <c r="IS96" s="262"/>
      <c r="IT96" s="262"/>
      <c r="IU96" s="262"/>
    </row>
    <row r="97" ht="18" hidden="1" customHeight="1" spans="1:255">
      <c r="A97" s="267">
        <v>3022</v>
      </c>
      <c r="B97" s="269" t="s">
        <v>1476</v>
      </c>
      <c r="C97" s="225" t="s">
        <v>1380</v>
      </c>
      <c r="D97" s="230">
        <v>38866.995287607</v>
      </c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62"/>
      <c r="BM97" s="262"/>
      <c r="BN97" s="262"/>
      <c r="BO97" s="262"/>
      <c r="BP97" s="262"/>
      <c r="BQ97" s="262"/>
      <c r="BR97" s="262"/>
      <c r="BS97" s="262"/>
      <c r="BT97" s="262"/>
      <c r="BU97" s="262"/>
      <c r="BV97" s="262"/>
      <c r="BW97" s="262"/>
      <c r="BX97" s="262"/>
      <c r="BY97" s="262"/>
      <c r="BZ97" s="262"/>
      <c r="CA97" s="262"/>
      <c r="CB97" s="262"/>
      <c r="CC97" s="262"/>
      <c r="CD97" s="262"/>
      <c r="CE97" s="262"/>
      <c r="CF97" s="262"/>
      <c r="CG97" s="262"/>
      <c r="CH97" s="262"/>
      <c r="CI97" s="262"/>
      <c r="CJ97" s="262"/>
      <c r="CK97" s="262"/>
      <c r="CL97" s="262"/>
      <c r="CM97" s="262"/>
      <c r="CN97" s="262"/>
      <c r="CO97" s="262"/>
      <c r="CP97" s="262"/>
      <c r="CQ97" s="262"/>
      <c r="CR97" s="262"/>
      <c r="CS97" s="262"/>
      <c r="CT97" s="262"/>
      <c r="CU97" s="262"/>
      <c r="CV97" s="262"/>
      <c r="CW97" s="262"/>
      <c r="CX97" s="262"/>
      <c r="CY97" s="262"/>
      <c r="CZ97" s="262"/>
      <c r="DA97" s="262"/>
      <c r="DB97" s="262"/>
      <c r="DC97" s="262"/>
      <c r="DD97" s="262"/>
      <c r="DE97" s="262"/>
      <c r="DF97" s="262"/>
      <c r="DG97" s="262"/>
      <c r="DH97" s="262"/>
      <c r="DI97" s="262"/>
      <c r="DJ97" s="262"/>
      <c r="DK97" s="262"/>
      <c r="DL97" s="262"/>
      <c r="DM97" s="262"/>
      <c r="DN97" s="262"/>
      <c r="DO97" s="262"/>
      <c r="DP97" s="262"/>
      <c r="DQ97" s="262"/>
      <c r="DR97" s="262"/>
      <c r="DS97" s="262"/>
      <c r="DT97" s="262"/>
      <c r="DU97" s="262"/>
      <c r="DV97" s="262"/>
      <c r="DW97" s="262"/>
      <c r="DX97" s="262"/>
      <c r="DY97" s="262"/>
      <c r="DZ97" s="262"/>
      <c r="EA97" s="262"/>
      <c r="EB97" s="262"/>
      <c r="EC97" s="262"/>
      <c r="ED97" s="262"/>
      <c r="EE97" s="262"/>
      <c r="EF97" s="262"/>
      <c r="EG97" s="262"/>
      <c r="EH97" s="262"/>
      <c r="EI97" s="262"/>
      <c r="EJ97" s="262"/>
      <c r="EK97" s="262"/>
      <c r="EL97" s="262"/>
      <c r="EM97" s="262"/>
      <c r="EN97" s="262"/>
      <c r="EO97" s="262"/>
      <c r="EP97" s="262"/>
      <c r="EQ97" s="262"/>
      <c r="ER97" s="262"/>
      <c r="ES97" s="262"/>
      <c r="ET97" s="262"/>
      <c r="EU97" s="262"/>
      <c r="EV97" s="262"/>
      <c r="EW97" s="262"/>
      <c r="EX97" s="262"/>
      <c r="EY97" s="262"/>
      <c r="EZ97" s="262"/>
      <c r="FA97" s="262"/>
      <c r="FB97" s="262"/>
      <c r="FC97" s="262"/>
      <c r="FD97" s="262"/>
      <c r="FE97" s="262"/>
      <c r="FF97" s="262"/>
      <c r="FG97" s="262"/>
      <c r="FH97" s="262"/>
      <c r="FI97" s="262"/>
      <c r="FJ97" s="262"/>
      <c r="FK97" s="262"/>
      <c r="FL97" s="262"/>
      <c r="FM97" s="262"/>
      <c r="FN97" s="262"/>
      <c r="FO97" s="262"/>
      <c r="FP97" s="262"/>
      <c r="FQ97" s="262"/>
      <c r="FR97" s="262"/>
      <c r="FS97" s="262"/>
      <c r="FT97" s="262"/>
      <c r="FU97" s="262"/>
      <c r="FV97" s="262"/>
      <c r="FW97" s="262"/>
      <c r="FX97" s="262"/>
      <c r="FY97" s="262"/>
      <c r="FZ97" s="262"/>
      <c r="GA97" s="262"/>
      <c r="GB97" s="262"/>
      <c r="GC97" s="262"/>
      <c r="GD97" s="262"/>
      <c r="GE97" s="262"/>
      <c r="GF97" s="262"/>
      <c r="GG97" s="262"/>
      <c r="GH97" s="262"/>
      <c r="GI97" s="262"/>
      <c r="GJ97" s="262"/>
      <c r="GK97" s="262"/>
      <c r="GL97" s="262"/>
      <c r="GM97" s="262"/>
      <c r="GN97" s="262"/>
      <c r="GO97" s="262"/>
      <c r="GP97" s="262"/>
      <c r="GQ97" s="262"/>
      <c r="GR97" s="262"/>
      <c r="GS97" s="262"/>
      <c r="GT97" s="262"/>
      <c r="GU97" s="262"/>
      <c r="GV97" s="262"/>
      <c r="GW97" s="262"/>
      <c r="GX97" s="262"/>
      <c r="GY97" s="262"/>
      <c r="GZ97" s="262"/>
      <c r="HA97" s="262"/>
      <c r="HB97" s="262"/>
      <c r="HC97" s="262"/>
      <c r="HD97" s="262"/>
      <c r="HE97" s="262"/>
      <c r="HF97" s="262"/>
      <c r="HG97" s="262"/>
      <c r="HH97" s="262"/>
      <c r="HI97" s="262"/>
      <c r="HJ97" s="262"/>
      <c r="HK97" s="262"/>
      <c r="HL97" s="262"/>
      <c r="HM97" s="262"/>
      <c r="HN97" s="262"/>
      <c r="HO97" s="262"/>
      <c r="HP97" s="262"/>
      <c r="HQ97" s="262"/>
      <c r="HR97" s="262"/>
      <c r="HS97" s="262"/>
      <c r="HT97" s="262"/>
      <c r="HU97" s="262"/>
      <c r="HV97" s="262"/>
      <c r="HW97" s="262"/>
      <c r="HX97" s="262"/>
      <c r="HY97" s="262"/>
      <c r="HZ97" s="262"/>
      <c r="IA97" s="262"/>
      <c r="IB97" s="262"/>
      <c r="IC97" s="262"/>
      <c r="ID97" s="262"/>
      <c r="IE97" s="262"/>
      <c r="IF97" s="262"/>
      <c r="IG97" s="262"/>
      <c r="IH97" s="262"/>
      <c r="II97" s="262"/>
      <c r="IJ97" s="262"/>
      <c r="IK97" s="262"/>
      <c r="IL97" s="262"/>
      <c r="IM97" s="262"/>
      <c r="IN97" s="262"/>
      <c r="IO97" s="262"/>
      <c r="IP97" s="262"/>
      <c r="IQ97" s="262"/>
      <c r="IR97" s="262"/>
      <c r="IS97" s="262"/>
      <c r="IT97" s="262"/>
      <c r="IU97" s="262"/>
    </row>
    <row r="98" ht="18" hidden="1" customHeight="1" spans="1:255">
      <c r="A98" s="267">
        <v>3023</v>
      </c>
      <c r="B98" s="269" t="s">
        <v>1477</v>
      </c>
      <c r="C98" s="225" t="s">
        <v>1380</v>
      </c>
      <c r="D98" s="230">
        <v>36788.2705263293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62"/>
      <c r="BM98" s="262"/>
      <c r="BN98" s="262"/>
      <c r="BO98" s="262"/>
      <c r="BP98" s="262"/>
      <c r="BQ98" s="262"/>
      <c r="BR98" s="262"/>
      <c r="BS98" s="262"/>
      <c r="BT98" s="262"/>
      <c r="BU98" s="262"/>
      <c r="BV98" s="262"/>
      <c r="BW98" s="262"/>
      <c r="BX98" s="262"/>
      <c r="BY98" s="262"/>
      <c r="BZ98" s="262"/>
      <c r="CA98" s="262"/>
      <c r="CB98" s="262"/>
      <c r="CC98" s="262"/>
      <c r="CD98" s="262"/>
      <c r="CE98" s="262"/>
      <c r="CF98" s="262"/>
      <c r="CG98" s="262"/>
      <c r="CH98" s="262"/>
      <c r="CI98" s="262"/>
      <c r="CJ98" s="262"/>
      <c r="CK98" s="262"/>
      <c r="CL98" s="262"/>
      <c r="CM98" s="262"/>
      <c r="CN98" s="262"/>
      <c r="CO98" s="262"/>
      <c r="CP98" s="262"/>
      <c r="CQ98" s="262"/>
      <c r="CR98" s="262"/>
      <c r="CS98" s="262"/>
      <c r="CT98" s="262"/>
      <c r="CU98" s="262"/>
      <c r="CV98" s="262"/>
      <c r="CW98" s="262"/>
      <c r="CX98" s="262"/>
      <c r="CY98" s="262"/>
      <c r="CZ98" s="262"/>
      <c r="DA98" s="262"/>
      <c r="DB98" s="262"/>
      <c r="DC98" s="262"/>
      <c r="DD98" s="262"/>
      <c r="DE98" s="262"/>
      <c r="DF98" s="262"/>
      <c r="DG98" s="262"/>
      <c r="DH98" s="262"/>
      <c r="DI98" s="262"/>
      <c r="DJ98" s="262"/>
      <c r="DK98" s="262"/>
      <c r="DL98" s="262"/>
      <c r="DM98" s="262"/>
      <c r="DN98" s="262"/>
      <c r="DO98" s="262"/>
      <c r="DP98" s="262"/>
      <c r="DQ98" s="262"/>
      <c r="DR98" s="262"/>
      <c r="DS98" s="262"/>
      <c r="DT98" s="262"/>
      <c r="DU98" s="262"/>
      <c r="DV98" s="262"/>
      <c r="DW98" s="262"/>
      <c r="DX98" s="262"/>
      <c r="DY98" s="262"/>
      <c r="DZ98" s="262"/>
      <c r="EA98" s="262"/>
      <c r="EB98" s="262"/>
      <c r="EC98" s="262"/>
      <c r="ED98" s="262"/>
      <c r="EE98" s="262"/>
      <c r="EF98" s="262"/>
      <c r="EG98" s="262"/>
      <c r="EH98" s="262"/>
      <c r="EI98" s="262"/>
      <c r="EJ98" s="262"/>
      <c r="EK98" s="262"/>
      <c r="EL98" s="262"/>
      <c r="EM98" s="262"/>
      <c r="EN98" s="262"/>
      <c r="EO98" s="262"/>
      <c r="EP98" s="262"/>
      <c r="EQ98" s="262"/>
      <c r="ER98" s="262"/>
      <c r="ES98" s="262"/>
      <c r="ET98" s="262"/>
      <c r="EU98" s="262"/>
      <c r="EV98" s="262"/>
      <c r="EW98" s="262"/>
      <c r="EX98" s="262"/>
      <c r="EY98" s="262"/>
      <c r="EZ98" s="262"/>
      <c r="FA98" s="262"/>
      <c r="FB98" s="262"/>
      <c r="FC98" s="262"/>
      <c r="FD98" s="262"/>
      <c r="FE98" s="262"/>
      <c r="FF98" s="262"/>
      <c r="FG98" s="262"/>
      <c r="FH98" s="262"/>
      <c r="FI98" s="262"/>
      <c r="FJ98" s="262"/>
      <c r="FK98" s="262"/>
      <c r="FL98" s="262"/>
      <c r="FM98" s="262"/>
      <c r="FN98" s="262"/>
      <c r="FO98" s="262"/>
      <c r="FP98" s="262"/>
      <c r="FQ98" s="262"/>
      <c r="FR98" s="262"/>
      <c r="FS98" s="262"/>
      <c r="FT98" s="262"/>
      <c r="FU98" s="262"/>
      <c r="FV98" s="262"/>
      <c r="FW98" s="262"/>
      <c r="FX98" s="262"/>
      <c r="FY98" s="262"/>
      <c r="FZ98" s="262"/>
      <c r="GA98" s="262"/>
      <c r="GB98" s="262"/>
      <c r="GC98" s="262"/>
      <c r="GD98" s="262"/>
      <c r="GE98" s="262"/>
      <c r="GF98" s="262"/>
      <c r="GG98" s="262"/>
      <c r="GH98" s="262"/>
      <c r="GI98" s="262"/>
      <c r="GJ98" s="262"/>
      <c r="GK98" s="262"/>
      <c r="GL98" s="262"/>
      <c r="GM98" s="262"/>
      <c r="GN98" s="262"/>
      <c r="GO98" s="262"/>
      <c r="GP98" s="262"/>
      <c r="GQ98" s="262"/>
      <c r="GR98" s="262"/>
      <c r="GS98" s="262"/>
      <c r="GT98" s="262"/>
      <c r="GU98" s="262"/>
      <c r="GV98" s="262"/>
      <c r="GW98" s="262"/>
      <c r="GX98" s="262"/>
      <c r="GY98" s="262"/>
      <c r="GZ98" s="262"/>
      <c r="HA98" s="262"/>
      <c r="HB98" s="262"/>
      <c r="HC98" s="262"/>
      <c r="HD98" s="262"/>
      <c r="HE98" s="262"/>
      <c r="HF98" s="262"/>
      <c r="HG98" s="262"/>
      <c r="HH98" s="262"/>
      <c r="HI98" s="262"/>
      <c r="HJ98" s="262"/>
      <c r="HK98" s="262"/>
      <c r="HL98" s="262"/>
      <c r="HM98" s="262"/>
      <c r="HN98" s="262"/>
      <c r="HO98" s="262"/>
      <c r="HP98" s="262"/>
      <c r="HQ98" s="262"/>
      <c r="HR98" s="262"/>
      <c r="HS98" s="262"/>
      <c r="HT98" s="262"/>
      <c r="HU98" s="262"/>
      <c r="HV98" s="262"/>
      <c r="HW98" s="262"/>
      <c r="HX98" s="262"/>
      <c r="HY98" s="262"/>
      <c r="HZ98" s="262"/>
      <c r="IA98" s="262"/>
      <c r="IB98" s="262"/>
      <c r="IC98" s="262"/>
      <c r="ID98" s="262"/>
      <c r="IE98" s="262"/>
      <c r="IF98" s="262"/>
      <c r="IG98" s="262"/>
      <c r="IH98" s="262"/>
      <c r="II98" s="262"/>
      <c r="IJ98" s="262"/>
      <c r="IK98" s="262"/>
      <c r="IL98" s="262"/>
      <c r="IM98" s="262"/>
      <c r="IN98" s="262"/>
      <c r="IO98" s="262"/>
      <c r="IP98" s="262"/>
      <c r="IQ98" s="262"/>
      <c r="IR98" s="262"/>
      <c r="IS98" s="262"/>
      <c r="IT98" s="262"/>
      <c r="IU98" s="262"/>
    </row>
    <row r="99" ht="18" hidden="1" customHeight="1" spans="1:255">
      <c r="A99" s="267">
        <v>3023</v>
      </c>
      <c r="B99" s="269" t="s">
        <v>1478</v>
      </c>
      <c r="C99" s="225" t="s">
        <v>1380</v>
      </c>
      <c r="D99" s="230">
        <v>37486.9334606313</v>
      </c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2"/>
      <c r="S99" s="262"/>
      <c r="T99" s="262"/>
      <c r="U99" s="262"/>
      <c r="V99" s="262"/>
      <c r="W99" s="262"/>
      <c r="X99" s="262"/>
      <c r="Y99" s="262"/>
      <c r="Z99" s="262"/>
      <c r="AA99" s="262"/>
      <c r="AB99" s="262"/>
      <c r="AC99" s="262"/>
      <c r="AD99" s="262"/>
      <c r="AE99" s="262"/>
      <c r="AF99" s="262"/>
      <c r="AG99" s="262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62"/>
      <c r="BH99" s="262"/>
      <c r="BI99" s="262"/>
      <c r="BJ99" s="262"/>
      <c r="BK99" s="262"/>
      <c r="BL99" s="262"/>
      <c r="BM99" s="262"/>
      <c r="BN99" s="262"/>
      <c r="BO99" s="262"/>
      <c r="BP99" s="262"/>
      <c r="BQ99" s="262"/>
      <c r="BR99" s="262"/>
      <c r="BS99" s="262"/>
      <c r="BT99" s="262"/>
      <c r="BU99" s="262"/>
      <c r="BV99" s="262"/>
      <c r="BW99" s="262"/>
      <c r="BX99" s="262"/>
      <c r="BY99" s="262"/>
      <c r="BZ99" s="262"/>
      <c r="CA99" s="262"/>
      <c r="CB99" s="262"/>
      <c r="CC99" s="262"/>
      <c r="CD99" s="262"/>
      <c r="CE99" s="262"/>
      <c r="CF99" s="262"/>
      <c r="CG99" s="262"/>
      <c r="CH99" s="262"/>
      <c r="CI99" s="262"/>
      <c r="CJ99" s="262"/>
      <c r="CK99" s="262"/>
      <c r="CL99" s="262"/>
      <c r="CM99" s="262"/>
      <c r="CN99" s="262"/>
      <c r="CO99" s="262"/>
      <c r="CP99" s="262"/>
      <c r="CQ99" s="262"/>
      <c r="CR99" s="262"/>
      <c r="CS99" s="262"/>
      <c r="CT99" s="262"/>
      <c r="CU99" s="262"/>
      <c r="CV99" s="262"/>
      <c r="CW99" s="262"/>
      <c r="CX99" s="262"/>
      <c r="CY99" s="262"/>
      <c r="CZ99" s="262"/>
      <c r="DA99" s="262"/>
      <c r="DB99" s="262"/>
      <c r="DC99" s="262"/>
      <c r="DD99" s="262"/>
      <c r="DE99" s="262"/>
      <c r="DF99" s="262"/>
      <c r="DG99" s="262"/>
      <c r="DH99" s="262"/>
      <c r="DI99" s="262"/>
      <c r="DJ99" s="262"/>
      <c r="DK99" s="262"/>
      <c r="DL99" s="262"/>
      <c r="DM99" s="262"/>
      <c r="DN99" s="262"/>
      <c r="DO99" s="262"/>
      <c r="DP99" s="262"/>
      <c r="DQ99" s="262"/>
      <c r="DR99" s="262"/>
      <c r="DS99" s="262"/>
      <c r="DT99" s="262"/>
      <c r="DU99" s="262"/>
      <c r="DV99" s="262"/>
      <c r="DW99" s="262"/>
      <c r="DX99" s="262"/>
      <c r="DY99" s="262"/>
      <c r="DZ99" s="262"/>
      <c r="EA99" s="262"/>
      <c r="EB99" s="262"/>
      <c r="EC99" s="262"/>
      <c r="ED99" s="262"/>
      <c r="EE99" s="262"/>
      <c r="EF99" s="262"/>
      <c r="EG99" s="262"/>
      <c r="EH99" s="262"/>
      <c r="EI99" s="262"/>
      <c r="EJ99" s="262"/>
      <c r="EK99" s="262"/>
      <c r="EL99" s="262"/>
      <c r="EM99" s="262"/>
      <c r="EN99" s="262"/>
      <c r="EO99" s="262"/>
      <c r="EP99" s="262"/>
      <c r="EQ99" s="262"/>
      <c r="ER99" s="262"/>
      <c r="ES99" s="262"/>
      <c r="ET99" s="262"/>
      <c r="EU99" s="262"/>
      <c r="EV99" s="262"/>
      <c r="EW99" s="262"/>
      <c r="EX99" s="262"/>
      <c r="EY99" s="262"/>
      <c r="EZ99" s="262"/>
      <c r="FA99" s="262"/>
      <c r="FB99" s="262"/>
      <c r="FC99" s="262"/>
      <c r="FD99" s="262"/>
      <c r="FE99" s="262"/>
      <c r="FF99" s="262"/>
      <c r="FG99" s="262"/>
      <c r="FH99" s="262"/>
      <c r="FI99" s="262"/>
      <c r="FJ99" s="262"/>
      <c r="FK99" s="262"/>
      <c r="FL99" s="262"/>
      <c r="FM99" s="262"/>
      <c r="FN99" s="262"/>
      <c r="FO99" s="262"/>
      <c r="FP99" s="262"/>
      <c r="FQ99" s="262"/>
      <c r="FR99" s="262"/>
      <c r="FS99" s="262"/>
      <c r="FT99" s="262"/>
      <c r="FU99" s="262"/>
      <c r="FV99" s="262"/>
      <c r="FW99" s="262"/>
      <c r="FX99" s="262"/>
      <c r="FY99" s="262"/>
      <c r="FZ99" s="262"/>
      <c r="GA99" s="262"/>
      <c r="GB99" s="262"/>
      <c r="GC99" s="262"/>
      <c r="GD99" s="262"/>
      <c r="GE99" s="262"/>
      <c r="GF99" s="262"/>
      <c r="GG99" s="262"/>
      <c r="GH99" s="262"/>
      <c r="GI99" s="262"/>
      <c r="GJ99" s="262"/>
      <c r="GK99" s="262"/>
      <c r="GL99" s="262"/>
      <c r="GM99" s="262"/>
      <c r="GN99" s="262"/>
      <c r="GO99" s="262"/>
      <c r="GP99" s="262"/>
      <c r="GQ99" s="262"/>
      <c r="GR99" s="262"/>
      <c r="GS99" s="262"/>
      <c r="GT99" s="262"/>
      <c r="GU99" s="262"/>
      <c r="GV99" s="262"/>
      <c r="GW99" s="262"/>
      <c r="GX99" s="262"/>
      <c r="GY99" s="262"/>
      <c r="GZ99" s="262"/>
      <c r="HA99" s="262"/>
      <c r="HB99" s="262"/>
      <c r="HC99" s="262"/>
      <c r="HD99" s="262"/>
      <c r="HE99" s="262"/>
      <c r="HF99" s="262"/>
      <c r="HG99" s="262"/>
      <c r="HH99" s="262"/>
      <c r="HI99" s="262"/>
      <c r="HJ99" s="262"/>
      <c r="HK99" s="262"/>
      <c r="HL99" s="262"/>
      <c r="HM99" s="262"/>
      <c r="HN99" s="262"/>
      <c r="HO99" s="262"/>
      <c r="HP99" s="262"/>
      <c r="HQ99" s="262"/>
      <c r="HR99" s="262"/>
      <c r="HS99" s="262"/>
      <c r="HT99" s="262"/>
      <c r="HU99" s="262"/>
      <c r="HV99" s="262"/>
      <c r="HW99" s="262"/>
      <c r="HX99" s="262"/>
      <c r="HY99" s="262"/>
      <c r="HZ99" s="262"/>
      <c r="IA99" s="262"/>
      <c r="IB99" s="262"/>
      <c r="IC99" s="262"/>
      <c r="ID99" s="262"/>
      <c r="IE99" s="262"/>
      <c r="IF99" s="262"/>
      <c r="IG99" s="262"/>
      <c r="IH99" s="262"/>
      <c r="II99" s="262"/>
      <c r="IJ99" s="262"/>
      <c r="IK99" s="262"/>
      <c r="IL99" s="262"/>
      <c r="IM99" s="262"/>
      <c r="IN99" s="262"/>
      <c r="IO99" s="262"/>
      <c r="IP99" s="262"/>
      <c r="IQ99" s="262"/>
      <c r="IR99" s="262"/>
      <c r="IS99" s="262"/>
      <c r="IT99" s="262"/>
      <c r="IU99" s="262"/>
    </row>
    <row r="100" ht="18" hidden="1" customHeight="1" spans="1:255">
      <c r="A100" s="267">
        <v>3024</v>
      </c>
      <c r="B100" s="269" t="s">
        <v>1479</v>
      </c>
      <c r="C100" s="225" t="s">
        <v>1380</v>
      </c>
      <c r="D100" s="230">
        <v>37929.8537576142</v>
      </c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62"/>
      <c r="BH100" s="262"/>
      <c r="BI100" s="262"/>
      <c r="BJ100" s="262"/>
      <c r="BK100" s="262"/>
      <c r="BL100" s="262"/>
      <c r="BM100" s="262"/>
      <c r="BN100" s="262"/>
      <c r="BO100" s="262"/>
      <c r="BP100" s="262"/>
      <c r="BQ100" s="262"/>
      <c r="BR100" s="262"/>
      <c r="BS100" s="262"/>
      <c r="BT100" s="262"/>
      <c r="BU100" s="262"/>
      <c r="BV100" s="262"/>
      <c r="BW100" s="262"/>
      <c r="BX100" s="262"/>
      <c r="BY100" s="262"/>
      <c r="BZ100" s="262"/>
      <c r="CA100" s="262"/>
      <c r="CB100" s="262"/>
      <c r="CC100" s="262"/>
      <c r="CD100" s="262"/>
      <c r="CE100" s="262"/>
      <c r="CF100" s="262"/>
      <c r="CG100" s="262"/>
      <c r="CH100" s="262"/>
      <c r="CI100" s="262"/>
      <c r="CJ100" s="262"/>
      <c r="CK100" s="262"/>
      <c r="CL100" s="262"/>
      <c r="CM100" s="262"/>
      <c r="CN100" s="262"/>
      <c r="CO100" s="262"/>
      <c r="CP100" s="262"/>
      <c r="CQ100" s="262"/>
      <c r="CR100" s="262"/>
      <c r="CS100" s="262"/>
      <c r="CT100" s="262"/>
      <c r="CU100" s="262"/>
      <c r="CV100" s="262"/>
      <c r="CW100" s="262"/>
      <c r="CX100" s="262"/>
      <c r="CY100" s="262"/>
      <c r="CZ100" s="262"/>
      <c r="DA100" s="262"/>
      <c r="DB100" s="262"/>
      <c r="DC100" s="262"/>
      <c r="DD100" s="262"/>
      <c r="DE100" s="262"/>
      <c r="DF100" s="262"/>
      <c r="DG100" s="262"/>
      <c r="DH100" s="262"/>
      <c r="DI100" s="262"/>
      <c r="DJ100" s="262"/>
      <c r="DK100" s="262"/>
      <c r="DL100" s="262"/>
      <c r="DM100" s="262"/>
      <c r="DN100" s="262"/>
      <c r="DO100" s="262"/>
      <c r="DP100" s="262"/>
      <c r="DQ100" s="262"/>
      <c r="DR100" s="262"/>
      <c r="DS100" s="262"/>
      <c r="DT100" s="262"/>
      <c r="DU100" s="262"/>
      <c r="DV100" s="262"/>
      <c r="DW100" s="262"/>
      <c r="DX100" s="262"/>
      <c r="DY100" s="262"/>
      <c r="DZ100" s="262"/>
      <c r="EA100" s="262"/>
      <c r="EB100" s="262"/>
      <c r="EC100" s="262"/>
      <c r="ED100" s="262"/>
      <c r="EE100" s="262"/>
      <c r="EF100" s="262"/>
      <c r="EG100" s="262"/>
      <c r="EH100" s="262"/>
      <c r="EI100" s="262"/>
      <c r="EJ100" s="262"/>
      <c r="EK100" s="262"/>
      <c r="EL100" s="262"/>
      <c r="EM100" s="262"/>
      <c r="EN100" s="262"/>
      <c r="EO100" s="262"/>
      <c r="EP100" s="262"/>
      <c r="EQ100" s="262"/>
      <c r="ER100" s="262"/>
      <c r="ES100" s="262"/>
      <c r="ET100" s="262"/>
      <c r="EU100" s="262"/>
      <c r="EV100" s="262"/>
      <c r="EW100" s="262"/>
      <c r="EX100" s="262"/>
      <c r="EY100" s="262"/>
      <c r="EZ100" s="262"/>
      <c r="FA100" s="262"/>
      <c r="FB100" s="262"/>
      <c r="FC100" s="262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/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2"/>
      <c r="IM100" s="262"/>
      <c r="IN100" s="262"/>
      <c r="IO100" s="262"/>
      <c r="IP100" s="262"/>
      <c r="IQ100" s="262"/>
      <c r="IR100" s="262"/>
      <c r="IS100" s="262"/>
      <c r="IT100" s="262"/>
      <c r="IU100" s="262"/>
    </row>
    <row r="101" ht="18" hidden="1" customHeight="1" spans="1:255">
      <c r="A101" s="267">
        <v>3024</v>
      </c>
      <c r="B101" s="269" t="s">
        <v>1480</v>
      </c>
      <c r="C101" s="225" t="s">
        <v>1380</v>
      </c>
      <c r="D101" s="230">
        <v>38652.6085172369</v>
      </c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62"/>
      <c r="BH101" s="262"/>
      <c r="BI101" s="262"/>
      <c r="BJ101" s="262"/>
      <c r="BK101" s="262"/>
      <c r="BL101" s="262"/>
      <c r="BM101" s="262"/>
      <c r="BN101" s="262"/>
      <c r="BO101" s="262"/>
      <c r="BP101" s="262"/>
      <c r="BQ101" s="262"/>
      <c r="BR101" s="262"/>
      <c r="BS101" s="262"/>
      <c r="BT101" s="262"/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2"/>
      <c r="DK101" s="262"/>
      <c r="DL101" s="262"/>
      <c r="DM101" s="262"/>
      <c r="DN101" s="262"/>
      <c r="DO101" s="262"/>
      <c r="DP101" s="262"/>
      <c r="DQ101" s="262"/>
      <c r="DR101" s="262"/>
      <c r="DS101" s="262"/>
      <c r="DT101" s="262"/>
      <c r="DU101" s="262"/>
      <c r="DV101" s="262"/>
      <c r="DW101" s="262"/>
      <c r="DX101" s="262"/>
      <c r="DY101" s="262"/>
      <c r="DZ101" s="262"/>
      <c r="EA101" s="262"/>
      <c r="EB101" s="262"/>
      <c r="EC101" s="262"/>
      <c r="ED101" s="262"/>
      <c r="EE101" s="262"/>
      <c r="EF101" s="262"/>
      <c r="EG101" s="262"/>
      <c r="EH101" s="262"/>
      <c r="EI101" s="262"/>
      <c r="EJ101" s="262"/>
      <c r="EK101" s="262"/>
      <c r="EL101" s="262"/>
      <c r="EM101" s="262"/>
      <c r="EN101" s="262"/>
      <c r="EO101" s="262"/>
      <c r="EP101" s="262"/>
      <c r="EQ101" s="262"/>
      <c r="ER101" s="262"/>
      <c r="ES101" s="262"/>
      <c r="ET101" s="262"/>
      <c r="EU101" s="262"/>
      <c r="EV101" s="262"/>
      <c r="EW101" s="262"/>
      <c r="EX101" s="262"/>
      <c r="EY101" s="262"/>
      <c r="EZ101" s="262"/>
      <c r="FA101" s="262"/>
      <c r="FB101" s="262"/>
      <c r="FC101" s="262"/>
      <c r="FD101" s="262"/>
      <c r="FE101" s="262"/>
      <c r="FF101" s="262"/>
      <c r="FG101" s="262"/>
      <c r="FH101" s="262"/>
      <c r="FI101" s="262"/>
      <c r="FJ101" s="262"/>
      <c r="FK101" s="262"/>
      <c r="FL101" s="262"/>
      <c r="FM101" s="262"/>
      <c r="FN101" s="262"/>
      <c r="FO101" s="262"/>
      <c r="FP101" s="262"/>
      <c r="FQ101" s="262"/>
      <c r="FR101" s="262"/>
      <c r="FS101" s="262"/>
      <c r="FT101" s="262"/>
      <c r="FU101" s="262"/>
      <c r="FV101" s="262"/>
      <c r="FW101" s="262"/>
      <c r="FX101" s="262"/>
      <c r="FY101" s="262"/>
      <c r="FZ101" s="262"/>
      <c r="GA101" s="262"/>
      <c r="GB101" s="262"/>
      <c r="GC101" s="262"/>
      <c r="GD101" s="262"/>
      <c r="GE101" s="262"/>
      <c r="GF101" s="262"/>
      <c r="GG101" s="262"/>
      <c r="GH101" s="262"/>
      <c r="GI101" s="262"/>
      <c r="GJ101" s="262"/>
      <c r="GK101" s="262"/>
      <c r="GL101" s="262"/>
      <c r="GM101" s="262"/>
      <c r="GN101" s="262"/>
      <c r="GO101" s="262"/>
      <c r="GP101" s="262"/>
      <c r="GQ101" s="262"/>
      <c r="GR101" s="262"/>
      <c r="GS101" s="262"/>
      <c r="GT101" s="262"/>
      <c r="GU101" s="262"/>
      <c r="GV101" s="262"/>
      <c r="GW101" s="262"/>
      <c r="GX101" s="262"/>
      <c r="GY101" s="262"/>
      <c r="GZ101" s="262"/>
      <c r="HA101" s="262"/>
      <c r="HB101" s="262"/>
      <c r="HC101" s="262"/>
      <c r="HD101" s="262"/>
      <c r="HE101" s="262"/>
      <c r="HF101" s="262"/>
      <c r="HG101" s="262"/>
      <c r="HH101" s="262"/>
      <c r="HI101" s="262"/>
      <c r="HJ101" s="262"/>
      <c r="HK101" s="262"/>
      <c r="HL101" s="262"/>
      <c r="HM101" s="262"/>
      <c r="HN101" s="262"/>
      <c r="HO101" s="262"/>
      <c r="HP101" s="262"/>
      <c r="HQ101" s="262"/>
      <c r="HR101" s="262"/>
      <c r="HS101" s="262"/>
      <c r="HT101" s="262"/>
      <c r="HU101" s="262"/>
      <c r="HV101" s="262"/>
      <c r="HW101" s="262"/>
      <c r="HX101" s="262"/>
      <c r="HY101" s="262"/>
      <c r="HZ101" s="262"/>
      <c r="IA101" s="262"/>
      <c r="IB101" s="262"/>
      <c r="IC101" s="262"/>
      <c r="ID101" s="262"/>
      <c r="IE101" s="262"/>
      <c r="IF101" s="262"/>
      <c r="IG101" s="262"/>
      <c r="IH101" s="262"/>
      <c r="II101" s="262"/>
      <c r="IJ101" s="262"/>
      <c r="IK101" s="262"/>
      <c r="IL101" s="262"/>
      <c r="IM101" s="262"/>
      <c r="IN101" s="262"/>
      <c r="IO101" s="262"/>
      <c r="IP101" s="262"/>
      <c r="IQ101" s="262"/>
      <c r="IR101" s="262"/>
      <c r="IS101" s="262"/>
      <c r="IT101" s="262"/>
      <c r="IU101" s="262"/>
    </row>
    <row r="102" ht="18" hidden="1" customHeight="1" spans="1:255">
      <c r="A102" s="267">
        <v>3025</v>
      </c>
      <c r="B102" s="269" t="s">
        <v>1481</v>
      </c>
      <c r="C102" s="225" t="s">
        <v>1380</v>
      </c>
      <c r="D102" s="230">
        <v>33532.6612609617</v>
      </c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2"/>
      <c r="S102" s="262"/>
      <c r="T102" s="262"/>
      <c r="U102" s="262"/>
      <c r="V102" s="262"/>
      <c r="W102" s="262"/>
      <c r="X102" s="262"/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62"/>
      <c r="BH102" s="262"/>
      <c r="BI102" s="262"/>
      <c r="BJ102" s="262"/>
      <c r="BK102" s="262"/>
      <c r="BL102" s="262"/>
      <c r="BM102" s="262"/>
      <c r="BN102" s="262"/>
      <c r="BO102" s="262"/>
      <c r="BP102" s="262"/>
      <c r="BQ102" s="262"/>
      <c r="BR102" s="262"/>
      <c r="BS102" s="262"/>
      <c r="BT102" s="262"/>
      <c r="BU102" s="262"/>
      <c r="BV102" s="262"/>
      <c r="BW102" s="262"/>
      <c r="BX102" s="262"/>
      <c r="BY102" s="262"/>
      <c r="BZ102" s="262"/>
      <c r="CA102" s="262"/>
      <c r="CB102" s="262"/>
      <c r="CC102" s="262"/>
      <c r="CD102" s="262"/>
      <c r="CE102" s="262"/>
      <c r="CF102" s="262"/>
      <c r="CG102" s="262"/>
      <c r="CH102" s="262"/>
      <c r="CI102" s="262"/>
      <c r="CJ102" s="262"/>
      <c r="CK102" s="262"/>
      <c r="CL102" s="262"/>
      <c r="CM102" s="262"/>
      <c r="CN102" s="262"/>
      <c r="CO102" s="262"/>
      <c r="CP102" s="262"/>
      <c r="CQ102" s="262"/>
      <c r="CR102" s="262"/>
      <c r="CS102" s="262"/>
      <c r="CT102" s="262"/>
      <c r="CU102" s="262"/>
      <c r="CV102" s="262"/>
      <c r="CW102" s="262"/>
      <c r="CX102" s="262"/>
      <c r="CY102" s="262"/>
      <c r="CZ102" s="262"/>
      <c r="DA102" s="262"/>
      <c r="DB102" s="262"/>
      <c r="DC102" s="262"/>
      <c r="DD102" s="262"/>
      <c r="DE102" s="262"/>
      <c r="DF102" s="262"/>
      <c r="DG102" s="262"/>
      <c r="DH102" s="262"/>
      <c r="DI102" s="262"/>
      <c r="DJ102" s="262"/>
      <c r="DK102" s="262"/>
      <c r="DL102" s="262"/>
      <c r="DM102" s="262"/>
      <c r="DN102" s="262"/>
      <c r="DO102" s="262"/>
      <c r="DP102" s="262"/>
      <c r="DQ102" s="262"/>
      <c r="DR102" s="262"/>
      <c r="DS102" s="262"/>
      <c r="DT102" s="262"/>
      <c r="DU102" s="262"/>
      <c r="DV102" s="262"/>
      <c r="DW102" s="262"/>
      <c r="DX102" s="262"/>
      <c r="DY102" s="262"/>
      <c r="DZ102" s="262"/>
      <c r="EA102" s="262"/>
      <c r="EB102" s="262"/>
      <c r="EC102" s="262"/>
      <c r="ED102" s="262"/>
      <c r="EE102" s="262"/>
      <c r="EF102" s="262"/>
      <c r="EG102" s="262"/>
      <c r="EH102" s="262"/>
      <c r="EI102" s="262"/>
      <c r="EJ102" s="262"/>
      <c r="EK102" s="262"/>
      <c r="EL102" s="262"/>
      <c r="EM102" s="262"/>
      <c r="EN102" s="262"/>
      <c r="EO102" s="262"/>
      <c r="EP102" s="262"/>
      <c r="EQ102" s="262"/>
      <c r="ER102" s="262"/>
      <c r="ES102" s="262"/>
      <c r="ET102" s="262"/>
      <c r="EU102" s="262"/>
      <c r="EV102" s="262"/>
      <c r="EW102" s="262"/>
      <c r="EX102" s="262"/>
      <c r="EY102" s="262"/>
      <c r="EZ102" s="262"/>
      <c r="FA102" s="262"/>
      <c r="FB102" s="262"/>
      <c r="FC102" s="262"/>
      <c r="FD102" s="262"/>
      <c r="FE102" s="262"/>
      <c r="FF102" s="262"/>
      <c r="FG102" s="262"/>
      <c r="FH102" s="262"/>
      <c r="FI102" s="262"/>
      <c r="FJ102" s="262"/>
      <c r="FK102" s="262"/>
      <c r="FL102" s="262"/>
      <c r="FM102" s="262"/>
      <c r="FN102" s="262"/>
      <c r="FO102" s="262"/>
      <c r="FP102" s="262"/>
      <c r="FQ102" s="262"/>
      <c r="FR102" s="262"/>
      <c r="FS102" s="262"/>
      <c r="FT102" s="262"/>
      <c r="FU102" s="262"/>
      <c r="FV102" s="262"/>
      <c r="FW102" s="262"/>
      <c r="FX102" s="262"/>
      <c r="FY102" s="262"/>
      <c r="FZ102" s="262"/>
      <c r="GA102" s="262"/>
      <c r="GB102" s="262"/>
      <c r="GC102" s="262"/>
      <c r="GD102" s="262"/>
      <c r="GE102" s="262"/>
      <c r="GF102" s="262"/>
      <c r="GG102" s="262"/>
      <c r="GH102" s="262"/>
      <c r="GI102" s="262"/>
      <c r="GJ102" s="262"/>
      <c r="GK102" s="262"/>
      <c r="GL102" s="262"/>
      <c r="GM102" s="262"/>
      <c r="GN102" s="262"/>
      <c r="GO102" s="262"/>
      <c r="GP102" s="262"/>
      <c r="GQ102" s="262"/>
      <c r="GR102" s="262"/>
      <c r="GS102" s="262"/>
      <c r="GT102" s="262"/>
      <c r="GU102" s="262"/>
      <c r="GV102" s="262"/>
      <c r="GW102" s="262"/>
      <c r="GX102" s="262"/>
      <c r="GY102" s="262"/>
      <c r="GZ102" s="262"/>
      <c r="HA102" s="262"/>
      <c r="HB102" s="262"/>
      <c r="HC102" s="262"/>
      <c r="HD102" s="262"/>
      <c r="HE102" s="262"/>
      <c r="HF102" s="262"/>
      <c r="HG102" s="262"/>
      <c r="HH102" s="262"/>
      <c r="HI102" s="262"/>
      <c r="HJ102" s="262"/>
      <c r="HK102" s="262"/>
      <c r="HL102" s="262"/>
      <c r="HM102" s="262"/>
      <c r="HN102" s="262"/>
      <c r="HO102" s="262"/>
      <c r="HP102" s="262"/>
      <c r="HQ102" s="262"/>
      <c r="HR102" s="262"/>
      <c r="HS102" s="262"/>
      <c r="HT102" s="262"/>
      <c r="HU102" s="262"/>
      <c r="HV102" s="262"/>
      <c r="HW102" s="262"/>
      <c r="HX102" s="262"/>
      <c r="HY102" s="262"/>
      <c r="HZ102" s="262"/>
      <c r="IA102" s="262"/>
      <c r="IB102" s="262"/>
      <c r="IC102" s="262"/>
      <c r="ID102" s="262"/>
      <c r="IE102" s="262"/>
      <c r="IF102" s="262"/>
      <c r="IG102" s="262"/>
      <c r="IH102" s="262"/>
      <c r="II102" s="262"/>
      <c r="IJ102" s="262"/>
      <c r="IK102" s="262"/>
      <c r="IL102" s="262"/>
      <c r="IM102" s="262"/>
      <c r="IN102" s="262"/>
      <c r="IO102" s="262"/>
      <c r="IP102" s="262"/>
      <c r="IQ102" s="262"/>
      <c r="IR102" s="262"/>
      <c r="IS102" s="262"/>
      <c r="IT102" s="262"/>
      <c r="IU102" s="262"/>
    </row>
    <row r="103" ht="18" hidden="1" customHeight="1" spans="1:255">
      <c r="A103" s="267">
        <v>3025</v>
      </c>
      <c r="B103" s="269" t="s">
        <v>1482</v>
      </c>
      <c r="C103" s="225" t="s">
        <v>1380</v>
      </c>
      <c r="D103" s="230">
        <v>34215.2629783831</v>
      </c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62"/>
      <c r="BH103" s="262"/>
      <c r="BI103" s="262"/>
      <c r="BJ103" s="262"/>
      <c r="BK103" s="262"/>
      <c r="BL103" s="262"/>
      <c r="BM103" s="262"/>
      <c r="BN103" s="262"/>
      <c r="BO103" s="262"/>
      <c r="BP103" s="262"/>
      <c r="BQ103" s="262"/>
      <c r="BR103" s="262"/>
      <c r="BS103" s="262"/>
      <c r="BT103" s="262"/>
      <c r="BU103" s="262"/>
      <c r="BV103" s="262"/>
      <c r="BW103" s="262"/>
      <c r="BX103" s="262"/>
      <c r="BY103" s="262"/>
      <c r="BZ103" s="262"/>
      <c r="CA103" s="262"/>
      <c r="CB103" s="262"/>
      <c r="CC103" s="262"/>
      <c r="CD103" s="262"/>
      <c r="CE103" s="262"/>
      <c r="CF103" s="262"/>
      <c r="CG103" s="262"/>
      <c r="CH103" s="262"/>
      <c r="CI103" s="262"/>
      <c r="CJ103" s="262"/>
      <c r="CK103" s="262"/>
      <c r="CL103" s="262"/>
      <c r="CM103" s="262"/>
      <c r="CN103" s="262"/>
      <c r="CO103" s="262"/>
      <c r="CP103" s="262"/>
      <c r="CQ103" s="262"/>
      <c r="CR103" s="262"/>
      <c r="CS103" s="262"/>
      <c r="CT103" s="262"/>
      <c r="CU103" s="262"/>
      <c r="CV103" s="262"/>
      <c r="CW103" s="262"/>
      <c r="CX103" s="262"/>
      <c r="CY103" s="262"/>
      <c r="CZ103" s="262"/>
      <c r="DA103" s="262"/>
      <c r="DB103" s="262"/>
      <c r="DC103" s="262"/>
      <c r="DD103" s="262"/>
      <c r="DE103" s="262"/>
      <c r="DF103" s="262"/>
      <c r="DG103" s="262"/>
      <c r="DH103" s="262"/>
      <c r="DI103" s="262"/>
      <c r="DJ103" s="262"/>
      <c r="DK103" s="262"/>
      <c r="DL103" s="262"/>
      <c r="DM103" s="262"/>
      <c r="DN103" s="262"/>
      <c r="DO103" s="262"/>
      <c r="DP103" s="262"/>
      <c r="DQ103" s="262"/>
      <c r="DR103" s="262"/>
      <c r="DS103" s="262"/>
      <c r="DT103" s="262"/>
      <c r="DU103" s="262"/>
      <c r="DV103" s="262"/>
      <c r="DW103" s="262"/>
      <c r="DX103" s="262"/>
      <c r="DY103" s="262"/>
      <c r="DZ103" s="262"/>
      <c r="EA103" s="262"/>
      <c r="EB103" s="262"/>
      <c r="EC103" s="262"/>
      <c r="ED103" s="262"/>
      <c r="EE103" s="262"/>
      <c r="EF103" s="262"/>
      <c r="EG103" s="262"/>
      <c r="EH103" s="262"/>
      <c r="EI103" s="262"/>
      <c r="EJ103" s="262"/>
      <c r="EK103" s="262"/>
      <c r="EL103" s="262"/>
      <c r="EM103" s="262"/>
      <c r="EN103" s="262"/>
      <c r="EO103" s="262"/>
      <c r="EP103" s="262"/>
      <c r="EQ103" s="262"/>
      <c r="ER103" s="262"/>
      <c r="ES103" s="262"/>
      <c r="ET103" s="262"/>
      <c r="EU103" s="262"/>
      <c r="EV103" s="262"/>
      <c r="EW103" s="262"/>
      <c r="EX103" s="262"/>
      <c r="EY103" s="262"/>
      <c r="EZ103" s="262"/>
      <c r="FA103" s="262"/>
      <c r="FB103" s="262"/>
      <c r="FC103" s="262"/>
      <c r="FD103" s="262"/>
      <c r="FE103" s="262"/>
      <c r="FF103" s="262"/>
      <c r="FG103" s="262"/>
      <c r="FH103" s="262"/>
      <c r="FI103" s="262"/>
      <c r="FJ103" s="262"/>
      <c r="FK103" s="262"/>
      <c r="FL103" s="262"/>
      <c r="FM103" s="262"/>
      <c r="FN103" s="262"/>
      <c r="FO103" s="262"/>
      <c r="FP103" s="262"/>
      <c r="FQ103" s="262"/>
      <c r="FR103" s="262"/>
      <c r="FS103" s="262"/>
      <c r="FT103" s="262"/>
      <c r="FU103" s="262"/>
      <c r="FV103" s="262"/>
      <c r="FW103" s="262"/>
      <c r="FX103" s="262"/>
      <c r="FY103" s="262"/>
      <c r="FZ103" s="262"/>
      <c r="GA103" s="262"/>
      <c r="GB103" s="262"/>
      <c r="GC103" s="262"/>
      <c r="GD103" s="262"/>
      <c r="GE103" s="262"/>
      <c r="GF103" s="262"/>
      <c r="GG103" s="262"/>
      <c r="GH103" s="262"/>
      <c r="GI103" s="262"/>
      <c r="GJ103" s="262"/>
      <c r="GK103" s="262"/>
      <c r="GL103" s="262"/>
      <c r="GM103" s="262"/>
      <c r="GN103" s="262"/>
      <c r="GO103" s="262"/>
      <c r="GP103" s="262"/>
      <c r="GQ103" s="262"/>
      <c r="GR103" s="262"/>
      <c r="GS103" s="262"/>
      <c r="GT103" s="262"/>
      <c r="GU103" s="262"/>
      <c r="GV103" s="262"/>
      <c r="GW103" s="262"/>
      <c r="GX103" s="262"/>
      <c r="GY103" s="262"/>
      <c r="GZ103" s="262"/>
      <c r="HA103" s="262"/>
      <c r="HB103" s="262"/>
      <c r="HC103" s="262"/>
      <c r="HD103" s="262"/>
      <c r="HE103" s="262"/>
      <c r="HF103" s="262"/>
      <c r="HG103" s="262"/>
      <c r="HH103" s="262"/>
      <c r="HI103" s="262"/>
      <c r="HJ103" s="262"/>
      <c r="HK103" s="262"/>
      <c r="HL103" s="262"/>
      <c r="HM103" s="262"/>
      <c r="HN103" s="262"/>
      <c r="HO103" s="262"/>
      <c r="HP103" s="262"/>
      <c r="HQ103" s="262"/>
      <c r="HR103" s="262"/>
      <c r="HS103" s="262"/>
      <c r="HT103" s="262"/>
      <c r="HU103" s="262"/>
      <c r="HV103" s="262"/>
      <c r="HW103" s="262"/>
      <c r="HX103" s="262"/>
      <c r="HY103" s="262"/>
      <c r="HZ103" s="262"/>
      <c r="IA103" s="262"/>
      <c r="IB103" s="262"/>
      <c r="IC103" s="262"/>
      <c r="ID103" s="262"/>
      <c r="IE103" s="262"/>
      <c r="IF103" s="262"/>
      <c r="IG103" s="262"/>
      <c r="IH103" s="262"/>
      <c r="II103" s="262"/>
      <c r="IJ103" s="262"/>
      <c r="IK103" s="262"/>
      <c r="IL103" s="262"/>
      <c r="IM103" s="262"/>
      <c r="IN103" s="262"/>
      <c r="IO103" s="262"/>
      <c r="IP103" s="262"/>
      <c r="IQ103" s="262"/>
      <c r="IR103" s="262"/>
      <c r="IS103" s="262"/>
      <c r="IT103" s="262"/>
      <c r="IU103" s="262"/>
    </row>
    <row r="104" ht="18" hidden="1" customHeight="1" spans="1:255">
      <c r="A104" s="267">
        <v>3049</v>
      </c>
      <c r="B104" s="269" t="s">
        <v>1483</v>
      </c>
      <c r="C104" s="225" t="s">
        <v>1380</v>
      </c>
      <c r="D104" s="230">
        <v>10624.7193232537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  <c r="Y104" s="262"/>
      <c r="Z104" s="262"/>
      <c r="AA104" s="262"/>
      <c r="AB104" s="262"/>
      <c r="AC104" s="262"/>
      <c r="AD104" s="262"/>
      <c r="AE104" s="262"/>
      <c r="AF104" s="262"/>
      <c r="AG104" s="262"/>
      <c r="AH104" s="262"/>
      <c r="AI104" s="262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62"/>
      <c r="BH104" s="262"/>
      <c r="BI104" s="262"/>
      <c r="BJ104" s="262"/>
      <c r="BK104" s="262"/>
      <c r="BL104" s="262"/>
      <c r="BM104" s="262"/>
      <c r="BN104" s="262"/>
      <c r="BO104" s="262"/>
      <c r="BP104" s="262"/>
      <c r="BQ104" s="262"/>
      <c r="BR104" s="262"/>
      <c r="BS104" s="262"/>
      <c r="BT104" s="262"/>
      <c r="BU104" s="262"/>
      <c r="BV104" s="262"/>
      <c r="BW104" s="262"/>
      <c r="BX104" s="262"/>
      <c r="BY104" s="262"/>
      <c r="BZ104" s="262"/>
      <c r="CA104" s="262"/>
      <c r="CB104" s="262"/>
      <c r="CC104" s="262"/>
      <c r="CD104" s="262"/>
      <c r="CE104" s="262"/>
      <c r="CF104" s="262"/>
      <c r="CG104" s="262"/>
      <c r="CH104" s="262"/>
      <c r="CI104" s="262"/>
      <c r="CJ104" s="262"/>
      <c r="CK104" s="262"/>
      <c r="CL104" s="262"/>
      <c r="CM104" s="262"/>
      <c r="CN104" s="262"/>
      <c r="CO104" s="262"/>
      <c r="CP104" s="262"/>
      <c r="CQ104" s="262"/>
      <c r="CR104" s="262"/>
      <c r="CS104" s="262"/>
      <c r="CT104" s="262"/>
      <c r="CU104" s="262"/>
      <c r="CV104" s="262"/>
      <c r="CW104" s="262"/>
      <c r="CX104" s="262"/>
      <c r="CY104" s="262"/>
      <c r="CZ104" s="262"/>
      <c r="DA104" s="262"/>
      <c r="DB104" s="262"/>
      <c r="DC104" s="262"/>
      <c r="DD104" s="262"/>
      <c r="DE104" s="262"/>
      <c r="DF104" s="262"/>
      <c r="DG104" s="262"/>
      <c r="DH104" s="262"/>
      <c r="DI104" s="262"/>
      <c r="DJ104" s="262"/>
      <c r="DK104" s="262"/>
      <c r="DL104" s="262"/>
      <c r="DM104" s="262"/>
      <c r="DN104" s="262"/>
      <c r="DO104" s="262"/>
      <c r="DP104" s="262"/>
      <c r="DQ104" s="262"/>
      <c r="DR104" s="262"/>
      <c r="DS104" s="262"/>
      <c r="DT104" s="262"/>
      <c r="DU104" s="262"/>
      <c r="DV104" s="262"/>
      <c r="DW104" s="262"/>
      <c r="DX104" s="262"/>
      <c r="DY104" s="262"/>
      <c r="DZ104" s="262"/>
      <c r="EA104" s="262"/>
      <c r="EB104" s="262"/>
      <c r="EC104" s="262"/>
      <c r="ED104" s="262"/>
      <c r="EE104" s="262"/>
      <c r="EF104" s="262"/>
      <c r="EG104" s="262"/>
      <c r="EH104" s="262"/>
      <c r="EI104" s="262"/>
      <c r="EJ104" s="262"/>
      <c r="EK104" s="262"/>
      <c r="EL104" s="262"/>
      <c r="EM104" s="262"/>
      <c r="EN104" s="262"/>
      <c r="EO104" s="262"/>
      <c r="EP104" s="262"/>
      <c r="EQ104" s="262"/>
      <c r="ER104" s="262"/>
      <c r="ES104" s="262"/>
      <c r="ET104" s="262"/>
      <c r="EU104" s="262"/>
      <c r="EV104" s="262"/>
      <c r="EW104" s="262"/>
      <c r="EX104" s="262"/>
      <c r="EY104" s="262"/>
      <c r="EZ104" s="262"/>
      <c r="FA104" s="262"/>
      <c r="FB104" s="262"/>
      <c r="FC104" s="262"/>
      <c r="FD104" s="262"/>
      <c r="FE104" s="262"/>
      <c r="FF104" s="262"/>
      <c r="FG104" s="262"/>
      <c r="FH104" s="262"/>
      <c r="FI104" s="262"/>
      <c r="FJ104" s="262"/>
      <c r="FK104" s="262"/>
      <c r="FL104" s="262"/>
      <c r="FM104" s="262"/>
      <c r="FN104" s="262"/>
      <c r="FO104" s="262"/>
      <c r="FP104" s="262"/>
      <c r="FQ104" s="262"/>
      <c r="FR104" s="262"/>
      <c r="FS104" s="262"/>
      <c r="FT104" s="262"/>
      <c r="FU104" s="262"/>
      <c r="FV104" s="262"/>
      <c r="FW104" s="262"/>
      <c r="FX104" s="262"/>
      <c r="FY104" s="262"/>
      <c r="FZ104" s="262"/>
      <c r="GA104" s="262"/>
      <c r="GB104" s="262"/>
      <c r="GC104" s="262"/>
      <c r="GD104" s="262"/>
      <c r="GE104" s="262"/>
      <c r="GF104" s="262"/>
      <c r="GG104" s="262"/>
      <c r="GH104" s="262"/>
      <c r="GI104" s="262"/>
      <c r="GJ104" s="262"/>
      <c r="GK104" s="262"/>
      <c r="GL104" s="262"/>
      <c r="GM104" s="262"/>
      <c r="GN104" s="262"/>
      <c r="GO104" s="262"/>
      <c r="GP104" s="262"/>
      <c r="GQ104" s="262"/>
      <c r="GR104" s="262"/>
      <c r="GS104" s="262"/>
      <c r="GT104" s="262"/>
      <c r="GU104" s="262"/>
      <c r="GV104" s="262"/>
      <c r="GW104" s="262"/>
      <c r="GX104" s="262"/>
      <c r="GY104" s="262"/>
      <c r="GZ104" s="262"/>
      <c r="HA104" s="262"/>
      <c r="HB104" s="262"/>
      <c r="HC104" s="262"/>
      <c r="HD104" s="262"/>
      <c r="HE104" s="262"/>
      <c r="HF104" s="262"/>
      <c r="HG104" s="262"/>
      <c r="HH104" s="262"/>
      <c r="HI104" s="262"/>
      <c r="HJ104" s="262"/>
      <c r="HK104" s="262"/>
      <c r="HL104" s="262"/>
      <c r="HM104" s="262"/>
      <c r="HN104" s="262"/>
      <c r="HO104" s="262"/>
      <c r="HP104" s="262"/>
      <c r="HQ104" s="262"/>
      <c r="HR104" s="262"/>
      <c r="HS104" s="262"/>
      <c r="HT104" s="262"/>
      <c r="HU104" s="262"/>
      <c r="HV104" s="262"/>
      <c r="HW104" s="262"/>
      <c r="HX104" s="262"/>
      <c r="HY104" s="262"/>
      <c r="HZ104" s="262"/>
      <c r="IA104" s="262"/>
      <c r="IB104" s="262"/>
      <c r="IC104" s="262"/>
      <c r="ID104" s="262"/>
      <c r="IE104" s="262"/>
      <c r="IF104" s="262"/>
      <c r="IG104" s="262"/>
      <c r="IH104" s="262"/>
      <c r="II104" s="262"/>
      <c r="IJ104" s="262"/>
      <c r="IK104" s="262"/>
      <c r="IL104" s="262"/>
      <c r="IM104" s="262"/>
      <c r="IN104" s="262"/>
      <c r="IO104" s="262"/>
      <c r="IP104" s="262"/>
      <c r="IQ104" s="262"/>
      <c r="IR104" s="262"/>
      <c r="IS104" s="262"/>
      <c r="IT104" s="262"/>
      <c r="IU104" s="262"/>
    </row>
    <row r="105" ht="18" hidden="1" customHeight="1" spans="1:255">
      <c r="A105" s="267">
        <v>3050</v>
      </c>
      <c r="B105" s="269" t="s">
        <v>1484</v>
      </c>
      <c r="C105" s="225" t="s">
        <v>1380</v>
      </c>
      <c r="D105" s="230">
        <v>13419.1356917995</v>
      </c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  <c r="Y105" s="262"/>
      <c r="Z105" s="262"/>
      <c r="AA105" s="262"/>
      <c r="AB105" s="262"/>
      <c r="AC105" s="262"/>
      <c r="AD105" s="262"/>
      <c r="AE105" s="262"/>
      <c r="AF105" s="262"/>
      <c r="AG105" s="262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62"/>
      <c r="BH105" s="262"/>
      <c r="BI105" s="262"/>
      <c r="BJ105" s="262"/>
      <c r="BK105" s="262"/>
      <c r="BL105" s="262"/>
      <c r="BM105" s="262"/>
      <c r="BN105" s="262"/>
      <c r="BO105" s="262"/>
      <c r="BP105" s="262"/>
      <c r="BQ105" s="262"/>
      <c r="BR105" s="262"/>
      <c r="BS105" s="262"/>
      <c r="BT105" s="262"/>
      <c r="BU105" s="262"/>
      <c r="BV105" s="262"/>
      <c r="BW105" s="262"/>
      <c r="BX105" s="262"/>
      <c r="BY105" s="262"/>
      <c r="BZ105" s="262"/>
      <c r="CA105" s="262"/>
      <c r="CB105" s="262"/>
      <c r="CC105" s="262"/>
      <c r="CD105" s="262"/>
      <c r="CE105" s="262"/>
      <c r="CF105" s="262"/>
      <c r="CG105" s="262"/>
      <c r="CH105" s="262"/>
      <c r="CI105" s="262"/>
      <c r="CJ105" s="262"/>
      <c r="CK105" s="262"/>
      <c r="CL105" s="262"/>
      <c r="CM105" s="262"/>
      <c r="CN105" s="262"/>
      <c r="CO105" s="262"/>
      <c r="CP105" s="262"/>
      <c r="CQ105" s="262"/>
      <c r="CR105" s="262"/>
      <c r="CS105" s="262"/>
      <c r="CT105" s="262"/>
      <c r="CU105" s="262"/>
      <c r="CV105" s="262"/>
      <c r="CW105" s="262"/>
      <c r="CX105" s="262"/>
      <c r="CY105" s="262"/>
      <c r="CZ105" s="262"/>
      <c r="DA105" s="262"/>
      <c r="DB105" s="262"/>
      <c r="DC105" s="262"/>
      <c r="DD105" s="262"/>
      <c r="DE105" s="262"/>
      <c r="DF105" s="262"/>
      <c r="DG105" s="262"/>
      <c r="DH105" s="262"/>
      <c r="DI105" s="262"/>
      <c r="DJ105" s="262"/>
      <c r="DK105" s="262"/>
      <c r="DL105" s="262"/>
      <c r="DM105" s="262"/>
      <c r="DN105" s="262"/>
      <c r="DO105" s="262"/>
      <c r="DP105" s="262"/>
      <c r="DQ105" s="262"/>
      <c r="DR105" s="262"/>
      <c r="DS105" s="262"/>
      <c r="DT105" s="262"/>
      <c r="DU105" s="262"/>
      <c r="DV105" s="262"/>
      <c r="DW105" s="262"/>
      <c r="DX105" s="262"/>
      <c r="DY105" s="262"/>
      <c r="DZ105" s="262"/>
      <c r="EA105" s="262"/>
      <c r="EB105" s="262"/>
      <c r="EC105" s="262"/>
      <c r="ED105" s="262"/>
      <c r="EE105" s="262"/>
      <c r="EF105" s="262"/>
      <c r="EG105" s="262"/>
      <c r="EH105" s="262"/>
      <c r="EI105" s="262"/>
      <c r="EJ105" s="262"/>
      <c r="EK105" s="262"/>
      <c r="EL105" s="262"/>
      <c r="EM105" s="262"/>
      <c r="EN105" s="262"/>
      <c r="EO105" s="262"/>
      <c r="EP105" s="262"/>
      <c r="EQ105" s="262"/>
      <c r="ER105" s="262"/>
      <c r="ES105" s="262"/>
      <c r="ET105" s="262"/>
      <c r="EU105" s="262"/>
      <c r="EV105" s="262"/>
      <c r="EW105" s="262"/>
      <c r="EX105" s="262"/>
      <c r="EY105" s="262"/>
      <c r="EZ105" s="262"/>
      <c r="FA105" s="262"/>
      <c r="FB105" s="262"/>
      <c r="FC105" s="262"/>
      <c r="FD105" s="262"/>
      <c r="FE105" s="262"/>
      <c r="FF105" s="262"/>
      <c r="FG105" s="262"/>
      <c r="FH105" s="262"/>
      <c r="FI105" s="262"/>
      <c r="FJ105" s="262"/>
      <c r="FK105" s="262"/>
      <c r="FL105" s="262"/>
      <c r="FM105" s="262"/>
      <c r="FN105" s="262"/>
      <c r="FO105" s="262"/>
      <c r="FP105" s="262"/>
      <c r="FQ105" s="262"/>
      <c r="FR105" s="262"/>
      <c r="FS105" s="262"/>
      <c r="FT105" s="262"/>
      <c r="FU105" s="262"/>
      <c r="FV105" s="262"/>
      <c r="FW105" s="262"/>
      <c r="FX105" s="262"/>
      <c r="FY105" s="262"/>
      <c r="FZ105" s="262"/>
      <c r="GA105" s="262"/>
      <c r="GB105" s="262"/>
      <c r="GC105" s="262"/>
      <c r="GD105" s="262"/>
      <c r="GE105" s="262"/>
      <c r="GF105" s="262"/>
      <c r="GG105" s="262"/>
      <c r="GH105" s="262"/>
      <c r="GI105" s="262"/>
      <c r="GJ105" s="262"/>
      <c r="GK105" s="262"/>
      <c r="GL105" s="262"/>
      <c r="GM105" s="262"/>
      <c r="GN105" s="262"/>
      <c r="GO105" s="262"/>
      <c r="GP105" s="262"/>
      <c r="GQ105" s="262"/>
      <c r="GR105" s="262"/>
      <c r="GS105" s="262"/>
      <c r="GT105" s="262"/>
      <c r="GU105" s="262"/>
      <c r="GV105" s="262"/>
      <c r="GW105" s="262"/>
      <c r="GX105" s="262"/>
      <c r="GY105" s="262"/>
      <c r="GZ105" s="262"/>
      <c r="HA105" s="262"/>
      <c r="HB105" s="262"/>
      <c r="HC105" s="262"/>
      <c r="HD105" s="262"/>
      <c r="HE105" s="262"/>
      <c r="HF105" s="262"/>
      <c r="HG105" s="262"/>
      <c r="HH105" s="262"/>
      <c r="HI105" s="262"/>
      <c r="HJ105" s="262"/>
      <c r="HK105" s="262"/>
      <c r="HL105" s="262"/>
      <c r="HM105" s="262"/>
      <c r="HN105" s="262"/>
      <c r="HO105" s="262"/>
      <c r="HP105" s="262"/>
      <c r="HQ105" s="262"/>
      <c r="HR105" s="262"/>
      <c r="HS105" s="262"/>
      <c r="HT105" s="262"/>
      <c r="HU105" s="262"/>
      <c r="HV105" s="262"/>
      <c r="HW105" s="262"/>
      <c r="HX105" s="262"/>
      <c r="HY105" s="262"/>
      <c r="HZ105" s="262"/>
      <c r="IA105" s="262"/>
      <c r="IB105" s="262"/>
      <c r="IC105" s="262"/>
      <c r="ID105" s="262"/>
      <c r="IE105" s="262"/>
      <c r="IF105" s="262"/>
      <c r="IG105" s="262"/>
      <c r="IH105" s="262"/>
      <c r="II105" s="262"/>
      <c r="IJ105" s="262"/>
      <c r="IK105" s="262"/>
      <c r="IL105" s="262"/>
      <c r="IM105" s="262"/>
      <c r="IN105" s="262"/>
      <c r="IO105" s="262"/>
      <c r="IP105" s="262"/>
      <c r="IQ105" s="262"/>
      <c r="IR105" s="262"/>
      <c r="IS105" s="262"/>
      <c r="IT105" s="262"/>
      <c r="IU105" s="262"/>
    </row>
    <row r="106" ht="18" hidden="1" customHeight="1" spans="1:255">
      <c r="A106" s="267">
        <v>3051</v>
      </c>
      <c r="B106" s="269" t="s">
        <v>1485</v>
      </c>
      <c r="C106" s="225" t="s">
        <v>1380</v>
      </c>
      <c r="D106" s="230">
        <v>10867.356599856</v>
      </c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62"/>
      <c r="BH106" s="262"/>
      <c r="BI106" s="262"/>
      <c r="BJ106" s="262"/>
      <c r="BK106" s="262"/>
      <c r="BL106" s="262"/>
      <c r="BM106" s="262"/>
      <c r="BN106" s="262"/>
      <c r="BO106" s="262"/>
      <c r="BP106" s="262"/>
      <c r="BQ106" s="262"/>
      <c r="BR106" s="262"/>
      <c r="BS106" s="262"/>
      <c r="BT106" s="262"/>
      <c r="BU106" s="262"/>
      <c r="BV106" s="262"/>
      <c r="BW106" s="262"/>
      <c r="BX106" s="262"/>
      <c r="BY106" s="262"/>
      <c r="BZ106" s="262"/>
      <c r="CA106" s="262"/>
      <c r="CB106" s="262"/>
      <c r="CC106" s="262"/>
      <c r="CD106" s="262"/>
      <c r="CE106" s="262"/>
      <c r="CF106" s="262"/>
      <c r="CG106" s="262"/>
      <c r="CH106" s="262"/>
      <c r="CI106" s="262"/>
      <c r="CJ106" s="262"/>
      <c r="CK106" s="262"/>
      <c r="CL106" s="262"/>
      <c r="CM106" s="262"/>
      <c r="CN106" s="262"/>
      <c r="CO106" s="262"/>
      <c r="CP106" s="262"/>
      <c r="CQ106" s="262"/>
      <c r="CR106" s="262"/>
      <c r="CS106" s="262"/>
      <c r="CT106" s="262"/>
      <c r="CU106" s="262"/>
      <c r="CV106" s="262"/>
      <c r="CW106" s="262"/>
      <c r="CX106" s="262"/>
      <c r="CY106" s="262"/>
      <c r="CZ106" s="262"/>
      <c r="DA106" s="262"/>
      <c r="DB106" s="262"/>
      <c r="DC106" s="262"/>
      <c r="DD106" s="262"/>
      <c r="DE106" s="262"/>
      <c r="DF106" s="262"/>
      <c r="DG106" s="262"/>
      <c r="DH106" s="262"/>
      <c r="DI106" s="262"/>
      <c r="DJ106" s="262"/>
      <c r="DK106" s="262"/>
      <c r="DL106" s="262"/>
      <c r="DM106" s="262"/>
      <c r="DN106" s="262"/>
      <c r="DO106" s="262"/>
      <c r="DP106" s="262"/>
      <c r="DQ106" s="262"/>
      <c r="DR106" s="262"/>
      <c r="DS106" s="262"/>
      <c r="DT106" s="262"/>
      <c r="DU106" s="262"/>
      <c r="DV106" s="262"/>
      <c r="DW106" s="262"/>
      <c r="DX106" s="262"/>
      <c r="DY106" s="262"/>
      <c r="DZ106" s="262"/>
      <c r="EA106" s="262"/>
      <c r="EB106" s="262"/>
      <c r="EC106" s="262"/>
      <c r="ED106" s="262"/>
      <c r="EE106" s="262"/>
      <c r="EF106" s="262"/>
      <c r="EG106" s="262"/>
      <c r="EH106" s="262"/>
      <c r="EI106" s="262"/>
      <c r="EJ106" s="262"/>
      <c r="EK106" s="262"/>
      <c r="EL106" s="262"/>
      <c r="EM106" s="262"/>
      <c r="EN106" s="262"/>
      <c r="EO106" s="262"/>
      <c r="EP106" s="262"/>
      <c r="EQ106" s="262"/>
      <c r="ER106" s="262"/>
      <c r="ES106" s="262"/>
      <c r="ET106" s="262"/>
      <c r="EU106" s="262"/>
      <c r="EV106" s="262"/>
      <c r="EW106" s="262"/>
      <c r="EX106" s="262"/>
      <c r="EY106" s="262"/>
      <c r="EZ106" s="262"/>
      <c r="FA106" s="262"/>
      <c r="FB106" s="262"/>
      <c r="FC106" s="262"/>
      <c r="FD106" s="262"/>
      <c r="FE106" s="262"/>
      <c r="FF106" s="262"/>
      <c r="FG106" s="262"/>
      <c r="FH106" s="262"/>
      <c r="FI106" s="262"/>
      <c r="FJ106" s="262"/>
      <c r="FK106" s="262"/>
      <c r="FL106" s="262"/>
      <c r="FM106" s="262"/>
      <c r="FN106" s="262"/>
      <c r="FO106" s="262"/>
      <c r="FP106" s="262"/>
      <c r="FQ106" s="262"/>
      <c r="FR106" s="262"/>
      <c r="FS106" s="262"/>
      <c r="FT106" s="262"/>
      <c r="FU106" s="262"/>
      <c r="FV106" s="262"/>
      <c r="FW106" s="262"/>
      <c r="FX106" s="262"/>
      <c r="FY106" s="262"/>
      <c r="FZ106" s="262"/>
      <c r="GA106" s="262"/>
      <c r="GB106" s="262"/>
      <c r="GC106" s="262"/>
      <c r="GD106" s="262"/>
      <c r="GE106" s="262"/>
      <c r="GF106" s="262"/>
      <c r="GG106" s="262"/>
      <c r="GH106" s="262"/>
      <c r="GI106" s="262"/>
      <c r="GJ106" s="262"/>
      <c r="GK106" s="262"/>
      <c r="GL106" s="262"/>
      <c r="GM106" s="262"/>
      <c r="GN106" s="262"/>
      <c r="GO106" s="262"/>
      <c r="GP106" s="262"/>
      <c r="GQ106" s="262"/>
      <c r="GR106" s="262"/>
      <c r="GS106" s="262"/>
      <c r="GT106" s="262"/>
      <c r="GU106" s="262"/>
      <c r="GV106" s="262"/>
      <c r="GW106" s="262"/>
      <c r="GX106" s="262"/>
      <c r="GY106" s="262"/>
      <c r="GZ106" s="262"/>
      <c r="HA106" s="262"/>
      <c r="HB106" s="262"/>
      <c r="HC106" s="262"/>
      <c r="HD106" s="262"/>
      <c r="HE106" s="262"/>
      <c r="HF106" s="262"/>
      <c r="HG106" s="262"/>
      <c r="HH106" s="262"/>
      <c r="HI106" s="262"/>
      <c r="HJ106" s="262"/>
      <c r="HK106" s="262"/>
      <c r="HL106" s="262"/>
      <c r="HM106" s="262"/>
      <c r="HN106" s="262"/>
      <c r="HO106" s="262"/>
      <c r="HP106" s="262"/>
      <c r="HQ106" s="262"/>
      <c r="HR106" s="262"/>
      <c r="HS106" s="262"/>
      <c r="HT106" s="262"/>
      <c r="HU106" s="262"/>
      <c r="HV106" s="262"/>
      <c r="HW106" s="262"/>
      <c r="HX106" s="262"/>
      <c r="HY106" s="262"/>
      <c r="HZ106" s="262"/>
      <c r="IA106" s="262"/>
      <c r="IB106" s="262"/>
      <c r="IC106" s="262"/>
      <c r="ID106" s="262"/>
      <c r="IE106" s="262"/>
      <c r="IF106" s="262"/>
      <c r="IG106" s="262"/>
      <c r="IH106" s="262"/>
      <c r="II106" s="262"/>
      <c r="IJ106" s="262"/>
      <c r="IK106" s="262"/>
      <c r="IL106" s="262"/>
      <c r="IM106" s="262"/>
      <c r="IN106" s="262"/>
      <c r="IO106" s="262"/>
      <c r="IP106" s="262"/>
      <c r="IQ106" s="262"/>
      <c r="IR106" s="262"/>
      <c r="IS106" s="262"/>
      <c r="IT106" s="262"/>
      <c r="IU106" s="262"/>
    </row>
    <row r="107" ht="18" hidden="1" customHeight="1" spans="1:255">
      <c r="A107" s="267">
        <v>3052</v>
      </c>
      <c r="B107" s="268" t="s">
        <v>1486</v>
      </c>
      <c r="C107" s="225" t="s">
        <v>1380</v>
      </c>
      <c r="D107" s="230">
        <v>13756.6693602488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  <c r="AH107" s="262"/>
      <c r="AI107" s="262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62"/>
      <c r="BH107" s="262"/>
      <c r="BI107" s="262"/>
      <c r="BJ107" s="262"/>
      <c r="BK107" s="262"/>
      <c r="BL107" s="262"/>
      <c r="BM107" s="262"/>
      <c r="BN107" s="262"/>
      <c r="BO107" s="262"/>
      <c r="BP107" s="262"/>
      <c r="BQ107" s="262"/>
      <c r="BR107" s="262"/>
      <c r="BS107" s="262"/>
      <c r="BT107" s="262"/>
      <c r="BU107" s="262"/>
      <c r="BV107" s="262"/>
      <c r="BW107" s="262"/>
      <c r="BX107" s="262"/>
      <c r="BY107" s="262"/>
      <c r="BZ107" s="262"/>
      <c r="CA107" s="262"/>
      <c r="CB107" s="262"/>
      <c r="CC107" s="262"/>
      <c r="CD107" s="262"/>
      <c r="CE107" s="262"/>
      <c r="CF107" s="262"/>
      <c r="CG107" s="262"/>
      <c r="CH107" s="262"/>
      <c r="CI107" s="262"/>
      <c r="CJ107" s="262"/>
      <c r="CK107" s="262"/>
      <c r="CL107" s="262"/>
      <c r="CM107" s="262"/>
      <c r="CN107" s="262"/>
      <c r="CO107" s="262"/>
      <c r="CP107" s="262"/>
      <c r="CQ107" s="262"/>
      <c r="CR107" s="262"/>
      <c r="CS107" s="262"/>
      <c r="CT107" s="262"/>
      <c r="CU107" s="262"/>
      <c r="CV107" s="262"/>
      <c r="CW107" s="262"/>
      <c r="CX107" s="262"/>
      <c r="CY107" s="262"/>
      <c r="CZ107" s="262"/>
      <c r="DA107" s="262"/>
      <c r="DB107" s="262"/>
      <c r="DC107" s="262"/>
      <c r="DD107" s="262"/>
      <c r="DE107" s="262"/>
      <c r="DF107" s="262"/>
      <c r="DG107" s="262"/>
      <c r="DH107" s="262"/>
      <c r="DI107" s="262"/>
      <c r="DJ107" s="262"/>
      <c r="DK107" s="262"/>
      <c r="DL107" s="262"/>
      <c r="DM107" s="262"/>
      <c r="DN107" s="262"/>
      <c r="DO107" s="262"/>
      <c r="DP107" s="262"/>
      <c r="DQ107" s="262"/>
      <c r="DR107" s="262"/>
      <c r="DS107" s="262"/>
      <c r="DT107" s="262"/>
      <c r="DU107" s="262"/>
      <c r="DV107" s="262"/>
      <c r="DW107" s="262"/>
      <c r="DX107" s="262"/>
      <c r="DY107" s="262"/>
      <c r="DZ107" s="262"/>
      <c r="EA107" s="262"/>
      <c r="EB107" s="262"/>
      <c r="EC107" s="262"/>
      <c r="ED107" s="262"/>
      <c r="EE107" s="262"/>
      <c r="EF107" s="262"/>
      <c r="EG107" s="262"/>
      <c r="EH107" s="262"/>
      <c r="EI107" s="262"/>
      <c r="EJ107" s="262"/>
      <c r="EK107" s="262"/>
      <c r="EL107" s="262"/>
      <c r="EM107" s="262"/>
      <c r="EN107" s="262"/>
      <c r="EO107" s="262"/>
      <c r="EP107" s="262"/>
      <c r="EQ107" s="262"/>
      <c r="ER107" s="262"/>
      <c r="ES107" s="262"/>
      <c r="ET107" s="262"/>
      <c r="EU107" s="262"/>
      <c r="EV107" s="262"/>
      <c r="EW107" s="262"/>
      <c r="EX107" s="262"/>
      <c r="EY107" s="262"/>
      <c r="EZ107" s="262"/>
      <c r="FA107" s="262"/>
      <c r="FB107" s="262"/>
      <c r="FC107" s="262"/>
      <c r="FD107" s="262"/>
      <c r="FE107" s="262"/>
      <c r="FF107" s="262"/>
      <c r="FG107" s="262"/>
      <c r="FH107" s="262"/>
      <c r="FI107" s="262"/>
      <c r="FJ107" s="262"/>
      <c r="FK107" s="262"/>
      <c r="FL107" s="262"/>
      <c r="FM107" s="262"/>
      <c r="FN107" s="262"/>
      <c r="FO107" s="262"/>
      <c r="FP107" s="262"/>
      <c r="FQ107" s="262"/>
      <c r="FR107" s="262"/>
      <c r="FS107" s="262"/>
      <c r="FT107" s="262"/>
      <c r="FU107" s="262"/>
      <c r="FV107" s="262"/>
      <c r="FW107" s="262"/>
      <c r="FX107" s="262"/>
      <c r="FY107" s="262"/>
      <c r="FZ107" s="262"/>
      <c r="GA107" s="262"/>
      <c r="GB107" s="262"/>
      <c r="GC107" s="262"/>
      <c r="GD107" s="262"/>
      <c r="GE107" s="262"/>
      <c r="GF107" s="262"/>
      <c r="GG107" s="262"/>
      <c r="GH107" s="262"/>
      <c r="GI107" s="262"/>
      <c r="GJ107" s="262"/>
      <c r="GK107" s="262"/>
      <c r="GL107" s="262"/>
      <c r="GM107" s="262"/>
      <c r="GN107" s="262"/>
      <c r="GO107" s="262"/>
      <c r="GP107" s="262"/>
      <c r="GQ107" s="262"/>
      <c r="GR107" s="262"/>
      <c r="GS107" s="262"/>
      <c r="GT107" s="262"/>
      <c r="GU107" s="262"/>
      <c r="GV107" s="262"/>
      <c r="GW107" s="262"/>
      <c r="GX107" s="262"/>
      <c r="GY107" s="262"/>
      <c r="GZ107" s="262"/>
      <c r="HA107" s="262"/>
      <c r="HB107" s="262"/>
      <c r="HC107" s="262"/>
      <c r="HD107" s="262"/>
      <c r="HE107" s="262"/>
      <c r="HF107" s="262"/>
      <c r="HG107" s="262"/>
      <c r="HH107" s="262"/>
      <c r="HI107" s="262"/>
      <c r="HJ107" s="262"/>
      <c r="HK107" s="262"/>
      <c r="HL107" s="262"/>
      <c r="HM107" s="262"/>
      <c r="HN107" s="262"/>
      <c r="HO107" s="262"/>
      <c r="HP107" s="262"/>
      <c r="HQ107" s="262"/>
      <c r="HR107" s="262"/>
      <c r="HS107" s="262"/>
      <c r="HT107" s="262"/>
      <c r="HU107" s="262"/>
      <c r="HV107" s="262"/>
      <c r="HW107" s="262"/>
      <c r="HX107" s="262"/>
      <c r="HY107" s="262"/>
      <c r="HZ107" s="262"/>
      <c r="IA107" s="262"/>
      <c r="IB107" s="262"/>
      <c r="IC107" s="262"/>
      <c r="ID107" s="262"/>
      <c r="IE107" s="262"/>
      <c r="IF107" s="262"/>
      <c r="IG107" s="262"/>
      <c r="IH107" s="262"/>
      <c r="II107" s="262"/>
      <c r="IJ107" s="262"/>
      <c r="IK107" s="262"/>
      <c r="IL107" s="262"/>
      <c r="IM107" s="262"/>
      <c r="IN107" s="262"/>
      <c r="IO107" s="262"/>
      <c r="IP107" s="262"/>
      <c r="IQ107" s="262"/>
      <c r="IR107" s="262"/>
      <c r="IS107" s="262"/>
      <c r="IT107" s="262"/>
      <c r="IU107" s="262"/>
    </row>
    <row r="108" ht="18" hidden="1" customHeight="1" spans="1:255">
      <c r="A108" s="267">
        <v>3052</v>
      </c>
      <c r="B108" s="268" t="s">
        <v>1487</v>
      </c>
      <c r="C108" s="225" t="s">
        <v>1380</v>
      </c>
      <c r="D108" s="230">
        <v>19722.8047526748</v>
      </c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62"/>
      <c r="BH108" s="262"/>
      <c r="BI108" s="262"/>
      <c r="BJ108" s="262"/>
      <c r="BK108" s="262"/>
      <c r="BL108" s="262"/>
      <c r="BM108" s="262"/>
      <c r="BN108" s="262"/>
      <c r="BO108" s="262"/>
      <c r="BP108" s="262"/>
      <c r="BQ108" s="262"/>
      <c r="BR108" s="262"/>
      <c r="BS108" s="262"/>
      <c r="BT108" s="262"/>
      <c r="BU108" s="262"/>
      <c r="BV108" s="262"/>
      <c r="BW108" s="262"/>
      <c r="BX108" s="262"/>
      <c r="BY108" s="262"/>
      <c r="BZ108" s="262"/>
      <c r="CA108" s="262"/>
      <c r="CB108" s="262"/>
      <c r="CC108" s="262"/>
      <c r="CD108" s="262"/>
      <c r="CE108" s="262"/>
      <c r="CF108" s="262"/>
      <c r="CG108" s="262"/>
      <c r="CH108" s="262"/>
      <c r="CI108" s="262"/>
      <c r="CJ108" s="262"/>
      <c r="CK108" s="262"/>
      <c r="CL108" s="262"/>
      <c r="CM108" s="262"/>
      <c r="CN108" s="262"/>
      <c r="CO108" s="262"/>
      <c r="CP108" s="262"/>
      <c r="CQ108" s="262"/>
      <c r="CR108" s="262"/>
      <c r="CS108" s="262"/>
      <c r="CT108" s="262"/>
      <c r="CU108" s="262"/>
      <c r="CV108" s="262"/>
      <c r="CW108" s="262"/>
      <c r="CX108" s="262"/>
      <c r="CY108" s="262"/>
      <c r="CZ108" s="262"/>
      <c r="DA108" s="262"/>
      <c r="DB108" s="262"/>
      <c r="DC108" s="262"/>
      <c r="DD108" s="262"/>
      <c r="DE108" s="262"/>
      <c r="DF108" s="262"/>
      <c r="DG108" s="262"/>
      <c r="DH108" s="262"/>
      <c r="DI108" s="262"/>
      <c r="DJ108" s="262"/>
      <c r="DK108" s="262"/>
      <c r="DL108" s="262"/>
      <c r="DM108" s="262"/>
      <c r="DN108" s="262"/>
      <c r="DO108" s="262"/>
      <c r="DP108" s="262"/>
      <c r="DQ108" s="262"/>
      <c r="DR108" s="262"/>
      <c r="DS108" s="262"/>
      <c r="DT108" s="262"/>
      <c r="DU108" s="262"/>
      <c r="DV108" s="262"/>
      <c r="DW108" s="262"/>
      <c r="DX108" s="262"/>
      <c r="DY108" s="262"/>
      <c r="DZ108" s="262"/>
      <c r="EA108" s="262"/>
      <c r="EB108" s="262"/>
      <c r="EC108" s="262"/>
      <c r="ED108" s="262"/>
      <c r="EE108" s="262"/>
      <c r="EF108" s="262"/>
      <c r="EG108" s="262"/>
      <c r="EH108" s="262"/>
      <c r="EI108" s="262"/>
      <c r="EJ108" s="262"/>
      <c r="EK108" s="262"/>
      <c r="EL108" s="262"/>
      <c r="EM108" s="262"/>
      <c r="EN108" s="262"/>
      <c r="EO108" s="262"/>
      <c r="EP108" s="262"/>
      <c r="EQ108" s="262"/>
      <c r="ER108" s="262"/>
      <c r="ES108" s="262"/>
      <c r="ET108" s="262"/>
      <c r="EU108" s="262"/>
      <c r="EV108" s="262"/>
      <c r="EW108" s="262"/>
      <c r="EX108" s="262"/>
      <c r="EY108" s="262"/>
      <c r="EZ108" s="262"/>
      <c r="FA108" s="262"/>
      <c r="FB108" s="262"/>
      <c r="FC108" s="262"/>
      <c r="FD108" s="262"/>
      <c r="FE108" s="262"/>
      <c r="FF108" s="262"/>
      <c r="FG108" s="262"/>
      <c r="FH108" s="262"/>
      <c r="FI108" s="262"/>
      <c r="FJ108" s="262"/>
      <c r="FK108" s="262"/>
      <c r="FL108" s="262"/>
      <c r="FM108" s="262"/>
      <c r="FN108" s="262"/>
      <c r="FO108" s="262"/>
      <c r="FP108" s="262"/>
      <c r="FQ108" s="262"/>
      <c r="FR108" s="262"/>
      <c r="FS108" s="262"/>
      <c r="FT108" s="262"/>
      <c r="FU108" s="262"/>
      <c r="FV108" s="262"/>
      <c r="FW108" s="262"/>
      <c r="FX108" s="262"/>
      <c r="FY108" s="262"/>
      <c r="FZ108" s="262"/>
      <c r="GA108" s="262"/>
      <c r="GB108" s="262"/>
      <c r="GC108" s="262"/>
      <c r="GD108" s="262"/>
      <c r="GE108" s="262"/>
      <c r="GF108" s="262"/>
      <c r="GG108" s="262"/>
      <c r="GH108" s="262"/>
      <c r="GI108" s="262"/>
      <c r="GJ108" s="262"/>
      <c r="GK108" s="262"/>
      <c r="GL108" s="262"/>
      <c r="GM108" s="262"/>
      <c r="GN108" s="262"/>
      <c r="GO108" s="262"/>
      <c r="GP108" s="262"/>
      <c r="GQ108" s="262"/>
      <c r="GR108" s="262"/>
      <c r="GS108" s="262"/>
      <c r="GT108" s="262"/>
      <c r="GU108" s="262"/>
      <c r="GV108" s="262"/>
      <c r="GW108" s="262"/>
      <c r="GX108" s="262"/>
      <c r="GY108" s="262"/>
      <c r="GZ108" s="262"/>
      <c r="HA108" s="262"/>
      <c r="HB108" s="262"/>
      <c r="HC108" s="262"/>
      <c r="HD108" s="262"/>
      <c r="HE108" s="262"/>
      <c r="HF108" s="262"/>
      <c r="HG108" s="262"/>
      <c r="HH108" s="262"/>
      <c r="HI108" s="262"/>
      <c r="HJ108" s="262"/>
      <c r="HK108" s="262"/>
      <c r="HL108" s="262"/>
      <c r="HM108" s="262"/>
      <c r="HN108" s="262"/>
      <c r="HO108" s="262"/>
      <c r="HP108" s="262"/>
      <c r="HQ108" s="262"/>
      <c r="HR108" s="262"/>
      <c r="HS108" s="262"/>
      <c r="HT108" s="262"/>
      <c r="HU108" s="262"/>
      <c r="HV108" s="262"/>
      <c r="HW108" s="262"/>
      <c r="HX108" s="262"/>
      <c r="HY108" s="262"/>
      <c r="HZ108" s="262"/>
      <c r="IA108" s="262"/>
      <c r="IB108" s="262"/>
      <c r="IC108" s="262"/>
      <c r="ID108" s="262"/>
      <c r="IE108" s="262"/>
      <c r="IF108" s="262"/>
      <c r="IG108" s="262"/>
      <c r="IH108" s="262"/>
      <c r="II108" s="262"/>
      <c r="IJ108" s="262"/>
      <c r="IK108" s="262"/>
      <c r="IL108" s="262"/>
      <c r="IM108" s="262"/>
      <c r="IN108" s="262"/>
      <c r="IO108" s="262"/>
      <c r="IP108" s="262"/>
      <c r="IQ108" s="262"/>
      <c r="IR108" s="262"/>
      <c r="IS108" s="262"/>
      <c r="IT108" s="262"/>
      <c r="IU108" s="262"/>
    </row>
    <row r="109" ht="18" hidden="1" customHeight="1" spans="1:255">
      <c r="A109" s="267">
        <v>3053</v>
      </c>
      <c r="B109" s="268" t="s">
        <v>1488</v>
      </c>
      <c r="C109" s="225" t="s">
        <v>1380</v>
      </c>
      <c r="D109" s="230">
        <v>13862.7641731236</v>
      </c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62"/>
      <c r="BH109" s="262"/>
      <c r="BI109" s="262"/>
      <c r="BJ109" s="262"/>
      <c r="BK109" s="262"/>
      <c r="BL109" s="262"/>
      <c r="BM109" s="262"/>
      <c r="BN109" s="262"/>
      <c r="BO109" s="262"/>
      <c r="BP109" s="262"/>
      <c r="BQ109" s="262"/>
      <c r="BR109" s="262"/>
      <c r="BS109" s="262"/>
      <c r="BT109" s="262"/>
      <c r="BU109" s="262"/>
      <c r="BV109" s="262"/>
      <c r="BW109" s="262"/>
      <c r="BX109" s="262"/>
      <c r="BY109" s="262"/>
      <c r="BZ109" s="262"/>
      <c r="CA109" s="262"/>
      <c r="CB109" s="262"/>
      <c r="CC109" s="262"/>
      <c r="CD109" s="262"/>
      <c r="CE109" s="262"/>
      <c r="CF109" s="262"/>
      <c r="CG109" s="262"/>
      <c r="CH109" s="262"/>
      <c r="CI109" s="262"/>
      <c r="CJ109" s="262"/>
      <c r="CK109" s="262"/>
      <c r="CL109" s="262"/>
      <c r="CM109" s="262"/>
      <c r="CN109" s="262"/>
      <c r="CO109" s="262"/>
      <c r="CP109" s="262"/>
      <c r="CQ109" s="262"/>
      <c r="CR109" s="262"/>
      <c r="CS109" s="262"/>
      <c r="CT109" s="262"/>
      <c r="CU109" s="262"/>
      <c r="CV109" s="262"/>
      <c r="CW109" s="262"/>
      <c r="CX109" s="262"/>
      <c r="CY109" s="262"/>
      <c r="CZ109" s="262"/>
      <c r="DA109" s="262"/>
      <c r="DB109" s="262"/>
      <c r="DC109" s="262"/>
      <c r="DD109" s="262"/>
      <c r="DE109" s="262"/>
      <c r="DF109" s="262"/>
      <c r="DG109" s="262"/>
      <c r="DH109" s="262"/>
      <c r="DI109" s="262"/>
      <c r="DJ109" s="262"/>
      <c r="DK109" s="262"/>
      <c r="DL109" s="262"/>
      <c r="DM109" s="262"/>
      <c r="DN109" s="262"/>
      <c r="DO109" s="262"/>
      <c r="DP109" s="262"/>
      <c r="DQ109" s="262"/>
      <c r="DR109" s="262"/>
      <c r="DS109" s="262"/>
      <c r="DT109" s="262"/>
      <c r="DU109" s="262"/>
      <c r="DV109" s="262"/>
      <c r="DW109" s="262"/>
      <c r="DX109" s="262"/>
      <c r="DY109" s="262"/>
      <c r="DZ109" s="262"/>
      <c r="EA109" s="262"/>
      <c r="EB109" s="262"/>
      <c r="EC109" s="262"/>
      <c r="ED109" s="262"/>
      <c r="EE109" s="262"/>
      <c r="EF109" s="262"/>
      <c r="EG109" s="262"/>
      <c r="EH109" s="262"/>
      <c r="EI109" s="262"/>
      <c r="EJ109" s="262"/>
      <c r="EK109" s="262"/>
      <c r="EL109" s="262"/>
      <c r="EM109" s="262"/>
      <c r="EN109" s="262"/>
      <c r="EO109" s="262"/>
      <c r="EP109" s="262"/>
      <c r="EQ109" s="262"/>
      <c r="ER109" s="262"/>
      <c r="ES109" s="262"/>
      <c r="ET109" s="262"/>
      <c r="EU109" s="262"/>
      <c r="EV109" s="262"/>
      <c r="EW109" s="262"/>
      <c r="EX109" s="262"/>
      <c r="EY109" s="262"/>
      <c r="EZ109" s="262"/>
      <c r="FA109" s="262"/>
      <c r="FB109" s="262"/>
      <c r="FC109" s="262"/>
      <c r="FD109" s="262"/>
      <c r="FE109" s="262"/>
      <c r="FF109" s="262"/>
      <c r="FG109" s="262"/>
      <c r="FH109" s="262"/>
      <c r="FI109" s="262"/>
      <c r="FJ109" s="262"/>
      <c r="FK109" s="262"/>
      <c r="FL109" s="262"/>
      <c r="FM109" s="262"/>
      <c r="FN109" s="262"/>
      <c r="FO109" s="262"/>
      <c r="FP109" s="262"/>
      <c r="FQ109" s="262"/>
      <c r="FR109" s="262"/>
      <c r="FS109" s="262"/>
      <c r="FT109" s="262"/>
      <c r="FU109" s="262"/>
      <c r="FV109" s="262"/>
      <c r="FW109" s="262"/>
      <c r="FX109" s="262"/>
      <c r="FY109" s="262"/>
      <c r="FZ109" s="262"/>
      <c r="GA109" s="262"/>
      <c r="GB109" s="262"/>
      <c r="GC109" s="262"/>
      <c r="GD109" s="262"/>
      <c r="GE109" s="262"/>
      <c r="GF109" s="262"/>
      <c r="GG109" s="262"/>
      <c r="GH109" s="262"/>
      <c r="GI109" s="262"/>
      <c r="GJ109" s="262"/>
      <c r="GK109" s="262"/>
      <c r="GL109" s="262"/>
      <c r="GM109" s="262"/>
      <c r="GN109" s="262"/>
      <c r="GO109" s="262"/>
      <c r="GP109" s="262"/>
      <c r="GQ109" s="262"/>
      <c r="GR109" s="262"/>
      <c r="GS109" s="262"/>
      <c r="GT109" s="262"/>
      <c r="GU109" s="262"/>
      <c r="GV109" s="262"/>
      <c r="GW109" s="262"/>
      <c r="GX109" s="262"/>
      <c r="GY109" s="262"/>
      <c r="GZ109" s="262"/>
      <c r="HA109" s="262"/>
      <c r="HB109" s="262"/>
      <c r="HC109" s="262"/>
      <c r="HD109" s="262"/>
      <c r="HE109" s="262"/>
      <c r="HF109" s="262"/>
      <c r="HG109" s="262"/>
      <c r="HH109" s="262"/>
      <c r="HI109" s="262"/>
      <c r="HJ109" s="262"/>
      <c r="HK109" s="262"/>
      <c r="HL109" s="262"/>
      <c r="HM109" s="262"/>
      <c r="HN109" s="262"/>
      <c r="HO109" s="262"/>
      <c r="HP109" s="262"/>
      <c r="HQ109" s="262"/>
      <c r="HR109" s="262"/>
      <c r="HS109" s="262"/>
      <c r="HT109" s="262"/>
      <c r="HU109" s="262"/>
      <c r="HV109" s="262"/>
      <c r="HW109" s="262"/>
      <c r="HX109" s="262"/>
      <c r="HY109" s="262"/>
      <c r="HZ109" s="262"/>
      <c r="IA109" s="262"/>
      <c r="IB109" s="262"/>
      <c r="IC109" s="262"/>
      <c r="ID109" s="262"/>
      <c r="IE109" s="262"/>
      <c r="IF109" s="262"/>
      <c r="IG109" s="262"/>
      <c r="IH109" s="262"/>
      <c r="II109" s="262"/>
      <c r="IJ109" s="262"/>
      <c r="IK109" s="262"/>
      <c r="IL109" s="262"/>
      <c r="IM109" s="262"/>
      <c r="IN109" s="262"/>
      <c r="IO109" s="262"/>
      <c r="IP109" s="262"/>
      <c r="IQ109" s="262"/>
      <c r="IR109" s="262"/>
      <c r="IS109" s="262"/>
      <c r="IT109" s="262"/>
      <c r="IU109" s="262"/>
    </row>
    <row r="110" ht="18" hidden="1" customHeight="1" spans="1:255">
      <c r="A110" s="267">
        <v>3053</v>
      </c>
      <c r="B110" s="268" t="s">
        <v>1489</v>
      </c>
      <c r="C110" s="225" t="s">
        <v>1380</v>
      </c>
      <c r="D110" s="230">
        <v>20200.9641576717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62"/>
      <c r="AF110" s="262"/>
      <c r="AG110" s="262"/>
      <c r="AH110" s="262"/>
      <c r="AI110" s="262"/>
      <c r="AJ110" s="262"/>
      <c r="AK110" s="262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62"/>
      <c r="BH110" s="262"/>
      <c r="BI110" s="262"/>
      <c r="BJ110" s="262"/>
      <c r="BK110" s="262"/>
      <c r="BL110" s="262"/>
      <c r="BM110" s="262"/>
      <c r="BN110" s="262"/>
      <c r="BO110" s="262"/>
      <c r="BP110" s="262"/>
      <c r="BQ110" s="262"/>
      <c r="BR110" s="262"/>
      <c r="BS110" s="262"/>
      <c r="BT110" s="262"/>
      <c r="BU110" s="262"/>
      <c r="BV110" s="262"/>
      <c r="BW110" s="262"/>
      <c r="BX110" s="262"/>
      <c r="BY110" s="262"/>
      <c r="BZ110" s="262"/>
      <c r="CA110" s="262"/>
      <c r="CB110" s="262"/>
      <c r="CC110" s="262"/>
      <c r="CD110" s="262"/>
      <c r="CE110" s="262"/>
      <c r="CF110" s="262"/>
      <c r="CG110" s="262"/>
      <c r="CH110" s="262"/>
      <c r="CI110" s="262"/>
      <c r="CJ110" s="262"/>
      <c r="CK110" s="262"/>
      <c r="CL110" s="262"/>
      <c r="CM110" s="262"/>
      <c r="CN110" s="262"/>
      <c r="CO110" s="262"/>
      <c r="CP110" s="262"/>
      <c r="CQ110" s="262"/>
      <c r="CR110" s="262"/>
      <c r="CS110" s="262"/>
      <c r="CT110" s="262"/>
      <c r="CU110" s="262"/>
      <c r="CV110" s="262"/>
      <c r="CW110" s="262"/>
      <c r="CX110" s="262"/>
      <c r="CY110" s="262"/>
      <c r="CZ110" s="262"/>
      <c r="DA110" s="262"/>
      <c r="DB110" s="262"/>
      <c r="DC110" s="262"/>
      <c r="DD110" s="262"/>
      <c r="DE110" s="262"/>
      <c r="DF110" s="262"/>
      <c r="DG110" s="262"/>
      <c r="DH110" s="262"/>
      <c r="DI110" s="262"/>
      <c r="DJ110" s="262"/>
      <c r="DK110" s="262"/>
      <c r="DL110" s="262"/>
      <c r="DM110" s="262"/>
      <c r="DN110" s="262"/>
      <c r="DO110" s="262"/>
      <c r="DP110" s="262"/>
      <c r="DQ110" s="262"/>
      <c r="DR110" s="262"/>
      <c r="DS110" s="262"/>
      <c r="DT110" s="262"/>
      <c r="DU110" s="262"/>
      <c r="DV110" s="262"/>
      <c r="DW110" s="262"/>
      <c r="DX110" s="262"/>
      <c r="DY110" s="262"/>
      <c r="DZ110" s="262"/>
      <c r="EA110" s="262"/>
      <c r="EB110" s="262"/>
      <c r="EC110" s="262"/>
      <c r="ED110" s="262"/>
      <c r="EE110" s="262"/>
      <c r="EF110" s="262"/>
      <c r="EG110" s="262"/>
      <c r="EH110" s="262"/>
      <c r="EI110" s="262"/>
      <c r="EJ110" s="262"/>
      <c r="EK110" s="262"/>
      <c r="EL110" s="262"/>
      <c r="EM110" s="262"/>
      <c r="EN110" s="262"/>
      <c r="EO110" s="262"/>
      <c r="EP110" s="262"/>
      <c r="EQ110" s="262"/>
      <c r="ER110" s="262"/>
      <c r="ES110" s="262"/>
      <c r="ET110" s="262"/>
      <c r="EU110" s="262"/>
      <c r="EV110" s="262"/>
      <c r="EW110" s="262"/>
      <c r="EX110" s="262"/>
      <c r="EY110" s="262"/>
      <c r="EZ110" s="262"/>
      <c r="FA110" s="262"/>
      <c r="FB110" s="262"/>
      <c r="FC110" s="262"/>
      <c r="FD110" s="262"/>
      <c r="FE110" s="262"/>
      <c r="FF110" s="262"/>
      <c r="FG110" s="262"/>
      <c r="FH110" s="262"/>
      <c r="FI110" s="262"/>
      <c r="FJ110" s="262"/>
      <c r="FK110" s="262"/>
      <c r="FL110" s="262"/>
      <c r="FM110" s="262"/>
      <c r="FN110" s="262"/>
      <c r="FO110" s="262"/>
      <c r="FP110" s="262"/>
      <c r="FQ110" s="262"/>
      <c r="FR110" s="262"/>
      <c r="FS110" s="262"/>
      <c r="FT110" s="262"/>
      <c r="FU110" s="262"/>
      <c r="FV110" s="262"/>
      <c r="FW110" s="262"/>
      <c r="FX110" s="262"/>
      <c r="FY110" s="262"/>
      <c r="FZ110" s="262"/>
      <c r="GA110" s="262"/>
      <c r="GB110" s="262"/>
      <c r="GC110" s="262"/>
      <c r="GD110" s="262"/>
      <c r="GE110" s="262"/>
      <c r="GF110" s="262"/>
      <c r="GG110" s="262"/>
      <c r="GH110" s="262"/>
      <c r="GI110" s="262"/>
      <c r="GJ110" s="262"/>
      <c r="GK110" s="262"/>
      <c r="GL110" s="262"/>
      <c r="GM110" s="262"/>
      <c r="GN110" s="262"/>
      <c r="GO110" s="262"/>
      <c r="GP110" s="262"/>
      <c r="GQ110" s="262"/>
      <c r="GR110" s="262"/>
      <c r="GS110" s="262"/>
      <c r="GT110" s="262"/>
      <c r="GU110" s="262"/>
      <c r="GV110" s="262"/>
      <c r="GW110" s="262"/>
      <c r="GX110" s="262"/>
      <c r="GY110" s="262"/>
      <c r="GZ110" s="262"/>
      <c r="HA110" s="262"/>
      <c r="HB110" s="262"/>
      <c r="HC110" s="262"/>
      <c r="HD110" s="262"/>
      <c r="HE110" s="262"/>
      <c r="HF110" s="262"/>
      <c r="HG110" s="262"/>
      <c r="HH110" s="262"/>
      <c r="HI110" s="262"/>
      <c r="HJ110" s="262"/>
      <c r="HK110" s="262"/>
      <c r="HL110" s="262"/>
      <c r="HM110" s="262"/>
      <c r="HN110" s="262"/>
      <c r="HO110" s="262"/>
      <c r="HP110" s="262"/>
      <c r="HQ110" s="262"/>
      <c r="HR110" s="262"/>
      <c r="HS110" s="262"/>
      <c r="HT110" s="262"/>
      <c r="HU110" s="262"/>
      <c r="HV110" s="262"/>
      <c r="HW110" s="262"/>
      <c r="HX110" s="262"/>
      <c r="HY110" s="262"/>
      <c r="HZ110" s="262"/>
      <c r="IA110" s="262"/>
      <c r="IB110" s="262"/>
      <c r="IC110" s="262"/>
      <c r="ID110" s="262"/>
      <c r="IE110" s="262"/>
      <c r="IF110" s="262"/>
      <c r="IG110" s="262"/>
      <c r="IH110" s="262"/>
      <c r="II110" s="262"/>
      <c r="IJ110" s="262"/>
      <c r="IK110" s="262"/>
      <c r="IL110" s="262"/>
      <c r="IM110" s="262"/>
      <c r="IN110" s="262"/>
      <c r="IO110" s="262"/>
      <c r="IP110" s="262"/>
      <c r="IQ110" s="262"/>
      <c r="IR110" s="262"/>
      <c r="IS110" s="262"/>
      <c r="IT110" s="262"/>
      <c r="IU110" s="262"/>
    </row>
    <row r="111" ht="18" hidden="1" customHeight="1" spans="1:255">
      <c r="A111" s="267">
        <v>3054</v>
      </c>
      <c r="B111" s="268" t="s">
        <v>1490</v>
      </c>
      <c r="C111" s="225" t="s">
        <v>1380</v>
      </c>
      <c r="D111" s="230">
        <v>14155.6939915289</v>
      </c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62"/>
      <c r="BP111" s="262"/>
      <c r="BQ111" s="262"/>
      <c r="BR111" s="262"/>
      <c r="BS111" s="262"/>
      <c r="BT111" s="262"/>
      <c r="BU111" s="262"/>
      <c r="BV111" s="262"/>
      <c r="BW111" s="262"/>
      <c r="BX111" s="262"/>
      <c r="BY111" s="262"/>
      <c r="BZ111" s="262"/>
      <c r="CA111" s="262"/>
      <c r="CB111" s="262"/>
      <c r="CC111" s="262"/>
      <c r="CD111" s="262"/>
      <c r="CE111" s="262"/>
      <c r="CF111" s="262"/>
      <c r="CG111" s="262"/>
      <c r="CH111" s="262"/>
      <c r="CI111" s="262"/>
      <c r="CJ111" s="262"/>
      <c r="CK111" s="262"/>
      <c r="CL111" s="262"/>
      <c r="CM111" s="262"/>
      <c r="CN111" s="262"/>
      <c r="CO111" s="262"/>
      <c r="CP111" s="262"/>
      <c r="CQ111" s="262"/>
      <c r="CR111" s="262"/>
      <c r="CS111" s="262"/>
      <c r="CT111" s="262"/>
      <c r="CU111" s="262"/>
      <c r="CV111" s="262"/>
      <c r="CW111" s="262"/>
      <c r="CX111" s="262"/>
      <c r="CY111" s="262"/>
      <c r="CZ111" s="262"/>
      <c r="DA111" s="262"/>
      <c r="DB111" s="262"/>
      <c r="DC111" s="262"/>
      <c r="DD111" s="262"/>
      <c r="DE111" s="262"/>
      <c r="DF111" s="262"/>
      <c r="DG111" s="262"/>
      <c r="DH111" s="262"/>
      <c r="DI111" s="262"/>
      <c r="DJ111" s="262"/>
      <c r="DK111" s="262"/>
      <c r="DL111" s="262"/>
      <c r="DM111" s="262"/>
      <c r="DN111" s="262"/>
      <c r="DO111" s="262"/>
      <c r="DP111" s="262"/>
      <c r="DQ111" s="262"/>
      <c r="DR111" s="262"/>
      <c r="DS111" s="262"/>
      <c r="DT111" s="262"/>
      <c r="DU111" s="262"/>
      <c r="DV111" s="262"/>
      <c r="DW111" s="262"/>
      <c r="DX111" s="262"/>
      <c r="DY111" s="262"/>
      <c r="DZ111" s="262"/>
      <c r="EA111" s="262"/>
      <c r="EB111" s="262"/>
      <c r="EC111" s="262"/>
      <c r="ED111" s="262"/>
      <c r="EE111" s="262"/>
      <c r="EF111" s="262"/>
      <c r="EG111" s="262"/>
      <c r="EH111" s="262"/>
      <c r="EI111" s="262"/>
      <c r="EJ111" s="262"/>
      <c r="EK111" s="262"/>
      <c r="EL111" s="262"/>
      <c r="EM111" s="262"/>
      <c r="EN111" s="262"/>
      <c r="EO111" s="262"/>
      <c r="EP111" s="262"/>
      <c r="EQ111" s="262"/>
      <c r="ER111" s="262"/>
      <c r="ES111" s="262"/>
      <c r="ET111" s="262"/>
      <c r="EU111" s="262"/>
      <c r="EV111" s="262"/>
      <c r="EW111" s="262"/>
      <c r="EX111" s="262"/>
      <c r="EY111" s="262"/>
      <c r="EZ111" s="262"/>
      <c r="FA111" s="262"/>
      <c r="FB111" s="262"/>
      <c r="FC111" s="262"/>
      <c r="FD111" s="262"/>
      <c r="FE111" s="262"/>
      <c r="FF111" s="262"/>
      <c r="FG111" s="262"/>
      <c r="FH111" s="262"/>
      <c r="FI111" s="262"/>
      <c r="FJ111" s="262"/>
      <c r="FK111" s="262"/>
      <c r="FL111" s="262"/>
      <c r="FM111" s="262"/>
      <c r="FN111" s="262"/>
      <c r="FO111" s="262"/>
      <c r="FP111" s="262"/>
      <c r="FQ111" s="262"/>
      <c r="FR111" s="262"/>
      <c r="FS111" s="262"/>
      <c r="FT111" s="262"/>
      <c r="FU111" s="262"/>
      <c r="FV111" s="262"/>
      <c r="FW111" s="262"/>
      <c r="FX111" s="262"/>
      <c r="FY111" s="262"/>
      <c r="FZ111" s="262"/>
      <c r="GA111" s="262"/>
      <c r="GB111" s="262"/>
      <c r="GC111" s="262"/>
      <c r="GD111" s="262"/>
      <c r="GE111" s="262"/>
      <c r="GF111" s="262"/>
      <c r="GG111" s="262"/>
      <c r="GH111" s="262"/>
      <c r="GI111" s="262"/>
      <c r="GJ111" s="262"/>
      <c r="GK111" s="262"/>
      <c r="GL111" s="262"/>
      <c r="GM111" s="262"/>
      <c r="GN111" s="262"/>
      <c r="GO111" s="262"/>
      <c r="GP111" s="262"/>
      <c r="GQ111" s="262"/>
      <c r="GR111" s="262"/>
      <c r="GS111" s="262"/>
      <c r="GT111" s="262"/>
      <c r="GU111" s="262"/>
      <c r="GV111" s="262"/>
      <c r="GW111" s="262"/>
      <c r="GX111" s="262"/>
      <c r="GY111" s="262"/>
      <c r="GZ111" s="262"/>
      <c r="HA111" s="262"/>
      <c r="HB111" s="262"/>
      <c r="HC111" s="262"/>
      <c r="HD111" s="262"/>
      <c r="HE111" s="262"/>
      <c r="HF111" s="262"/>
      <c r="HG111" s="262"/>
      <c r="HH111" s="262"/>
      <c r="HI111" s="262"/>
      <c r="HJ111" s="262"/>
      <c r="HK111" s="262"/>
      <c r="HL111" s="262"/>
      <c r="HM111" s="262"/>
      <c r="HN111" s="262"/>
      <c r="HO111" s="262"/>
      <c r="HP111" s="262"/>
      <c r="HQ111" s="262"/>
      <c r="HR111" s="262"/>
      <c r="HS111" s="262"/>
      <c r="HT111" s="262"/>
      <c r="HU111" s="262"/>
      <c r="HV111" s="262"/>
      <c r="HW111" s="262"/>
      <c r="HX111" s="262"/>
      <c r="HY111" s="262"/>
      <c r="HZ111" s="262"/>
      <c r="IA111" s="262"/>
      <c r="IB111" s="262"/>
      <c r="IC111" s="262"/>
      <c r="ID111" s="262"/>
      <c r="IE111" s="262"/>
      <c r="IF111" s="262"/>
      <c r="IG111" s="262"/>
      <c r="IH111" s="262"/>
      <c r="II111" s="262"/>
      <c r="IJ111" s="262"/>
      <c r="IK111" s="262"/>
      <c r="IL111" s="262"/>
      <c r="IM111" s="262"/>
      <c r="IN111" s="262"/>
      <c r="IO111" s="262"/>
      <c r="IP111" s="262"/>
      <c r="IQ111" s="262"/>
      <c r="IR111" s="262"/>
      <c r="IS111" s="262"/>
      <c r="IT111" s="262"/>
      <c r="IU111" s="262"/>
    </row>
    <row r="112" ht="18" hidden="1" customHeight="1" spans="1:255">
      <c r="A112" s="267">
        <v>3054</v>
      </c>
      <c r="B112" s="268" t="s">
        <v>1491</v>
      </c>
      <c r="C112" s="225" t="s">
        <v>1380</v>
      </c>
      <c r="D112" s="230">
        <v>21527.931404405</v>
      </c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62"/>
      <c r="BM112" s="262"/>
      <c r="BN112" s="262"/>
      <c r="BO112" s="262"/>
      <c r="BP112" s="262"/>
      <c r="BQ112" s="262"/>
      <c r="BR112" s="262"/>
      <c r="BS112" s="262"/>
      <c r="BT112" s="262"/>
      <c r="BU112" s="262"/>
      <c r="BV112" s="262"/>
      <c r="BW112" s="262"/>
      <c r="BX112" s="262"/>
      <c r="BY112" s="262"/>
      <c r="BZ112" s="262"/>
      <c r="CA112" s="262"/>
      <c r="CB112" s="262"/>
      <c r="CC112" s="262"/>
      <c r="CD112" s="262"/>
      <c r="CE112" s="262"/>
      <c r="CF112" s="262"/>
      <c r="CG112" s="262"/>
      <c r="CH112" s="262"/>
      <c r="CI112" s="262"/>
      <c r="CJ112" s="262"/>
      <c r="CK112" s="262"/>
      <c r="CL112" s="262"/>
      <c r="CM112" s="262"/>
      <c r="CN112" s="262"/>
      <c r="CO112" s="262"/>
      <c r="CP112" s="262"/>
      <c r="CQ112" s="262"/>
      <c r="CR112" s="262"/>
      <c r="CS112" s="262"/>
      <c r="CT112" s="262"/>
      <c r="CU112" s="262"/>
      <c r="CV112" s="262"/>
      <c r="CW112" s="262"/>
      <c r="CX112" s="262"/>
      <c r="CY112" s="262"/>
      <c r="CZ112" s="262"/>
      <c r="DA112" s="262"/>
      <c r="DB112" s="262"/>
      <c r="DC112" s="262"/>
      <c r="DD112" s="262"/>
      <c r="DE112" s="262"/>
      <c r="DF112" s="262"/>
      <c r="DG112" s="262"/>
      <c r="DH112" s="262"/>
      <c r="DI112" s="262"/>
      <c r="DJ112" s="262"/>
      <c r="DK112" s="262"/>
      <c r="DL112" s="262"/>
      <c r="DM112" s="262"/>
      <c r="DN112" s="262"/>
      <c r="DO112" s="262"/>
      <c r="DP112" s="262"/>
      <c r="DQ112" s="262"/>
      <c r="DR112" s="262"/>
      <c r="DS112" s="262"/>
      <c r="DT112" s="262"/>
      <c r="DU112" s="262"/>
      <c r="DV112" s="262"/>
      <c r="DW112" s="262"/>
      <c r="DX112" s="262"/>
      <c r="DY112" s="262"/>
      <c r="DZ112" s="262"/>
      <c r="EA112" s="262"/>
      <c r="EB112" s="262"/>
      <c r="EC112" s="262"/>
      <c r="ED112" s="262"/>
      <c r="EE112" s="262"/>
      <c r="EF112" s="262"/>
      <c r="EG112" s="262"/>
      <c r="EH112" s="262"/>
      <c r="EI112" s="262"/>
      <c r="EJ112" s="262"/>
      <c r="EK112" s="262"/>
      <c r="EL112" s="262"/>
      <c r="EM112" s="262"/>
      <c r="EN112" s="262"/>
      <c r="EO112" s="262"/>
      <c r="EP112" s="262"/>
      <c r="EQ112" s="262"/>
      <c r="ER112" s="262"/>
      <c r="ES112" s="262"/>
      <c r="ET112" s="262"/>
      <c r="EU112" s="262"/>
      <c r="EV112" s="262"/>
      <c r="EW112" s="262"/>
      <c r="EX112" s="262"/>
      <c r="EY112" s="262"/>
      <c r="EZ112" s="262"/>
      <c r="FA112" s="262"/>
      <c r="FB112" s="262"/>
      <c r="FC112" s="262"/>
      <c r="FD112" s="262"/>
      <c r="FE112" s="262"/>
      <c r="FF112" s="262"/>
      <c r="FG112" s="262"/>
      <c r="FH112" s="262"/>
      <c r="FI112" s="262"/>
      <c r="FJ112" s="262"/>
      <c r="FK112" s="262"/>
      <c r="FL112" s="262"/>
      <c r="FM112" s="262"/>
      <c r="FN112" s="262"/>
      <c r="FO112" s="262"/>
      <c r="FP112" s="262"/>
      <c r="FQ112" s="262"/>
      <c r="FR112" s="262"/>
      <c r="FS112" s="262"/>
      <c r="FT112" s="262"/>
      <c r="FU112" s="262"/>
      <c r="FV112" s="262"/>
      <c r="FW112" s="262"/>
      <c r="FX112" s="262"/>
      <c r="FY112" s="262"/>
      <c r="FZ112" s="262"/>
      <c r="GA112" s="262"/>
      <c r="GB112" s="262"/>
      <c r="GC112" s="262"/>
      <c r="GD112" s="262"/>
      <c r="GE112" s="262"/>
      <c r="GF112" s="262"/>
      <c r="GG112" s="262"/>
      <c r="GH112" s="262"/>
      <c r="GI112" s="262"/>
      <c r="GJ112" s="262"/>
      <c r="GK112" s="262"/>
      <c r="GL112" s="262"/>
      <c r="GM112" s="262"/>
      <c r="GN112" s="262"/>
      <c r="GO112" s="262"/>
      <c r="GP112" s="262"/>
      <c r="GQ112" s="262"/>
      <c r="GR112" s="262"/>
      <c r="GS112" s="262"/>
      <c r="GT112" s="262"/>
      <c r="GU112" s="262"/>
      <c r="GV112" s="262"/>
      <c r="GW112" s="262"/>
      <c r="GX112" s="262"/>
      <c r="GY112" s="262"/>
      <c r="GZ112" s="262"/>
      <c r="HA112" s="262"/>
      <c r="HB112" s="262"/>
      <c r="HC112" s="262"/>
      <c r="HD112" s="262"/>
      <c r="HE112" s="262"/>
      <c r="HF112" s="262"/>
      <c r="HG112" s="262"/>
      <c r="HH112" s="262"/>
      <c r="HI112" s="262"/>
      <c r="HJ112" s="262"/>
      <c r="HK112" s="262"/>
      <c r="HL112" s="262"/>
      <c r="HM112" s="262"/>
      <c r="HN112" s="262"/>
      <c r="HO112" s="262"/>
      <c r="HP112" s="262"/>
      <c r="HQ112" s="262"/>
      <c r="HR112" s="262"/>
      <c r="HS112" s="262"/>
      <c r="HT112" s="262"/>
      <c r="HU112" s="262"/>
      <c r="HV112" s="262"/>
      <c r="HW112" s="262"/>
      <c r="HX112" s="262"/>
      <c r="HY112" s="262"/>
      <c r="HZ112" s="262"/>
      <c r="IA112" s="262"/>
      <c r="IB112" s="262"/>
      <c r="IC112" s="262"/>
      <c r="ID112" s="262"/>
      <c r="IE112" s="262"/>
      <c r="IF112" s="262"/>
      <c r="IG112" s="262"/>
      <c r="IH112" s="262"/>
      <c r="II112" s="262"/>
      <c r="IJ112" s="262"/>
      <c r="IK112" s="262"/>
      <c r="IL112" s="262"/>
      <c r="IM112" s="262"/>
      <c r="IN112" s="262"/>
      <c r="IO112" s="262"/>
      <c r="IP112" s="262"/>
      <c r="IQ112" s="262"/>
      <c r="IR112" s="262"/>
      <c r="IS112" s="262"/>
      <c r="IT112" s="262"/>
      <c r="IU112" s="262"/>
    </row>
    <row r="113" ht="18" hidden="1" customHeight="1" spans="1:255">
      <c r="A113" s="267">
        <v>3055</v>
      </c>
      <c r="B113" s="268" t="s">
        <v>1492</v>
      </c>
      <c r="C113" s="225" t="s">
        <v>1380</v>
      </c>
      <c r="D113" s="230">
        <v>14217.0026559162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62"/>
      <c r="BP113" s="262"/>
      <c r="BQ113" s="262"/>
      <c r="BR113" s="262"/>
      <c r="BS113" s="262"/>
      <c r="BT113" s="262"/>
      <c r="BU113" s="262"/>
      <c r="BV113" s="262"/>
      <c r="BW113" s="262"/>
      <c r="BX113" s="262"/>
      <c r="BY113" s="262"/>
      <c r="BZ113" s="262"/>
      <c r="CA113" s="262"/>
      <c r="CB113" s="262"/>
      <c r="CC113" s="262"/>
      <c r="CD113" s="262"/>
      <c r="CE113" s="262"/>
      <c r="CF113" s="262"/>
      <c r="CG113" s="262"/>
      <c r="CH113" s="262"/>
      <c r="CI113" s="262"/>
      <c r="CJ113" s="262"/>
      <c r="CK113" s="262"/>
      <c r="CL113" s="262"/>
      <c r="CM113" s="262"/>
      <c r="CN113" s="262"/>
      <c r="CO113" s="262"/>
      <c r="CP113" s="262"/>
      <c r="CQ113" s="262"/>
      <c r="CR113" s="262"/>
      <c r="CS113" s="262"/>
      <c r="CT113" s="262"/>
      <c r="CU113" s="262"/>
      <c r="CV113" s="262"/>
      <c r="CW113" s="262"/>
      <c r="CX113" s="262"/>
      <c r="CY113" s="262"/>
      <c r="CZ113" s="262"/>
      <c r="DA113" s="262"/>
      <c r="DB113" s="262"/>
      <c r="DC113" s="262"/>
      <c r="DD113" s="262"/>
      <c r="DE113" s="262"/>
      <c r="DF113" s="262"/>
      <c r="DG113" s="262"/>
      <c r="DH113" s="262"/>
      <c r="DI113" s="262"/>
      <c r="DJ113" s="262"/>
      <c r="DK113" s="262"/>
      <c r="DL113" s="262"/>
      <c r="DM113" s="262"/>
      <c r="DN113" s="262"/>
      <c r="DO113" s="262"/>
      <c r="DP113" s="262"/>
      <c r="DQ113" s="262"/>
      <c r="DR113" s="262"/>
      <c r="DS113" s="262"/>
      <c r="DT113" s="262"/>
      <c r="DU113" s="262"/>
      <c r="DV113" s="262"/>
      <c r="DW113" s="262"/>
      <c r="DX113" s="262"/>
      <c r="DY113" s="262"/>
      <c r="DZ113" s="262"/>
      <c r="EA113" s="262"/>
      <c r="EB113" s="262"/>
      <c r="EC113" s="262"/>
      <c r="ED113" s="262"/>
      <c r="EE113" s="262"/>
      <c r="EF113" s="262"/>
      <c r="EG113" s="262"/>
      <c r="EH113" s="262"/>
      <c r="EI113" s="262"/>
      <c r="EJ113" s="262"/>
      <c r="EK113" s="262"/>
      <c r="EL113" s="262"/>
      <c r="EM113" s="262"/>
      <c r="EN113" s="262"/>
      <c r="EO113" s="262"/>
      <c r="EP113" s="262"/>
      <c r="EQ113" s="262"/>
      <c r="ER113" s="262"/>
      <c r="ES113" s="262"/>
      <c r="ET113" s="262"/>
      <c r="EU113" s="262"/>
      <c r="EV113" s="262"/>
      <c r="EW113" s="262"/>
      <c r="EX113" s="262"/>
      <c r="EY113" s="262"/>
      <c r="EZ113" s="262"/>
      <c r="FA113" s="262"/>
      <c r="FB113" s="262"/>
      <c r="FC113" s="262"/>
      <c r="FD113" s="262"/>
      <c r="FE113" s="262"/>
      <c r="FF113" s="262"/>
      <c r="FG113" s="262"/>
      <c r="FH113" s="262"/>
      <c r="FI113" s="262"/>
      <c r="FJ113" s="262"/>
      <c r="FK113" s="262"/>
      <c r="FL113" s="262"/>
      <c r="FM113" s="262"/>
      <c r="FN113" s="262"/>
      <c r="FO113" s="262"/>
      <c r="FP113" s="262"/>
      <c r="FQ113" s="262"/>
      <c r="FR113" s="262"/>
      <c r="FS113" s="262"/>
      <c r="FT113" s="262"/>
      <c r="FU113" s="262"/>
      <c r="FV113" s="262"/>
      <c r="FW113" s="262"/>
      <c r="FX113" s="262"/>
      <c r="FY113" s="262"/>
      <c r="FZ113" s="262"/>
      <c r="GA113" s="262"/>
      <c r="GB113" s="262"/>
      <c r="GC113" s="262"/>
      <c r="GD113" s="262"/>
      <c r="GE113" s="262"/>
      <c r="GF113" s="262"/>
      <c r="GG113" s="262"/>
      <c r="GH113" s="262"/>
      <c r="GI113" s="262"/>
      <c r="GJ113" s="262"/>
      <c r="GK113" s="262"/>
      <c r="GL113" s="262"/>
      <c r="GM113" s="262"/>
      <c r="GN113" s="262"/>
      <c r="GO113" s="262"/>
      <c r="GP113" s="262"/>
      <c r="GQ113" s="262"/>
      <c r="GR113" s="262"/>
      <c r="GS113" s="262"/>
      <c r="GT113" s="262"/>
      <c r="GU113" s="262"/>
      <c r="GV113" s="262"/>
      <c r="GW113" s="262"/>
      <c r="GX113" s="262"/>
      <c r="GY113" s="262"/>
      <c r="GZ113" s="262"/>
      <c r="HA113" s="262"/>
      <c r="HB113" s="262"/>
      <c r="HC113" s="262"/>
      <c r="HD113" s="262"/>
      <c r="HE113" s="262"/>
      <c r="HF113" s="262"/>
      <c r="HG113" s="262"/>
      <c r="HH113" s="262"/>
      <c r="HI113" s="262"/>
      <c r="HJ113" s="262"/>
      <c r="HK113" s="262"/>
      <c r="HL113" s="262"/>
      <c r="HM113" s="262"/>
      <c r="HN113" s="262"/>
      <c r="HO113" s="262"/>
      <c r="HP113" s="262"/>
      <c r="HQ113" s="262"/>
      <c r="HR113" s="262"/>
      <c r="HS113" s="262"/>
      <c r="HT113" s="262"/>
      <c r="HU113" s="262"/>
      <c r="HV113" s="262"/>
      <c r="HW113" s="262"/>
      <c r="HX113" s="262"/>
      <c r="HY113" s="262"/>
      <c r="HZ113" s="262"/>
      <c r="IA113" s="262"/>
      <c r="IB113" s="262"/>
      <c r="IC113" s="262"/>
      <c r="ID113" s="262"/>
      <c r="IE113" s="262"/>
      <c r="IF113" s="262"/>
      <c r="IG113" s="262"/>
      <c r="IH113" s="262"/>
      <c r="II113" s="262"/>
      <c r="IJ113" s="262"/>
      <c r="IK113" s="262"/>
      <c r="IL113" s="262"/>
      <c r="IM113" s="262"/>
      <c r="IN113" s="262"/>
      <c r="IO113" s="262"/>
      <c r="IP113" s="262"/>
      <c r="IQ113" s="262"/>
      <c r="IR113" s="262"/>
      <c r="IS113" s="262"/>
      <c r="IT113" s="262"/>
      <c r="IU113" s="262"/>
    </row>
    <row r="114" ht="18" hidden="1" customHeight="1" spans="1:255">
      <c r="A114" s="267">
        <v>3055</v>
      </c>
      <c r="B114" s="268" t="s">
        <v>1493</v>
      </c>
      <c r="C114" s="225" t="s">
        <v>1380</v>
      </c>
      <c r="D114" s="230">
        <v>22474.70228915</v>
      </c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62"/>
      <c r="BP114" s="262"/>
      <c r="BQ114" s="262"/>
      <c r="BR114" s="262"/>
      <c r="BS114" s="262"/>
      <c r="BT114" s="262"/>
      <c r="BU114" s="262"/>
      <c r="BV114" s="262"/>
      <c r="BW114" s="262"/>
      <c r="BX114" s="262"/>
      <c r="BY114" s="262"/>
      <c r="BZ114" s="262"/>
      <c r="CA114" s="262"/>
      <c r="CB114" s="262"/>
      <c r="CC114" s="262"/>
      <c r="CD114" s="262"/>
      <c r="CE114" s="262"/>
      <c r="CF114" s="262"/>
      <c r="CG114" s="262"/>
      <c r="CH114" s="262"/>
      <c r="CI114" s="262"/>
      <c r="CJ114" s="262"/>
      <c r="CK114" s="262"/>
      <c r="CL114" s="262"/>
      <c r="CM114" s="262"/>
      <c r="CN114" s="262"/>
      <c r="CO114" s="262"/>
      <c r="CP114" s="262"/>
      <c r="CQ114" s="262"/>
      <c r="CR114" s="262"/>
      <c r="CS114" s="262"/>
      <c r="CT114" s="262"/>
      <c r="CU114" s="262"/>
      <c r="CV114" s="262"/>
      <c r="CW114" s="262"/>
      <c r="CX114" s="262"/>
      <c r="CY114" s="262"/>
      <c r="CZ114" s="262"/>
      <c r="DA114" s="262"/>
      <c r="DB114" s="262"/>
      <c r="DC114" s="262"/>
      <c r="DD114" s="262"/>
      <c r="DE114" s="262"/>
      <c r="DF114" s="262"/>
      <c r="DG114" s="262"/>
      <c r="DH114" s="262"/>
      <c r="DI114" s="262"/>
      <c r="DJ114" s="262"/>
      <c r="DK114" s="262"/>
      <c r="DL114" s="262"/>
      <c r="DM114" s="262"/>
      <c r="DN114" s="262"/>
      <c r="DO114" s="262"/>
      <c r="DP114" s="262"/>
      <c r="DQ114" s="262"/>
      <c r="DR114" s="262"/>
      <c r="DS114" s="262"/>
      <c r="DT114" s="262"/>
      <c r="DU114" s="262"/>
      <c r="DV114" s="262"/>
      <c r="DW114" s="262"/>
      <c r="DX114" s="262"/>
      <c r="DY114" s="262"/>
      <c r="DZ114" s="262"/>
      <c r="EA114" s="262"/>
      <c r="EB114" s="262"/>
      <c r="EC114" s="262"/>
      <c r="ED114" s="262"/>
      <c r="EE114" s="262"/>
      <c r="EF114" s="262"/>
      <c r="EG114" s="262"/>
      <c r="EH114" s="262"/>
      <c r="EI114" s="262"/>
      <c r="EJ114" s="262"/>
      <c r="EK114" s="262"/>
      <c r="EL114" s="262"/>
      <c r="EM114" s="262"/>
      <c r="EN114" s="262"/>
      <c r="EO114" s="262"/>
      <c r="EP114" s="262"/>
      <c r="EQ114" s="262"/>
      <c r="ER114" s="262"/>
      <c r="ES114" s="262"/>
      <c r="ET114" s="262"/>
      <c r="EU114" s="262"/>
      <c r="EV114" s="262"/>
      <c r="EW114" s="262"/>
      <c r="EX114" s="262"/>
      <c r="EY114" s="262"/>
      <c r="EZ114" s="262"/>
      <c r="FA114" s="262"/>
      <c r="FB114" s="262"/>
      <c r="FC114" s="262"/>
      <c r="FD114" s="262"/>
      <c r="FE114" s="262"/>
      <c r="FF114" s="262"/>
      <c r="FG114" s="262"/>
      <c r="FH114" s="262"/>
      <c r="FI114" s="262"/>
      <c r="FJ114" s="262"/>
      <c r="FK114" s="262"/>
      <c r="FL114" s="262"/>
      <c r="FM114" s="262"/>
      <c r="FN114" s="262"/>
      <c r="FO114" s="262"/>
      <c r="FP114" s="262"/>
      <c r="FQ114" s="262"/>
      <c r="FR114" s="262"/>
      <c r="FS114" s="262"/>
      <c r="FT114" s="262"/>
      <c r="FU114" s="262"/>
      <c r="FV114" s="262"/>
      <c r="FW114" s="262"/>
      <c r="FX114" s="262"/>
      <c r="FY114" s="262"/>
      <c r="FZ114" s="262"/>
      <c r="GA114" s="262"/>
      <c r="GB114" s="262"/>
      <c r="GC114" s="262"/>
      <c r="GD114" s="262"/>
      <c r="GE114" s="262"/>
      <c r="GF114" s="262"/>
      <c r="GG114" s="262"/>
      <c r="GH114" s="262"/>
      <c r="GI114" s="262"/>
      <c r="GJ114" s="262"/>
      <c r="GK114" s="262"/>
      <c r="GL114" s="262"/>
      <c r="GM114" s="262"/>
      <c r="GN114" s="262"/>
      <c r="GO114" s="262"/>
      <c r="GP114" s="262"/>
      <c r="GQ114" s="262"/>
      <c r="GR114" s="262"/>
      <c r="GS114" s="262"/>
      <c r="GT114" s="262"/>
      <c r="GU114" s="262"/>
      <c r="GV114" s="262"/>
      <c r="GW114" s="262"/>
      <c r="GX114" s="262"/>
      <c r="GY114" s="262"/>
      <c r="GZ114" s="262"/>
      <c r="HA114" s="262"/>
      <c r="HB114" s="262"/>
      <c r="HC114" s="262"/>
      <c r="HD114" s="262"/>
      <c r="HE114" s="262"/>
      <c r="HF114" s="262"/>
      <c r="HG114" s="262"/>
      <c r="HH114" s="262"/>
      <c r="HI114" s="262"/>
      <c r="HJ114" s="262"/>
      <c r="HK114" s="262"/>
      <c r="HL114" s="262"/>
      <c r="HM114" s="262"/>
      <c r="HN114" s="262"/>
      <c r="HO114" s="262"/>
      <c r="HP114" s="262"/>
      <c r="HQ114" s="262"/>
      <c r="HR114" s="262"/>
      <c r="HS114" s="262"/>
      <c r="HT114" s="262"/>
      <c r="HU114" s="262"/>
      <c r="HV114" s="262"/>
      <c r="HW114" s="262"/>
      <c r="HX114" s="262"/>
      <c r="HY114" s="262"/>
      <c r="HZ114" s="262"/>
      <c r="IA114" s="262"/>
      <c r="IB114" s="262"/>
      <c r="IC114" s="262"/>
      <c r="ID114" s="262"/>
      <c r="IE114" s="262"/>
      <c r="IF114" s="262"/>
      <c r="IG114" s="262"/>
      <c r="IH114" s="262"/>
      <c r="II114" s="262"/>
      <c r="IJ114" s="262"/>
      <c r="IK114" s="262"/>
      <c r="IL114" s="262"/>
      <c r="IM114" s="262"/>
      <c r="IN114" s="262"/>
      <c r="IO114" s="262"/>
      <c r="IP114" s="262"/>
      <c r="IQ114" s="262"/>
      <c r="IR114" s="262"/>
      <c r="IS114" s="262"/>
      <c r="IT114" s="262"/>
      <c r="IU114" s="262"/>
    </row>
    <row r="115" ht="18" hidden="1" customHeight="1" spans="1:255">
      <c r="A115" s="267">
        <v>3056</v>
      </c>
      <c r="B115" s="268" t="s">
        <v>1494</v>
      </c>
      <c r="C115" s="225" t="s">
        <v>1380</v>
      </c>
      <c r="D115" s="230">
        <v>14756.6040738337</v>
      </c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62"/>
      <c r="BP115" s="262"/>
      <c r="BQ115" s="262"/>
      <c r="BR115" s="262"/>
      <c r="BS115" s="262"/>
      <c r="BT115" s="262"/>
      <c r="BU115" s="262"/>
      <c r="BV115" s="262"/>
      <c r="BW115" s="262"/>
      <c r="BX115" s="262"/>
      <c r="BY115" s="262"/>
      <c r="BZ115" s="262"/>
      <c r="CA115" s="262"/>
      <c r="CB115" s="262"/>
      <c r="CC115" s="262"/>
      <c r="CD115" s="262"/>
      <c r="CE115" s="262"/>
      <c r="CF115" s="262"/>
      <c r="CG115" s="262"/>
      <c r="CH115" s="262"/>
      <c r="CI115" s="262"/>
      <c r="CJ115" s="262"/>
      <c r="CK115" s="262"/>
      <c r="CL115" s="262"/>
      <c r="CM115" s="262"/>
      <c r="CN115" s="262"/>
      <c r="CO115" s="262"/>
      <c r="CP115" s="262"/>
      <c r="CQ115" s="262"/>
      <c r="CR115" s="262"/>
      <c r="CS115" s="262"/>
      <c r="CT115" s="262"/>
      <c r="CU115" s="262"/>
      <c r="CV115" s="262"/>
      <c r="CW115" s="262"/>
      <c r="CX115" s="262"/>
      <c r="CY115" s="262"/>
      <c r="CZ115" s="262"/>
      <c r="DA115" s="262"/>
      <c r="DB115" s="262"/>
      <c r="DC115" s="262"/>
      <c r="DD115" s="262"/>
      <c r="DE115" s="262"/>
      <c r="DF115" s="262"/>
      <c r="DG115" s="262"/>
      <c r="DH115" s="262"/>
      <c r="DI115" s="262"/>
      <c r="DJ115" s="262"/>
      <c r="DK115" s="262"/>
      <c r="DL115" s="262"/>
      <c r="DM115" s="262"/>
      <c r="DN115" s="262"/>
      <c r="DO115" s="262"/>
      <c r="DP115" s="262"/>
      <c r="DQ115" s="262"/>
      <c r="DR115" s="262"/>
      <c r="DS115" s="262"/>
      <c r="DT115" s="262"/>
      <c r="DU115" s="262"/>
      <c r="DV115" s="262"/>
      <c r="DW115" s="262"/>
      <c r="DX115" s="262"/>
      <c r="DY115" s="262"/>
      <c r="DZ115" s="262"/>
      <c r="EA115" s="262"/>
      <c r="EB115" s="262"/>
      <c r="EC115" s="262"/>
      <c r="ED115" s="262"/>
      <c r="EE115" s="262"/>
      <c r="EF115" s="262"/>
      <c r="EG115" s="262"/>
      <c r="EH115" s="262"/>
      <c r="EI115" s="262"/>
      <c r="EJ115" s="262"/>
      <c r="EK115" s="262"/>
      <c r="EL115" s="262"/>
      <c r="EM115" s="262"/>
      <c r="EN115" s="262"/>
      <c r="EO115" s="262"/>
      <c r="EP115" s="262"/>
      <c r="EQ115" s="262"/>
      <c r="ER115" s="262"/>
      <c r="ES115" s="262"/>
      <c r="ET115" s="262"/>
      <c r="EU115" s="262"/>
      <c r="EV115" s="262"/>
      <c r="EW115" s="262"/>
      <c r="EX115" s="262"/>
      <c r="EY115" s="262"/>
      <c r="EZ115" s="262"/>
      <c r="FA115" s="262"/>
      <c r="FB115" s="262"/>
      <c r="FC115" s="262"/>
      <c r="FD115" s="262"/>
      <c r="FE115" s="262"/>
      <c r="FF115" s="262"/>
      <c r="FG115" s="262"/>
      <c r="FH115" s="262"/>
      <c r="FI115" s="262"/>
      <c r="FJ115" s="262"/>
      <c r="FK115" s="262"/>
      <c r="FL115" s="262"/>
      <c r="FM115" s="262"/>
      <c r="FN115" s="262"/>
      <c r="FO115" s="262"/>
      <c r="FP115" s="262"/>
      <c r="FQ115" s="262"/>
      <c r="FR115" s="262"/>
      <c r="FS115" s="262"/>
      <c r="FT115" s="262"/>
      <c r="FU115" s="262"/>
      <c r="FV115" s="262"/>
      <c r="FW115" s="262"/>
      <c r="FX115" s="262"/>
      <c r="FY115" s="262"/>
      <c r="FZ115" s="262"/>
      <c r="GA115" s="262"/>
      <c r="GB115" s="262"/>
      <c r="GC115" s="262"/>
      <c r="GD115" s="262"/>
      <c r="GE115" s="262"/>
      <c r="GF115" s="262"/>
      <c r="GG115" s="262"/>
      <c r="GH115" s="262"/>
      <c r="GI115" s="262"/>
      <c r="GJ115" s="262"/>
      <c r="GK115" s="262"/>
      <c r="GL115" s="262"/>
      <c r="GM115" s="262"/>
      <c r="GN115" s="262"/>
      <c r="GO115" s="262"/>
      <c r="GP115" s="262"/>
      <c r="GQ115" s="262"/>
      <c r="GR115" s="262"/>
      <c r="GS115" s="262"/>
      <c r="GT115" s="262"/>
      <c r="GU115" s="262"/>
      <c r="GV115" s="262"/>
      <c r="GW115" s="262"/>
      <c r="GX115" s="262"/>
      <c r="GY115" s="262"/>
      <c r="GZ115" s="262"/>
      <c r="HA115" s="262"/>
      <c r="HB115" s="262"/>
      <c r="HC115" s="262"/>
      <c r="HD115" s="262"/>
      <c r="HE115" s="262"/>
      <c r="HF115" s="262"/>
      <c r="HG115" s="262"/>
      <c r="HH115" s="262"/>
      <c r="HI115" s="262"/>
      <c r="HJ115" s="262"/>
      <c r="HK115" s="262"/>
      <c r="HL115" s="262"/>
      <c r="HM115" s="262"/>
      <c r="HN115" s="262"/>
      <c r="HO115" s="262"/>
      <c r="HP115" s="262"/>
      <c r="HQ115" s="262"/>
      <c r="HR115" s="262"/>
      <c r="HS115" s="262"/>
      <c r="HT115" s="262"/>
      <c r="HU115" s="262"/>
      <c r="HV115" s="262"/>
      <c r="HW115" s="262"/>
      <c r="HX115" s="262"/>
      <c r="HY115" s="262"/>
      <c r="HZ115" s="262"/>
      <c r="IA115" s="262"/>
      <c r="IB115" s="262"/>
      <c r="IC115" s="262"/>
      <c r="ID115" s="262"/>
      <c r="IE115" s="262"/>
      <c r="IF115" s="262"/>
      <c r="IG115" s="262"/>
      <c r="IH115" s="262"/>
      <c r="II115" s="262"/>
      <c r="IJ115" s="262"/>
      <c r="IK115" s="262"/>
      <c r="IL115" s="262"/>
      <c r="IM115" s="262"/>
      <c r="IN115" s="262"/>
      <c r="IO115" s="262"/>
      <c r="IP115" s="262"/>
      <c r="IQ115" s="262"/>
      <c r="IR115" s="262"/>
      <c r="IS115" s="262"/>
      <c r="IT115" s="262"/>
      <c r="IU115" s="262"/>
    </row>
    <row r="116" ht="18" hidden="1" customHeight="1" spans="1:255">
      <c r="A116" s="267">
        <v>3056</v>
      </c>
      <c r="B116" s="268" t="s">
        <v>1495</v>
      </c>
      <c r="C116" s="225" t="s">
        <v>1380</v>
      </c>
      <c r="D116" s="230">
        <v>23734.6752374677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62"/>
      <c r="BH116" s="262"/>
      <c r="BI116" s="262"/>
      <c r="BJ116" s="262"/>
      <c r="BK116" s="262"/>
      <c r="BL116" s="262"/>
      <c r="BM116" s="262"/>
      <c r="BN116" s="262"/>
      <c r="BO116" s="262"/>
      <c r="BP116" s="262"/>
      <c r="BQ116" s="262"/>
      <c r="BR116" s="262"/>
      <c r="BS116" s="262"/>
      <c r="BT116" s="262"/>
      <c r="BU116" s="262"/>
      <c r="BV116" s="262"/>
      <c r="BW116" s="262"/>
      <c r="BX116" s="262"/>
      <c r="BY116" s="262"/>
      <c r="BZ116" s="262"/>
      <c r="CA116" s="262"/>
      <c r="CB116" s="262"/>
      <c r="CC116" s="262"/>
      <c r="CD116" s="262"/>
      <c r="CE116" s="262"/>
      <c r="CF116" s="262"/>
      <c r="CG116" s="262"/>
      <c r="CH116" s="262"/>
      <c r="CI116" s="262"/>
      <c r="CJ116" s="262"/>
      <c r="CK116" s="262"/>
      <c r="CL116" s="262"/>
      <c r="CM116" s="262"/>
      <c r="CN116" s="262"/>
      <c r="CO116" s="262"/>
      <c r="CP116" s="262"/>
      <c r="CQ116" s="262"/>
      <c r="CR116" s="262"/>
      <c r="CS116" s="262"/>
      <c r="CT116" s="262"/>
      <c r="CU116" s="262"/>
      <c r="CV116" s="262"/>
      <c r="CW116" s="262"/>
      <c r="CX116" s="262"/>
      <c r="CY116" s="262"/>
      <c r="CZ116" s="262"/>
      <c r="DA116" s="262"/>
      <c r="DB116" s="262"/>
      <c r="DC116" s="262"/>
      <c r="DD116" s="262"/>
      <c r="DE116" s="262"/>
      <c r="DF116" s="262"/>
      <c r="DG116" s="262"/>
      <c r="DH116" s="262"/>
      <c r="DI116" s="262"/>
      <c r="DJ116" s="262"/>
      <c r="DK116" s="262"/>
      <c r="DL116" s="262"/>
      <c r="DM116" s="262"/>
      <c r="DN116" s="262"/>
      <c r="DO116" s="262"/>
      <c r="DP116" s="262"/>
      <c r="DQ116" s="262"/>
      <c r="DR116" s="262"/>
      <c r="DS116" s="262"/>
      <c r="DT116" s="262"/>
      <c r="DU116" s="262"/>
      <c r="DV116" s="262"/>
      <c r="DW116" s="262"/>
      <c r="DX116" s="262"/>
      <c r="DY116" s="262"/>
      <c r="DZ116" s="262"/>
      <c r="EA116" s="262"/>
      <c r="EB116" s="262"/>
      <c r="EC116" s="262"/>
      <c r="ED116" s="262"/>
      <c r="EE116" s="262"/>
      <c r="EF116" s="262"/>
      <c r="EG116" s="262"/>
      <c r="EH116" s="262"/>
      <c r="EI116" s="262"/>
      <c r="EJ116" s="262"/>
      <c r="EK116" s="262"/>
      <c r="EL116" s="262"/>
      <c r="EM116" s="262"/>
      <c r="EN116" s="262"/>
      <c r="EO116" s="262"/>
      <c r="EP116" s="262"/>
      <c r="EQ116" s="262"/>
      <c r="ER116" s="262"/>
      <c r="ES116" s="262"/>
      <c r="ET116" s="262"/>
      <c r="EU116" s="262"/>
      <c r="EV116" s="262"/>
      <c r="EW116" s="262"/>
      <c r="EX116" s="262"/>
      <c r="EY116" s="262"/>
      <c r="EZ116" s="262"/>
      <c r="FA116" s="262"/>
      <c r="FB116" s="262"/>
      <c r="FC116" s="262"/>
      <c r="FD116" s="262"/>
      <c r="FE116" s="262"/>
      <c r="FF116" s="262"/>
      <c r="FG116" s="262"/>
      <c r="FH116" s="262"/>
      <c r="FI116" s="262"/>
      <c r="FJ116" s="262"/>
      <c r="FK116" s="262"/>
      <c r="FL116" s="262"/>
      <c r="FM116" s="262"/>
      <c r="FN116" s="262"/>
      <c r="FO116" s="262"/>
      <c r="FP116" s="262"/>
      <c r="FQ116" s="262"/>
      <c r="FR116" s="262"/>
      <c r="FS116" s="262"/>
      <c r="FT116" s="262"/>
      <c r="FU116" s="262"/>
      <c r="FV116" s="262"/>
      <c r="FW116" s="262"/>
      <c r="FX116" s="262"/>
      <c r="FY116" s="262"/>
      <c r="FZ116" s="262"/>
      <c r="GA116" s="262"/>
      <c r="GB116" s="262"/>
      <c r="GC116" s="262"/>
      <c r="GD116" s="262"/>
      <c r="GE116" s="262"/>
      <c r="GF116" s="262"/>
      <c r="GG116" s="262"/>
      <c r="GH116" s="262"/>
      <c r="GI116" s="262"/>
      <c r="GJ116" s="262"/>
      <c r="GK116" s="262"/>
      <c r="GL116" s="262"/>
      <c r="GM116" s="262"/>
      <c r="GN116" s="262"/>
      <c r="GO116" s="262"/>
      <c r="GP116" s="262"/>
      <c r="GQ116" s="262"/>
      <c r="GR116" s="262"/>
      <c r="GS116" s="262"/>
      <c r="GT116" s="262"/>
      <c r="GU116" s="262"/>
      <c r="GV116" s="262"/>
      <c r="GW116" s="262"/>
      <c r="GX116" s="262"/>
      <c r="GY116" s="262"/>
      <c r="GZ116" s="262"/>
      <c r="HA116" s="262"/>
      <c r="HB116" s="262"/>
      <c r="HC116" s="262"/>
      <c r="HD116" s="262"/>
      <c r="HE116" s="262"/>
      <c r="HF116" s="262"/>
      <c r="HG116" s="262"/>
      <c r="HH116" s="262"/>
      <c r="HI116" s="262"/>
      <c r="HJ116" s="262"/>
      <c r="HK116" s="262"/>
      <c r="HL116" s="262"/>
      <c r="HM116" s="262"/>
      <c r="HN116" s="262"/>
      <c r="HO116" s="262"/>
      <c r="HP116" s="262"/>
      <c r="HQ116" s="262"/>
      <c r="HR116" s="262"/>
      <c r="HS116" s="262"/>
      <c r="HT116" s="262"/>
      <c r="HU116" s="262"/>
      <c r="HV116" s="262"/>
      <c r="HW116" s="262"/>
      <c r="HX116" s="262"/>
      <c r="HY116" s="262"/>
      <c r="HZ116" s="262"/>
      <c r="IA116" s="262"/>
      <c r="IB116" s="262"/>
      <c r="IC116" s="262"/>
      <c r="ID116" s="262"/>
      <c r="IE116" s="262"/>
      <c r="IF116" s="262"/>
      <c r="IG116" s="262"/>
      <c r="IH116" s="262"/>
      <c r="II116" s="262"/>
      <c r="IJ116" s="262"/>
      <c r="IK116" s="262"/>
      <c r="IL116" s="262"/>
      <c r="IM116" s="262"/>
      <c r="IN116" s="262"/>
      <c r="IO116" s="262"/>
      <c r="IP116" s="262"/>
      <c r="IQ116" s="262"/>
      <c r="IR116" s="262"/>
      <c r="IS116" s="262"/>
      <c r="IT116" s="262"/>
      <c r="IU116" s="262"/>
    </row>
    <row r="117" ht="18" hidden="1" customHeight="1" spans="1:255">
      <c r="A117" s="267">
        <v>3061</v>
      </c>
      <c r="B117" s="269" t="s">
        <v>1496</v>
      </c>
      <c r="C117" s="225" t="s">
        <v>1440</v>
      </c>
      <c r="D117" s="230">
        <v>1175.9900705178</v>
      </c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62"/>
      <c r="BH117" s="262"/>
      <c r="BI117" s="262"/>
      <c r="BJ117" s="262"/>
      <c r="BK117" s="262"/>
      <c r="BL117" s="262"/>
      <c r="BM117" s="262"/>
      <c r="BN117" s="262"/>
      <c r="BO117" s="262"/>
      <c r="BP117" s="262"/>
      <c r="BQ117" s="262"/>
      <c r="BR117" s="262"/>
      <c r="BS117" s="262"/>
      <c r="BT117" s="262"/>
      <c r="BU117" s="262"/>
      <c r="BV117" s="262"/>
      <c r="BW117" s="262"/>
      <c r="BX117" s="262"/>
      <c r="BY117" s="262"/>
      <c r="BZ117" s="262"/>
      <c r="CA117" s="262"/>
      <c r="CB117" s="262"/>
      <c r="CC117" s="262"/>
      <c r="CD117" s="262"/>
      <c r="CE117" s="262"/>
      <c r="CF117" s="262"/>
      <c r="CG117" s="262"/>
      <c r="CH117" s="262"/>
      <c r="CI117" s="262"/>
      <c r="CJ117" s="262"/>
      <c r="CK117" s="262"/>
      <c r="CL117" s="262"/>
      <c r="CM117" s="262"/>
      <c r="CN117" s="262"/>
      <c r="CO117" s="262"/>
      <c r="CP117" s="262"/>
      <c r="CQ117" s="262"/>
      <c r="CR117" s="262"/>
      <c r="CS117" s="262"/>
      <c r="CT117" s="262"/>
      <c r="CU117" s="262"/>
      <c r="CV117" s="262"/>
      <c r="CW117" s="262"/>
      <c r="CX117" s="262"/>
      <c r="CY117" s="262"/>
      <c r="CZ117" s="262"/>
      <c r="DA117" s="262"/>
      <c r="DB117" s="262"/>
      <c r="DC117" s="262"/>
      <c r="DD117" s="262"/>
      <c r="DE117" s="262"/>
      <c r="DF117" s="262"/>
      <c r="DG117" s="262"/>
      <c r="DH117" s="262"/>
      <c r="DI117" s="262"/>
      <c r="DJ117" s="262"/>
      <c r="DK117" s="262"/>
      <c r="DL117" s="262"/>
      <c r="DM117" s="262"/>
      <c r="DN117" s="262"/>
      <c r="DO117" s="262"/>
      <c r="DP117" s="262"/>
      <c r="DQ117" s="262"/>
      <c r="DR117" s="262"/>
      <c r="DS117" s="262"/>
      <c r="DT117" s="262"/>
      <c r="DU117" s="262"/>
      <c r="DV117" s="262"/>
      <c r="DW117" s="262"/>
      <c r="DX117" s="262"/>
      <c r="DY117" s="262"/>
      <c r="DZ117" s="262"/>
      <c r="EA117" s="262"/>
      <c r="EB117" s="262"/>
      <c r="EC117" s="262"/>
      <c r="ED117" s="262"/>
      <c r="EE117" s="262"/>
      <c r="EF117" s="262"/>
      <c r="EG117" s="262"/>
      <c r="EH117" s="262"/>
      <c r="EI117" s="262"/>
      <c r="EJ117" s="262"/>
      <c r="EK117" s="262"/>
      <c r="EL117" s="262"/>
      <c r="EM117" s="262"/>
      <c r="EN117" s="262"/>
      <c r="EO117" s="262"/>
      <c r="EP117" s="262"/>
      <c r="EQ117" s="262"/>
      <c r="ER117" s="262"/>
      <c r="ES117" s="262"/>
      <c r="ET117" s="262"/>
      <c r="EU117" s="262"/>
      <c r="EV117" s="262"/>
      <c r="EW117" s="262"/>
      <c r="EX117" s="262"/>
      <c r="EY117" s="262"/>
      <c r="EZ117" s="262"/>
      <c r="FA117" s="262"/>
      <c r="FB117" s="262"/>
      <c r="FC117" s="262"/>
      <c r="FD117" s="262"/>
      <c r="FE117" s="262"/>
      <c r="FF117" s="262"/>
      <c r="FG117" s="262"/>
      <c r="FH117" s="262"/>
      <c r="FI117" s="262"/>
      <c r="FJ117" s="262"/>
      <c r="FK117" s="262"/>
      <c r="FL117" s="262"/>
      <c r="FM117" s="262"/>
      <c r="FN117" s="262"/>
      <c r="FO117" s="262"/>
      <c r="FP117" s="262"/>
      <c r="FQ117" s="262"/>
      <c r="FR117" s="262"/>
      <c r="FS117" s="262"/>
      <c r="FT117" s="262"/>
      <c r="FU117" s="262"/>
      <c r="FV117" s="262"/>
      <c r="FW117" s="262"/>
      <c r="FX117" s="262"/>
      <c r="FY117" s="262"/>
      <c r="FZ117" s="262"/>
      <c r="GA117" s="262"/>
      <c r="GB117" s="262"/>
      <c r="GC117" s="262"/>
      <c r="GD117" s="262"/>
      <c r="GE117" s="262"/>
      <c r="GF117" s="262"/>
      <c r="GG117" s="262"/>
      <c r="GH117" s="262"/>
      <c r="GI117" s="262"/>
      <c r="GJ117" s="262"/>
      <c r="GK117" s="262"/>
      <c r="GL117" s="262"/>
      <c r="GM117" s="262"/>
      <c r="GN117" s="262"/>
      <c r="GO117" s="262"/>
      <c r="GP117" s="262"/>
      <c r="GQ117" s="262"/>
      <c r="GR117" s="262"/>
      <c r="GS117" s="262"/>
      <c r="GT117" s="262"/>
      <c r="GU117" s="262"/>
      <c r="GV117" s="262"/>
      <c r="GW117" s="262"/>
      <c r="GX117" s="262"/>
      <c r="GY117" s="262"/>
      <c r="GZ117" s="262"/>
      <c r="HA117" s="262"/>
      <c r="HB117" s="262"/>
      <c r="HC117" s="262"/>
      <c r="HD117" s="262"/>
      <c r="HE117" s="262"/>
      <c r="HF117" s="262"/>
      <c r="HG117" s="262"/>
      <c r="HH117" s="262"/>
      <c r="HI117" s="262"/>
      <c r="HJ117" s="262"/>
      <c r="HK117" s="262"/>
      <c r="HL117" s="262"/>
      <c r="HM117" s="262"/>
      <c r="HN117" s="262"/>
      <c r="HO117" s="262"/>
      <c r="HP117" s="262"/>
      <c r="HQ117" s="262"/>
      <c r="HR117" s="262"/>
      <c r="HS117" s="262"/>
      <c r="HT117" s="262"/>
      <c r="HU117" s="262"/>
      <c r="HV117" s="262"/>
      <c r="HW117" s="262"/>
      <c r="HX117" s="262"/>
      <c r="HY117" s="262"/>
      <c r="HZ117" s="262"/>
      <c r="IA117" s="262"/>
      <c r="IB117" s="262"/>
      <c r="IC117" s="262"/>
      <c r="ID117" s="262"/>
      <c r="IE117" s="262"/>
      <c r="IF117" s="262"/>
      <c r="IG117" s="262"/>
      <c r="IH117" s="262"/>
      <c r="II117" s="262"/>
      <c r="IJ117" s="262"/>
      <c r="IK117" s="262"/>
      <c r="IL117" s="262"/>
      <c r="IM117" s="262"/>
      <c r="IN117" s="262"/>
      <c r="IO117" s="262"/>
      <c r="IP117" s="262"/>
      <c r="IQ117" s="262"/>
      <c r="IR117" s="262"/>
      <c r="IS117" s="262"/>
      <c r="IT117" s="262"/>
      <c r="IU117" s="262"/>
    </row>
    <row r="118" ht="18" hidden="1" customHeight="1" spans="1:255">
      <c r="A118" s="267">
        <v>3062</v>
      </c>
      <c r="B118" s="269" t="s">
        <v>1497</v>
      </c>
      <c r="C118" s="225" t="s">
        <v>1440</v>
      </c>
      <c r="D118" s="230">
        <v>1479.16948845314</v>
      </c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  <c r="DZ118" s="262"/>
      <c r="EA118" s="262"/>
      <c r="EB118" s="262"/>
      <c r="EC118" s="262"/>
      <c r="ED118" s="262"/>
      <c r="EE118" s="262"/>
      <c r="EF118" s="262"/>
      <c r="EG118" s="262"/>
      <c r="EH118" s="262"/>
      <c r="EI118" s="262"/>
      <c r="EJ118" s="262"/>
      <c r="EK118" s="262"/>
      <c r="EL118" s="262"/>
      <c r="EM118" s="262"/>
      <c r="EN118" s="262"/>
      <c r="EO118" s="262"/>
      <c r="EP118" s="262"/>
      <c r="EQ118" s="262"/>
      <c r="ER118" s="262"/>
      <c r="ES118" s="262"/>
      <c r="ET118" s="262"/>
      <c r="EU118" s="262"/>
      <c r="EV118" s="262"/>
      <c r="EW118" s="262"/>
      <c r="EX118" s="262"/>
      <c r="EY118" s="262"/>
      <c r="EZ118" s="262"/>
      <c r="FA118" s="262"/>
      <c r="FB118" s="262"/>
      <c r="FC118" s="262"/>
      <c r="FD118" s="262"/>
      <c r="FE118" s="262"/>
      <c r="FF118" s="262"/>
      <c r="FG118" s="262"/>
      <c r="FH118" s="262"/>
      <c r="FI118" s="262"/>
      <c r="FJ118" s="262"/>
      <c r="FK118" s="262"/>
      <c r="FL118" s="262"/>
      <c r="FM118" s="262"/>
      <c r="FN118" s="262"/>
      <c r="FO118" s="262"/>
      <c r="FP118" s="262"/>
      <c r="FQ118" s="262"/>
      <c r="FR118" s="262"/>
      <c r="FS118" s="262"/>
      <c r="FT118" s="262"/>
      <c r="FU118" s="262"/>
      <c r="FV118" s="262"/>
      <c r="FW118" s="262"/>
      <c r="FX118" s="262"/>
      <c r="FY118" s="262"/>
      <c r="FZ118" s="262"/>
      <c r="GA118" s="262"/>
      <c r="GB118" s="262"/>
      <c r="GC118" s="262"/>
      <c r="GD118" s="262"/>
      <c r="GE118" s="262"/>
      <c r="GF118" s="262"/>
      <c r="GG118" s="262"/>
      <c r="GH118" s="262"/>
      <c r="GI118" s="262"/>
      <c r="GJ118" s="262"/>
      <c r="GK118" s="262"/>
      <c r="GL118" s="262"/>
      <c r="GM118" s="262"/>
      <c r="GN118" s="262"/>
      <c r="GO118" s="262"/>
      <c r="GP118" s="262"/>
      <c r="GQ118" s="262"/>
      <c r="GR118" s="262"/>
      <c r="GS118" s="262"/>
      <c r="GT118" s="262"/>
      <c r="GU118" s="262"/>
      <c r="GV118" s="262"/>
      <c r="GW118" s="262"/>
      <c r="GX118" s="262"/>
      <c r="GY118" s="262"/>
      <c r="GZ118" s="262"/>
      <c r="HA118" s="262"/>
      <c r="HB118" s="262"/>
      <c r="HC118" s="262"/>
      <c r="HD118" s="262"/>
      <c r="HE118" s="262"/>
      <c r="HF118" s="262"/>
      <c r="HG118" s="262"/>
      <c r="HH118" s="262"/>
      <c r="HI118" s="262"/>
      <c r="HJ118" s="262"/>
      <c r="HK118" s="262"/>
      <c r="HL118" s="262"/>
      <c r="HM118" s="262"/>
      <c r="HN118" s="262"/>
      <c r="HO118" s="262"/>
      <c r="HP118" s="262"/>
      <c r="HQ118" s="262"/>
      <c r="HR118" s="262"/>
      <c r="HS118" s="262"/>
      <c r="HT118" s="262"/>
      <c r="HU118" s="262"/>
      <c r="HV118" s="262"/>
      <c r="HW118" s="262"/>
      <c r="HX118" s="262"/>
      <c r="HY118" s="262"/>
      <c r="HZ118" s="262"/>
      <c r="IA118" s="262"/>
      <c r="IB118" s="262"/>
      <c r="IC118" s="262"/>
      <c r="ID118" s="262"/>
      <c r="IE118" s="262"/>
      <c r="IF118" s="262"/>
      <c r="IG118" s="262"/>
      <c r="IH118" s="262"/>
      <c r="II118" s="262"/>
      <c r="IJ118" s="262"/>
      <c r="IK118" s="262"/>
      <c r="IL118" s="262"/>
      <c r="IM118" s="262"/>
      <c r="IN118" s="262"/>
      <c r="IO118" s="262"/>
      <c r="IP118" s="262"/>
      <c r="IQ118" s="262"/>
      <c r="IR118" s="262"/>
      <c r="IS118" s="262"/>
      <c r="IT118" s="262"/>
      <c r="IU118" s="262"/>
    </row>
    <row r="119" ht="18" hidden="1" customHeight="1" spans="1:255">
      <c r="A119" s="267">
        <v>3063</v>
      </c>
      <c r="B119" s="269" t="s">
        <v>1498</v>
      </c>
      <c r="C119" s="225" t="s">
        <v>1440</v>
      </c>
      <c r="D119" s="230">
        <v>2237.76178340013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62"/>
      <c r="BP119" s="262"/>
      <c r="BQ119" s="262"/>
      <c r="BR119" s="262"/>
      <c r="BS119" s="262"/>
      <c r="BT119" s="262"/>
      <c r="BU119" s="262"/>
      <c r="BV119" s="262"/>
      <c r="BW119" s="262"/>
      <c r="BX119" s="262"/>
      <c r="BY119" s="262"/>
      <c r="BZ119" s="262"/>
      <c r="CA119" s="262"/>
      <c r="CB119" s="262"/>
      <c r="CC119" s="262"/>
      <c r="CD119" s="262"/>
      <c r="CE119" s="262"/>
      <c r="CF119" s="262"/>
      <c r="CG119" s="262"/>
      <c r="CH119" s="262"/>
      <c r="CI119" s="262"/>
      <c r="CJ119" s="262"/>
      <c r="CK119" s="262"/>
      <c r="CL119" s="262"/>
      <c r="CM119" s="262"/>
      <c r="CN119" s="262"/>
      <c r="CO119" s="262"/>
      <c r="CP119" s="262"/>
      <c r="CQ119" s="262"/>
      <c r="CR119" s="262"/>
      <c r="CS119" s="262"/>
      <c r="CT119" s="262"/>
      <c r="CU119" s="262"/>
      <c r="CV119" s="262"/>
      <c r="CW119" s="262"/>
      <c r="CX119" s="262"/>
      <c r="CY119" s="262"/>
      <c r="CZ119" s="262"/>
      <c r="DA119" s="262"/>
      <c r="DB119" s="262"/>
      <c r="DC119" s="262"/>
      <c r="DD119" s="262"/>
      <c r="DE119" s="262"/>
      <c r="DF119" s="262"/>
      <c r="DG119" s="262"/>
      <c r="DH119" s="262"/>
      <c r="DI119" s="262"/>
      <c r="DJ119" s="262"/>
      <c r="DK119" s="262"/>
      <c r="DL119" s="262"/>
      <c r="DM119" s="262"/>
      <c r="DN119" s="262"/>
      <c r="DO119" s="262"/>
      <c r="DP119" s="262"/>
      <c r="DQ119" s="262"/>
      <c r="DR119" s="262"/>
      <c r="DS119" s="262"/>
      <c r="DT119" s="262"/>
      <c r="DU119" s="262"/>
      <c r="DV119" s="262"/>
      <c r="DW119" s="262"/>
      <c r="DX119" s="262"/>
      <c r="DY119" s="262"/>
      <c r="DZ119" s="262"/>
      <c r="EA119" s="262"/>
      <c r="EB119" s="262"/>
      <c r="EC119" s="262"/>
      <c r="ED119" s="262"/>
      <c r="EE119" s="262"/>
      <c r="EF119" s="262"/>
      <c r="EG119" s="262"/>
      <c r="EH119" s="262"/>
      <c r="EI119" s="262"/>
      <c r="EJ119" s="262"/>
      <c r="EK119" s="262"/>
      <c r="EL119" s="262"/>
      <c r="EM119" s="262"/>
      <c r="EN119" s="262"/>
      <c r="EO119" s="262"/>
      <c r="EP119" s="262"/>
      <c r="EQ119" s="262"/>
      <c r="ER119" s="262"/>
      <c r="ES119" s="262"/>
      <c r="ET119" s="262"/>
      <c r="EU119" s="262"/>
      <c r="EV119" s="262"/>
      <c r="EW119" s="262"/>
      <c r="EX119" s="262"/>
      <c r="EY119" s="262"/>
      <c r="EZ119" s="262"/>
      <c r="FA119" s="262"/>
      <c r="FB119" s="262"/>
      <c r="FC119" s="262"/>
      <c r="FD119" s="262"/>
      <c r="FE119" s="262"/>
      <c r="FF119" s="262"/>
      <c r="FG119" s="262"/>
      <c r="FH119" s="262"/>
      <c r="FI119" s="262"/>
      <c r="FJ119" s="262"/>
      <c r="FK119" s="262"/>
      <c r="FL119" s="262"/>
      <c r="FM119" s="262"/>
      <c r="FN119" s="262"/>
      <c r="FO119" s="262"/>
      <c r="FP119" s="262"/>
      <c r="FQ119" s="262"/>
      <c r="FR119" s="262"/>
      <c r="FS119" s="262"/>
      <c r="FT119" s="262"/>
      <c r="FU119" s="262"/>
      <c r="FV119" s="262"/>
      <c r="FW119" s="262"/>
      <c r="FX119" s="262"/>
      <c r="FY119" s="262"/>
      <c r="FZ119" s="262"/>
      <c r="GA119" s="262"/>
      <c r="GB119" s="262"/>
      <c r="GC119" s="262"/>
      <c r="GD119" s="262"/>
      <c r="GE119" s="262"/>
      <c r="GF119" s="262"/>
      <c r="GG119" s="262"/>
      <c r="GH119" s="262"/>
      <c r="GI119" s="262"/>
      <c r="GJ119" s="262"/>
      <c r="GK119" s="262"/>
      <c r="GL119" s="262"/>
      <c r="GM119" s="262"/>
      <c r="GN119" s="262"/>
      <c r="GO119" s="262"/>
      <c r="GP119" s="262"/>
      <c r="GQ119" s="262"/>
      <c r="GR119" s="262"/>
      <c r="GS119" s="262"/>
      <c r="GT119" s="262"/>
      <c r="GU119" s="262"/>
      <c r="GV119" s="262"/>
      <c r="GW119" s="262"/>
      <c r="GX119" s="262"/>
      <c r="GY119" s="262"/>
      <c r="GZ119" s="262"/>
      <c r="HA119" s="262"/>
      <c r="HB119" s="262"/>
      <c r="HC119" s="262"/>
      <c r="HD119" s="262"/>
      <c r="HE119" s="262"/>
      <c r="HF119" s="262"/>
      <c r="HG119" s="262"/>
      <c r="HH119" s="262"/>
      <c r="HI119" s="262"/>
      <c r="HJ119" s="262"/>
      <c r="HK119" s="262"/>
      <c r="HL119" s="262"/>
      <c r="HM119" s="262"/>
      <c r="HN119" s="262"/>
      <c r="HO119" s="262"/>
      <c r="HP119" s="262"/>
      <c r="HQ119" s="262"/>
      <c r="HR119" s="262"/>
      <c r="HS119" s="262"/>
      <c r="HT119" s="262"/>
      <c r="HU119" s="262"/>
      <c r="HV119" s="262"/>
      <c r="HW119" s="262"/>
      <c r="HX119" s="262"/>
      <c r="HY119" s="262"/>
      <c r="HZ119" s="262"/>
      <c r="IA119" s="262"/>
      <c r="IB119" s="262"/>
      <c r="IC119" s="262"/>
      <c r="ID119" s="262"/>
      <c r="IE119" s="262"/>
      <c r="IF119" s="262"/>
      <c r="IG119" s="262"/>
      <c r="IH119" s="262"/>
      <c r="II119" s="262"/>
      <c r="IJ119" s="262"/>
      <c r="IK119" s="262"/>
      <c r="IL119" s="262"/>
      <c r="IM119" s="262"/>
      <c r="IN119" s="262"/>
      <c r="IO119" s="262"/>
      <c r="IP119" s="262"/>
      <c r="IQ119" s="262"/>
      <c r="IR119" s="262"/>
      <c r="IS119" s="262"/>
      <c r="IT119" s="262"/>
      <c r="IU119" s="262"/>
    </row>
    <row r="120" ht="18" hidden="1" customHeight="1" spans="1:255">
      <c r="A120" s="267">
        <v>3067</v>
      </c>
      <c r="B120" s="269" t="s">
        <v>1499</v>
      </c>
      <c r="C120" s="225" t="s">
        <v>1380</v>
      </c>
      <c r="D120" s="230">
        <v>58181.1087946408</v>
      </c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62"/>
      <c r="BH120" s="262"/>
      <c r="BI120" s="262"/>
      <c r="BJ120" s="262"/>
      <c r="BK120" s="262"/>
      <c r="BL120" s="262"/>
      <c r="BM120" s="262"/>
      <c r="BN120" s="262"/>
      <c r="BO120" s="262"/>
      <c r="BP120" s="262"/>
      <c r="BQ120" s="262"/>
      <c r="BR120" s="262"/>
      <c r="BS120" s="262"/>
      <c r="BT120" s="262"/>
      <c r="BU120" s="262"/>
      <c r="BV120" s="262"/>
      <c r="BW120" s="262"/>
      <c r="BX120" s="262"/>
      <c r="BY120" s="262"/>
      <c r="BZ120" s="262"/>
      <c r="CA120" s="262"/>
      <c r="CB120" s="262"/>
      <c r="CC120" s="262"/>
      <c r="CD120" s="262"/>
      <c r="CE120" s="262"/>
      <c r="CF120" s="262"/>
      <c r="CG120" s="262"/>
      <c r="CH120" s="262"/>
      <c r="CI120" s="262"/>
      <c r="CJ120" s="262"/>
      <c r="CK120" s="262"/>
      <c r="CL120" s="262"/>
      <c r="CM120" s="262"/>
      <c r="CN120" s="262"/>
      <c r="CO120" s="262"/>
      <c r="CP120" s="262"/>
      <c r="CQ120" s="262"/>
      <c r="CR120" s="262"/>
      <c r="CS120" s="262"/>
      <c r="CT120" s="262"/>
      <c r="CU120" s="262"/>
      <c r="CV120" s="262"/>
      <c r="CW120" s="262"/>
      <c r="CX120" s="262"/>
      <c r="CY120" s="262"/>
      <c r="CZ120" s="262"/>
      <c r="DA120" s="262"/>
      <c r="DB120" s="262"/>
      <c r="DC120" s="262"/>
      <c r="DD120" s="262"/>
      <c r="DE120" s="262"/>
      <c r="DF120" s="262"/>
      <c r="DG120" s="262"/>
      <c r="DH120" s="262"/>
      <c r="DI120" s="262"/>
      <c r="DJ120" s="262"/>
      <c r="DK120" s="262"/>
      <c r="DL120" s="262"/>
      <c r="DM120" s="262"/>
      <c r="DN120" s="262"/>
      <c r="DO120" s="262"/>
      <c r="DP120" s="262"/>
      <c r="DQ120" s="262"/>
      <c r="DR120" s="262"/>
      <c r="DS120" s="262"/>
      <c r="DT120" s="262"/>
      <c r="DU120" s="262"/>
      <c r="DV120" s="262"/>
      <c r="DW120" s="262"/>
      <c r="DX120" s="262"/>
      <c r="DY120" s="262"/>
      <c r="DZ120" s="262"/>
      <c r="EA120" s="262"/>
      <c r="EB120" s="262"/>
      <c r="EC120" s="262"/>
      <c r="ED120" s="262"/>
      <c r="EE120" s="262"/>
      <c r="EF120" s="262"/>
      <c r="EG120" s="262"/>
      <c r="EH120" s="262"/>
      <c r="EI120" s="262"/>
      <c r="EJ120" s="262"/>
      <c r="EK120" s="262"/>
      <c r="EL120" s="262"/>
      <c r="EM120" s="262"/>
      <c r="EN120" s="262"/>
      <c r="EO120" s="262"/>
      <c r="EP120" s="262"/>
      <c r="EQ120" s="262"/>
      <c r="ER120" s="262"/>
      <c r="ES120" s="262"/>
      <c r="ET120" s="262"/>
      <c r="EU120" s="262"/>
      <c r="EV120" s="262"/>
      <c r="EW120" s="262"/>
      <c r="EX120" s="262"/>
      <c r="EY120" s="262"/>
      <c r="EZ120" s="262"/>
      <c r="FA120" s="262"/>
      <c r="FB120" s="262"/>
      <c r="FC120" s="262"/>
      <c r="FD120" s="262"/>
      <c r="FE120" s="262"/>
      <c r="FF120" s="262"/>
      <c r="FG120" s="262"/>
      <c r="FH120" s="262"/>
      <c r="FI120" s="262"/>
      <c r="FJ120" s="262"/>
      <c r="FK120" s="262"/>
      <c r="FL120" s="262"/>
      <c r="FM120" s="262"/>
      <c r="FN120" s="262"/>
      <c r="FO120" s="262"/>
      <c r="FP120" s="262"/>
      <c r="FQ120" s="262"/>
      <c r="FR120" s="262"/>
      <c r="FS120" s="262"/>
      <c r="FT120" s="262"/>
      <c r="FU120" s="262"/>
      <c r="FV120" s="262"/>
      <c r="FW120" s="262"/>
      <c r="FX120" s="262"/>
      <c r="FY120" s="262"/>
      <c r="FZ120" s="262"/>
      <c r="GA120" s="262"/>
      <c r="GB120" s="262"/>
      <c r="GC120" s="262"/>
      <c r="GD120" s="262"/>
      <c r="GE120" s="262"/>
      <c r="GF120" s="262"/>
      <c r="GG120" s="262"/>
      <c r="GH120" s="262"/>
      <c r="GI120" s="262"/>
      <c r="GJ120" s="262"/>
      <c r="GK120" s="262"/>
      <c r="GL120" s="262"/>
      <c r="GM120" s="262"/>
      <c r="GN120" s="262"/>
      <c r="GO120" s="262"/>
      <c r="GP120" s="262"/>
      <c r="GQ120" s="262"/>
      <c r="GR120" s="262"/>
      <c r="GS120" s="262"/>
      <c r="GT120" s="262"/>
      <c r="GU120" s="262"/>
      <c r="GV120" s="262"/>
      <c r="GW120" s="262"/>
      <c r="GX120" s="262"/>
      <c r="GY120" s="262"/>
      <c r="GZ120" s="262"/>
      <c r="HA120" s="262"/>
      <c r="HB120" s="262"/>
      <c r="HC120" s="262"/>
      <c r="HD120" s="262"/>
      <c r="HE120" s="262"/>
      <c r="HF120" s="262"/>
      <c r="HG120" s="262"/>
      <c r="HH120" s="262"/>
      <c r="HI120" s="262"/>
      <c r="HJ120" s="262"/>
      <c r="HK120" s="262"/>
      <c r="HL120" s="262"/>
      <c r="HM120" s="262"/>
      <c r="HN120" s="262"/>
      <c r="HO120" s="262"/>
      <c r="HP120" s="262"/>
      <c r="HQ120" s="262"/>
      <c r="HR120" s="262"/>
      <c r="HS120" s="262"/>
      <c r="HT120" s="262"/>
      <c r="HU120" s="262"/>
      <c r="HV120" s="262"/>
      <c r="HW120" s="262"/>
      <c r="HX120" s="262"/>
      <c r="HY120" s="262"/>
      <c r="HZ120" s="262"/>
      <c r="IA120" s="262"/>
      <c r="IB120" s="262"/>
      <c r="IC120" s="262"/>
      <c r="ID120" s="262"/>
      <c r="IE120" s="262"/>
      <c r="IF120" s="262"/>
      <c r="IG120" s="262"/>
      <c r="IH120" s="262"/>
      <c r="II120" s="262"/>
      <c r="IJ120" s="262"/>
      <c r="IK120" s="262"/>
      <c r="IL120" s="262"/>
      <c r="IM120" s="262"/>
      <c r="IN120" s="262"/>
      <c r="IO120" s="262"/>
      <c r="IP120" s="262"/>
      <c r="IQ120" s="262"/>
      <c r="IR120" s="262"/>
      <c r="IS120" s="262"/>
      <c r="IT120" s="262"/>
      <c r="IU120" s="262"/>
    </row>
    <row r="121" ht="18" hidden="1" customHeight="1" spans="1:255">
      <c r="A121" s="267">
        <v>3068</v>
      </c>
      <c r="B121" s="269" t="s">
        <v>1500</v>
      </c>
      <c r="C121" s="225" t="s">
        <v>1380</v>
      </c>
      <c r="D121" s="230">
        <v>54305.4582952212</v>
      </c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62"/>
      <c r="BH121" s="262"/>
      <c r="BI121" s="262"/>
      <c r="BJ121" s="262"/>
      <c r="BK121" s="262"/>
      <c r="BL121" s="262"/>
      <c r="BM121" s="262"/>
      <c r="BN121" s="262"/>
      <c r="BO121" s="262"/>
      <c r="BP121" s="262"/>
      <c r="BQ121" s="262"/>
      <c r="BR121" s="262"/>
      <c r="BS121" s="262"/>
      <c r="BT121" s="262"/>
      <c r="BU121" s="262"/>
      <c r="BV121" s="262"/>
      <c r="BW121" s="262"/>
      <c r="BX121" s="262"/>
      <c r="BY121" s="262"/>
      <c r="BZ121" s="262"/>
      <c r="CA121" s="262"/>
      <c r="CB121" s="262"/>
      <c r="CC121" s="262"/>
      <c r="CD121" s="262"/>
      <c r="CE121" s="262"/>
      <c r="CF121" s="262"/>
      <c r="CG121" s="262"/>
      <c r="CH121" s="262"/>
      <c r="CI121" s="262"/>
      <c r="CJ121" s="262"/>
      <c r="CK121" s="262"/>
      <c r="CL121" s="262"/>
      <c r="CM121" s="262"/>
      <c r="CN121" s="262"/>
      <c r="CO121" s="262"/>
      <c r="CP121" s="262"/>
      <c r="CQ121" s="262"/>
      <c r="CR121" s="262"/>
      <c r="CS121" s="262"/>
      <c r="CT121" s="262"/>
      <c r="CU121" s="262"/>
      <c r="CV121" s="262"/>
      <c r="CW121" s="262"/>
      <c r="CX121" s="262"/>
      <c r="CY121" s="262"/>
      <c r="CZ121" s="262"/>
      <c r="DA121" s="262"/>
      <c r="DB121" s="262"/>
      <c r="DC121" s="262"/>
      <c r="DD121" s="262"/>
      <c r="DE121" s="262"/>
      <c r="DF121" s="262"/>
      <c r="DG121" s="262"/>
      <c r="DH121" s="262"/>
      <c r="DI121" s="262"/>
      <c r="DJ121" s="262"/>
      <c r="DK121" s="262"/>
      <c r="DL121" s="262"/>
      <c r="DM121" s="262"/>
      <c r="DN121" s="262"/>
      <c r="DO121" s="262"/>
      <c r="DP121" s="262"/>
      <c r="DQ121" s="262"/>
      <c r="DR121" s="262"/>
      <c r="DS121" s="262"/>
      <c r="DT121" s="262"/>
      <c r="DU121" s="262"/>
      <c r="DV121" s="262"/>
      <c r="DW121" s="262"/>
      <c r="DX121" s="262"/>
      <c r="DY121" s="262"/>
      <c r="DZ121" s="262"/>
      <c r="EA121" s="262"/>
      <c r="EB121" s="262"/>
      <c r="EC121" s="262"/>
      <c r="ED121" s="262"/>
      <c r="EE121" s="262"/>
      <c r="EF121" s="262"/>
      <c r="EG121" s="262"/>
      <c r="EH121" s="262"/>
      <c r="EI121" s="262"/>
      <c r="EJ121" s="262"/>
      <c r="EK121" s="262"/>
      <c r="EL121" s="262"/>
      <c r="EM121" s="262"/>
      <c r="EN121" s="262"/>
      <c r="EO121" s="262"/>
      <c r="EP121" s="262"/>
      <c r="EQ121" s="262"/>
      <c r="ER121" s="262"/>
      <c r="ES121" s="262"/>
      <c r="ET121" s="262"/>
      <c r="EU121" s="262"/>
      <c r="EV121" s="262"/>
      <c r="EW121" s="262"/>
      <c r="EX121" s="262"/>
      <c r="EY121" s="262"/>
      <c r="EZ121" s="262"/>
      <c r="FA121" s="262"/>
      <c r="FB121" s="262"/>
      <c r="FC121" s="262"/>
      <c r="FD121" s="262"/>
      <c r="FE121" s="262"/>
      <c r="FF121" s="262"/>
      <c r="FG121" s="262"/>
      <c r="FH121" s="262"/>
      <c r="FI121" s="262"/>
      <c r="FJ121" s="262"/>
      <c r="FK121" s="262"/>
      <c r="FL121" s="262"/>
      <c r="FM121" s="262"/>
      <c r="FN121" s="262"/>
      <c r="FO121" s="262"/>
      <c r="FP121" s="262"/>
      <c r="FQ121" s="262"/>
      <c r="FR121" s="262"/>
      <c r="FS121" s="262"/>
      <c r="FT121" s="262"/>
      <c r="FU121" s="262"/>
      <c r="FV121" s="262"/>
      <c r="FW121" s="262"/>
      <c r="FX121" s="262"/>
      <c r="FY121" s="262"/>
      <c r="FZ121" s="262"/>
      <c r="GA121" s="262"/>
      <c r="GB121" s="262"/>
      <c r="GC121" s="262"/>
      <c r="GD121" s="262"/>
      <c r="GE121" s="262"/>
      <c r="GF121" s="262"/>
      <c r="GG121" s="262"/>
      <c r="GH121" s="262"/>
      <c r="GI121" s="262"/>
      <c r="GJ121" s="262"/>
      <c r="GK121" s="262"/>
      <c r="GL121" s="262"/>
      <c r="GM121" s="262"/>
      <c r="GN121" s="262"/>
      <c r="GO121" s="262"/>
      <c r="GP121" s="262"/>
      <c r="GQ121" s="262"/>
      <c r="GR121" s="262"/>
      <c r="GS121" s="262"/>
      <c r="GT121" s="262"/>
      <c r="GU121" s="262"/>
      <c r="GV121" s="262"/>
      <c r="GW121" s="262"/>
      <c r="GX121" s="262"/>
      <c r="GY121" s="262"/>
      <c r="GZ121" s="262"/>
      <c r="HA121" s="262"/>
      <c r="HB121" s="262"/>
      <c r="HC121" s="262"/>
      <c r="HD121" s="262"/>
      <c r="HE121" s="262"/>
      <c r="HF121" s="262"/>
      <c r="HG121" s="262"/>
      <c r="HH121" s="262"/>
      <c r="HI121" s="262"/>
      <c r="HJ121" s="262"/>
      <c r="HK121" s="262"/>
      <c r="HL121" s="262"/>
      <c r="HM121" s="262"/>
      <c r="HN121" s="262"/>
      <c r="HO121" s="262"/>
      <c r="HP121" s="262"/>
      <c r="HQ121" s="262"/>
      <c r="HR121" s="262"/>
      <c r="HS121" s="262"/>
      <c r="HT121" s="262"/>
      <c r="HU121" s="262"/>
      <c r="HV121" s="262"/>
      <c r="HW121" s="262"/>
      <c r="HX121" s="262"/>
      <c r="HY121" s="262"/>
      <c r="HZ121" s="262"/>
      <c r="IA121" s="262"/>
      <c r="IB121" s="262"/>
      <c r="IC121" s="262"/>
      <c r="ID121" s="262"/>
      <c r="IE121" s="262"/>
      <c r="IF121" s="262"/>
      <c r="IG121" s="262"/>
      <c r="IH121" s="262"/>
      <c r="II121" s="262"/>
      <c r="IJ121" s="262"/>
      <c r="IK121" s="262"/>
      <c r="IL121" s="262"/>
      <c r="IM121" s="262"/>
      <c r="IN121" s="262"/>
      <c r="IO121" s="262"/>
      <c r="IP121" s="262"/>
      <c r="IQ121" s="262"/>
      <c r="IR121" s="262"/>
      <c r="IS121" s="262"/>
      <c r="IT121" s="262"/>
      <c r="IU121" s="262"/>
    </row>
    <row r="122" ht="18" hidden="1" customHeight="1" spans="1:255">
      <c r="A122" s="267">
        <v>3070</v>
      </c>
      <c r="B122" s="269" t="s">
        <v>1501</v>
      </c>
      <c r="C122" s="225" t="s">
        <v>1380</v>
      </c>
      <c r="D122" s="230">
        <v>61902.5279275127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62"/>
      <c r="BP122" s="262"/>
      <c r="BQ122" s="262"/>
      <c r="BR122" s="262"/>
      <c r="BS122" s="262"/>
      <c r="BT122" s="262"/>
      <c r="BU122" s="262"/>
      <c r="BV122" s="262"/>
      <c r="BW122" s="262"/>
      <c r="BX122" s="262"/>
      <c r="BY122" s="262"/>
      <c r="BZ122" s="262"/>
      <c r="CA122" s="262"/>
      <c r="CB122" s="262"/>
      <c r="CC122" s="262"/>
      <c r="CD122" s="262"/>
      <c r="CE122" s="262"/>
      <c r="CF122" s="262"/>
      <c r="CG122" s="262"/>
      <c r="CH122" s="262"/>
      <c r="CI122" s="262"/>
      <c r="CJ122" s="262"/>
      <c r="CK122" s="262"/>
      <c r="CL122" s="262"/>
      <c r="CM122" s="262"/>
      <c r="CN122" s="262"/>
      <c r="CO122" s="262"/>
      <c r="CP122" s="262"/>
      <c r="CQ122" s="262"/>
      <c r="CR122" s="262"/>
      <c r="CS122" s="262"/>
      <c r="CT122" s="262"/>
      <c r="CU122" s="262"/>
      <c r="CV122" s="262"/>
      <c r="CW122" s="262"/>
      <c r="CX122" s="262"/>
      <c r="CY122" s="262"/>
      <c r="CZ122" s="262"/>
      <c r="DA122" s="262"/>
      <c r="DB122" s="262"/>
      <c r="DC122" s="262"/>
      <c r="DD122" s="262"/>
      <c r="DE122" s="262"/>
      <c r="DF122" s="262"/>
      <c r="DG122" s="262"/>
      <c r="DH122" s="262"/>
      <c r="DI122" s="262"/>
      <c r="DJ122" s="262"/>
      <c r="DK122" s="262"/>
      <c r="DL122" s="262"/>
      <c r="DM122" s="262"/>
      <c r="DN122" s="262"/>
      <c r="DO122" s="262"/>
      <c r="DP122" s="262"/>
      <c r="DQ122" s="262"/>
      <c r="DR122" s="262"/>
      <c r="DS122" s="262"/>
      <c r="DT122" s="262"/>
      <c r="DU122" s="262"/>
      <c r="DV122" s="262"/>
      <c r="DW122" s="262"/>
      <c r="DX122" s="262"/>
      <c r="DY122" s="262"/>
      <c r="DZ122" s="262"/>
      <c r="EA122" s="262"/>
      <c r="EB122" s="262"/>
      <c r="EC122" s="262"/>
      <c r="ED122" s="262"/>
      <c r="EE122" s="262"/>
      <c r="EF122" s="262"/>
      <c r="EG122" s="262"/>
      <c r="EH122" s="262"/>
      <c r="EI122" s="262"/>
      <c r="EJ122" s="262"/>
      <c r="EK122" s="262"/>
      <c r="EL122" s="262"/>
      <c r="EM122" s="262"/>
      <c r="EN122" s="262"/>
      <c r="EO122" s="262"/>
      <c r="EP122" s="262"/>
      <c r="EQ122" s="262"/>
      <c r="ER122" s="262"/>
      <c r="ES122" s="262"/>
      <c r="ET122" s="262"/>
      <c r="EU122" s="262"/>
      <c r="EV122" s="262"/>
      <c r="EW122" s="262"/>
      <c r="EX122" s="262"/>
      <c r="EY122" s="262"/>
      <c r="EZ122" s="262"/>
      <c r="FA122" s="262"/>
      <c r="FB122" s="262"/>
      <c r="FC122" s="262"/>
      <c r="FD122" s="262"/>
      <c r="FE122" s="262"/>
      <c r="FF122" s="262"/>
      <c r="FG122" s="262"/>
      <c r="FH122" s="262"/>
      <c r="FI122" s="262"/>
      <c r="FJ122" s="262"/>
      <c r="FK122" s="262"/>
      <c r="FL122" s="262"/>
      <c r="FM122" s="262"/>
      <c r="FN122" s="262"/>
      <c r="FO122" s="262"/>
      <c r="FP122" s="262"/>
      <c r="FQ122" s="262"/>
      <c r="FR122" s="262"/>
      <c r="FS122" s="262"/>
      <c r="FT122" s="262"/>
      <c r="FU122" s="262"/>
      <c r="FV122" s="262"/>
      <c r="FW122" s="262"/>
      <c r="FX122" s="262"/>
      <c r="FY122" s="262"/>
      <c r="FZ122" s="262"/>
      <c r="GA122" s="262"/>
      <c r="GB122" s="262"/>
      <c r="GC122" s="262"/>
      <c r="GD122" s="262"/>
      <c r="GE122" s="262"/>
      <c r="GF122" s="262"/>
      <c r="GG122" s="262"/>
      <c r="GH122" s="262"/>
      <c r="GI122" s="262"/>
      <c r="GJ122" s="262"/>
      <c r="GK122" s="262"/>
      <c r="GL122" s="262"/>
      <c r="GM122" s="262"/>
      <c r="GN122" s="262"/>
      <c r="GO122" s="262"/>
      <c r="GP122" s="262"/>
      <c r="GQ122" s="262"/>
      <c r="GR122" s="262"/>
      <c r="GS122" s="262"/>
      <c r="GT122" s="262"/>
      <c r="GU122" s="262"/>
      <c r="GV122" s="262"/>
      <c r="GW122" s="262"/>
      <c r="GX122" s="262"/>
      <c r="GY122" s="262"/>
      <c r="GZ122" s="262"/>
      <c r="HA122" s="262"/>
      <c r="HB122" s="262"/>
      <c r="HC122" s="262"/>
      <c r="HD122" s="262"/>
      <c r="HE122" s="262"/>
      <c r="HF122" s="262"/>
      <c r="HG122" s="262"/>
      <c r="HH122" s="262"/>
      <c r="HI122" s="262"/>
      <c r="HJ122" s="262"/>
      <c r="HK122" s="262"/>
      <c r="HL122" s="262"/>
      <c r="HM122" s="262"/>
      <c r="HN122" s="262"/>
      <c r="HO122" s="262"/>
      <c r="HP122" s="262"/>
      <c r="HQ122" s="262"/>
      <c r="HR122" s="262"/>
      <c r="HS122" s="262"/>
      <c r="HT122" s="262"/>
      <c r="HU122" s="262"/>
      <c r="HV122" s="262"/>
      <c r="HW122" s="262"/>
      <c r="HX122" s="262"/>
      <c r="HY122" s="262"/>
      <c r="HZ122" s="262"/>
      <c r="IA122" s="262"/>
      <c r="IB122" s="262"/>
      <c r="IC122" s="262"/>
      <c r="ID122" s="262"/>
      <c r="IE122" s="262"/>
      <c r="IF122" s="262"/>
      <c r="IG122" s="262"/>
      <c r="IH122" s="262"/>
      <c r="II122" s="262"/>
      <c r="IJ122" s="262"/>
      <c r="IK122" s="262"/>
      <c r="IL122" s="262"/>
      <c r="IM122" s="262"/>
      <c r="IN122" s="262"/>
      <c r="IO122" s="262"/>
      <c r="IP122" s="262"/>
      <c r="IQ122" s="262"/>
      <c r="IR122" s="262"/>
      <c r="IS122" s="262"/>
      <c r="IT122" s="262"/>
      <c r="IU122" s="262"/>
    </row>
    <row r="123" ht="18" hidden="1" customHeight="1" spans="1:255">
      <c r="A123" s="267">
        <v>3074</v>
      </c>
      <c r="B123" s="268" t="s">
        <v>1502</v>
      </c>
      <c r="C123" s="225" t="s">
        <v>1380</v>
      </c>
      <c r="D123" s="230">
        <v>420.641816128966</v>
      </c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62"/>
      <c r="BH123" s="262"/>
      <c r="BI123" s="262"/>
      <c r="BJ123" s="262"/>
      <c r="BK123" s="262"/>
      <c r="BL123" s="262"/>
      <c r="BM123" s="262"/>
      <c r="BN123" s="262"/>
      <c r="BO123" s="262"/>
      <c r="BP123" s="262"/>
      <c r="BQ123" s="262"/>
      <c r="BR123" s="262"/>
      <c r="BS123" s="262"/>
      <c r="BT123" s="262"/>
      <c r="BU123" s="262"/>
      <c r="BV123" s="262"/>
      <c r="BW123" s="262"/>
      <c r="BX123" s="262"/>
      <c r="BY123" s="262"/>
      <c r="BZ123" s="262"/>
      <c r="CA123" s="262"/>
      <c r="CB123" s="262"/>
      <c r="CC123" s="262"/>
      <c r="CD123" s="262"/>
      <c r="CE123" s="262"/>
      <c r="CF123" s="262"/>
      <c r="CG123" s="262"/>
      <c r="CH123" s="262"/>
      <c r="CI123" s="262"/>
      <c r="CJ123" s="262"/>
      <c r="CK123" s="262"/>
      <c r="CL123" s="262"/>
      <c r="CM123" s="262"/>
      <c r="CN123" s="262"/>
      <c r="CO123" s="262"/>
      <c r="CP123" s="262"/>
      <c r="CQ123" s="262"/>
      <c r="CR123" s="262"/>
      <c r="CS123" s="262"/>
      <c r="CT123" s="262"/>
      <c r="CU123" s="262"/>
      <c r="CV123" s="262"/>
      <c r="CW123" s="262"/>
      <c r="CX123" s="262"/>
      <c r="CY123" s="262"/>
      <c r="CZ123" s="262"/>
      <c r="DA123" s="262"/>
      <c r="DB123" s="262"/>
      <c r="DC123" s="262"/>
      <c r="DD123" s="262"/>
      <c r="DE123" s="262"/>
      <c r="DF123" s="262"/>
      <c r="DG123" s="262"/>
      <c r="DH123" s="262"/>
      <c r="DI123" s="262"/>
      <c r="DJ123" s="262"/>
      <c r="DK123" s="262"/>
      <c r="DL123" s="262"/>
      <c r="DM123" s="262"/>
      <c r="DN123" s="262"/>
      <c r="DO123" s="262"/>
      <c r="DP123" s="262"/>
      <c r="DQ123" s="262"/>
      <c r="DR123" s="262"/>
      <c r="DS123" s="262"/>
      <c r="DT123" s="262"/>
      <c r="DU123" s="262"/>
      <c r="DV123" s="262"/>
      <c r="DW123" s="262"/>
      <c r="DX123" s="262"/>
      <c r="DY123" s="262"/>
      <c r="DZ123" s="262"/>
      <c r="EA123" s="262"/>
      <c r="EB123" s="262"/>
      <c r="EC123" s="262"/>
      <c r="ED123" s="262"/>
      <c r="EE123" s="262"/>
      <c r="EF123" s="262"/>
      <c r="EG123" s="262"/>
      <c r="EH123" s="262"/>
      <c r="EI123" s="262"/>
      <c r="EJ123" s="262"/>
      <c r="EK123" s="262"/>
      <c r="EL123" s="262"/>
      <c r="EM123" s="262"/>
      <c r="EN123" s="262"/>
      <c r="EO123" s="262"/>
      <c r="EP123" s="262"/>
      <c r="EQ123" s="262"/>
      <c r="ER123" s="262"/>
      <c r="ES123" s="262"/>
      <c r="ET123" s="262"/>
      <c r="EU123" s="262"/>
      <c r="EV123" s="262"/>
      <c r="EW123" s="262"/>
      <c r="EX123" s="262"/>
      <c r="EY123" s="262"/>
      <c r="EZ123" s="262"/>
      <c r="FA123" s="262"/>
      <c r="FB123" s="262"/>
      <c r="FC123" s="262"/>
      <c r="FD123" s="262"/>
      <c r="FE123" s="262"/>
      <c r="FF123" s="262"/>
      <c r="FG123" s="262"/>
      <c r="FH123" s="262"/>
      <c r="FI123" s="262"/>
      <c r="FJ123" s="262"/>
      <c r="FK123" s="262"/>
      <c r="FL123" s="262"/>
      <c r="FM123" s="262"/>
      <c r="FN123" s="262"/>
      <c r="FO123" s="262"/>
      <c r="FP123" s="262"/>
      <c r="FQ123" s="262"/>
      <c r="FR123" s="262"/>
      <c r="FS123" s="262"/>
      <c r="FT123" s="262"/>
      <c r="FU123" s="262"/>
      <c r="FV123" s="262"/>
      <c r="FW123" s="262"/>
      <c r="FX123" s="262"/>
      <c r="FY123" s="262"/>
      <c r="FZ123" s="262"/>
      <c r="GA123" s="262"/>
      <c r="GB123" s="262"/>
      <c r="GC123" s="262"/>
      <c r="GD123" s="262"/>
      <c r="GE123" s="262"/>
      <c r="GF123" s="262"/>
      <c r="GG123" s="262"/>
      <c r="GH123" s="262"/>
      <c r="GI123" s="262"/>
      <c r="GJ123" s="262"/>
      <c r="GK123" s="262"/>
      <c r="GL123" s="262"/>
      <c r="GM123" s="262"/>
      <c r="GN123" s="262"/>
      <c r="GO123" s="262"/>
      <c r="GP123" s="262"/>
      <c r="GQ123" s="262"/>
      <c r="GR123" s="262"/>
      <c r="GS123" s="262"/>
      <c r="GT123" s="262"/>
      <c r="GU123" s="262"/>
      <c r="GV123" s="262"/>
      <c r="GW123" s="262"/>
      <c r="GX123" s="262"/>
      <c r="GY123" s="262"/>
      <c r="GZ123" s="262"/>
      <c r="HA123" s="262"/>
      <c r="HB123" s="262"/>
      <c r="HC123" s="262"/>
      <c r="HD123" s="262"/>
      <c r="HE123" s="262"/>
      <c r="HF123" s="262"/>
      <c r="HG123" s="262"/>
      <c r="HH123" s="262"/>
      <c r="HI123" s="262"/>
      <c r="HJ123" s="262"/>
      <c r="HK123" s="262"/>
      <c r="HL123" s="262"/>
      <c r="HM123" s="262"/>
      <c r="HN123" s="262"/>
      <c r="HO123" s="262"/>
      <c r="HP123" s="262"/>
      <c r="HQ123" s="262"/>
      <c r="HR123" s="262"/>
      <c r="HS123" s="262"/>
      <c r="HT123" s="262"/>
      <c r="HU123" s="262"/>
      <c r="HV123" s="262"/>
      <c r="HW123" s="262"/>
      <c r="HX123" s="262"/>
      <c r="HY123" s="262"/>
      <c r="HZ123" s="262"/>
      <c r="IA123" s="262"/>
      <c r="IB123" s="262"/>
      <c r="IC123" s="262"/>
      <c r="ID123" s="262"/>
      <c r="IE123" s="262"/>
      <c r="IF123" s="262"/>
      <c r="IG123" s="262"/>
      <c r="IH123" s="262"/>
      <c r="II123" s="262"/>
      <c r="IJ123" s="262"/>
      <c r="IK123" s="262"/>
      <c r="IL123" s="262"/>
      <c r="IM123" s="262"/>
      <c r="IN123" s="262"/>
      <c r="IO123" s="262"/>
      <c r="IP123" s="262"/>
      <c r="IQ123" s="262"/>
      <c r="IR123" s="262"/>
      <c r="IS123" s="262"/>
      <c r="IT123" s="262"/>
      <c r="IU123" s="262"/>
    </row>
    <row r="124" s="261" customFormat="1" ht="18" hidden="1" customHeight="1" spans="1:4">
      <c r="A124" s="266" t="s">
        <v>1503</v>
      </c>
      <c r="B124" s="266"/>
      <c r="C124" s="271"/>
      <c r="D124" s="272"/>
    </row>
    <row r="125" s="262" customFormat="1" ht="18" customHeight="1" spans="1:256">
      <c r="A125" s="267">
        <v>4042</v>
      </c>
      <c r="B125" s="268" t="s">
        <v>1504</v>
      </c>
      <c r="C125" s="225" t="s">
        <v>1380</v>
      </c>
      <c r="D125" s="230">
        <v>61505.7487475827</v>
      </c>
      <c r="IV125" s="263"/>
    </row>
    <row r="126" ht="18" customHeight="1" spans="1:255">
      <c r="A126" s="267">
        <v>4043</v>
      </c>
      <c r="B126" s="268" t="s">
        <v>1505</v>
      </c>
      <c r="C126" s="225" t="s">
        <v>1380</v>
      </c>
      <c r="D126" s="230">
        <v>94694.8566369246</v>
      </c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62"/>
      <c r="BM126" s="262"/>
      <c r="BN126" s="262"/>
      <c r="BO126" s="262"/>
      <c r="BP126" s="262"/>
      <c r="BQ126" s="262"/>
      <c r="BR126" s="262"/>
      <c r="BS126" s="262"/>
      <c r="BT126" s="262"/>
      <c r="BU126" s="262"/>
      <c r="BV126" s="262"/>
      <c r="BW126" s="262"/>
      <c r="BX126" s="262"/>
      <c r="BY126" s="262"/>
      <c r="BZ126" s="262"/>
      <c r="CA126" s="262"/>
      <c r="CB126" s="262"/>
      <c r="CC126" s="262"/>
      <c r="CD126" s="262"/>
      <c r="CE126" s="262"/>
      <c r="CF126" s="262"/>
      <c r="CG126" s="262"/>
      <c r="CH126" s="262"/>
      <c r="CI126" s="262"/>
      <c r="CJ126" s="262"/>
      <c r="CK126" s="262"/>
      <c r="CL126" s="262"/>
      <c r="CM126" s="262"/>
      <c r="CN126" s="262"/>
      <c r="CO126" s="262"/>
      <c r="CP126" s="262"/>
      <c r="CQ126" s="262"/>
      <c r="CR126" s="262"/>
      <c r="CS126" s="262"/>
      <c r="CT126" s="262"/>
      <c r="CU126" s="262"/>
      <c r="CV126" s="262"/>
      <c r="CW126" s="262"/>
      <c r="CX126" s="262"/>
      <c r="CY126" s="262"/>
      <c r="CZ126" s="262"/>
      <c r="DA126" s="262"/>
      <c r="DB126" s="262"/>
      <c r="DC126" s="262"/>
      <c r="DD126" s="262"/>
      <c r="DE126" s="262"/>
      <c r="DF126" s="262"/>
      <c r="DG126" s="262"/>
      <c r="DH126" s="262"/>
      <c r="DI126" s="262"/>
      <c r="DJ126" s="262"/>
      <c r="DK126" s="262"/>
      <c r="DL126" s="262"/>
      <c r="DM126" s="262"/>
      <c r="DN126" s="262"/>
      <c r="DO126" s="262"/>
      <c r="DP126" s="262"/>
      <c r="DQ126" s="262"/>
      <c r="DR126" s="262"/>
      <c r="DS126" s="262"/>
      <c r="DT126" s="262"/>
      <c r="DU126" s="262"/>
      <c r="DV126" s="262"/>
      <c r="DW126" s="262"/>
      <c r="DX126" s="262"/>
      <c r="DY126" s="262"/>
      <c r="DZ126" s="262"/>
      <c r="EA126" s="262"/>
      <c r="EB126" s="262"/>
      <c r="EC126" s="262"/>
      <c r="ED126" s="262"/>
      <c r="EE126" s="262"/>
      <c r="EF126" s="262"/>
      <c r="EG126" s="262"/>
      <c r="EH126" s="262"/>
      <c r="EI126" s="262"/>
      <c r="EJ126" s="262"/>
      <c r="EK126" s="262"/>
      <c r="EL126" s="262"/>
      <c r="EM126" s="262"/>
      <c r="EN126" s="262"/>
      <c r="EO126" s="262"/>
      <c r="EP126" s="262"/>
      <c r="EQ126" s="262"/>
      <c r="ER126" s="262"/>
      <c r="ES126" s="262"/>
      <c r="ET126" s="262"/>
      <c r="EU126" s="262"/>
      <c r="EV126" s="262"/>
      <c r="EW126" s="262"/>
      <c r="EX126" s="262"/>
      <c r="EY126" s="262"/>
      <c r="EZ126" s="262"/>
      <c r="FA126" s="262"/>
      <c r="FB126" s="262"/>
      <c r="FC126" s="262"/>
      <c r="FD126" s="262"/>
      <c r="FE126" s="262"/>
      <c r="FF126" s="262"/>
      <c r="FG126" s="262"/>
      <c r="FH126" s="262"/>
      <c r="FI126" s="262"/>
      <c r="FJ126" s="262"/>
      <c r="FK126" s="262"/>
      <c r="FL126" s="262"/>
      <c r="FM126" s="262"/>
      <c r="FN126" s="262"/>
      <c r="FO126" s="262"/>
      <c r="FP126" s="262"/>
      <c r="FQ126" s="262"/>
      <c r="FR126" s="262"/>
      <c r="FS126" s="262"/>
      <c r="FT126" s="262"/>
      <c r="FU126" s="262"/>
      <c r="FV126" s="262"/>
      <c r="FW126" s="262"/>
      <c r="FX126" s="262"/>
      <c r="FY126" s="262"/>
      <c r="FZ126" s="262"/>
      <c r="GA126" s="262"/>
      <c r="GB126" s="262"/>
      <c r="GC126" s="262"/>
      <c r="GD126" s="262"/>
      <c r="GE126" s="262"/>
      <c r="GF126" s="262"/>
      <c r="GG126" s="262"/>
      <c r="GH126" s="262"/>
      <c r="GI126" s="262"/>
      <c r="GJ126" s="262"/>
      <c r="GK126" s="262"/>
      <c r="GL126" s="262"/>
      <c r="GM126" s="262"/>
      <c r="GN126" s="262"/>
      <c r="GO126" s="262"/>
      <c r="GP126" s="262"/>
      <c r="GQ126" s="262"/>
      <c r="GR126" s="262"/>
      <c r="GS126" s="262"/>
      <c r="GT126" s="262"/>
      <c r="GU126" s="262"/>
      <c r="GV126" s="262"/>
      <c r="GW126" s="262"/>
      <c r="GX126" s="262"/>
      <c r="GY126" s="262"/>
      <c r="GZ126" s="262"/>
      <c r="HA126" s="262"/>
      <c r="HB126" s="262"/>
      <c r="HC126" s="262"/>
      <c r="HD126" s="262"/>
      <c r="HE126" s="262"/>
      <c r="HF126" s="262"/>
      <c r="HG126" s="262"/>
      <c r="HH126" s="262"/>
      <c r="HI126" s="262"/>
      <c r="HJ126" s="262"/>
      <c r="HK126" s="262"/>
      <c r="HL126" s="262"/>
      <c r="HM126" s="262"/>
      <c r="HN126" s="262"/>
      <c r="HO126" s="262"/>
      <c r="HP126" s="262"/>
      <c r="HQ126" s="262"/>
      <c r="HR126" s="262"/>
      <c r="HS126" s="262"/>
      <c r="HT126" s="262"/>
      <c r="HU126" s="262"/>
      <c r="HV126" s="262"/>
      <c r="HW126" s="262"/>
      <c r="HX126" s="262"/>
      <c r="HY126" s="262"/>
      <c r="HZ126" s="262"/>
      <c r="IA126" s="262"/>
      <c r="IB126" s="262"/>
      <c r="IC126" s="262"/>
      <c r="ID126" s="262"/>
      <c r="IE126" s="262"/>
      <c r="IF126" s="262"/>
      <c r="IG126" s="262"/>
      <c r="IH126" s="262"/>
      <c r="II126" s="262"/>
      <c r="IJ126" s="262"/>
      <c r="IK126" s="262"/>
      <c r="IL126" s="262"/>
      <c r="IM126" s="262"/>
      <c r="IN126" s="262"/>
      <c r="IO126" s="262"/>
      <c r="IP126" s="262"/>
      <c r="IQ126" s="262"/>
      <c r="IR126" s="262"/>
      <c r="IS126" s="262"/>
      <c r="IT126" s="262"/>
      <c r="IU126" s="262"/>
    </row>
    <row r="127" ht="18" customHeight="1" spans="1:255">
      <c r="A127" s="267">
        <v>4047</v>
      </c>
      <c r="B127" s="268" t="s">
        <v>1506</v>
      </c>
      <c r="C127" s="225" t="s">
        <v>1380</v>
      </c>
      <c r="D127" s="230">
        <v>57654.1402250168</v>
      </c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62"/>
      <c r="BH127" s="262"/>
      <c r="BI127" s="262"/>
      <c r="BJ127" s="262"/>
      <c r="BK127" s="262"/>
      <c r="BL127" s="262"/>
      <c r="BM127" s="262"/>
      <c r="BN127" s="262"/>
      <c r="BO127" s="262"/>
      <c r="BP127" s="262"/>
      <c r="BQ127" s="262"/>
      <c r="BR127" s="262"/>
      <c r="BS127" s="262"/>
      <c r="BT127" s="262"/>
      <c r="BU127" s="262"/>
      <c r="BV127" s="262"/>
      <c r="BW127" s="262"/>
      <c r="BX127" s="262"/>
      <c r="BY127" s="262"/>
      <c r="BZ127" s="262"/>
      <c r="CA127" s="262"/>
      <c r="CB127" s="262"/>
      <c r="CC127" s="262"/>
      <c r="CD127" s="262"/>
      <c r="CE127" s="262"/>
      <c r="CF127" s="262"/>
      <c r="CG127" s="262"/>
      <c r="CH127" s="262"/>
      <c r="CI127" s="262"/>
      <c r="CJ127" s="262"/>
      <c r="CK127" s="262"/>
      <c r="CL127" s="262"/>
      <c r="CM127" s="262"/>
      <c r="CN127" s="262"/>
      <c r="CO127" s="262"/>
      <c r="CP127" s="262"/>
      <c r="CQ127" s="262"/>
      <c r="CR127" s="262"/>
      <c r="CS127" s="262"/>
      <c r="CT127" s="262"/>
      <c r="CU127" s="262"/>
      <c r="CV127" s="262"/>
      <c r="CW127" s="262"/>
      <c r="CX127" s="262"/>
      <c r="CY127" s="262"/>
      <c r="CZ127" s="262"/>
      <c r="DA127" s="262"/>
      <c r="DB127" s="262"/>
      <c r="DC127" s="262"/>
      <c r="DD127" s="262"/>
      <c r="DE127" s="262"/>
      <c r="DF127" s="262"/>
      <c r="DG127" s="262"/>
      <c r="DH127" s="262"/>
      <c r="DI127" s="262"/>
      <c r="DJ127" s="262"/>
      <c r="DK127" s="262"/>
      <c r="DL127" s="262"/>
      <c r="DM127" s="262"/>
      <c r="DN127" s="262"/>
      <c r="DO127" s="262"/>
      <c r="DP127" s="262"/>
      <c r="DQ127" s="262"/>
      <c r="DR127" s="262"/>
      <c r="DS127" s="262"/>
      <c r="DT127" s="262"/>
      <c r="DU127" s="262"/>
      <c r="DV127" s="262"/>
      <c r="DW127" s="262"/>
      <c r="DX127" s="262"/>
      <c r="DY127" s="262"/>
      <c r="DZ127" s="262"/>
      <c r="EA127" s="262"/>
      <c r="EB127" s="262"/>
      <c r="EC127" s="262"/>
      <c r="ED127" s="262"/>
      <c r="EE127" s="262"/>
      <c r="EF127" s="262"/>
      <c r="EG127" s="262"/>
      <c r="EH127" s="262"/>
      <c r="EI127" s="262"/>
      <c r="EJ127" s="262"/>
      <c r="EK127" s="262"/>
      <c r="EL127" s="262"/>
      <c r="EM127" s="262"/>
      <c r="EN127" s="262"/>
      <c r="EO127" s="262"/>
      <c r="EP127" s="262"/>
      <c r="EQ127" s="262"/>
      <c r="ER127" s="262"/>
      <c r="ES127" s="262"/>
      <c r="ET127" s="262"/>
      <c r="EU127" s="262"/>
      <c r="EV127" s="262"/>
      <c r="EW127" s="262"/>
      <c r="EX127" s="262"/>
      <c r="EY127" s="262"/>
      <c r="EZ127" s="262"/>
      <c r="FA127" s="262"/>
      <c r="FB127" s="262"/>
      <c r="FC127" s="262"/>
      <c r="FD127" s="262"/>
      <c r="FE127" s="262"/>
      <c r="FF127" s="262"/>
      <c r="FG127" s="262"/>
      <c r="FH127" s="262"/>
      <c r="FI127" s="262"/>
      <c r="FJ127" s="262"/>
      <c r="FK127" s="262"/>
      <c r="FL127" s="262"/>
      <c r="FM127" s="262"/>
      <c r="FN127" s="262"/>
      <c r="FO127" s="262"/>
      <c r="FP127" s="262"/>
      <c r="FQ127" s="262"/>
      <c r="FR127" s="262"/>
      <c r="FS127" s="262"/>
      <c r="FT127" s="262"/>
      <c r="FU127" s="262"/>
      <c r="FV127" s="262"/>
      <c r="FW127" s="262"/>
      <c r="FX127" s="262"/>
      <c r="FY127" s="262"/>
      <c r="FZ127" s="262"/>
      <c r="GA127" s="262"/>
      <c r="GB127" s="262"/>
      <c r="GC127" s="262"/>
      <c r="GD127" s="262"/>
      <c r="GE127" s="262"/>
      <c r="GF127" s="262"/>
      <c r="GG127" s="262"/>
      <c r="GH127" s="262"/>
      <c r="GI127" s="262"/>
      <c r="GJ127" s="262"/>
      <c r="GK127" s="262"/>
      <c r="GL127" s="262"/>
      <c r="GM127" s="262"/>
      <c r="GN127" s="262"/>
      <c r="GO127" s="262"/>
      <c r="GP127" s="262"/>
      <c r="GQ127" s="262"/>
      <c r="GR127" s="262"/>
      <c r="GS127" s="262"/>
      <c r="GT127" s="262"/>
      <c r="GU127" s="262"/>
      <c r="GV127" s="262"/>
      <c r="GW127" s="262"/>
      <c r="GX127" s="262"/>
      <c r="GY127" s="262"/>
      <c r="GZ127" s="262"/>
      <c r="HA127" s="262"/>
      <c r="HB127" s="262"/>
      <c r="HC127" s="262"/>
      <c r="HD127" s="262"/>
      <c r="HE127" s="262"/>
      <c r="HF127" s="262"/>
      <c r="HG127" s="262"/>
      <c r="HH127" s="262"/>
      <c r="HI127" s="262"/>
      <c r="HJ127" s="262"/>
      <c r="HK127" s="262"/>
      <c r="HL127" s="262"/>
      <c r="HM127" s="262"/>
      <c r="HN127" s="262"/>
      <c r="HO127" s="262"/>
      <c r="HP127" s="262"/>
      <c r="HQ127" s="262"/>
      <c r="HR127" s="262"/>
      <c r="HS127" s="262"/>
      <c r="HT127" s="262"/>
      <c r="HU127" s="262"/>
      <c r="HV127" s="262"/>
      <c r="HW127" s="262"/>
      <c r="HX127" s="262"/>
      <c r="HY127" s="262"/>
      <c r="HZ127" s="262"/>
      <c r="IA127" s="262"/>
      <c r="IB127" s="262"/>
      <c r="IC127" s="262"/>
      <c r="ID127" s="262"/>
      <c r="IE127" s="262"/>
      <c r="IF127" s="262"/>
      <c r="IG127" s="262"/>
      <c r="IH127" s="262"/>
      <c r="II127" s="262"/>
      <c r="IJ127" s="262"/>
      <c r="IK127" s="262"/>
      <c r="IL127" s="262"/>
      <c r="IM127" s="262"/>
      <c r="IN127" s="262"/>
      <c r="IO127" s="262"/>
      <c r="IP127" s="262"/>
      <c r="IQ127" s="262"/>
      <c r="IR127" s="262"/>
      <c r="IS127" s="262"/>
      <c r="IT127" s="262"/>
      <c r="IU127" s="262"/>
    </row>
    <row r="128" ht="18" hidden="1" customHeight="1" spans="1:255">
      <c r="A128" s="267">
        <v>4048</v>
      </c>
      <c r="B128" s="268" t="s">
        <v>1507</v>
      </c>
      <c r="C128" s="225" t="s">
        <v>1380</v>
      </c>
      <c r="D128" s="230">
        <v>63067.7240300699</v>
      </c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62"/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  <c r="CR128" s="262"/>
      <c r="CS128" s="262"/>
      <c r="CT128" s="262"/>
      <c r="CU128" s="262"/>
      <c r="CV128" s="262"/>
      <c r="CW128" s="262"/>
      <c r="CX128" s="262"/>
      <c r="CY128" s="262"/>
      <c r="CZ128" s="262"/>
      <c r="DA128" s="262"/>
      <c r="DB128" s="262"/>
      <c r="DC128" s="262"/>
      <c r="DD128" s="262"/>
      <c r="DE128" s="262"/>
      <c r="DF128" s="262"/>
      <c r="DG128" s="262"/>
      <c r="DH128" s="262"/>
      <c r="DI128" s="262"/>
      <c r="DJ128" s="262"/>
      <c r="DK128" s="262"/>
      <c r="DL128" s="262"/>
      <c r="DM128" s="262"/>
      <c r="DN128" s="262"/>
      <c r="DO128" s="262"/>
      <c r="DP128" s="262"/>
      <c r="DQ128" s="262"/>
      <c r="DR128" s="262"/>
      <c r="DS128" s="262"/>
      <c r="DT128" s="262"/>
      <c r="DU128" s="262"/>
      <c r="DV128" s="262"/>
      <c r="DW128" s="262"/>
      <c r="DX128" s="262"/>
      <c r="DY128" s="262"/>
      <c r="DZ128" s="262"/>
      <c r="EA128" s="262"/>
      <c r="EB128" s="262"/>
      <c r="EC128" s="262"/>
      <c r="ED128" s="262"/>
      <c r="EE128" s="262"/>
      <c r="EF128" s="262"/>
      <c r="EG128" s="262"/>
      <c r="EH128" s="262"/>
      <c r="EI128" s="262"/>
      <c r="EJ128" s="262"/>
      <c r="EK128" s="262"/>
      <c r="EL128" s="262"/>
      <c r="EM128" s="262"/>
      <c r="EN128" s="262"/>
      <c r="EO128" s="262"/>
      <c r="EP128" s="262"/>
      <c r="EQ128" s="262"/>
      <c r="ER128" s="262"/>
      <c r="ES128" s="262"/>
      <c r="ET128" s="262"/>
      <c r="EU128" s="262"/>
      <c r="EV128" s="262"/>
      <c r="EW128" s="262"/>
      <c r="EX128" s="262"/>
      <c r="EY128" s="262"/>
      <c r="EZ128" s="262"/>
      <c r="FA128" s="262"/>
      <c r="FB128" s="262"/>
      <c r="FC128" s="262"/>
      <c r="FD128" s="262"/>
      <c r="FE128" s="262"/>
      <c r="FF128" s="262"/>
      <c r="FG128" s="262"/>
      <c r="FH128" s="262"/>
      <c r="FI128" s="262"/>
      <c r="FJ128" s="262"/>
      <c r="FK128" s="262"/>
      <c r="FL128" s="262"/>
      <c r="FM128" s="262"/>
      <c r="FN128" s="262"/>
      <c r="FO128" s="262"/>
      <c r="FP128" s="262"/>
      <c r="FQ128" s="262"/>
      <c r="FR128" s="262"/>
      <c r="FS128" s="262"/>
      <c r="FT128" s="262"/>
      <c r="FU128" s="262"/>
      <c r="FV128" s="262"/>
      <c r="FW128" s="262"/>
      <c r="FX128" s="262"/>
      <c r="FY128" s="262"/>
      <c r="FZ128" s="262"/>
      <c r="GA128" s="262"/>
      <c r="GB128" s="262"/>
      <c r="GC128" s="262"/>
      <c r="GD128" s="262"/>
      <c r="GE128" s="262"/>
      <c r="GF128" s="262"/>
      <c r="GG128" s="262"/>
      <c r="GH128" s="262"/>
      <c r="GI128" s="262"/>
      <c r="GJ128" s="262"/>
      <c r="GK128" s="262"/>
      <c r="GL128" s="262"/>
      <c r="GM128" s="262"/>
      <c r="GN128" s="262"/>
      <c r="GO128" s="262"/>
      <c r="GP128" s="262"/>
      <c r="GQ128" s="262"/>
      <c r="GR128" s="262"/>
      <c r="GS128" s="262"/>
      <c r="GT128" s="262"/>
      <c r="GU128" s="262"/>
      <c r="GV128" s="262"/>
      <c r="GW128" s="262"/>
      <c r="GX128" s="262"/>
      <c r="GY128" s="262"/>
      <c r="GZ128" s="262"/>
      <c r="HA128" s="262"/>
      <c r="HB128" s="262"/>
      <c r="HC128" s="262"/>
      <c r="HD128" s="262"/>
      <c r="HE128" s="262"/>
      <c r="HF128" s="262"/>
      <c r="HG128" s="262"/>
      <c r="HH128" s="262"/>
      <c r="HI128" s="262"/>
      <c r="HJ128" s="262"/>
      <c r="HK128" s="262"/>
      <c r="HL128" s="262"/>
      <c r="HM128" s="262"/>
      <c r="HN128" s="262"/>
      <c r="HO128" s="262"/>
      <c r="HP128" s="262"/>
      <c r="HQ128" s="262"/>
      <c r="HR128" s="262"/>
      <c r="HS128" s="262"/>
      <c r="HT128" s="262"/>
      <c r="HU128" s="262"/>
      <c r="HV128" s="262"/>
      <c r="HW128" s="262"/>
      <c r="HX128" s="262"/>
      <c r="HY128" s="262"/>
      <c r="HZ128" s="262"/>
      <c r="IA128" s="262"/>
      <c r="IB128" s="262"/>
      <c r="IC128" s="262"/>
      <c r="ID128" s="262"/>
      <c r="IE128" s="262"/>
      <c r="IF128" s="262"/>
      <c r="IG128" s="262"/>
      <c r="IH128" s="262"/>
      <c r="II128" s="262"/>
      <c r="IJ128" s="262"/>
      <c r="IK128" s="262"/>
      <c r="IL128" s="262"/>
      <c r="IM128" s="262"/>
      <c r="IN128" s="262"/>
      <c r="IO128" s="262"/>
      <c r="IP128" s="262"/>
      <c r="IQ128" s="262"/>
      <c r="IR128" s="262"/>
      <c r="IS128" s="262"/>
      <c r="IT128" s="262"/>
      <c r="IU128" s="262"/>
    </row>
    <row r="129" ht="18" hidden="1" customHeight="1" spans="1:255">
      <c r="A129" s="267">
        <v>4048</v>
      </c>
      <c r="B129" s="268" t="s">
        <v>1508</v>
      </c>
      <c r="C129" s="225" t="s">
        <v>1380</v>
      </c>
      <c r="D129" s="230">
        <v>63733.4575756844</v>
      </c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62"/>
      <c r="BP129" s="262"/>
      <c r="BQ129" s="262"/>
      <c r="BR129" s="262"/>
      <c r="BS129" s="262"/>
      <c r="BT129" s="262"/>
      <c r="BU129" s="262"/>
      <c r="BV129" s="262"/>
      <c r="BW129" s="262"/>
      <c r="BX129" s="262"/>
      <c r="BY129" s="262"/>
      <c r="BZ129" s="262"/>
      <c r="CA129" s="262"/>
      <c r="CB129" s="262"/>
      <c r="CC129" s="262"/>
      <c r="CD129" s="262"/>
      <c r="CE129" s="262"/>
      <c r="CF129" s="262"/>
      <c r="CG129" s="262"/>
      <c r="CH129" s="262"/>
      <c r="CI129" s="262"/>
      <c r="CJ129" s="262"/>
      <c r="CK129" s="262"/>
      <c r="CL129" s="262"/>
      <c r="CM129" s="262"/>
      <c r="CN129" s="262"/>
      <c r="CO129" s="262"/>
      <c r="CP129" s="262"/>
      <c r="CQ129" s="262"/>
      <c r="CR129" s="262"/>
      <c r="CS129" s="262"/>
      <c r="CT129" s="262"/>
      <c r="CU129" s="262"/>
      <c r="CV129" s="262"/>
      <c r="CW129" s="262"/>
      <c r="CX129" s="262"/>
      <c r="CY129" s="262"/>
      <c r="CZ129" s="262"/>
      <c r="DA129" s="262"/>
      <c r="DB129" s="262"/>
      <c r="DC129" s="262"/>
      <c r="DD129" s="262"/>
      <c r="DE129" s="262"/>
      <c r="DF129" s="262"/>
      <c r="DG129" s="262"/>
      <c r="DH129" s="262"/>
      <c r="DI129" s="262"/>
      <c r="DJ129" s="262"/>
      <c r="DK129" s="262"/>
      <c r="DL129" s="262"/>
      <c r="DM129" s="262"/>
      <c r="DN129" s="262"/>
      <c r="DO129" s="262"/>
      <c r="DP129" s="262"/>
      <c r="DQ129" s="262"/>
      <c r="DR129" s="262"/>
      <c r="DS129" s="262"/>
      <c r="DT129" s="262"/>
      <c r="DU129" s="262"/>
      <c r="DV129" s="262"/>
      <c r="DW129" s="262"/>
      <c r="DX129" s="262"/>
      <c r="DY129" s="262"/>
      <c r="DZ129" s="262"/>
      <c r="EA129" s="262"/>
      <c r="EB129" s="262"/>
      <c r="EC129" s="262"/>
      <c r="ED129" s="262"/>
      <c r="EE129" s="262"/>
      <c r="EF129" s="262"/>
      <c r="EG129" s="262"/>
      <c r="EH129" s="262"/>
      <c r="EI129" s="262"/>
      <c r="EJ129" s="262"/>
      <c r="EK129" s="262"/>
      <c r="EL129" s="262"/>
      <c r="EM129" s="262"/>
      <c r="EN129" s="262"/>
      <c r="EO129" s="262"/>
      <c r="EP129" s="262"/>
      <c r="EQ129" s="262"/>
      <c r="ER129" s="262"/>
      <c r="ES129" s="262"/>
      <c r="ET129" s="262"/>
      <c r="EU129" s="262"/>
      <c r="EV129" s="262"/>
      <c r="EW129" s="262"/>
      <c r="EX129" s="262"/>
      <c r="EY129" s="262"/>
      <c r="EZ129" s="262"/>
      <c r="FA129" s="262"/>
      <c r="FB129" s="262"/>
      <c r="FC129" s="262"/>
      <c r="FD129" s="262"/>
      <c r="FE129" s="262"/>
      <c r="FF129" s="262"/>
      <c r="FG129" s="262"/>
      <c r="FH129" s="262"/>
      <c r="FI129" s="262"/>
      <c r="FJ129" s="262"/>
      <c r="FK129" s="262"/>
      <c r="FL129" s="262"/>
      <c r="FM129" s="262"/>
      <c r="FN129" s="262"/>
      <c r="FO129" s="262"/>
      <c r="FP129" s="262"/>
      <c r="FQ129" s="262"/>
      <c r="FR129" s="262"/>
      <c r="FS129" s="262"/>
      <c r="FT129" s="262"/>
      <c r="FU129" s="262"/>
      <c r="FV129" s="262"/>
      <c r="FW129" s="262"/>
      <c r="FX129" s="262"/>
      <c r="FY129" s="262"/>
      <c r="FZ129" s="262"/>
      <c r="GA129" s="262"/>
      <c r="GB129" s="262"/>
      <c r="GC129" s="262"/>
      <c r="GD129" s="262"/>
      <c r="GE129" s="262"/>
      <c r="GF129" s="262"/>
      <c r="GG129" s="262"/>
      <c r="GH129" s="262"/>
      <c r="GI129" s="262"/>
      <c r="GJ129" s="262"/>
      <c r="GK129" s="262"/>
      <c r="GL129" s="262"/>
      <c r="GM129" s="262"/>
      <c r="GN129" s="262"/>
      <c r="GO129" s="262"/>
      <c r="GP129" s="262"/>
      <c r="GQ129" s="262"/>
      <c r="GR129" s="262"/>
      <c r="GS129" s="262"/>
      <c r="GT129" s="262"/>
      <c r="GU129" s="262"/>
      <c r="GV129" s="262"/>
      <c r="GW129" s="262"/>
      <c r="GX129" s="262"/>
      <c r="GY129" s="262"/>
      <c r="GZ129" s="262"/>
      <c r="HA129" s="262"/>
      <c r="HB129" s="262"/>
      <c r="HC129" s="262"/>
      <c r="HD129" s="262"/>
      <c r="HE129" s="262"/>
      <c r="HF129" s="262"/>
      <c r="HG129" s="262"/>
      <c r="HH129" s="262"/>
      <c r="HI129" s="262"/>
      <c r="HJ129" s="262"/>
      <c r="HK129" s="262"/>
      <c r="HL129" s="262"/>
      <c r="HM129" s="262"/>
      <c r="HN129" s="262"/>
      <c r="HO129" s="262"/>
      <c r="HP129" s="262"/>
      <c r="HQ129" s="262"/>
      <c r="HR129" s="262"/>
      <c r="HS129" s="262"/>
      <c r="HT129" s="262"/>
      <c r="HU129" s="262"/>
      <c r="HV129" s="262"/>
      <c r="HW129" s="262"/>
      <c r="HX129" s="262"/>
      <c r="HY129" s="262"/>
      <c r="HZ129" s="262"/>
      <c r="IA129" s="262"/>
      <c r="IB129" s="262"/>
      <c r="IC129" s="262"/>
      <c r="ID129" s="262"/>
      <c r="IE129" s="262"/>
      <c r="IF129" s="262"/>
      <c r="IG129" s="262"/>
      <c r="IH129" s="262"/>
      <c r="II129" s="262"/>
      <c r="IJ129" s="262"/>
      <c r="IK129" s="262"/>
      <c r="IL129" s="262"/>
      <c r="IM129" s="262"/>
      <c r="IN129" s="262"/>
      <c r="IO129" s="262"/>
      <c r="IP129" s="262"/>
      <c r="IQ129" s="262"/>
      <c r="IR129" s="262"/>
      <c r="IS129" s="262"/>
      <c r="IT129" s="262"/>
      <c r="IU129" s="262"/>
    </row>
    <row r="130" ht="18" hidden="1" customHeight="1" spans="1:255">
      <c r="A130" s="267">
        <v>4049</v>
      </c>
      <c r="B130" s="268" t="s">
        <v>1509</v>
      </c>
      <c r="C130" s="225" t="s">
        <v>1380</v>
      </c>
      <c r="D130" s="230">
        <v>48307.9619625423</v>
      </c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62"/>
      <c r="BH130" s="262"/>
      <c r="BI130" s="262"/>
      <c r="BJ130" s="262"/>
      <c r="BK130" s="262"/>
      <c r="BL130" s="262"/>
      <c r="BM130" s="262"/>
      <c r="BN130" s="262"/>
      <c r="BO130" s="262"/>
      <c r="BP130" s="262"/>
      <c r="BQ130" s="262"/>
      <c r="BR130" s="262"/>
      <c r="BS130" s="262"/>
      <c r="BT130" s="262"/>
      <c r="BU130" s="262"/>
      <c r="BV130" s="262"/>
      <c r="BW130" s="262"/>
      <c r="BX130" s="262"/>
      <c r="BY130" s="262"/>
      <c r="BZ130" s="262"/>
      <c r="CA130" s="262"/>
      <c r="CB130" s="262"/>
      <c r="CC130" s="262"/>
      <c r="CD130" s="262"/>
      <c r="CE130" s="262"/>
      <c r="CF130" s="262"/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  <c r="CR130" s="262"/>
      <c r="CS130" s="262"/>
      <c r="CT130" s="262"/>
      <c r="CU130" s="262"/>
      <c r="CV130" s="262"/>
      <c r="CW130" s="262"/>
      <c r="CX130" s="262"/>
      <c r="CY130" s="262"/>
      <c r="CZ130" s="262"/>
      <c r="DA130" s="262"/>
      <c r="DB130" s="262"/>
      <c r="DC130" s="262"/>
      <c r="DD130" s="262"/>
      <c r="DE130" s="262"/>
      <c r="DF130" s="262"/>
      <c r="DG130" s="262"/>
      <c r="DH130" s="262"/>
      <c r="DI130" s="262"/>
      <c r="DJ130" s="262"/>
      <c r="DK130" s="262"/>
      <c r="DL130" s="262"/>
      <c r="DM130" s="262"/>
      <c r="DN130" s="262"/>
      <c r="DO130" s="262"/>
      <c r="DP130" s="262"/>
      <c r="DQ130" s="262"/>
      <c r="DR130" s="262"/>
      <c r="DS130" s="262"/>
      <c r="DT130" s="262"/>
      <c r="DU130" s="262"/>
      <c r="DV130" s="262"/>
      <c r="DW130" s="262"/>
      <c r="DX130" s="262"/>
      <c r="DY130" s="262"/>
      <c r="DZ130" s="262"/>
      <c r="EA130" s="262"/>
      <c r="EB130" s="262"/>
      <c r="EC130" s="262"/>
      <c r="ED130" s="262"/>
      <c r="EE130" s="262"/>
      <c r="EF130" s="262"/>
      <c r="EG130" s="262"/>
      <c r="EH130" s="262"/>
      <c r="EI130" s="262"/>
      <c r="EJ130" s="262"/>
      <c r="EK130" s="262"/>
      <c r="EL130" s="262"/>
      <c r="EM130" s="262"/>
      <c r="EN130" s="262"/>
      <c r="EO130" s="262"/>
      <c r="EP130" s="262"/>
      <c r="EQ130" s="262"/>
      <c r="ER130" s="262"/>
      <c r="ES130" s="262"/>
      <c r="ET130" s="262"/>
      <c r="EU130" s="262"/>
      <c r="EV130" s="262"/>
      <c r="EW130" s="262"/>
      <c r="EX130" s="262"/>
      <c r="EY130" s="262"/>
      <c r="EZ130" s="262"/>
      <c r="FA130" s="262"/>
      <c r="FB130" s="262"/>
      <c r="FC130" s="262"/>
      <c r="FD130" s="262"/>
      <c r="FE130" s="262"/>
      <c r="FF130" s="262"/>
      <c r="FG130" s="262"/>
      <c r="FH130" s="262"/>
      <c r="FI130" s="262"/>
      <c r="FJ130" s="262"/>
      <c r="FK130" s="262"/>
      <c r="FL130" s="262"/>
      <c r="FM130" s="262"/>
      <c r="FN130" s="262"/>
      <c r="FO130" s="262"/>
      <c r="FP130" s="262"/>
      <c r="FQ130" s="262"/>
      <c r="FR130" s="262"/>
      <c r="FS130" s="262"/>
      <c r="FT130" s="262"/>
      <c r="FU130" s="262"/>
      <c r="FV130" s="262"/>
      <c r="FW130" s="262"/>
      <c r="FX130" s="262"/>
      <c r="FY130" s="262"/>
      <c r="FZ130" s="262"/>
      <c r="GA130" s="262"/>
      <c r="GB130" s="262"/>
      <c r="GC130" s="262"/>
      <c r="GD130" s="262"/>
      <c r="GE130" s="262"/>
      <c r="GF130" s="262"/>
      <c r="GG130" s="262"/>
      <c r="GH130" s="262"/>
      <c r="GI130" s="262"/>
      <c r="GJ130" s="262"/>
      <c r="GK130" s="262"/>
      <c r="GL130" s="262"/>
      <c r="GM130" s="262"/>
      <c r="GN130" s="262"/>
      <c r="GO130" s="262"/>
      <c r="GP130" s="262"/>
      <c r="GQ130" s="262"/>
      <c r="GR130" s="262"/>
      <c r="GS130" s="262"/>
      <c r="GT130" s="262"/>
      <c r="GU130" s="262"/>
      <c r="GV130" s="262"/>
      <c r="GW130" s="262"/>
      <c r="GX130" s="262"/>
      <c r="GY130" s="262"/>
      <c r="GZ130" s="262"/>
      <c r="HA130" s="262"/>
      <c r="HB130" s="262"/>
      <c r="HC130" s="262"/>
      <c r="HD130" s="262"/>
      <c r="HE130" s="262"/>
      <c r="HF130" s="262"/>
      <c r="HG130" s="262"/>
      <c r="HH130" s="262"/>
      <c r="HI130" s="262"/>
      <c r="HJ130" s="262"/>
      <c r="HK130" s="262"/>
      <c r="HL130" s="262"/>
      <c r="HM130" s="262"/>
      <c r="HN130" s="262"/>
      <c r="HO130" s="262"/>
      <c r="HP130" s="262"/>
      <c r="HQ130" s="262"/>
      <c r="HR130" s="262"/>
      <c r="HS130" s="262"/>
      <c r="HT130" s="262"/>
      <c r="HU130" s="262"/>
      <c r="HV130" s="262"/>
      <c r="HW130" s="262"/>
      <c r="HX130" s="262"/>
      <c r="HY130" s="262"/>
      <c r="HZ130" s="262"/>
      <c r="IA130" s="262"/>
      <c r="IB130" s="262"/>
      <c r="IC130" s="262"/>
      <c r="ID130" s="262"/>
      <c r="IE130" s="262"/>
      <c r="IF130" s="262"/>
      <c r="IG130" s="262"/>
      <c r="IH130" s="262"/>
      <c r="II130" s="262"/>
      <c r="IJ130" s="262"/>
      <c r="IK130" s="262"/>
      <c r="IL130" s="262"/>
      <c r="IM130" s="262"/>
      <c r="IN130" s="262"/>
      <c r="IO130" s="262"/>
      <c r="IP130" s="262"/>
      <c r="IQ130" s="262"/>
      <c r="IR130" s="262"/>
      <c r="IS130" s="262"/>
      <c r="IT130" s="262"/>
      <c r="IU130" s="262"/>
    </row>
    <row r="131" s="262" customFormat="1" ht="18" customHeight="1" spans="1:256">
      <c r="A131" s="267">
        <v>4051</v>
      </c>
      <c r="B131" s="268" t="s">
        <v>1510</v>
      </c>
      <c r="C131" s="225" t="s">
        <v>1380</v>
      </c>
      <c r="D131" s="230">
        <v>55506.8780890099</v>
      </c>
      <c r="IV131" s="263"/>
    </row>
    <row r="132" s="262" customFormat="1" ht="18" customHeight="1" spans="1:256">
      <c r="A132" s="267">
        <v>4052</v>
      </c>
      <c r="B132" s="268" t="s">
        <v>1511</v>
      </c>
      <c r="C132" s="225" t="s">
        <v>1380</v>
      </c>
      <c r="D132" s="230">
        <v>60999.058132871</v>
      </c>
      <c r="IV132" s="263"/>
    </row>
    <row r="133" ht="18" customHeight="1" spans="1:255">
      <c r="A133" s="267">
        <v>4053</v>
      </c>
      <c r="B133" s="268" t="s">
        <v>1512</v>
      </c>
      <c r="C133" s="225" t="s">
        <v>1380</v>
      </c>
      <c r="D133" s="230">
        <v>50653.9426708525</v>
      </c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  <c r="BR133" s="262"/>
      <c r="BS133" s="262"/>
      <c r="BT133" s="262"/>
      <c r="BU133" s="262"/>
      <c r="BV133" s="262"/>
      <c r="BW133" s="262"/>
      <c r="BX133" s="262"/>
      <c r="BY133" s="262"/>
      <c r="BZ133" s="262"/>
      <c r="CA133" s="262"/>
      <c r="CB133" s="262"/>
      <c r="CC133" s="262"/>
      <c r="CD133" s="262"/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  <c r="DW133" s="262"/>
      <c r="DX133" s="262"/>
      <c r="DY133" s="262"/>
      <c r="DZ133" s="262"/>
      <c r="EA133" s="262"/>
      <c r="EB133" s="262"/>
      <c r="EC133" s="262"/>
      <c r="ED133" s="262"/>
      <c r="EE133" s="262"/>
      <c r="EF133" s="262"/>
      <c r="EG133" s="262"/>
      <c r="EH133" s="262"/>
      <c r="EI133" s="262"/>
      <c r="EJ133" s="262"/>
      <c r="EK133" s="262"/>
      <c r="EL133" s="262"/>
      <c r="EM133" s="262"/>
      <c r="EN133" s="262"/>
      <c r="EO133" s="262"/>
      <c r="EP133" s="262"/>
      <c r="EQ133" s="262"/>
      <c r="ER133" s="262"/>
      <c r="ES133" s="262"/>
      <c r="ET133" s="262"/>
      <c r="EU133" s="262"/>
      <c r="EV133" s="262"/>
      <c r="EW133" s="262"/>
      <c r="EX133" s="262"/>
      <c r="EY133" s="262"/>
      <c r="EZ133" s="262"/>
      <c r="FA133" s="262"/>
      <c r="FB133" s="262"/>
      <c r="FC133" s="262"/>
      <c r="FD133" s="262"/>
      <c r="FE133" s="262"/>
      <c r="FF133" s="262"/>
      <c r="FG133" s="262"/>
      <c r="FH133" s="262"/>
      <c r="FI133" s="262"/>
      <c r="FJ133" s="262"/>
      <c r="FK133" s="262"/>
      <c r="FL133" s="262"/>
      <c r="FM133" s="262"/>
      <c r="FN133" s="262"/>
      <c r="FO133" s="262"/>
      <c r="FP133" s="262"/>
      <c r="FQ133" s="262"/>
      <c r="FR133" s="262"/>
      <c r="FS133" s="262"/>
      <c r="FT133" s="262"/>
      <c r="FU133" s="262"/>
      <c r="FV133" s="262"/>
      <c r="FW133" s="262"/>
      <c r="FX133" s="262"/>
      <c r="FY133" s="262"/>
      <c r="FZ133" s="262"/>
      <c r="GA133" s="262"/>
      <c r="GB133" s="262"/>
      <c r="GC133" s="262"/>
      <c r="GD133" s="262"/>
      <c r="GE133" s="262"/>
      <c r="GF133" s="262"/>
      <c r="GG133" s="262"/>
      <c r="GH133" s="262"/>
      <c r="GI133" s="262"/>
      <c r="GJ133" s="262"/>
      <c r="GK133" s="262"/>
      <c r="GL133" s="262"/>
      <c r="GM133" s="262"/>
      <c r="GN133" s="262"/>
      <c r="GO133" s="262"/>
      <c r="GP133" s="262"/>
      <c r="GQ133" s="262"/>
      <c r="GR133" s="262"/>
      <c r="GS133" s="262"/>
      <c r="GT133" s="262"/>
      <c r="GU133" s="262"/>
      <c r="GV133" s="262"/>
      <c r="GW133" s="262"/>
      <c r="GX133" s="262"/>
      <c r="GY133" s="262"/>
      <c r="GZ133" s="262"/>
      <c r="HA133" s="262"/>
      <c r="HB133" s="262"/>
      <c r="HC133" s="262"/>
      <c r="HD133" s="262"/>
      <c r="HE133" s="262"/>
      <c r="HF133" s="262"/>
      <c r="HG133" s="262"/>
      <c r="HH133" s="262"/>
      <c r="HI133" s="262"/>
      <c r="HJ133" s="262"/>
      <c r="HK133" s="262"/>
      <c r="HL133" s="262"/>
      <c r="HM133" s="262"/>
      <c r="HN133" s="262"/>
      <c r="HO133" s="262"/>
      <c r="HP133" s="262"/>
      <c r="HQ133" s="262"/>
      <c r="HR133" s="262"/>
      <c r="HS133" s="262"/>
      <c r="HT133" s="262"/>
      <c r="HU133" s="262"/>
      <c r="HV133" s="262"/>
      <c r="HW133" s="262"/>
      <c r="HX133" s="262"/>
      <c r="HY133" s="262"/>
      <c r="HZ133" s="262"/>
      <c r="IA133" s="262"/>
      <c r="IB133" s="262"/>
      <c r="IC133" s="262"/>
      <c r="ID133" s="262"/>
      <c r="IE133" s="262"/>
      <c r="IF133" s="262"/>
      <c r="IG133" s="262"/>
      <c r="IH133" s="262"/>
      <c r="II133" s="262"/>
      <c r="IJ133" s="262"/>
      <c r="IK133" s="262"/>
      <c r="IL133" s="262"/>
      <c r="IM133" s="262"/>
      <c r="IN133" s="262"/>
      <c r="IO133" s="262"/>
      <c r="IP133" s="262"/>
      <c r="IQ133" s="262"/>
      <c r="IR133" s="262"/>
      <c r="IS133" s="262"/>
      <c r="IT133" s="262"/>
      <c r="IU133" s="262"/>
    </row>
    <row r="134" ht="18" customHeight="1" spans="1:255">
      <c r="A134" s="267">
        <v>4059</v>
      </c>
      <c r="B134" s="268" t="s">
        <v>1513</v>
      </c>
      <c r="C134" s="225" t="s">
        <v>1380</v>
      </c>
      <c r="D134" s="230">
        <v>64970.3640704111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62"/>
      <c r="BH134" s="262"/>
      <c r="BI134" s="262"/>
      <c r="BJ134" s="262"/>
      <c r="BK134" s="262"/>
      <c r="BL134" s="262"/>
      <c r="BM134" s="262"/>
      <c r="BN134" s="262"/>
      <c r="BO134" s="262"/>
      <c r="BP134" s="262"/>
      <c r="BQ134" s="262"/>
      <c r="BR134" s="262"/>
      <c r="BS134" s="262"/>
      <c r="BT134" s="262"/>
      <c r="BU134" s="262"/>
      <c r="BV134" s="262"/>
      <c r="BW134" s="262"/>
      <c r="BX134" s="262"/>
      <c r="BY134" s="262"/>
      <c r="BZ134" s="262"/>
      <c r="CA134" s="262"/>
      <c r="CB134" s="262"/>
      <c r="CC134" s="262"/>
      <c r="CD134" s="262"/>
      <c r="CE134" s="262"/>
      <c r="CF134" s="262"/>
      <c r="CG134" s="262"/>
      <c r="CH134" s="262"/>
      <c r="CI134" s="262"/>
      <c r="CJ134" s="262"/>
      <c r="CK134" s="262"/>
      <c r="CL134" s="262"/>
      <c r="CM134" s="262"/>
      <c r="CN134" s="262"/>
      <c r="CO134" s="262"/>
      <c r="CP134" s="262"/>
      <c r="CQ134" s="262"/>
      <c r="CR134" s="262"/>
      <c r="CS134" s="262"/>
      <c r="CT134" s="262"/>
      <c r="CU134" s="262"/>
      <c r="CV134" s="262"/>
      <c r="CW134" s="262"/>
      <c r="CX134" s="262"/>
      <c r="CY134" s="262"/>
      <c r="CZ134" s="262"/>
      <c r="DA134" s="262"/>
      <c r="DB134" s="262"/>
      <c r="DC134" s="262"/>
      <c r="DD134" s="262"/>
      <c r="DE134" s="262"/>
      <c r="DF134" s="262"/>
      <c r="DG134" s="262"/>
      <c r="DH134" s="262"/>
      <c r="DI134" s="262"/>
      <c r="DJ134" s="262"/>
      <c r="DK134" s="262"/>
      <c r="DL134" s="262"/>
      <c r="DM134" s="262"/>
      <c r="DN134" s="262"/>
      <c r="DO134" s="262"/>
      <c r="DP134" s="262"/>
      <c r="DQ134" s="262"/>
      <c r="DR134" s="262"/>
      <c r="DS134" s="262"/>
      <c r="DT134" s="262"/>
      <c r="DU134" s="262"/>
      <c r="DV134" s="262"/>
      <c r="DW134" s="262"/>
      <c r="DX134" s="262"/>
      <c r="DY134" s="262"/>
      <c r="DZ134" s="262"/>
      <c r="EA134" s="262"/>
      <c r="EB134" s="262"/>
      <c r="EC134" s="262"/>
      <c r="ED134" s="262"/>
      <c r="EE134" s="262"/>
      <c r="EF134" s="262"/>
      <c r="EG134" s="262"/>
      <c r="EH134" s="262"/>
      <c r="EI134" s="262"/>
      <c r="EJ134" s="262"/>
      <c r="EK134" s="262"/>
      <c r="EL134" s="262"/>
      <c r="EM134" s="262"/>
      <c r="EN134" s="262"/>
      <c r="EO134" s="262"/>
      <c r="EP134" s="262"/>
      <c r="EQ134" s="262"/>
      <c r="ER134" s="262"/>
      <c r="ES134" s="262"/>
      <c r="ET134" s="262"/>
      <c r="EU134" s="262"/>
      <c r="EV134" s="262"/>
      <c r="EW134" s="262"/>
      <c r="EX134" s="262"/>
      <c r="EY134" s="262"/>
      <c r="EZ134" s="262"/>
      <c r="FA134" s="262"/>
      <c r="FB134" s="262"/>
      <c r="FC134" s="262"/>
      <c r="FD134" s="262"/>
      <c r="FE134" s="262"/>
      <c r="FF134" s="262"/>
      <c r="FG134" s="262"/>
      <c r="FH134" s="262"/>
      <c r="FI134" s="262"/>
      <c r="FJ134" s="262"/>
      <c r="FK134" s="262"/>
      <c r="FL134" s="262"/>
      <c r="FM134" s="262"/>
      <c r="FN134" s="262"/>
      <c r="FO134" s="262"/>
      <c r="FP134" s="262"/>
      <c r="FQ134" s="262"/>
      <c r="FR134" s="262"/>
      <c r="FS134" s="262"/>
      <c r="FT134" s="262"/>
      <c r="FU134" s="262"/>
      <c r="FV134" s="262"/>
      <c r="FW134" s="262"/>
      <c r="FX134" s="262"/>
      <c r="FY134" s="262"/>
      <c r="FZ134" s="262"/>
      <c r="GA134" s="262"/>
      <c r="GB134" s="262"/>
      <c r="GC134" s="262"/>
      <c r="GD134" s="262"/>
      <c r="GE134" s="262"/>
      <c r="GF134" s="262"/>
      <c r="GG134" s="262"/>
      <c r="GH134" s="262"/>
      <c r="GI134" s="262"/>
      <c r="GJ134" s="262"/>
      <c r="GK134" s="262"/>
      <c r="GL134" s="262"/>
      <c r="GM134" s="262"/>
      <c r="GN134" s="262"/>
      <c r="GO134" s="262"/>
      <c r="GP134" s="262"/>
      <c r="GQ134" s="262"/>
      <c r="GR134" s="262"/>
      <c r="GS134" s="262"/>
      <c r="GT134" s="262"/>
      <c r="GU134" s="262"/>
      <c r="GV134" s="262"/>
      <c r="GW134" s="262"/>
      <c r="GX134" s="262"/>
      <c r="GY134" s="262"/>
      <c r="GZ134" s="262"/>
      <c r="HA134" s="262"/>
      <c r="HB134" s="262"/>
      <c r="HC134" s="262"/>
      <c r="HD134" s="262"/>
      <c r="HE134" s="262"/>
      <c r="HF134" s="262"/>
      <c r="HG134" s="262"/>
      <c r="HH134" s="262"/>
      <c r="HI134" s="262"/>
      <c r="HJ134" s="262"/>
      <c r="HK134" s="262"/>
      <c r="HL134" s="262"/>
      <c r="HM134" s="262"/>
      <c r="HN134" s="262"/>
      <c r="HO134" s="262"/>
      <c r="HP134" s="262"/>
      <c r="HQ134" s="262"/>
      <c r="HR134" s="262"/>
      <c r="HS134" s="262"/>
      <c r="HT134" s="262"/>
      <c r="HU134" s="262"/>
      <c r="HV134" s="262"/>
      <c r="HW134" s="262"/>
      <c r="HX134" s="262"/>
      <c r="HY134" s="262"/>
      <c r="HZ134" s="262"/>
      <c r="IA134" s="262"/>
      <c r="IB134" s="262"/>
      <c r="IC134" s="262"/>
      <c r="ID134" s="262"/>
      <c r="IE134" s="262"/>
      <c r="IF134" s="262"/>
      <c r="IG134" s="262"/>
      <c r="IH134" s="262"/>
      <c r="II134" s="262"/>
      <c r="IJ134" s="262"/>
      <c r="IK134" s="262"/>
      <c r="IL134" s="262"/>
      <c r="IM134" s="262"/>
      <c r="IN134" s="262"/>
      <c r="IO134" s="262"/>
      <c r="IP134" s="262"/>
      <c r="IQ134" s="262"/>
      <c r="IR134" s="262"/>
      <c r="IS134" s="262"/>
      <c r="IT134" s="262"/>
      <c r="IU134" s="262"/>
    </row>
    <row r="135" ht="18" customHeight="1" spans="1:255">
      <c r="A135" s="267">
        <v>4065</v>
      </c>
      <c r="B135" s="268" t="s">
        <v>1514</v>
      </c>
      <c r="C135" s="225" t="s">
        <v>1380</v>
      </c>
      <c r="D135" s="230">
        <v>56669.7651422074</v>
      </c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  <c r="BR135" s="262"/>
      <c r="BS135" s="262"/>
      <c r="BT135" s="262"/>
      <c r="BU135" s="262"/>
      <c r="BV135" s="262"/>
      <c r="BW135" s="262"/>
      <c r="BX135" s="262"/>
      <c r="BY135" s="262"/>
      <c r="BZ135" s="262"/>
      <c r="CA135" s="262"/>
      <c r="CB135" s="262"/>
      <c r="CC135" s="262"/>
      <c r="CD135" s="262"/>
      <c r="CE135" s="262"/>
      <c r="CF135" s="262"/>
      <c r="CG135" s="262"/>
      <c r="CH135" s="262"/>
      <c r="CI135" s="262"/>
      <c r="CJ135" s="262"/>
      <c r="CK135" s="262"/>
      <c r="CL135" s="262"/>
      <c r="CM135" s="262"/>
      <c r="CN135" s="262"/>
      <c r="CO135" s="262"/>
      <c r="CP135" s="262"/>
      <c r="CQ135" s="262"/>
      <c r="CR135" s="262"/>
      <c r="CS135" s="262"/>
      <c r="CT135" s="262"/>
      <c r="CU135" s="262"/>
      <c r="CV135" s="262"/>
      <c r="CW135" s="262"/>
      <c r="CX135" s="262"/>
      <c r="CY135" s="262"/>
      <c r="CZ135" s="262"/>
      <c r="DA135" s="262"/>
      <c r="DB135" s="262"/>
      <c r="DC135" s="262"/>
      <c r="DD135" s="262"/>
      <c r="DE135" s="262"/>
      <c r="DF135" s="262"/>
      <c r="DG135" s="262"/>
      <c r="DH135" s="262"/>
      <c r="DI135" s="262"/>
      <c r="DJ135" s="262"/>
      <c r="DK135" s="262"/>
      <c r="DL135" s="262"/>
      <c r="DM135" s="262"/>
      <c r="DN135" s="262"/>
      <c r="DO135" s="262"/>
      <c r="DP135" s="262"/>
      <c r="DQ135" s="262"/>
      <c r="DR135" s="262"/>
      <c r="DS135" s="262"/>
      <c r="DT135" s="262"/>
      <c r="DU135" s="262"/>
      <c r="DV135" s="262"/>
      <c r="DW135" s="262"/>
      <c r="DX135" s="262"/>
      <c r="DY135" s="262"/>
      <c r="DZ135" s="262"/>
      <c r="EA135" s="262"/>
      <c r="EB135" s="262"/>
      <c r="EC135" s="262"/>
      <c r="ED135" s="262"/>
      <c r="EE135" s="262"/>
      <c r="EF135" s="262"/>
      <c r="EG135" s="262"/>
      <c r="EH135" s="262"/>
      <c r="EI135" s="262"/>
      <c r="EJ135" s="262"/>
      <c r="EK135" s="262"/>
      <c r="EL135" s="262"/>
      <c r="EM135" s="262"/>
      <c r="EN135" s="262"/>
      <c r="EO135" s="262"/>
      <c r="EP135" s="262"/>
      <c r="EQ135" s="262"/>
      <c r="ER135" s="262"/>
      <c r="ES135" s="262"/>
      <c r="ET135" s="262"/>
      <c r="EU135" s="262"/>
      <c r="EV135" s="262"/>
      <c r="EW135" s="262"/>
      <c r="EX135" s="262"/>
      <c r="EY135" s="262"/>
      <c r="EZ135" s="262"/>
      <c r="FA135" s="262"/>
      <c r="FB135" s="262"/>
      <c r="FC135" s="262"/>
      <c r="FD135" s="262"/>
      <c r="FE135" s="262"/>
      <c r="FF135" s="262"/>
      <c r="FG135" s="262"/>
      <c r="FH135" s="262"/>
      <c r="FI135" s="262"/>
      <c r="FJ135" s="262"/>
      <c r="FK135" s="262"/>
      <c r="FL135" s="262"/>
      <c r="FM135" s="262"/>
      <c r="FN135" s="262"/>
      <c r="FO135" s="262"/>
      <c r="FP135" s="262"/>
      <c r="FQ135" s="262"/>
      <c r="FR135" s="262"/>
      <c r="FS135" s="262"/>
      <c r="FT135" s="262"/>
      <c r="FU135" s="262"/>
      <c r="FV135" s="262"/>
      <c r="FW135" s="262"/>
      <c r="FX135" s="262"/>
      <c r="FY135" s="262"/>
      <c r="FZ135" s="262"/>
      <c r="GA135" s="262"/>
      <c r="GB135" s="262"/>
      <c r="GC135" s="262"/>
      <c r="GD135" s="262"/>
      <c r="GE135" s="262"/>
      <c r="GF135" s="262"/>
      <c r="GG135" s="262"/>
      <c r="GH135" s="262"/>
      <c r="GI135" s="262"/>
      <c r="GJ135" s="262"/>
      <c r="GK135" s="262"/>
      <c r="GL135" s="262"/>
      <c r="GM135" s="262"/>
      <c r="GN135" s="262"/>
      <c r="GO135" s="262"/>
      <c r="GP135" s="262"/>
      <c r="GQ135" s="262"/>
      <c r="GR135" s="262"/>
      <c r="GS135" s="262"/>
      <c r="GT135" s="262"/>
      <c r="GU135" s="262"/>
      <c r="GV135" s="262"/>
      <c r="GW135" s="262"/>
      <c r="GX135" s="262"/>
      <c r="GY135" s="262"/>
      <c r="GZ135" s="262"/>
      <c r="HA135" s="262"/>
      <c r="HB135" s="262"/>
      <c r="HC135" s="262"/>
      <c r="HD135" s="262"/>
      <c r="HE135" s="262"/>
      <c r="HF135" s="262"/>
      <c r="HG135" s="262"/>
      <c r="HH135" s="262"/>
      <c r="HI135" s="262"/>
      <c r="HJ135" s="262"/>
      <c r="HK135" s="262"/>
      <c r="HL135" s="262"/>
      <c r="HM135" s="262"/>
      <c r="HN135" s="262"/>
      <c r="HO135" s="262"/>
      <c r="HP135" s="262"/>
      <c r="HQ135" s="262"/>
      <c r="HR135" s="262"/>
      <c r="HS135" s="262"/>
      <c r="HT135" s="262"/>
      <c r="HU135" s="262"/>
      <c r="HV135" s="262"/>
      <c r="HW135" s="262"/>
      <c r="HX135" s="262"/>
      <c r="HY135" s="262"/>
      <c r="HZ135" s="262"/>
      <c r="IA135" s="262"/>
      <c r="IB135" s="262"/>
      <c r="IC135" s="262"/>
      <c r="ID135" s="262"/>
      <c r="IE135" s="262"/>
      <c r="IF135" s="262"/>
      <c r="IG135" s="262"/>
      <c r="IH135" s="262"/>
      <c r="II135" s="262"/>
      <c r="IJ135" s="262"/>
      <c r="IK135" s="262"/>
      <c r="IL135" s="262"/>
      <c r="IM135" s="262"/>
      <c r="IN135" s="262"/>
      <c r="IO135" s="262"/>
      <c r="IP135" s="262"/>
      <c r="IQ135" s="262"/>
      <c r="IR135" s="262"/>
      <c r="IS135" s="262"/>
      <c r="IT135" s="262"/>
      <c r="IU135" s="262"/>
    </row>
    <row r="136" ht="18" hidden="1" customHeight="1" spans="1:255">
      <c r="A136" s="267">
        <v>4066</v>
      </c>
      <c r="B136" s="268" t="s">
        <v>1515</v>
      </c>
      <c r="C136" s="225" t="s">
        <v>1380</v>
      </c>
      <c r="D136" s="230">
        <v>63110.7753567604</v>
      </c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262"/>
      <c r="BV136" s="262"/>
      <c r="BW136" s="262"/>
      <c r="BX136" s="262"/>
      <c r="BY136" s="262"/>
      <c r="BZ136" s="262"/>
      <c r="CA136" s="262"/>
      <c r="CB136" s="262"/>
      <c r="CC136" s="262"/>
      <c r="CD136" s="262"/>
      <c r="CE136" s="262"/>
      <c r="CF136" s="262"/>
      <c r="CG136" s="262"/>
      <c r="CH136" s="262"/>
      <c r="CI136" s="262"/>
      <c r="CJ136" s="262"/>
      <c r="CK136" s="262"/>
      <c r="CL136" s="262"/>
      <c r="CM136" s="262"/>
      <c r="CN136" s="262"/>
      <c r="CO136" s="262"/>
      <c r="CP136" s="262"/>
      <c r="CQ136" s="262"/>
      <c r="CR136" s="262"/>
      <c r="CS136" s="262"/>
      <c r="CT136" s="262"/>
      <c r="CU136" s="262"/>
      <c r="CV136" s="262"/>
      <c r="CW136" s="262"/>
      <c r="CX136" s="262"/>
      <c r="CY136" s="262"/>
      <c r="CZ136" s="262"/>
      <c r="DA136" s="262"/>
      <c r="DB136" s="262"/>
      <c r="DC136" s="262"/>
      <c r="DD136" s="262"/>
      <c r="DE136" s="262"/>
      <c r="DF136" s="262"/>
      <c r="DG136" s="262"/>
      <c r="DH136" s="262"/>
      <c r="DI136" s="262"/>
      <c r="DJ136" s="262"/>
      <c r="DK136" s="262"/>
      <c r="DL136" s="262"/>
      <c r="DM136" s="262"/>
      <c r="DN136" s="262"/>
      <c r="DO136" s="262"/>
      <c r="DP136" s="262"/>
      <c r="DQ136" s="262"/>
      <c r="DR136" s="262"/>
      <c r="DS136" s="262"/>
      <c r="DT136" s="262"/>
      <c r="DU136" s="262"/>
      <c r="DV136" s="262"/>
      <c r="DW136" s="262"/>
      <c r="DX136" s="262"/>
      <c r="DY136" s="262"/>
      <c r="DZ136" s="262"/>
      <c r="EA136" s="262"/>
      <c r="EB136" s="262"/>
      <c r="EC136" s="262"/>
      <c r="ED136" s="262"/>
      <c r="EE136" s="262"/>
      <c r="EF136" s="262"/>
      <c r="EG136" s="262"/>
      <c r="EH136" s="262"/>
      <c r="EI136" s="262"/>
      <c r="EJ136" s="262"/>
      <c r="EK136" s="262"/>
      <c r="EL136" s="262"/>
      <c r="EM136" s="262"/>
      <c r="EN136" s="262"/>
      <c r="EO136" s="262"/>
      <c r="EP136" s="262"/>
      <c r="EQ136" s="262"/>
      <c r="ER136" s="262"/>
      <c r="ES136" s="262"/>
      <c r="ET136" s="262"/>
      <c r="EU136" s="262"/>
      <c r="EV136" s="262"/>
      <c r="EW136" s="262"/>
      <c r="EX136" s="262"/>
      <c r="EY136" s="262"/>
      <c r="EZ136" s="262"/>
      <c r="FA136" s="262"/>
      <c r="FB136" s="262"/>
      <c r="FC136" s="262"/>
      <c r="FD136" s="262"/>
      <c r="FE136" s="262"/>
      <c r="FF136" s="262"/>
      <c r="FG136" s="262"/>
      <c r="FH136" s="262"/>
      <c r="FI136" s="262"/>
      <c r="FJ136" s="262"/>
      <c r="FK136" s="262"/>
      <c r="FL136" s="262"/>
      <c r="FM136" s="262"/>
      <c r="FN136" s="262"/>
      <c r="FO136" s="262"/>
      <c r="FP136" s="262"/>
      <c r="FQ136" s="262"/>
      <c r="FR136" s="262"/>
      <c r="FS136" s="262"/>
      <c r="FT136" s="262"/>
      <c r="FU136" s="262"/>
      <c r="FV136" s="262"/>
      <c r="FW136" s="262"/>
      <c r="FX136" s="262"/>
      <c r="FY136" s="262"/>
      <c r="FZ136" s="262"/>
      <c r="GA136" s="262"/>
      <c r="GB136" s="262"/>
      <c r="GC136" s="262"/>
      <c r="GD136" s="262"/>
      <c r="GE136" s="262"/>
      <c r="GF136" s="262"/>
      <c r="GG136" s="262"/>
      <c r="GH136" s="262"/>
      <c r="GI136" s="262"/>
      <c r="GJ136" s="262"/>
      <c r="GK136" s="262"/>
      <c r="GL136" s="262"/>
      <c r="GM136" s="262"/>
      <c r="GN136" s="262"/>
      <c r="GO136" s="262"/>
      <c r="GP136" s="262"/>
      <c r="GQ136" s="262"/>
      <c r="GR136" s="262"/>
      <c r="GS136" s="262"/>
      <c r="GT136" s="262"/>
      <c r="GU136" s="262"/>
      <c r="GV136" s="262"/>
      <c r="GW136" s="262"/>
      <c r="GX136" s="262"/>
      <c r="GY136" s="262"/>
      <c r="GZ136" s="262"/>
      <c r="HA136" s="262"/>
      <c r="HB136" s="262"/>
      <c r="HC136" s="262"/>
      <c r="HD136" s="262"/>
      <c r="HE136" s="262"/>
      <c r="HF136" s="262"/>
      <c r="HG136" s="262"/>
      <c r="HH136" s="262"/>
      <c r="HI136" s="262"/>
      <c r="HJ136" s="262"/>
      <c r="HK136" s="262"/>
      <c r="HL136" s="262"/>
      <c r="HM136" s="262"/>
      <c r="HN136" s="262"/>
      <c r="HO136" s="262"/>
      <c r="HP136" s="262"/>
      <c r="HQ136" s="262"/>
      <c r="HR136" s="262"/>
      <c r="HS136" s="262"/>
      <c r="HT136" s="262"/>
      <c r="HU136" s="262"/>
      <c r="HV136" s="262"/>
      <c r="HW136" s="262"/>
      <c r="HX136" s="262"/>
      <c r="HY136" s="262"/>
      <c r="HZ136" s="262"/>
      <c r="IA136" s="262"/>
      <c r="IB136" s="262"/>
      <c r="IC136" s="262"/>
      <c r="ID136" s="262"/>
      <c r="IE136" s="262"/>
      <c r="IF136" s="262"/>
      <c r="IG136" s="262"/>
      <c r="IH136" s="262"/>
      <c r="II136" s="262"/>
      <c r="IJ136" s="262"/>
      <c r="IK136" s="262"/>
      <c r="IL136" s="262"/>
      <c r="IM136" s="262"/>
      <c r="IN136" s="262"/>
      <c r="IO136" s="262"/>
      <c r="IP136" s="262"/>
      <c r="IQ136" s="262"/>
      <c r="IR136" s="262"/>
      <c r="IS136" s="262"/>
      <c r="IT136" s="262"/>
      <c r="IU136" s="262"/>
    </row>
    <row r="137" s="262" customFormat="1" ht="18" customHeight="1" spans="1:256">
      <c r="A137" s="267">
        <v>4067</v>
      </c>
      <c r="B137" s="268" t="s">
        <v>1516</v>
      </c>
      <c r="C137" s="225" t="s">
        <v>1380</v>
      </c>
      <c r="D137" s="230">
        <v>43125.5139801307</v>
      </c>
      <c r="IV137" s="263"/>
    </row>
    <row r="138" ht="18" customHeight="1" spans="1:255">
      <c r="A138" s="267">
        <v>4068</v>
      </c>
      <c r="B138" s="268" t="s">
        <v>1517</v>
      </c>
      <c r="C138" s="225" t="s">
        <v>1380</v>
      </c>
      <c r="D138" s="230">
        <v>44634.3694362345</v>
      </c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  <c r="BR138" s="262"/>
      <c r="BS138" s="262"/>
      <c r="BT138" s="262"/>
      <c r="BU138" s="262"/>
      <c r="BV138" s="262"/>
      <c r="BW138" s="262"/>
      <c r="BX138" s="262"/>
      <c r="BY138" s="262"/>
      <c r="BZ138" s="262"/>
      <c r="CA138" s="262"/>
      <c r="CB138" s="262"/>
      <c r="CC138" s="262"/>
      <c r="CD138" s="262"/>
      <c r="CE138" s="262"/>
      <c r="CF138" s="262"/>
      <c r="CG138" s="262"/>
      <c r="CH138" s="262"/>
      <c r="CI138" s="262"/>
      <c r="CJ138" s="262"/>
      <c r="CK138" s="262"/>
      <c r="CL138" s="262"/>
      <c r="CM138" s="262"/>
      <c r="CN138" s="262"/>
      <c r="CO138" s="262"/>
      <c r="CP138" s="262"/>
      <c r="CQ138" s="262"/>
      <c r="CR138" s="262"/>
      <c r="CS138" s="262"/>
      <c r="CT138" s="262"/>
      <c r="CU138" s="262"/>
      <c r="CV138" s="262"/>
      <c r="CW138" s="262"/>
      <c r="CX138" s="262"/>
      <c r="CY138" s="262"/>
      <c r="CZ138" s="262"/>
      <c r="DA138" s="262"/>
      <c r="DB138" s="262"/>
      <c r="DC138" s="262"/>
      <c r="DD138" s="262"/>
      <c r="DE138" s="262"/>
      <c r="DF138" s="262"/>
      <c r="DG138" s="262"/>
      <c r="DH138" s="262"/>
      <c r="DI138" s="262"/>
      <c r="DJ138" s="262"/>
      <c r="DK138" s="262"/>
      <c r="DL138" s="262"/>
      <c r="DM138" s="262"/>
      <c r="DN138" s="262"/>
      <c r="DO138" s="262"/>
      <c r="DP138" s="262"/>
      <c r="DQ138" s="262"/>
      <c r="DR138" s="262"/>
      <c r="DS138" s="262"/>
      <c r="DT138" s="262"/>
      <c r="DU138" s="262"/>
      <c r="DV138" s="262"/>
      <c r="DW138" s="262"/>
      <c r="DX138" s="262"/>
      <c r="DY138" s="262"/>
      <c r="DZ138" s="262"/>
      <c r="EA138" s="262"/>
      <c r="EB138" s="262"/>
      <c r="EC138" s="262"/>
      <c r="ED138" s="262"/>
      <c r="EE138" s="262"/>
      <c r="EF138" s="262"/>
      <c r="EG138" s="262"/>
      <c r="EH138" s="262"/>
      <c r="EI138" s="262"/>
      <c r="EJ138" s="262"/>
      <c r="EK138" s="262"/>
      <c r="EL138" s="262"/>
      <c r="EM138" s="262"/>
      <c r="EN138" s="262"/>
      <c r="EO138" s="262"/>
      <c r="EP138" s="262"/>
      <c r="EQ138" s="262"/>
      <c r="ER138" s="262"/>
      <c r="ES138" s="262"/>
      <c r="ET138" s="262"/>
      <c r="EU138" s="262"/>
      <c r="EV138" s="262"/>
      <c r="EW138" s="262"/>
      <c r="EX138" s="262"/>
      <c r="EY138" s="262"/>
      <c r="EZ138" s="262"/>
      <c r="FA138" s="262"/>
      <c r="FB138" s="262"/>
      <c r="FC138" s="262"/>
      <c r="FD138" s="262"/>
      <c r="FE138" s="262"/>
      <c r="FF138" s="262"/>
      <c r="FG138" s="262"/>
      <c r="FH138" s="262"/>
      <c r="FI138" s="262"/>
      <c r="FJ138" s="262"/>
      <c r="FK138" s="262"/>
      <c r="FL138" s="262"/>
      <c r="FM138" s="262"/>
      <c r="FN138" s="262"/>
      <c r="FO138" s="262"/>
      <c r="FP138" s="262"/>
      <c r="FQ138" s="262"/>
      <c r="FR138" s="262"/>
      <c r="FS138" s="262"/>
      <c r="FT138" s="262"/>
      <c r="FU138" s="262"/>
      <c r="FV138" s="262"/>
      <c r="FW138" s="262"/>
      <c r="FX138" s="262"/>
      <c r="FY138" s="262"/>
      <c r="FZ138" s="262"/>
      <c r="GA138" s="262"/>
      <c r="GB138" s="262"/>
      <c r="GC138" s="262"/>
      <c r="GD138" s="262"/>
      <c r="GE138" s="262"/>
      <c r="GF138" s="262"/>
      <c r="GG138" s="262"/>
      <c r="GH138" s="262"/>
      <c r="GI138" s="262"/>
      <c r="GJ138" s="262"/>
      <c r="GK138" s="262"/>
      <c r="GL138" s="262"/>
      <c r="GM138" s="262"/>
      <c r="GN138" s="262"/>
      <c r="GO138" s="262"/>
      <c r="GP138" s="262"/>
      <c r="GQ138" s="262"/>
      <c r="GR138" s="262"/>
      <c r="GS138" s="262"/>
      <c r="GT138" s="262"/>
      <c r="GU138" s="262"/>
      <c r="GV138" s="262"/>
      <c r="GW138" s="262"/>
      <c r="GX138" s="262"/>
      <c r="GY138" s="262"/>
      <c r="GZ138" s="262"/>
      <c r="HA138" s="262"/>
      <c r="HB138" s="262"/>
      <c r="HC138" s="262"/>
      <c r="HD138" s="262"/>
      <c r="HE138" s="262"/>
      <c r="HF138" s="262"/>
      <c r="HG138" s="262"/>
      <c r="HH138" s="262"/>
      <c r="HI138" s="262"/>
      <c r="HJ138" s="262"/>
      <c r="HK138" s="262"/>
      <c r="HL138" s="262"/>
      <c r="HM138" s="262"/>
      <c r="HN138" s="262"/>
      <c r="HO138" s="262"/>
      <c r="HP138" s="262"/>
      <c r="HQ138" s="262"/>
      <c r="HR138" s="262"/>
      <c r="HS138" s="262"/>
      <c r="HT138" s="262"/>
      <c r="HU138" s="262"/>
      <c r="HV138" s="262"/>
      <c r="HW138" s="262"/>
      <c r="HX138" s="262"/>
      <c r="HY138" s="262"/>
      <c r="HZ138" s="262"/>
      <c r="IA138" s="262"/>
      <c r="IB138" s="262"/>
      <c r="IC138" s="262"/>
      <c r="ID138" s="262"/>
      <c r="IE138" s="262"/>
      <c r="IF138" s="262"/>
      <c r="IG138" s="262"/>
      <c r="IH138" s="262"/>
      <c r="II138" s="262"/>
      <c r="IJ138" s="262"/>
      <c r="IK138" s="262"/>
      <c r="IL138" s="262"/>
      <c r="IM138" s="262"/>
      <c r="IN138" s="262"/>
      <c r="IO138" s="262"/>
      <c r="IP138" s="262"/>
      <c r="IQ138" s="262"/>
      <c r="IR138" s="262"/>
      <c r="IS138" s="262"/>
      <c r="IT138" s="262"/>
      <c r="IU138" s="262"/>
    </row>
    <row r="139" s="262" customFormat="1" ht="18" customHeight="1" spans="1:256">
      <c r="A139" s="267">
        <v>4069</v>
      </c>
      <c r="B139" s="268" t="s">
        <v>1518</v>
      </c>
      <c r="C139" s="225" t="s">
        <v>1380</v>
      </c>
      <c r="D139" s="230">
        <v>56507.262401826</v>
      </c>
      <c r="IV139" s="263"/>
    </row>
    <row r="140" ht="18" hidden="1" customHeight="1" spans="1:255">
      <c r="A140" s="267">
        <v>4082</v>
      </c>
      <c r="B140" s="268" t="s">
        <v>1519</v>
      </c>
      <c r="C140" s="225" t="s">
        <v>1380</v>
      </c>
      <c r="D140" s="230">
        <v>46342.4188035953</v>
      </c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62"/>
      <c r="BH140" s="262"/>
      <c r="BI140" s="262"/>
      <c r="BJ140" s="262"/>
      <c r="BK140" s="262"/>
      <c r="BL140" s="262"/>
      <c r="BM140" s="262"/>
      <c r="BN140" s="262"/>
      <c r="BO140" s="262"/>
      <c r="BP140" s="262"/>
      <c r="BQ140" s="262"/>
      <c r="BR140" s="262"/>
      <c r="BS140" s="262"/>
      <c r="BT140" s="262"/>
      <c r="BU140" s="262"/>
      <c r="BV140" s="262"/>
      <c r="BW140" s="262"/>
      <c r="BX140" s="262"/>
      <c r="BY140" s="262"/>
      <c r="BZ140" s="262"/>
      <c r="CA140" s="262"/>
      <c r="CB140" s="262"/>
      <c r="CC140" s="262"/>
      <c r="CD140" s="262"/>
      <c r="CE140" s="262"/>
      <c r="CF140" s="262"/>
      <c r="CG140" s="262"/>
      <c r="CH140" s="262"/>
      <c r="CI140" s="262"/>
      <c r="CJ140" s="262"/>
      <c r="CK140" s="262"/>
      <c r="CL140" s="262"/>
      <c r="CM140" s="262"/>
      <c r="CN140" s="262"/>
      <c r="CO140" s="262"/>
      <c r="CP140" s="262"/>
      <c r="CQ140" s="262"/>
      <c r="CR140" s="262"/>
      <c r="CS140" s="262"/>
      <c r="CT140" s="262"/>
      <c r="CU140" s="262"/>
      <c r="CV140" s="262"/>
      <c r="CW140" s="262"/>
      <c r="CX140" s="262"/>
      <c r="CY140" s="262"/>
      <c r="CZ140" s="262"/>
      <c r="DA140" s="262"/>
      <c r="DB140" s="262"/>
      <c r="DC140" s="262"/>
      <c r="DD140" s="262"/>
      <c r="DE140" s="262"/>
      <c r="DF140" s="262"/>
      <c r="DG140" s="262"/>
      <c r="DH140" s="262"/>
      <c r="DI140" s="262"/>
      <c r="DJ140" s="262"/>
      <c r="DK140" s="262"/>
      <c r="DL140" s="262"/>
      <c r="DM140" s="262"/>
      <c r="DN140" s="262"/>
      <c r="DO140" s="262"/>
      <c r="DP140" s="262"/>
      <c r="DQ140" s="262"/>
      <c r="DR140" s="262"/>
      <c r="DS140" s="262"/>
      <c r="DT140" s="262"/>
      <c r="DU140" s="262"/>
      <c r="DV140" s="262"/>
      <c r="DW140" s="262"/>
      <c r="DX140" s="262"/>
      <c r="DY140" s="262"/>
      <c r="DZ140" s="262"/>
      <c r="EA140" s="262"/>
      <c r="EB140" s="262"/>
      <c r="EC140" s="262"/>
      <c r="ED140" s="262"/>
      <c r="EE140" s="262"/>
      <c r="EF140" s="262"/>
      <c r="EG140" s="262"/>
      <c r="EH140" s="262"/>
      <c r="EI140" s="262"/>
      <c r="EJ140" s="262"/>
      <c r="EK140" s="262"/>
      <c r="EL140" s="262"/>
      <c r="EM140" s="262"/>
      <c r="EN140" s="262"/>
      <c r="EO140" s="262"/>
      <c r="EP140" s="262"/>
      <c r="EQ140" s="262"/>
      <c r="ER140" s="262"/>
      <c r="ES140" s="262"/>
      <c r="ET140" s="262"/>
      <c r="EU140" s="262"/>
      <c r="EV140" s="262"/>
      <c r="EW140" s="262"/>
      <c r="EX140" s="262"/>
      <c r="EY140" s="262"/>
      <c r="EZ140" s="262"/>
      <c r="FA140" s="262"/>
      <c r="FB140" s="262"/>
      <c r="FC140" s="262"/>
      <c r="FD140" s="262"/>
      <c r="FE140" s="262"/>
      <c r="FF140" s="262"/>
      <c r="FG140" s="262"/>
      <c r="FH140" s="262"/>
      <c r="FI140" s="262"/>
      <c r="FJ140" s="262"/>
      <c r="FK140" s="262"/>
      <c r="FL140" s="262"/>
      <c r="FM140" s="262"/>
      <c r="FN140" s="262"/>
      <c r="FO140" s="262"/>
      <c r="FP140" s="262"/>
      <c r="FQ140" s="262"/>
      <c r="FR140" s="262"/>
      <c r="FS140" s="262"/>
      <c r="FT140" s="262"/>
      <c r="FU140" s="262"/>
      <c r="FV140" s="262"/>
      <c r="FW140" s="262"/>
      <c r="FX140" s="262"/>
      <c r="FY140" s="262"/>
      <c r="FZ140" s="262"/>
      <c r="GA140" s="262"/>
      <c r="GB140" s="262"/>
      <c r="GC140" s="262"/>
      <c r="GD140" s="262"/>
      <c r="GE140" s="262"/>
      <c r="GF140" s="262"/>
      <c r="GG140" s="262"/>
      <c r="GH140" s="262"/>
      <c r="GI140" s="262"/>
      <c r="GJ140" s="262"/>
      <c r="GK140" s="262"/>
      <c r="GL140" s="262"/>
      <c r="GM140" s="262"/>
      <c r="GN140" s="262"/>
      <c r="GO140" s="262"/>
      <c r="GP140" s="262"/>
      <c r="GQ140" s="262"/>
      <c r="GR140" s="262"/>
      <c r="GS140" s="262"/>
      <c r="GT140" s="262"/>
      <c r="GU140" s="262"/>
      <c r="GV140" s="262"/>
      <c r="GW140" s="262"/>
      <c r="GX140" s="262"/>
      <c r="GY140" s="262"/>
      <c r="GZ140" s="262"/>
      <c r="HA140" s="262"/>
      <c r="HB140" s="262"/>
      <c r="HC140" s="262"/>
      <c r="HD140" s="262"/>
      <c r="HE140" s="262"/>
      <c r="HF140" s="262"/>
      <c r="HG140" s="262"/>
      <c r="HH140" s="262"/>
      <c r="HI140" s="262"/>
      <c r="HJ140" s="262"/>
      <c r="HK140" s="262"/>
      <c r="HL140" s="262"/>
      <c r="HM140" s="262"/>
      <c r="HN140" s="262"/>
      <c r="HO140" s="262"/>
      <c r="HP140" s="262"/>
      <c r="HQ140" s="262"/>
      <c r="HR140" s="262"/>
      <c r="HS140" s="262"/>
      <c r="HT140" s="262"/>
      <c r="HU140" s="262"/>
      <c r="HV140" s="262"/>
      <c r="HW140" s="262"/>
      <c r="HX140" s="262"/>
      <c r="HY140" s="262"/>
      <c r="HZ140" s="262"/>
      <c r="IA140" s="262"/>
      <c r="IB140" s="262"/>
      <c r="IC140" s="262"/>
      <c r="ID140" s="262"/>
      <c r="IE140" s="262"/>
      <c r="IF140" s="262"/>
      <c r="IG140" s="262"/>
      <c r="IH140" s="262"/>
      <c r="II140" s="262"/>
      <c r="IJ140" s="262"/>
      <c r="IK140" s="262"/>
      <c r="IL140" s="262"/>
      <c r="IM140" s="262"/>
      <c r="IN140" s="262"/>
      <c r="IO140" s="262"/>
      <c r="IP140" s="262"/>
      <c r="IQ140" s="262"/>
      <c r="IR140" s="262"/>
      <c r="IS140" s="262"/>
      <c r="IT140" s="262"/>
      <c r="IU140" s="262"/>
    </row>
    <row r="141" ht="18" hidden="1" customHeight="1" spans="1:255">
      <c r="A141" s="267">
        <v>4082</v>
      </c>
      <c r="B141" s="268" t="s">
        <v>1520</v>
      </c>
      <c r="C141" s="225" t="s">
        <v>1380</v>
      </c>
      <c r="D141" s="230">
        <v>42864.0485538839</v>
      </c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62"/>
      <c r="BH141" s="262"/>
      <c r="BI141" s="262"/>
      <c r="BJ141" s="262"/>
      <c r="BK141" s="262"/>
      <c r="BL141" s="262"/>
      <c r="BM141" s="262"/>
      <c r="BN141" s="262"/>
      <c r="BO141" s="262"/>
      <c r="BP141" s="262"/>
      <c r="BQ141" s="262"/>
      <c r="BR141" s="262"/>
      <c r="BS141" s="262"/>
      <c r="BT141" s="262"/>
      <c r="BU141" s="262"/>
      <c r="BV141" s="262"/>
      <c r="BW141" s="262"/>
      <c r="BX141" s="262"/>
      <c r="BY141" s="262"/>
      <c r="BZ141" s="262"/>
      <c r="CA141" s="262"/>
      <c r="CB141" s="262"/>
      <c r="CC141" s="262"/>
      <c r="CD141" s="262"/>
      <c r="CE141" s="262"/>
      <c r="CF141" s="262"/>
      <c r="CG141" s="262"/>
      <c r="CH141" s="262"/>
      <c r="CI141" s="262"/>
      <c r="CJ141" s="262"/>
      <c r="CK141" s="262"/>
      <c r="CL141" s="262"/>
      <c r="CM141" s="262"/>
      <c r="CN141" s="262"/>
      <c r="CO141" s="262"/>
      <c r="CP141" s="262"/>
      <c r="CQ141" s="262"/>
      <c r="CR141" s="262"/>
      <c r="CS141" s="262"/>
      <c r="CT141" s="262"/>
      <c r="CU141" s="262"/>
      <c r="CV141" s="262"/>
      <c r="CW141" s="262"/>
      <c r="CX141" s="262"/>
      <c r="CY141" s="262"/>
      <c r="CZ141" s="262"/>
      <c r="DA141" s="262"/>
      <c r="DB141" s="262"/>
      <c r="DC141" s="262"/>
      <c r="DD141" s="262"/>
      <c r="DE141" s="262"/>
      <c r="DF141" s="262"/>
      <c r="DG141" s="262"/>
      <c r="DH141" s="262"/>
      <c r="DI141" s="262"/>
      <c r="DJ141" s="262"/>
      <c r="DK141" s="262"/>
      <c r="DL141" s="262"/>
      <c r="DM141" s="262"/>
      <c r="DN141" s="262"/>
      <c r="DO141" s="262"/>
      <c r="DP141" s="262"/>
      <c r="DQ141" s="262"/>
      <c r="DR141" s="262"/>
      <c r="DS141" s="262"/>
      <c r="DT141" s="262"/>
      <c r="DU141" s="262"/>
      <c r="DV141" s="262"/>
      <c r="DW141" s="262"/>
      <c r="DX141" s="262"/>
      <c r="DY141" s="262"/>
      <c r="DZ141" s="262"/>
      <c r="EA141" s="262"/>
      <c r="EB141" s="262"/>
      <c r="EC141" s="262"/>
      <c r="ED141" s="262"/>
      <c r="EE141" s="262"/>
      <c r="EF141" s="262"/>
      <c r="EG141" s="262"/>
      <c r="EH141" s="262"/>
      <c r="EI141" s="262"/>
      <c r="EJ141" s="262"/>
      <c r="EK141" s="262"/>
      <c r="EL141" s="262"/>
      <c r="EM141" s="262"/>
      <c r="EN141" s="262"/>
      <c r="EO141" s="262"/>
      <c r="EP141" s="262"/>
      <c r="EQ141" s="262"/>
      <c r="ER141" s="262"/>
      <c r="ES141" s="262"/>
      <c r="ET141" s="262"/>
      <c r="EU141" s="262"/>
      <c r="EV141" s="262"/>
      <c r="EW141" s="262"/>
      <c r="EX141" s="262"/>
      <c r="EY141" s="262"/>
      <c r="EZ141" s="262"/>
      <c r="FA141" s="262"/>
      <c r="FB141" s="262"/>
      <c r="FC141" s="262"/>
      <c r="FD141" s="262"/>
      <c r="FE141" s="262"/>
      <c r="FF141" s="262"/>
      <c r="FG141" s="262"/>
      <c r="FH141" s="262"/>
      <c r="FI141" s="262"/>
      <c r="FJ141" s="262"/>
      <c r="FK141" s="262"/>
      <c r="FL141" s="262"/>
      <c r="FM141" s="262"/>
      <c r="FN141" s="262"/>
      <c r="FO141" s="262"/>
      <c r="FP141" s="262"/>
      <c r="FQ141" s="262"/>
      <c r="FR141" s="262"/>
      <c r="FS141" s="262"/>
      <c r="FT141" s="262"/>
      <c r="FU141" s="262"/>
      <c r="FV141" s="262"/>
      <c r="FW141" s="262"/>
      <c r="FX141" s="262"/>
      <c r="FY141" s="262"/>
      <c r="FZ141" s="262"/>
      <c r="GA141" s="262"/>
      <c r="GB141" s="262"/>
      <c r="GC141" s="262"/>
      <c r="GD141" s="262"/>
      <c r="GE141" s="262"/>
      <c r="GF141" s="262"/>
      <c r="GG141" s="262"/>
      <c r="GH141" s="262"/>
      <c r="GI141" s="262"/>
      <c r="GJ141" s="262"/>
      <c r="GK141" s="262"/>
      <c r="GL141" s="262"/>
      <c r="GM141" s="262"/>
      <c r="GN141" s="262"/>
      <c r="GO141" s="262"/>
      <c r="GP141" s="262"/>
      <c r="GQ141" s="262"/>
      <c r="GR141" s="262"/>
      <c r="GS141" s="262"/>
      <c r="GT141" s="262"/>
      <c r="GU141" s="262"/>
      <c r="GV141" s="262"/>
      <c r="GW141" s="262"/>
      <c r="GX141" s="262"/>
      <c r="GY141" s="262"/>
      <c r="GZ141" s="262"/>
      <c r="HA141" s="262"/>
      <c r="HB141" s="262"/>
      <c r="HC141" s="262"/>
      <c r="HD141" s="262"/>
      <c r="HE141" s="262"/>
      <c r="HF141" s="262"/>
      <c r="HG141" s="262"/>
      <c r="HH141" s="262"/>
      <c r="HI141" s="262"/>
      <c r="HJ141" s="262"/>
      <c r="HK141" s="262"/>
      <c r="HL141" s="262"/>
      <c r="HM141" s="262"/>
      <c r="HN141" s="262"/>
      <c r="HO141" s="262"/>
      <c r="HP141" s="262"/>
      <c r="HQ141" s="262"/>
      <c r="HR141" s="262"/>
      <c r="HS141" s="262"/>
      <c r="HT141" s="262"/>
      <c r="HU141" s="262"/>
      <c r="HV141" s="262"/>
      <c r="HW141" s="262"/>
      <c r="HX141" s="262"/>
      <c r="HY141" s="262"/>
      <c r="HZ141" s="262"/>
      <c r="IA141" s="262"/>
      <c r="IB141" s="262"/>
      <c r="IC141" s="262"/>
      <c r="ID141" s="262"/>
      <c r="IE141" s="262"/>
      <c r="IF141" s="262"/>
      <c r="IG141" s="262"/>
      <c r="IH141" s="262"/>
      <c r="II141" s="262"/>
      <c r="IJ141" s="262"/>
      <c r="IK141" s="262"/>
      <c r="IL141" s="262"/>
      <c r="IM141" s="262"/>
      <c r="IN141" s="262"/>
      <c r="IO141" s="262"/>
      <c r="IP141" s="262"/>
      <c r="IQ141" s="262"/>
      <c r="IR141" s="262"/>
      <c r="IS141" s="262"/>
      <c r="IT141" s="262"/>
      <c r="IU141" s="262"/>
    </row>
    <row r="142" ht="18" hidden="1" customHeight="1" spans="1:255">
      <c r="A142" s="267">
        <v>4083</v>
      </c>
      <c r="B142" s="268" t="s">
        <v>1521</v>
      </c>
      <c r="C142" s="225" t="s">
        <v>1380</v>
      </c>
      <c r="D142" s="230">
        <v>160757.972167062</v>
      </c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62"/>
      <c r="BH142" s="262"/>
      <c r="BI142" s="262"/>
      <c r="BJ142" s="262"/>
      <c r="BK142" s="262"/>
      <c r="BL142" s="262"/>
      <c r="BM142" s="262"/>
      <c r="BN142" s="262"/>
      <c r="BO142" s="262"/>
      <c r="BP142" s="262"/>
      <c r="BQ142" s="262"/>
      <c r="BR142" s="262"/>
      <c r="BS142" s="262"/>
      <c r="BT142" s="262"/>
      <c r="BU142" s="262"/>
      <c r="BV142" s="262"/>
      <c r="BW142" s="262"/>
      <c r="BX142" s="262"/>
      <c r="BY142" s="262"/>
      <c r="BZ142" s="262"/>
      <c r="CA142" s="262"/>
      <c r="CB142" s="262"/>
      <c r="CC142" s="262"/>
      <c r="CD142" s="262"/>
      <c r="CE142" s="262"/>
      <c r="CF142" s="262"/>
      <c r="CG142" s="262"/>
      <c r="CH142" s="262"/>
      <c r="CI142" s="262"/>
      <c r="CJ142" s="262"/>
      <c r="CK142" s="262"/>
      <c r="CL142" s="262"/>
      <c r="CM142" s="262"/>
      <c r="CN142" s="262"/>
      <c r="CO142" s="262"/>
      <c r="CP142" s="262"/>
      <c r="CQ142" s="262"/>
      <c r="CR142" s="262"/>
      <c r="CS142" s="262"/>
      <c r="CT142" s="262"/>
      <c r="CU142" s="262"/>
      <c r="CV142" s="262"/>
      <c r="CW142" s="262"/>
      <c r="CX142" s="262"/>
      <c r="CY142" s="262"/>
      <c r="CZ142" s="262"/>
      <c r="DA142" s="262"/>
      <c r="DB142" s="262"/>
      <c r="DC142" s="262"/>
      <c r="DD142" s="262"/>
      <c r="DE142" s="262"/>
      <c r="DF142" s="262"/>
      <c r="DG142" s="262"/>
      <c r="DH142" s="262"/>
      <c r="DI142" s="262"/>
      <c r="DJ142" s="262"/>
      <c r="DK142" s="262"/>
      <c r="DL142" s="262"/>
      <c r="DM142" s="262"/>
      <c r="DN142" s="262"/>
      <c r="DO142" s="262"/>
      <c r="DP142" s="262"/>
      <c r="DQ142" s="262"/>
      <c r="DR142" s="262"/>
      <c r="DS142" s="262"/>
      <c r="DT142" s="262"/>
      <c r="DU142" s="262"/>
      <c r="DV142" s="262"/>
      <c r="DW142" s="262"/>
      <c r="DX142" s="262"/>
      <c r="DY142" s="262"/>
      <c r="DZ142" s="262"/>
      <c r="EA142" s="262"/>
      <c r="EB142" s="262"/>
      <c r="EC142" s="262"/>
      <c r="ED142" s="262"/>
      <c r="EE142" s="262"/>
      <c r="EF142" s="262"/>
      <c r="EG142" s="262"/>
      <c r="EH142" s="262"/>
      <c r="EI142" s="262"/>
      <c r="EJ142" s="262"/>
      <c r="EK142" s="262"/>
      <c r="EL142" s="262"/>
      <c r="EM142" s="262"/>
      <c r="EN142" s="262"/>
      <c r="EO142" s="262"/>
      <c r="EP142" s="262"/>
      <c r="EQ142" s="262"/>
      <c r="ER142" s="262"/>
      <c r="ES142" s="262"/>
      <c r="ET142" s="262"/>
      <c r="EU142" s="262"/>
      <c r="EV142" s="262"/>
      <c r="EW142" s="262"/>
      <c r="EX142" s="262"/>
      <c r="EY142" s="262"/>
      <c r="EZ142" s="262"/>
      <c r="FA142" s="262"/>
      <c r="FB142" s="262"/>
      <c r="FC142" s="262"/>
      <c r="FD142" s="262"/>
      <c r="FE142" s="262"/>
      <c r="FF142" s="262"/>
      <c r="FG142" s="262"/>
      <c r="FH142" s="262"/>
      <c r="FI142" s="262"/>
      <c r="FJ142" s="262"/>
      <c r="FK142" s="262"/>
      <c r="FL142" s="262"/>
      <c r="FM142" s="262"/>
      <c r="FN142" s="262"/>
      <c r="FO142" s="262"/>
      <c r="FP142" s="262"/>
      <c r="FQ142" s="262"/>
      <c r="FR142" s="262"/>
      <c r="FS142" s="262"/>
      <c r="FT142" s="262"/>
      <c r="FU142" s="262"/>
      <c r="FV142" s="262"/>
      <c r="FW142" s="262"/>
      <c r="FX142" s="262"/>
      <c r="FY142" s="262"/>
      <c r="FZ142" s="262"/>
      <c r="GA142" s="262"/>
      <c r="GB142" s="262"/>
      <c r="GC142" s="262"/>
      <c r="GD142" s="262"/>
      <c r="GE142" s="262"/>
      <c r="GF142" s="262"/>
      <c r="GG142" s="262"/>
      <c r="GH142" s="262"/>
      <c r="GI142" s="262"/>
      <c r="GJ142" s="262"/>
      <c r="GK142" s="262"/>
      <c r="GL142" s="262"/>
      <c r="GM142" s="262"/>
      <c r="GN142" s="262"/>
      <c r="GO142" s="262"/>
      <c r="GP142" s="262"/>
      <c r="GQ142" s="262"/>
      <c r="GR142" s="262"/>
      <c r="GS142" s="262"/>
      <c r="GT142" s="262"/>
      <c r="GU142" s="262"/>
      <c r="GV142" s="262"/>
      <c r="GW142" s="262"/>
      <c r="GX142" s="262"/>
      <c r="GY142" s="262"/>
      <c r="GZ142" s="262"/>
      <c r="HA142" s="262"/>
      <c r="HB142" s="262"/>
      <c r="HC142" s="262"/>
      <c r="HD142" s="262"/>
      <c r="HE142" s="262"/>
      <c r="HF142" s="262"/>
      <c r="HG142" s="262"/>
      <c r="HH142" s="262"/>
      <c r="HI142" s="262"/>
      <c r="HJ142" s="262"/>
      <c r="HK142" s="262"/>
      <c r="HL142" s="262"/>
      <c r="HM142" s="262"/>
      <c r="HN142" s="262"/>
      <c r="HO142" s="262"/>
      <c r="HP142" s="262"/>
      <c r="HQ142" s="262"/>
      <c r="HR142" s="262"/>
      <c r="HS142" s="262"/>
      <c r="HT142" s="262"/>
      <c r="HU142" s="262"/>
      <c r="HV142" s="262"/>
      <c r="HW142" s="262"/>
      <c r="HX142" s="262"/>
      <c r="HY142" s="262"/>
      <c r="HZ142" s="262"/>
      <c r="IA142" s="262"/>
      <c r="IB142" s="262"/>
      <c r="IC142" s="262"/>
      <c r="ID142" s="262"/>
      <c r="IE142" s="262"/>
      <c r="IF142" s="262"/>
      <c r="IG142" s="262"/>
      <c r="IH142" s="262"/>
      <c r="II142" s="262"/>
      <c r="IJ142" s="262"/>
      <c r="IK142" s="262"/>
      <c r="IL142" s="262"/>
      <c r="IM142" s="262"/>
      <c r="IN142" s="262"/>
      <c r="IO142" s="262"/>
      <c r="IP142" s="262"/>
      <c r="IQ142" s="262"/>
      <c r="IR142" s="262"/>
      <c r="IS142" s="262"/>
      <c r="IT142" s="262"/>
      <c r="IU142" s="262"/>
    </row>
    <row r="143" ht="18" hidden="1" customHeight="1" spans="1:255">
      <c r="A143" s="267">
        <v>4084</v>
      </c>
      <c r="B143" s="268" t="s">
        <v>1522</v>
      </c>
      <c r="C143" s="225" t="s">
        <v>1380</v>
      </c>
      <c r="D143" s="230">
        <v>48909.5124161489</v>
      </c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62"/>
      <c r="BH143" s="262"/>
      <c r="BI143" s="262"/>
      <c r="BJ143" s="262"/>
      <c r="BK143" s="262"/>
      <c r="BL143" s="262"/>
      <c r="BM143" s="262"/>
      <c r="BN143" s="262"/>
      <c r="BO143" s="262"/>
      <c r="BP143" s="262"/>
      <c r="BQ143" s="262"/>
      <c r="BR143" s="262"/>
      <c r="BS143" s="262"/>
      <c r="BT143" s="262"/>
      <c r="BU143" s="262"/>
      <c r="BV143" s="262"/>
      <c r="BW143" s="262"/>
      <c r="BX143" s="262"/>
      <c r="BY143" s="262"/>
      <c r="BZ143" s="262"/>
      <c r="CA143" s="262"/>
      <c r="CB143" s="262"/>
      <c r="CC143" s="262"/>
      <c r="CD143" s="262"/>
      <c r="CE143" s="262"/>
      <c r="CF143" s="262"/>
      <c r="CG143" s="262"/>
      <c r="CH143" s="262"/>
      <c r="CI143" s="262"/>
      <c r="CJ143" s="262"/>
      <c r="CK143" s="262"/>
      <c r="CL143" s="262"/>
      <c r="CM143" s="262"/>
      <c r="CN143" s="262"/>
      <c r="CO143" s="262"/>
      <c r="CP143" s="262"/>
      <c r="CQ143" s="262"/>
      <c r="CR143" s="262"/>
      <c r="CS143" s="262"/>
      <c r="CT143" s="262"/>
      <c r="CU143" s="262"/>
      <c r="CV143" s="262"/>
      <c r="CW143" s="262"/>
      <c r="CX143" s="262"/>
      <c r="CY143" s="262"/>
      <c r="CZ143" s="262"/>
      <c r="DA143" s="262"/>
      <c r="DB143" s="262"/>
      <c r="DC143" s="262"/>
      <c r="DD143" s="262"/>
      <c r="DE143" s="262"/>
      <c r="DF143" s="262"/>
      <c r="DG143" s="262"/>
      <c r="DH143" s="262"/>
      <c r="DI143" s="262"/>
      <c r="DJ143" s="262"/>
      <c r="DK143" s="262"/>
      <c r="DL143" s="262"/>
      <c r="DM143" s="262"/>
      <c r="DN143" s="262"/>
      <c r="DO143" s="262"/>
      <c r="DP143" s="262"/>
      <c r="DQ143" s="262"/>
      <c r="DR143" s="262"/>
      <c r="DS143" s="262"/>
      <c r="DT143" s="262"/>
      <c r="DU143" s="262"/>
      <c r="DV143" s="262"/>
      <c r="DW143" s="262"/>
      <c r="DX143" s="262"/>
      <c r="DY143" s="262"/>
      <c r="DZ143" s="262"/>
      <c r="EA143" s="262"/>
      <c r="EB143" s="262"/>
      <c r="EC143" s="262"/>
      <c r="ED143" s="262"/>
      <c r="EE143" s="262"/>
      <c r="EF143" s="262"/>
      <c r="EG143" s="262"/>
      <c r="EH143" s="262"/>
      <c r="EI143" s="262"/>
      <c r="EJ143" s="262"/>
      <c r="EK143" s="262"/>
      <c r="EL143" s="262"/>
      <c r="EM143" s="262"/>
      <c r="EN143" s="262"/>
      <c r="EO143" s="262"/>
      <c r="EP143" s="262"/>
      <c r="EQ143" s="262"/>
      <c r="ER143" s="262"/>
      <c r="ES143" s="262"/>
      <c r="ET143" s="262"/>
      <c r="EU143" s="262"/>
      <c r="EV143" s="262"/>
      <c r="EW143" s="262"/>
      <c r="EX143" s="262"/>
      <c r="EY143" s="262"/>
      <c r="EZ143" s="262"/>
      <c r="FA143" s="262"/>
      <c r="FB143" s="262"/>
      <c r="FC143" s="262"/>
      <c r="FD143" s="262"/>
      <c r="FE143" s="262"/>
      <c r="FF143" s="262"/>
      <c r="FG143" s="262"/>
      <c r="FH143" s="262"/>
      <c r="FI143" s="262"/>
      <c r="FJ143" s="262"/>
      <c r="FK143" s="262"/>
      <c r="FL143" s="262"/>
      <c r="FM143" s="262"/>
      <c r="FN143" s="262"/>
      <c r="FO143" s="262"/>
      <c r="FP143" s="262"/>
      <c r="FQ143" s="262"/>
      <c r="FR143" s="262"/>
      <c r="FS143" s="262"/>
      <c r="FT143" s="262"/>
      <c r="FU143" s="262"/>
      <c r="FV143" s="262"/>
      <c r="FW143" s="262"/>
      <c r="FX143" s="262"/>
      <c r="FY143" s="262"/>
      <c r="FZ143" s="262"/>
      <c r="GA143" s="262"/>
      <c r="GB143" s="262"/>
      <c r="GC143" s="262"/>
      <c r="GD143" s="262"/>
      <c r="GE143" s="262"/>
      <c r="GF143" s="262"/>
      <c r="GG143" s="262"/>
      <c r="GH143" s="262"/>
      <c r="GI143" s="262"/>
      <c r="GJ143" s="262"/>
      <c r="GK143" s="262"/>
      <c r="GL143" s="262"/>
      <c r="GM143" s="262"/>
      <c r="GN143" s="262"/>
      <c r="GO143" s="262"/>
      <c r="GP143" s="262"/>
      <c r="GQ143" s="262"/>
      <c r="GR143" s="262"/>
      <c r="GS143" s="262"/>
      <c r="GT143" s="262"/>
      <c r="GU143" s="262"/>
      <c r="GV143" s="262"/>
      <c r="GW143" s="262"/>
      <c r="GX143" s="262"/>
      <c r="GY143" s="262"/>
      <c r="GZ143" s="262"/>
      <c r="HA143" s="262"/>
      <c r="HB143" s="262"/>
      <c r="HC143" s="262"/>
      <c r="HD143" s="262"/>
      <c r="HE143" s="262"/>
      <c r="HF143" s="262"/>
      <c r="HG143" s="262"/>
      <c r="HH143" s="262"/>
      <c r="HI143" s="262"/>
      <c r="HJ143" s="262"/>
      <c r="HK143" s="262"/>
      <c r="HL143" s="262"/>
      <c r="HM143" s="262"/>
      <c r="HN143" s="262"/>
      <c r="HO143" s="262"/>
      <c r="HP143" s="262"/>
      <c r="HQ143" s="262"/>
      <c r="HR143" s="262"/>
      <c r="HS143" s="262"/>
      <c r="HT143" s="262"/>
      <c r="HU143" s="262"/>
      <c r="HV143" s="262"/>
      <c r="HW143" s="262"/>
      <c r="HX143" s="262"/>
      <c r="HY143" s="262"/>
      <c r="HZ143" s="262"/>
      <c r="IA143" s="262"/>
      <c r="IB143" s="262"/>
      <c r="IC143" s="262"/>
      <c r="ID143" s="262"/>
      <c r="IE143" s="262"/>
      <c r="IF143" s="262"/>
      <c r="IG143" s="262"/>
      <c r="IH143" s="262"/>
      <c r="II143" s="262"/>
      <c r="IJ143" s="262"/>
      <c r="IK143" s="262"/>
      <c r="IL143" s="262"/>
      <c r="IM143" s="262"/>
      <c r="IN143" s="262"/>
      <c r="IO143" s="262"/>
      <c r="IP143" s="262"/>
      <c r="IQ143" s="262"/>
      <c r="IR143" s="262"/>
      <c r="IS143" s="262"/>
      <c r="IT143" s="262"/>
      <c r="IU143" s="262"/>
    </row>
    <row r="144" ht="18" hidden="1" customHeight="1" spans="1:255">
      <c r="A144" s="267">
        <v>4089</v>
      </c>
      <c r="B144" s="268" t="s">
        <v>1523</v>
      </c>
      <c r="C144" s="225" t="s">
        <v>1380</v>
      </c>
      <c r="D144" s="230">
        <v>54874.1884182619</v>
      </c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62"/>
      <c r="BH144" s="262"/>
      <c r="BI144" s="262"/>
      <c r="BJ144" s="262"/>
      <c r="BK144" s="262"/>
      <c r="BL144" s="262"/>
      <c r="BM144" s="262"/>
      <c r="BN144" s="262"/>
      <c r="BO144" s="262"/>
      <c r="BP144" s="262"/>
      <c r="BQ144" s="262"/>
      <c r="BR144" s="262"/>
      <c r="BS144" s="262"/>
      <c r="BT144" s="262"/>
      <c r="BU144" s="262"/>
      <c r="BV144" s="262"/>
      <c r="BW144" s="262"/>
      <c r="BX144" s="262"/>
      <c r="BY144" s="262"/>
      <c r="BZ144" s="262"/>
      <c r="CA144" s="262"/>
      <c r="CB144" s="262"/>
      <c r="CC144" s="262"/>
      <c r="CD144" s="262"/>
      <c r="CE144" s="262"/>
      <c r="CF144" s="262"/>
      <c r="CG144" s="262"/>
      <c r="CH144" s="262"/>
      <c r="CI144" s="262"/>
      <c r="CJ144" s="262"/>
      <c r="CK144" s="262"/>
      <c r="CL144" s="262"/>
      <c r="CM144" s="262"/>
      <c r="CN144" s="262"/>
      <c r="CO144" s="262"/>
      <c r="CP144" s="262"/>
      <c r="CQ144" s="262"/>
      <c r="CR144" s="262"/>
      <c r="CS144" s="262"/>
      <c r="CT144" s="262"/>
      <c r="CU144" s="262"/>
      <c r="CV144" s="262"/>
      <c r="CW144" s="262"/>
      <c r="CX144" s="262"/>
      <c r="CY144" s="262"/>
      <c r="CZ144" s="262"/>
      <c r="DA144" s="262"/>
      <c r="DB144" s="262"/>
      <c r="DC144" s="262"/>
      <c r="DD144" s="262"/>
      <c r="DE144" s="262"/>
      <c r="DF144" s="262"/>
      <c r="DG144" s="262"/>
      <c r="DH144" s="262"/>
      <c r="DI144" s="262"/>
      <c r="DJ144" s="262"/>
      <c r="DK144" s="262"/>
      <c r="DL144" s="262"/>
      <c r="DM144" s="262"/>
      <c r="DN144" s="262"/>
      <c r="DO144" s="262"/>
      <c r="DP144" s="262"/>
      <c r="DQ144" s="262"/>
      <c r="DR144" s="262"/>
      <c r="DS144" s="262"/>
      <c r="DT144" s="262"/>
      <c r="DU144" s="262"/>
      <c r="DV144" s="262"/>
      <c r="DW144" s="262"/>
      <c r="DX144" s="262"/>
      <c r="DY144" s="262"/>
      <c r="DZ144" s="262"/>
      <c r="EA144" s="262"/>
      <c r="EB144" s="262"/>
      <c r="EC144" s="262"/>
      <c r="ED144" s="262"/>
      <c r="EE144" s="262"/>
      <c r="EF144" s="262"/>
      <c r="EG144" s="262"/>
      <c r="EH144" s="262"/>
      <c r="EI144" s="262"/>
      <c r="EJ144" s="262"/>
      <c r="EK144" s="262"/>
      <c r="EL144" s="262"/>
      <c r="EM144" s="262"/>
      <c r="EN144" s="262"/>
      <c r="EO144" s="262"/>
      <c r="EP144" s="262"/>
      <c r="EQ144" s="262"/>
      <c r="ER144" s="262"/>
      <c r="ES144" s="262"/>
      <c r="ET144" s="262"/>
      <c r="EU144" s="262"/>
      <c r="EV144" s="262"/>
      <c r="EW144" s="262"/>
      <c r="EX144" s="262"/>
      <c r="EY144" s="262"/>
      <c r="EZ144" s="262"/>
      <c r="FA144" s="262"/>
      <c r="FB144" s="262"/>
      <c r="FC144" s="262"/>
      <c r="FD144" s="262"/>
      <c r="FE144" s="262"/>
      <c r="FF144" s="262"/>
      <c r="FG144" s="262"/>
      <c r="FH144" s="262"/>
      <c r="FI144" s="262"/>
      <c r="FJ144" s="262"/>
      <c r="FK144" s="262"/>
      <c r="FL144" s="262"/>
      <c r="FM144" s="262"/>
      <c r="FN144" s="262"/>
      <c r="FO144" s="262"/>
      <c r="FP144" s="262"/>
      <c r="FQ144" s="262"/>
      <c r="FR144" s="262"/>
      <c r="FS144" s="262"/>
      <c r="FT144" s="262"/>
      <c r="FU144" s="262"/>
      <c r="FV144" s="262"/>
      <c r="FW144" s="262"/>
      <c r="FX144" s="262"/>
      <c r="FY144" s="262"/>
      <c r="FZ144" s="262"/>
      <c r="GA144" s="262"/>
      <c r="GB144" s="262"/>
      <c r="GC144" s="262"/>
      <c r="GD144" s="262"/>
      <c r="GE144" s="262"/>
      <c r="GF144" s="262"/>
      <c r="GG144" s="262"/>
      <c r="GH144" s="262"/>
      <c r="GI144" s="262"/>
      <c r="GJ144" s="262"/>
      <c r="GK144" s="262"/>
      <c r="GL144" s="262"/>
      <c r="GM144" s="262"/>
      <c r="GN144" s="262"/>
      <c r="GO144" s="262"/>
      <c r="GP144" s="262"/>
      <c r="GQ144" s="262"/>
      <c r="GR144" s="262"/>
      <c r="GS144" s="262"/>
      <c r="GT144" s="262"/>
      <c r="GU144" s="262"/>
      <c r="GV144" s="262"/>
      <c r="GW144" s="262"/>
      <c r="GX144" s="262"/>
      <c r="GY144" s="262"/>
      <c r="GZ144" s="262"/>
      <c r="HA144" s="262"/>
      <c r="HB144" s="262"/>
      <c r="HC144" s="262"/>
      <c r="HD144" s="262"/>
      <c r="HE144" s="262"/>
      <c r="HF144" s="262"/>
      <c r="HG144" s="262"/>
      <c r="HH144" s="262"/>
      <c r="HI144" s="262"/>
      <c r="HJ144" s="262"/>
      <c r="HK144" s="262"/>
      <c r="HL144" s="262"/>
      <c r="HM144" s="262"/>
      <c r="HN144" s="262"/>
      <c r="HO144" s="262"/>
      <c r="HP144" s="262"/>
      <c r="HQ144" s="262"/>
      <c r="HR144" s="262"/>
      <c r="HS144" s="262"/>
      <c r="HT144" s="262"/>
      <c r="HU144" s="262"/>
      <c r="HV144" s="262"/>
      <c r="HW144" s="262"/>
      <c r="HX144" s="262"/>
      <c r="HY144" s="262"/>
      <c r="HZ144" s="262"/>
      <c r="IA144" s="262"/>
      <c r="IB144" s="262"/>
      <c r="IC144" s="262"/>
      <c r="ID144" s="262"/>
      <c r="IE144" s="262"/>
      <c r="IF144" s="262"/>
      <c r="IG144" s="262"/>
      <c r="IH144" s="262"/>
      <c r="II144" s="262"/>
      <c r="IJ144" s="262"/>
      <c r="IK144" s="262"/>
      <c r="IL144" s="262"/>
      <c r="IM144" s="262"/>
      <c r="IN144" s="262"/>
      <c r="IO144" s="262"/>
      <c r="IP144" s="262"/>
      <c r="IQ144" s="262"/>
      <c r="IR144" s="262"/>
      <c r="IS144" s="262"/>
      <c r="IT144" s="262"/>
      <c r="IU144" s="262"/>
    </row>
    <row r="145" ht="18" hidden="1" customHeight="1" spans="1:255">
      <c r="A145" s="267">
        <v>4092</v>
      </c>
      <c r="B145" s="268" t="s">
        <v>1524</v>
      </c>
      <c r="C145" s="225" t="s">
        <v>1380</v>
      </c>
      <c r="D145" s="230">
        <v>51792.0662262089</v>
      </c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62"/>
      <c r="BH145" s="262"/>
      <c r="BI145" s="262"/>
      <c r="BJ145" s="262"/>
      <c r="BK145" s="262"/>
      <c r="BL145" s="262"/>
      <c r="BM145" s="262"/>
      <c r="BN145" s="262"/>
      <c r="BO145" s="262"/>
      <c r="BP145" s="262"/>
      <c r="BQ145" s="262"/>
      <c r="BR145" s="262"/>
      <c r="BS145" s="262"/>
      <c r="BT145" s="262"/>
      <c r="BU145" s="262"/>
      <c r="BV145" s="262"/>
      <c r="BW145" s="262"/>
      <c r="BX145" s="262"/>
      <c r="BY145" s="262"/>
      <c r="BZ145" s="262"/>
      <c r="CA145" s="262"/>
      <c r="CB145" s="262"/>
      <c r="CC145" s="262"/>
      <c r="CD145" s="262"/>
      <c r="CE145" s="262"/>
      <c r="CF145" s="262"/>
      <c r="CG145" s="262"/>
      <c r="CH145" s="262"/>
      <c r="CI145" s="262"/>
      <c r="CJ145" s="262"/>
      <c r="CK145" s="262"/>
      <c r="CL145" s="262"/>
      <c r="CM145" s="262"/>
      <c r="CN145" s="262"/>
      <c r="CO145" s="262"/>
      <c r="CP145" s="262"/>
      <c r="CQ145" s="262"/>
      <c r="CR145" s="262"/>
      <c r="CS145" s="262"/>
      <c r="CT145" s="262"/>
      <c r="CU145" s="262"/>
      <c r="CV145" s="262"/>
      <c r="CW145" s="262"/>
      <c r="CX145" s="262"/>
      <c r="CY145" s="262"/>
      <c r="CZ145" s="262"/>
      <c r="DA145" s="262"/>
      <c r="DB145" s="262"/>
      <c r="DC145" s="262"/>
      <c r="DD145" s="262"/>
      <c r="DE145" s="262"/>
      <c r="DF145" s="262"/>
      <c r="DG145" s="262"/>
      <c r="DH145" s="262"/>
      <c r="DI145" s="262"/>
      <c r="DJ145" s="262"/>
      <c r="DK145" s="262"/>
      <c r="DL145" s="262"/>
      <c r="DM145" s="262"/>
      <c r="DN145" s="262"/>
      <c r="DO145" s="262"/>
      <c r="DP145" s="262"/>
      <c r="DQ145" s="262"/>
      <c r="DR145" s="262"/>
      <c r="DS145" s="262"/>
      <c r="DT145" s="262"/>
      <c r="DU145" s="262"/>
      <c r="DV145" s="262"/>
      <c r="DW145" s="262"/>
      <c r="DX145" s="262"/>
      <c r="DY145" s="262"/>
      <c r="DZ145" s="262"/>
      <c r="EA145" s="262"/>
      <c r="EB145" s="262"/>
      <c r="EC145" s="262"/>
      <c r="ED145" s="262"/>
      <c r="EE145" s="262"/>
      <c r="EF145" s="262"/>
      <c r="EG145" s="262"/>
      <c r="EH145" s="262"/>
      <c r="EI145" s="262"/>
      <c r="EJ145" s="262"/>
      <c r="EK145" s="262"/>
      <c r="EL145" s="262"/>
      <c r="EM145" s="262"/>
      <c r="EN145" s="262"/>
      <c r="EO145" s="262"/>
      <c r="EP145" s="262"/>
      <c r="EQ145" s="262"/>
      <c r="ER145" s="262"/>
      <c r="ES145" s="262"/>
      <c r="ET145" s="262"/>
      <c r="EU145" s="262"/>
      <c r="EV145" s="262"/>
      <c r="EW145" s="262"/>
      <c r="EX145" s="262"/>
      <c r="EY145" s="262"/>
      <c r="EZ145" s="262"/>
      <c r="FA145" s="262"/>
      <c r="FB145" s="262"/>
      <c r="FC145" s="262"/>
      <c r="FD145" s="262"/>
      <c r="FE145" s="262"/>
      <c r="FF145" s="262"/>
      <c r="FG145" s="262"/>
      <c r="FH145" s="262"/>
      <c r="FI145" s="262"/>
      <c r="FJ145" s="262"/>
      <c r="FK145" s="262"/>
      <c r="FL145" s="262"/>
      <c r="FM145" s="262"/>
      <c r="FN145" s="262"/>
      <c r="FO145" s="262"/>
      <c r="FP145" s="262"/>
      <c r="FQ145" s="262"/>
      <c r="FR145" s="262"/>
      <c r="FS145" s="262"/>
      <c r="FT145" s="262"/>
      <c r="FU145" s="262"/>
      <c r="FV145" s="262"/>
      <c r="FW145" s="262"/>
      <c r="FX145" s="262"/>
      <c r="FY145" s="262"/>
      <c r="FZ145" s="262"/>
      <c r="GA145" s="262"/>
      <c r="GB145" s="262"/>
      <c r="GC145" s="262"/>
      <c r="GD145" s="262"/>
      <c r="GE145" s="262"/>
      <c r="GF145" s="262"/>
      <c r="GG145" s="262"/>
      <c r="GH145" s="262"/>
      <c r="GI145" s="262"/>
      <c r="GJ145" s="262"/>
      <c r="GK145" s="262"/>
      <c r="GL145" s="262"/>
      <c r="GM145" s="262"/>
      <c r="GN145" s="262"/>
      <c r="GO145" s="262"/>
      <c r="GP145" s="262"/>
      <c r="GQ145" s="262"/>
      <c r="GR145" s="262"/>
      <c r="GS145" s="262"/>
      <c r="GT145" s="262"/>
      <c r="GU145" s="262"/>
      <c r="GV145" s="262"/>
      <c r="GW145" s="262"/>
      <c r="GX145" s="262"/>
      <c r="GY145" s="262"/>
      <c r="GZ145" s="262"/>
      <c r="HA145" s="262"/>
      <c r="HB145" s="262"/>
      <c r="HC145" s="262"/>
      <c r="HD145" s="262"/>
      <c r="HE145" s="262"/>
      <c r="HF145" s="262"/>
      <c r="HG145" s="262"/>
      <c r="HH145" s="262"/>
      <c r="HI145" s="262"/>
      <c r="HJ145" s="262"/>
      <c r="HK145" s="262"/>
      <c r="HL145" s="262"/>
      <c r="HM145" s="262"/>
      <c r="HN145" s="262"/>
      <c r="HO145" s="262"/>
      <c r="HP145" s="262"/>
      <c r="HQ145" s="262"/>
      <c r="HR145" s="262"/>
      <c r="HS145" s="262"/>
      <c r="HT145" s="262"/>
      <c r="HU145" s="262"/>
      <c r="HV145" s="262"/>
      <c r="HW145" s="262"/>
      <c r="HX145" s="262"/>
      <c r="HY145" s="262"/>
      <c r="HZ145" s="262"/>
      <c r="IA145" s="262"/>
      <c r="IB145" s="262"/>
      <c r="IC145" s="262"/>
      <c r="ID145" s="262"/>
      <c r="IE145" s="262"/>
      <c r="IF145" s="262"/>
      <c r="IG145" s="262"/>
      <c r="IH145" s="262"/>
      <c r="II145" s="262"/>
      <c r="IJ145" s="262"/>
      <c r="IK145" s="262"/>
      <c r="IL145" s="262"/>
      <c r="IM145" s="262"/>
      <c r="IN145" s="262"/>
      <c r="IO145" s="262"/>
      <c r="IP145" s="262"/>
      <c r="IQ145" s="262"/>
      <c r="IR145" s="262"/>
      <c r="IS145" s="262"/>
      <c r="IT145" s="262"/>
      <c r="IU145" s="262"/>
    </row>
    <row r="146" ht="18" hidden="1" customHeight="1" spans="1:255">
      <c r="A146" s="267">
        <v>4094</v>
      </c>
      <c r="B146" s="268" t="s">
        <v>1525</v>
      </c>
      <c r="C146" s="225" t="s">
        <v>1380</v>
      </c>
      <c r="D146" s="230">
        <v>71398.9681765486</v>
      </c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62"/>
      <c r="BH146" s="262"/>
      <c r="BI146" s="262"/>
      <c r="BJ146" s="262"/>
      <c r="BK146" s="262"/>
      <c r="BL146" s="262"/>
      <c r="BM146" s="262"/>
      <c r="BN146" s="262"/>
      <c r="BO146" s="262"/>
      <c r="BP146" s="262"/>
      <c r="BQ146" s="262"/>
      <c r="BR146" s="262"/>
      <c r="BS146" s="262"/>
      <c r="BT146" s="262"/>
      <c r="BU146" s="262"/>
      <c r="BV146" s="262"/>
      <c r="BW146" s="262"/>
      <c r="BX146" s="262"/>
      <c r="BY146" s="262"/>
      <c r="BZ146" s="262"/>
      <c r="CA146" s="262"/>
      <c r="CB146" s="262"/>
      <c r="CC146" s="262"/>
      <c r="CD146" s="262"/>
      <c r="CE146" s="262"/>
      <c r="CF146" s="262"/>
      <c r="CG146" s="262"/>
      <c r="CH146" s="262"/>
      <c r="CI146" s="262"/>
      <c r="CJ146" s="262"/>
      <c r="CK146" s="262"/>
      <c r="CL146" s="262"/>
      <c r="CM146" s="262"/>
      <c r="CN146" s="262"/>
      <c r="CO146" s="262"/>
      <c r="CP146" s="262"/>
      <c r="CQ146" s="262"/>
      <c r="CR146" s="262"/>
      <c r="CS146" s="262"/>
      <c r="CT146" s="262"/>
      <c r="CU146" s="262"/>
      <c r="CV146" s="262"/>
      <c r="CW146" s="262"/>
      <c r="CX146" s="262"/>
      <c r="CY146" s="262"/>
      <c r="CZ146" s="262"/>
      <c r="DA146" s="262"/>
      <c r="DB146" s="262"/>
      <c r="DC146" s="262"/>
      <c r="DD146" s="262"/>
      <c r="DE146" s="262"/>
      <c r="DF146" s="262"/>
      <c r="DG146" s="262"/>
      <c r="DH146" s="262"/>
      <c r="DI146" s="262"/>
      <c r="DJ146" s="262"/>
      <c r="DK146" s="262"/>
      <c r="DL146" s="262"/>
      <c r="DM146" s="262"/>
      <c r="DN146" s="262"/>
      <c r="DO146" s="262"/>
      <c r="DP146" s="262"/>
      <c r="DQ146" s="262"/>
      <c r="DR146" s="262"/>
      <c r="DS146" s="262"/>
      <c r="DT146" s="262"/>
      <c r="DU146" s="262"/>
      <c r="DV146" s="262"/>
      <c r="DW146" s="262"/>
      <c r="DX146" s="262"/>
      <c r="DY146" s="262"/>
      <c r="DZ146" s="262"/>
      <c r="EA146" s="262"/>
      <c r="EB146" s="262"/>
      <c r="EC146" s="262"/>
      <c r="ED146" s="262"/>
      <c r="EE146" s="262"/>
      <c r="EF146" s="262"/>
      <c r="EG146" s="262"/>
      <c r="EH146" s="262"/>
      <c r="EI146" s="262"/>
      <c r="EJ146" s="262"/>
      <c r="EK146" s="262"/>
      <c r="EL146" s="262"/>
      <c r="EM146" s="262"/>
      <c r="EN146" s="262"/>
      <c r="EO146" s="262"/>
      <c r="EP146" s="262"/>
      <c r="EQ146" s="262"/>
      <c r="ER146" s="262"/>
      <c r="ES146" s="262"/>
      <c r="ET146" s="262"/>
      <c r="EU146" s="262"/>
      <c r="EV146" s="262"/>
      <c r="EW146" s="262"/>
      <c r="EX146" s="262"/>
      <c r="EY146" s="262"/>
      <c r="EZ146" s="262"/>
      <c r="FA146" s="262"/>
      <c r="FB146" s="262"/>
      <c r="FC146" s="262"/>
      <c r="FD146" s="262"/>
      <c r="FE146" s="262"/>
      <c r="FF146" s="262"/>
      <c r="FG146" s="262"/>
      <c r="FH146" s="262"/>
      <c r="FI146" s="262"/>
      <c r="FJ146" s="262"/>
      <c r="FK146" s="262"/>
      <c r="FL146" s="262"/>
      <c r="FM146" s="262"/>
      <c r="FN146" s="262"/>
      <c r="FO146" s="262"/>
      <c r="FP146" s="262"/>
      <c r="FQ146" s="262"/>
      <c r="FR146" s="262"/>
      <c r="FS146" s="262"/>
      <c r="FT146" s="262"/>
      <c r="FU146" s="262"/>
      <c r="FV146" s="262"/>
      <c r="FW146" s="262"/>
      <c r="FX146" s="262"/>
      <c r="FY146" s="262"/>
      <c r="FZ146" s="262"/>
      <c r="GA146" s="262"/>
      <c r="GB146" s="262"/>
      <c r="GC146" s="262"/>
      <c r="GD146" s="262"/>
      <c r="GE146" s="262"/>
      <c r="GF146" s="262"/>
      <c r="GG146" s="262"/>
      <c r="GH146" s="262"/>
      <c r="GI146" s="262"/>
      <c r="GJ146" s="262"/>
      <c r="GK146" s="262"/>
      <c r="GL146" s="262"/>
      <c r="GM146" s="262"/>
      <c r="GN146" s="262"/>
      <c r="GO146" s="262"/>
      <c r="GP146" s="262"/>
      <c r="GQ146" s="262"/>
      <c r="GR146" s="262"/>
      <c r="GS146" s="262"/>
      <c r="GT146" s="262"/>
      <c r="GU146" s="262"/>
      <c r="GV146" s="262"/>
      <c r="GW146" s="262"/>
      <c r="GX146" s="262"/>
      <c r="GY146" s="262"/>
      <c r="GZ146" s="262"/>
      <c r="HA146" s="262"/>
      <c r="HB146" s="262"/>
      <c r="HC146" s="262"/>
      <c r="HD146" s="262"/>
      <c r="HE146" s="262"/>
      <c r="HF146" s="262"/>
      <c r="HG146" s="262"/>
      <c r="HH146" s="262"/>
      <c r="HI146" s="262"/>
      <c r="HJ146" s="262"/>
      <c r="HK146" s="262"/>
      <c r="HL146" s="262"/>
      <c r="HM146" s="262"/>
      <c r="HN146" s="262"/>
      <c r="HO146" s="262"/>
      <c r="HP146" s="262"/>
      <c r="HQ146" s="262"/>
      <c r="HR146" s="262"/>
      <c r="HS146" s="262"/>
      <c r="HT146" s="262"/>
      <c r="HU146" s="262"/>
      <c r="HV146" s="262"/>
      <c r="HW146" s="262"/>
      <c r="HX146" s="262"/>
      <c r="HY146" s="262"/>
      <c r="HZ146" s="262"/>
      <c r="IA146" s="262"/>
      <c r="IB146" s="262"/>
      <c r="IC146" s="262"/>
      <c r="ID146" s="262"/>
      <c r="IE146" s="262"/>
      <c r="IF146" s="262"/>
      <c r="IG146" s="262"/>
      <c r="IH146" s="262"/>
      <c r="II146" s="262"/>
      <c r="IJ146" s="262"/>
      <c r="IK146" s="262"/>
      <c r="IL146" s="262"/>
      <c r="IM146" s="262"/>
      <c r="IN146" s="262"/>
      <c r="IO146" s="262"/>
      <c r="IP146" s="262"/>
      <c r="IQ146" s="262"/>
      <c r="IR146" s="262"/>
      <c r="IS146" s="262"/>
      <c r="IT146" s="262"/>
      <c r="IU146" s="262"/>
    </row>
    <row r="147" ht="18" hidden="1" customHeight="1" spans="1:255">
      <c r="A147" s="267">
        <v>4099</v>
      </c>
      <c r="B147" s="268" t="s">
        <v>1526</v>
      </c>
      <c r="C147" s="225" t="s">
        <v>1380</v>
      </c>
      <c r="D147" s="230">
        <v>69201.5748703015</v>
      </c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262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62"/>
      <c r="BH147" s="262"/>
      <c r="BI147" s="262"/>
      <c r="BJ147" s="262"/>
      <c r="BK147" s="262"/>
      <c r="BL147" s="262"/>
      <c r="BM147" s="262"/>
      <c r="BN147" s="262"/>
      <c r="BO147" s="262"/>
      <c r="BP147" s="262"/>
      <c r="BQ147" s="262"/>
      <c r="BR147" s="262"/>
      <c r="BS147" s="262"/>
      <c r="BT147" s="262"/>
      <c r="BU147" s="262"/>
      <c r="BV147" s="262"/>
      <c r="BW147" s="262"/>
      <c r="BX147" s="262"/>
      <c r="BY147" s="262"/>
      <c r="BZ147" s="262"/>
      <c r="CA147" s="262"/>
      <c r="CB147" s="262"/>
      <c r="CC147" s="262"/>
      <c r="CD147" s="262"/>
      <c r="CE147" s="262"/>
      <c r="CF147" s="262"/>
      <c r="CG147" s="262"/>
      <c r="CH147" s="262"/>
      <c r="CI147" s="262"/>
      <c r="CJ147" s="262"/>
      <c r="CK147" s="262"/>
      <c r="CL147" s="262"/>
      <c r="CM147" s="262"/>
      <c r="CN147" s="262"/>
      <c r="CO147" s="262"/>
      <c r="CP147" s="262"/>
      <c r="CQ147" s="262"/>
      <c r="CR147" s="262"/>
      <c r="CS147" s="262"/>
      <c r="CT147" s="262"/>
      <c r="CU147" s="262"/>
      <c r="CV147" s="262"/>
      <c r="CW147" s="262"/>
      <c r="CX147" s="262"/>
      <c r="CY147" s="262"/>
      <c r="CZ147" s="262"/>
      <c r="DA147" s="262"/>
      <c r="DB147" s="262"/>
      <c r="DC147" s="262"/>
      <c r="DD147" s="262"/>
      <c r="DE147" s="262"/>
      <c r="DF147" s="262"/>
      <c r="DG147" s="262"/>
      <c r="DH147" s="262"/>
      <c r="DI147" s="262"/>
      <c r="DJ147" s="262"/>
      <c r="DK147" s="262"/>
      <c r="DL147" s="262"/>
      <c r="DM147" s="262"/>
      <c r="DN147" s="262"/>
      <c r="DO147" s="262"/>
      <c r="DP147" s="262"/>
      <c r="DQ147" s="262"/>
      <c r="DR147" s="262"/>
      <c r="DS147" s="262"/>
      <c r="DT147" s="262"/>
      <c r="DU147" s="262"/>
      <c r="DV147" s="262"/>
      <c r="DW147" s="262"/>
      <c r="DX147" s="262"/>
      <c r="DY147" s="262"/>
      <c r="DZ147" s="262"/>
      <c r="EA147" s="262"/>
      <c r="EB147" s="262"/>
      <c r="EC147" s="262"/>
      <c r="ED147" s="262"/>
      <c r="EE147" s="262"/>
      <c r="EF147" s="262"/>
      <c r="EG147" s="262"/>
      <c r="EH147" s="262"/>
      <c r="EI147" s="262"/>
      <c r="EJ147" s="262"/>
      <c r="EK147" s="262"/>
      <c r="EL147" s="262"/>
      <c r="EM147" s="262"/>
      <c r="EN147" s="262"/>
      <c r="EO147" s="262"/>
      <c r="EP147" s="262"/>
      <c r="EQ147" s="262"/>
      <c r="ER147" s="262"/>
      <c r="ES147" s="262"/>
      <c r="ET147" s="262"/>
      <c r="EU147" s="262"/>
      <c r="EV147" s="262"/>
      <c r="EW147" s="262"/>
      <c r="EX147" s="262"/>
      <c r="EY147" s="262"/>
      <c r="EZ147" s="262"/>
      <c r="FA147" s="262"/>
      <c r="FB147" s="262"/>
      <c r="FC147" s="262"/>
      <c r="FD147" s="262"/>
      <c r="FE147" s="262"/>
      <c r="FF147" s="262"/>
      <c r="FG147" s="262"/>
      <c r="FH147" s="262"/>
      <c r="FI147" s="262"/>
      <c r="FJ147" s="262"/>
      <c r="FK147" s="262"/>
      <c r="FL147" s="262"/>
      <c r="FM147" s="262"/>
      <c r="FN147" s="262"/>
      <c r="FO147" s="262"/>
      <c r="FP147" s="262"/>
      <c r="FQ147" s="262"/>
      <c r="FR147" s="262"/>
      <c r="FS147" s="262"/>
      <c r="FT147" s="262"/>
      <c r="FU147" s="262"/>
      <c r="FV147" s="262"/>
      <c r="FW147" s="262"/>
      <c r="FX147" s="262"/>
      <c r="FY147" s="262"/>
      <c r="FZ147" s="262"/>
      <c r="GA147" s="262"/>
      <c r="GB147" s="262"/>
      <c r="GC147" s="262"/>
      <c r="GD147" s="262"/>
      <c r="GE147" s="262"/>
      <c r="GF147" s="262"/>
      <c r="GG147" s="262"/>
      <c r="GH147" s="262"/>
      <c r="GI147" s="262"/>
      <c r="GJ147" s="262"/>
      <c r="GK147" s="262"/>
      <c r="GL147" s="262"/>
      <c r="GM147" s="262"/>
      <c r="GN147" s="262"/>
      <c r="GO147" s="262"/>
      <c r="GP147" s="262"/>
      <c r="GQ147" s="262"/>
      <c r="GR147" s="262"/>
      <c r="GS147" s="262"/>
      <c r="GT147" s="262"/>
      <c r="GU147" s="262"/>
      <c r="GV147" s="262"/>
      <c r="GW147" s="262"/>
      <c r="GX147" s="262"/>
      <c r="GY147" s="262"/>
      <c r="GZ147" s="262"/>
      <c r="HA147" s="262"/>
      <c r="HB147" s="262"/>
      <c r="HC147" s="262"/>
      <c r="HD147" s="262"/>
      <c r="HE147" s="262"/>
      <c r="HF147" s="262"/>
      <c r="HG147" s="262"/>
      <c r="HH147" s="262"/>
      <c r="HI147" s="262"/>
      <c r="HJ147" s="262"/>
      <c r="HK147" s="262"/>
      <c r="HL147" s="262"/>
      <c r="HM147" s="262"/>
      <c r="HN147" s="262"/>
      <c r="HO147" s="262"/>
      <c r="HP147" s="262"/>
      <c r="HQ147" s="262"/>
      <c r="HR147" s="262"/>
      <c r="HS147" s="262"/>
      <c r="HT147" s="262"/>
      <c r="HU147" s="262"/>
      <c r="HV147" s="262"/>
      <c r="HW147" s="262"/>
      <c r="HX147" s="262"/>
      <c r="HY147" s="262"/>
      <c r="HZ147" s="262"/>
      <c r="IA147" s="262"/>
      <c r="IB147" s="262"/>
      <c r="IC147" s="262"/>
      <c r="ID147" s="262"/>
      <c r="IE147" s="262"/>
      <c r="IF147" s="262"/>
      <c r="IG147" s="262"/>
      <c r="IH147" s="262"/>
      <c r="II147" s="262"/>
      <c r="IJ147" s="262"/>
      <c r="IK147" s="262"/>
      <c r="IL147" s="262"/>
      <c r="IM147" s="262"/>
      <c r="IN147" s="262"/>
      <c r="IO147" s="262"/>
      <c r="IP147" s="262"/>
      <c r="IQ147" s="262"/>
      <c r="IR147" s="262"/>
      <c r="IS147" s="262"/>
      <c r="IT147" s="262"/>
      <c r="IU147" s="262"/>
    </row>
    <row r="148" ht="18" hidden="1" customHeight="1" spans="1:255">
      <c r="A148" s="267">
        <v>4100</v>
      </c>
      <c r="B148" s="268" t="s">
        <v>1527</v>
      </c>
      <c r="C148" s="225" t="s">
        <v>1380</v>
      </c>
      <c r="D148" s="230">
        <v>90385.5857661837</v>
      </c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2"/>
      <c r="T148" s="262"/>
      <c r="U148" s="262"/>
      <c r="V148" s="262"/>
      <c r="W148" s="262"/>
      <c r="X148" s="262"/>
      <c r="Y148" s="262"/>
      <c r="Z148" s="262"/>
      <c r="AA148" s="262"/>
      <c r="AB148" s="262"/>
      <c r="AC148" s="262"/>
      <c r="AD148" s="262"/>
      <c r="AE148" s="262"/>
      <c r="AF148" s="262"/>
      <c r="AG148" s="262"/>
      <c r="AH148" s="262"/>
      <c r="AI148" s="262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62"/>
      <c r="BH148" s="262"/>
      <c r="BI148" s="262"/>
      <c r="BJ148" s="262"/>
      <c r="BK148" s="262"/>
      <c r="BL148" s="262"/>
      <c r="BM148" s="262"/>
      <c r="BN148" s="262"/>
      <c r="BO148" s="262"/>
      <c r="BP148" s="262"/>
      <c r="BQ148" s="262"/>
      <c r="BR148" s="262"/>
      <c r="BS148" s="262"/>
      <c r="BT148" s="262"/>
      <c r="BU148" s="262"/>
      <c r="BV148" s="262"/>
      <c r="BW148" s="262"/>
      <c r="BX148" s="262"/>
      <c r="BY148" s="262"/>
      <c r="BZ148" s="262"/>
      <c r="CA148" s="262"/>
      <c r="CB148" s="262"/>
      <c r="CC148" s="262"/>
      <c r="CD148" s="262"/>
      <c r="CE148" s="262"/>
      <c r="CF148" s="262"/>
      <c r="CG148" s="262"/>
      <c r="CH148" s="262"/>
      <c r="CI148" s="262"/>
      <c r="CJ148" s="262"/>
      <c r="CK148" s="262"/>
      <c r="CL148" s="262"/>
      <c r="CM148" s="262"/>
      <c r="CN148" s="262"/>
      <c r="CO148" s="262"/>
      <c r="CP148" s="262"/>
      <c r="CQ148" s="262"/>
      <c r="CR148" s="262"/>
      <c r="CS148" s="262"/>
      <c r="CT148" s="262"/>
      <c r="CU148" s="262"/>
      <c r="CV148" s="262"/>
      <c r="CW148" s="262"/>
      <c r="CX148" s="262"/>
      <c r="CY148" s="262"/>
      <c r="CZ148" s="262"/>
      <c r="DA148" s="262"/>
      <c r="DB148" s="262"/>
      <c r="DC148" s="262"/>
      <c r="DD148" s="262"/>
      <c r="DE148" s="262"/>
      <c r="DF148" s="262"/>
      <c r="DG148" s="262"/>
      <c r="DH148" s="262"/>
      <c r="DI148" s="262"/>
      <c r="DJ148" s="262"/>
      <c r="DK148" s="262"/>
      <c r="DL148" s="262"/>
      <c r="DM148" s="262"/>
      <c r="DN148" s="262"/>
      <c r="DO148" s="262"/>
      <c r="DP148" s="262"/>
      <c r="DQ148" s="262"/>
      <c r="DR148" s="262"/>
      <c r="DS148" s="262"/>
      <c r="DT148" s="262"/>
      <c r="DU148" s="262"/>
      <c r="DV148" s="262"/>
      <c r="DW148" s="262"/>
      <c r="DX148" s="262"/>
      <c r="DY148" s="262"/>
      <c r="DZ148" s="262"/>
      <c r="EA148" s="262"/>
      <c r="EB148" s="262"/>
      <c r="EC148" s="262"/>
      <c r="ED148" s="262"/>
      <c r="EE148" s="262"/>
      <c r="EF148" s="262"/>
      <c r="EG148" s="262"/>
      <c r="EH148" s="262"/>
      <c r="EI148" s="262"/>
      <c r="EJ148" s="262"/>
      <c r="EK148" s="262"/>
      <c r="EL148" s="262"/>
      <c r="EM148" s="262"/>
      <c r="EN148" s="262"/>
      <c r="EO148" s="262"/>
      <c r="EP148" s="262"/>
      <c r="EQ148" s="262"/>
      <c r="ER148" s="262"/>
      <c r="ES148" s="262"/>
      <c r="ET148" s="262"/>
      <c r="EU148" s="262"/>
      <c r="EV148" s="262"/>
      <c r="EW148" s="262"/>
      <c r="EX148" s="262"/>
      <c r="EY148" s="262"/>
      <c r="EZ148" s="262"/>
      <c r="FA148" s="262"/>
      <c r="FB148" s="262"/>
      <c r="FC148" s="262"/>
      <c r="FD148" s="262"/>
      <c r="FE148" s="262"/>
      <c r="FF148" s="262"/>
      <c r="FG148" s="262"/>
      <c r="FH148" s="262"/>
      <c r="FI148" s="262"/>
      <c r="FJ148" s="262"/>
      <c r="FK148" s="262"/>
      <c r="FL148" s="262"/>
      <c r="FM148" s="262"/>
      <c r="FN148" s="262"/>
      <c r="FO148" s="262"/>
      <c r="FP148" s="262"/>
      <c r="FQ148" s="262"/>
      <c r="FR148" s="262"/>
      <c r="FS148" s="262"/>
      <c r="FT148" s="262"/>
      <c r="FU148" s="262"/>
      <c r="FV148" s="262"/>
      <c r="FW148" s="262"/>
      <c r="FX148" s="262"/>
      <c r="FY148" s="262"/>
      <c r="FZ148" s="262"/>
      <c r="GA148" s="262"/>
      <c r="GB148" s="262"/>
      <c r="GC148" s="262"/>
      <c r="GD148" s="262"/>
      <c r="GE148" s="262"/>
      <c r="GF148" s="262"/>
      <c r="GG148" s="262"/>
      <c r="GH148" s="262"/>
      <c r="GI148" s="262"/>
      <c r="GJ148" s="262"/>
      <c r="GK148" s="262"/>
      <c r="GL148" s="262"/>
      <c r="GM148" s="262"/>
      <c r="GN148" s="262"/>
      <c r="GO148" s="262"/>
      <c r="GP148" s="262"/>
      <c r="GQ148" s="262"/>
      <c r="GR148" s="262"/>
      <c r="GS148" s="262"/>
      <c r="GT148" s="262"/>
      <c r="GU148" s="262"/>
      <c r="GV148" s="262"/>
      <c r="GW148" s="262"/>
      <c r="GX148" s="262"/>
      <c r="GY148" s="262"/>
      <c r="GZ148" s="262"/>
      <c r="HA148" s="262"/>
      <c r="HB148" s="262"/>
      <c r="HC148" s="262"/>
      <c r="HD148" s="262"/>
      <c r="HE148" s="262"/>
      <c r="HF148" s="262"/>
      <c r="HG148" s="262"/>
      <c r="HH148" s="262"/>
      <c r="HI148" s="262"/>
      <c r="HJ148" s="262"/>
      <c r="HK148" s="262"/>
      <c r="HL148" s="262"/>
      <c r="HM148" s="262"/>
      <c r="HN148" s="262"/>
      <c r="HO148" s="262"/>
      <c r="HP148" s="262"/>
      <c r="HQ148" s="262"/>
      <c r="HR148" s="262"/>
      <c r="HS148" s="262"/>
      <c r="HT148" s="262"/>
      <c r="HU148" s="262"/>
      <c r="HV148" s="262"/>
      <c r="HW148" s="262"/>
      <c r="HX148" s="262"/>
      <c r="HY148" s="262"/>
      <c r="HZ148" s="262"/>
      <c r="IA148" s="262"/>
      <c r="IB148" s="262"/>
      <c r="IC148" s="262"/>
      <c r="ID148" s="262"/>
      <c r="IE148" s="262"/>
      <c r="IF148" s="262"/>
      <c r="IG148" s="262"/>
      <c r="IH148" s="262"/>
      <c r="II148" s="262"/>
      <c r="IJ148" s="262"/>
      <c r="IK148" s="262"/>
      <c r="IL148" s="262"/>
      <c r="IM148" s="262"/>
      <c r="IN148" s="262"/>
      <c r="IO148" s="262"/>
      <c r="IP148" s="262"/>
      <c r="IQ148" s="262"/>
      <c r="IR148" s="262"/>
      <c r="IS148" s="262"/>
      <c r="IT148" s="262"/>
      <c r="IU148" s="262"/>
    </row>
    <row r="149" ht="18" hidden="1" customHeight="1" spans="1:255">
      <c r="A149" s="267">
        <v>4101</v>
      </c>
      <c r="B149" s="268" t="s">
        <v>1528</v>
      </c>
      <c r="C149" s="225" t="s">
        <v>1380</v>
      </c>
      <c r="D149" s="230">
        <v>126935.77000129</v>
      </c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  <c r="AI149" s="262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62"/>
      <c r="BH149" s="262"/>
      <c r="BI149" s="262"/>
      <c r="BJ149" s="262"/>
      <c r="BK149" s="262"/>
      <c r="BL149" s="262"/>
      <c r="BM149" s="262"/>
      <c r="BN149" s="262"/>
      <c r="BO149" s="262"/>
      <c r="BP149" s="262"/>
      <c r="BQ149" s="262"/>
      <c r="BR149" s="262"/>
      <c r="BS149" s="262"/>
      <c r="BT149" s="262"/>
      <c r="BU149" s="262"/>
      <c r="BV149" s="262"/>
      <c r="BW149" s="262"/>
      <c r="BX149" s="262"/>
      <c r="BY149" s="262"/>
      <c r="BZ149" s="262"/>
      <c r="CA149" s="262"/>
      <c r="CB149" s="262"/>
      <c r="CC149" s="262"/>
      <c r="CD149" s="262"/>
      <c r="CE149" s="262"/>
      <c r="CF149" s="262"/>
      <c r="CG149" s="262"/>
      <c r="CH149" s="262"/>
      <c r="CI149" s="262"/>
      <c r="CJ149" s="262"/>
      <c r="CK149" s="262"/>
      <c r="CL149" s="262"/>
      <c r="CM149" s="262"/>
      <c r="CN149" s="262"/>
      <c r="CO149" s="262"/>
      <c r="CP149" s="262"/>
      <c r="CQ149" s="262"/>
      <c r="CR149" s="262"/>
      <c r="CS149" s="262"/>
      <c r="CT149" s="262"/>
      <c r="CU149" s="262"/>
      <c r="CV149" s="262"/>
      <c r="CW149" s="262"/>
      <c r="CX149" s="262"/>
      <c r="CY149" s="262"/>
      <c r="CZ149" s="262"/>
      <c r="DA149" s="262"/>
      <c r="DB149" s="262"/>
      <c r="DC149" s="262"/>
      <c r="DD149" s="262"/>
      <c r="DE149" s="262"/>
      <c r="DF149" s="262"/>
      <c r="DG149" s="262"/>
      <c r="DH149" s="262"/>
      <c r="DI149" s="262"/>
      <c r="DJ149" s="262"/>
      <c r="DK149" s="262"/>
      <c r="DL149" s="262"/>
      <c r="DM149" s="262"/>
      <c r="DN149" s="262"/>
      <c r="DO149" s="262"/>
      <c r="DP149" s="262"/>
      <c r="DQ149" s="262"/>
      <c r="DR149" s="262"/>
      <c r="DS149" s="262"/>
      <c r="DT149" s="262"/>
      <c r="DU149" s="262"/>
      <c r="DV149" s="262"/>
      <c r="DW149" s="262"/>
      <c r="DX149" s="262"/>
      <c r="DY149" s="262"/>
      <c r="DZ149" s="262"/>
      <c r="EA149" s="262"/>
      <c r="EB149" s="262"/>
      <c r="EC149" s="262"/>
      <c r="ED149" s="262"/>
      <c r="EE149" s="262"/>
      <c r="EF149" s="262"/>
      <c r="EG149" s="262"/>
      <c r="EH149" s="262"/>
      <c r="EI149" s="262"/>
      <c r="EJ149" s="262"/>
      <c r="EK149" s="262"/>
      <c r="EL149" s="262"/>
      <c r="EM149" s="262"/>
      <c r="EN149" s="262"/>
      <c r="EO149" s="262"/>
      <c r="EP149" s="262"/>
      <c r="EQ149" s="262"/>
      <c r="ER149" s="262"/>
      <c r="ES149" s="262"/>
      <c r="ET149" s="262"/>
      <c r="EU149" s="262"/>
      <c r="EV149" s="262"/>
      <c r="EW149" s="262"/>
      <c r="EX149" s="262"/>
      <c r="EY149" s="262"/>
      <c r="EZ149" s="262"/>
      <c r="FA149" s="262"/>
      <c r="FB149" s="262"/>
      <c r="FC149" s="262"/>
      <c r="FD149" s="262"/>
      <c r="FE149" s="262"/>
      <c r="FF149" s="262"/>
      <c r="FG149" s="262"/>
      <c r="FH149" s="262"/>
      <c r="FI149" s="262"/>
      <c r="FJ149" s="262"/>
      <c r="FK149" s="262"/>
      <c r="FL149" s="262"/>
      <c r="FM149" s="262"/>
      <c r="FN149" s="262"/>
      <c r="FO149" s="262"/>
      <c r="FP149" s="262"/>
      <c r="FQ149" s="262"/>
      <c r="FR149" s="262"/>
      <c r="FS149" s="262"/>
      <c r="FT149" s="262"/>
      <c r="FU149" s="262"/>
      <c r="FV149" s="262"/>
      <c r="FW149" s="262"/>
      <c r="FX149" s="262"/>
      <c r="FY149" s="262"/>
      <c r="FZ149" s="262"/>
      <c r="GA149" s="262"/>
      <c r="GB149" s="262"/>
      <c r="GC149" s="262"/>
      <c r="GD149" s="262"/>
      <c r="GE149" s="262"/>
      <c r="GF149" s="262"/>
      <c r="GG149" s="262"/>
      <c r="GH149" s="262"/>
      <c r="GI149" s="262"/>
      <c r="GJ149" s="262"/>
      <c r="GK149" s="262"/>
      <c r="GL149" s="262"/>
      <c r="GM149" s="262"/>
      <c r="GN149" s="262"/>
      <c r="GO149" s="262"/>
      <c r="GP149" s="262"/>
      <c r="GQ149" s="262"/>
      <c r="GR149" s="262"/>
      <c r="GS149" s="262"/>
      <c r="GT149" s="262"/>
      <c r="GU149" s="262"/>
      <c r="GV149" s="262"/>
      <c r="GW149" s="262"/>
      <c r="GX149" s="262"/>
      <c r="GY149" s="262"/>
      <c r="GZ149" s="262"/>
      <c r="HA149" s="262"/>
      <c r="HB149" s="262"/>
      <c r="HC149" s="262"/>
      <c r="HD149" s="262"/>
      <c r="HE149" s="262"/>
      <c r="HF149" s="262"/>
      <c r="HG149" s="262"/>
      <c r="HH149" s="262"/>
      <c r="HI149" s="262"/>
      <c r="HJ149" s="262"/>
      <c r="HK149" s="262"/>
      <c r="HL149" s="262"/>
      <c r="HM149" s="262"/>
      <c r="HN149" s="262"/>
      <c r="HO149" s="262"/>
      <c r="HP149" s="262"/>
      <c r="HQ149" s="262"/>
      <c r="HR149" s="262"/>
      <c r="HS149" s="262"/>
      <c r="HT149" s="262"/>
      <c r="HU149" s="262"/>
      <c r="HV149" s="262"/>
      <c r="HW149" s="262"/>
      <c r="HX149" s="262"/>
      <c r="HY149" s="262"/>
      <c r="HZ149" s="262"/>
      <c r="IA149" s="262"/>
      <c r="IB149" s="262"/>
      <c r="IC149" s="262"/>
      <c r="ID149" s="262"/>
      <c r="IE149" s="262"/>
      <c r="IF149" s="262"/>
      <c r="IG149" s="262"/>
      <c r="IH149" s="262"/>
      <c r="II149" s="262"/>
      <c r="IJ149" s="262"/>
      <c r="IK149" s="262"/>
      <c r="IL149" s="262"/>
      <c r="IM149" s="262"/>
      <c r="IN149" s="262"/>
      <c r="IO149" s="262"/>
      <c r="IP149" s="262"/>
      <c r="IQ149" s="262"/>
      <c r="IR149" s="262"/>
      <c r="IS149" s="262"/>
      <c r="IT149" s="262"/>
      <c r="IU149" s="262"/>
    </row>
    <row r="150" ht="18" hidden="1" customHeight="1" spans="1:255">
      <c r="A150" s="267">
        <v>4108</v>
      </c>
      <c r="B150" s="268" t="s">
        <v>1529</v>
      </c>
      <c r="C150" s="225" t="s">
        <v>1380</v>
      </c>
      <c r="D150" s="230">
        <v>81014.1332047134</v>
      </c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  <c r="AI150" s="262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62"/>
      <c r="BH150" s="262"/>
      <c r="BI150" s="262"/>
      <c r="BJ150" s="262"/>
      <c r="BK150" s="262"/>
      <c r="BL150" s="262"/>
      <c r="BM150" s="262"/>
      <c r="BN150" s="262"/>
      <c r="BO150" s="262"/>
      <c r="BP150" s="262"/>
      <c r="BQ150" s="262"/>
      <c r="BR150" s="262"/>
      <c r="BS150" s="262"/>
      <c r="BT150" s="262"/>
      <c r="BU150" s="262"/>
      <c r="BV150" s="262"/>
      <c r="BW150" s="262"/>
      <c r="BX150" s="262"/>
      <c r="BY150" s="262"/>
      <c r="BZ150" s="262"/>
      <c r="CA150" s="262"/>
      <c r="CB150" s="262"/>
      <c r="CC150" s="262"/>
      <c r="CD150" s="262"/>
      <c r="CE150" s="262"/>
      <c r="CF150" s="262"/>
      <c r="CG150" s="262"/>
      <c r="CH150" s="262"/>
      <c r="CI150" s="262"/>
      <c r="CJ150" s="262"/>
      <c r="CK150" s="262"/>
      <c r="CL150" s="262"/>
      <c r="CM150" s="262"/>
      <c r="CN150" s="262"/>
      <c r="CO150" s="262"/>
      <c r="CP150" s="262"/>
      <c r="CQ150" s="262"/>
      <c r="CR150" s="262"/>
      <c r="CS150" s="262"/>
      <c r="CT150" s="262"/>
      <c r="CU150" s="262"/>
      <c r="CV150" s="262"/>
      <c r="CW150" s="262"/>
      <c r="CX150" s="262"/>
      <c r="CY150" s="262"/>
      <c r="CZ150" s="262"/>
      <c r="DA150" s="262"/>
      <c r="DB150" s="262"/>
      <c r="DC150" s="262"/>
      <c r="DD150" s="262"/>
      <c r="DE150" s="262"/>
      <c r="DF150" s="262"/>
      <c r="DG150" s="262"/>
      <c r="DH150" s="262"/>
      <c r="DI150" s="262"/>
      <c r="DJ150" s="262"/>
      <c r="DK150" s="262"/>
      <c r="DL150" s="262"/>
      <c r="DM150" s="262"/>
      <c r="DN150" s="262"/>
      <c r="DO150" s="262"/>
      <c r="DP150" s="262"/>
      <c r="DQ150" s="262"/>
      <c r="DR150" s="262"/>
      <c r="DS150" s="262"/>
      <c r="DT150" s="262"/>
      <c r="DU150" s="262"/>
      <c r="DV150" s="262"/>
      <c r="DW150" s="262"/>
      <c r="DX150" s="262"/>
      <c r="DY150" s="262"/>
      <c r="DZ150" s="262"/>
      <c r="EA150" s="262"/>
      <c r="EB150" s="262"/>
      <c r="EC150" s="262"/>
      <c r="ED150" s="262"/>
      <c r="EE150" s="262"/>
      <c r="EF150" s="262"/>
      <c r="EG150" s="262"/>
      <c r="EH150" s="262"/>
      <c r="EI150" s="262"/>
      <c r="EJ150" s="262"/>
      <c r="EK150" s="262"/>
      <c r="EL150" s="262"/>
      <c r="EM150" s="262"/>
      <c r="EN150" s="262"/>
      <c r="EO150" s="262"/>
      <c r="EP150" s="262"/>
      <c r="EQ150" s="262"/>
      <c r="ER150" s="262"/>
      <c r="ES150" s="262"/>
      <c r="ET150" s="262"/>
      <c r="EU150" s="262"/>
      <c r="EV150" s="262"/>
      <c r="EW150" s="262"/>
      <c r="EX150" s="262"/>
      <c r="EY150" s="262"/>
      <c r="EZ150" s="262"/>
      <c r="FA150" s="262"/>
      <c r="FB150" s="262"/>
      <c r="FC150" s="262"/>
      <c r="FD150" s="262"/>
      <c r="FE150" s="262"/>
      <c r="FF150" s="262"/>
      <c r="FG150" s="262"/>
      <c r="FH150" s="262"/>
      <c r="FI150" s="262"/>
      <c r="FJ150" s="262"/>
      <c r="FK150" s="262"/>
      <c r="FL150" s="262"/>
      <c r="FM150" s="262"/>
      <c r="FN150" s="262"/>
      <c r="FO150" s="262"/>
      <c r="FP150" s="262"/>
      <c r="FQ150" s="262"/>
      <c r="FR150" s="262"/>
      <c r="FS150" s="262"/>
      <c r="FT150" s="262"/>
      <c r="FU150" s="262"/>
      <c r="FV150" s="262"/>
      <c r="FW150" s="262"/>
      <c r="FX150" s="262"/>
      <c r="FY150" s="262"/>
      <c r="FZ150" s="262"/>
      <c r="GA150" s="262"/>
      <c r="GB150" s="262"/>
      <c r="GC150" s="262"/>
      <c r="GD150" s="262"/>
      <c r="GE150" s="262"/>
      <c r="GF150" s="262"/>
      <c r="GG150" s="262"/>
      <c r="GH150" s="262"/>
      <c r="GI150" s="262"/>
      <c r="GJ150" s="262"/>
      <c r="GK150" s="262"/>
      <c r="GL150" s="262"/>
      <c r="GM150" s="262"/>
      <c r="GN150" s="262"/>
      <c r="GO150" s="262"/>
      <c r="GP150" s="262"/>
      <c r="GQ150" s="262"/>
      <c r="GR150" s="262"/>
      <c r="GS150" s="262"/>
      <c r="GT150" s="262"/>
      <c r="GU150" s="262"/>
      <c r="GV150" s="262"/>
      <c r="GW150" s="262"/>
      <c r="GX150" s="262"/>
      <c r="GY150" s="262"/>
      <c r="GZ150" s="262"/>
      <c r="HA150" s="262"/>
      <c r="HB150" s="262"/>
      <c r="HC150" s="262"/>
      <c r="HD150" s="262"/>
      <c r="HE150" s="262"/>
      <c r="HF150" s="262"/>
      <c r="HG150" s="262"/>
      <c r="HH150" s="262"/>
      <c r="HI150" s="262"/>
      <c r="HJ150" s="262"/>
      <c r="HK150" s="262"/>
      <c r="HL150" s="262"/>
      <c r="HM150" s="262"/>
      <c r="HN150" s="262"/>
      <c r="HO150" s="262"/>
      <c r="HP150" s="262"/>
      <c r="HQ150" s="262"/>
      <c r="HR150" s="262"/>
      <c r="HS150" s="262"/>
      <c r="HT150" s="262"/>
      <c r="HU150" s="262"/>
      <c r="HV150" s="262"/>
      <c r="HW150" s="262"/>
      <c r="HX150" s="262"/>
      <c r="HY150" s="262"/>
      <c r="HZ150" s="262"/>
      <c r="IA150" s="262"/>
      <c r="IB150" s="262"/>
      <c r="IC150" s="262"/>
      <c r="ID150" s="262"/>
      <c r="IE150" s="262"/>
      <c r="IF150" s="262"/>
      <c r="IG150" s="262"/>
      <c r="IH150" s="262"/>
      <c r="II150" s="262"/>
      <c r="IJ150" s="262"/>
      <c r="IK150" s="262"/>
      <c r="IL150" s="262"/>
      <c r="IM150" s="262"/>
      <c r="IN150" s="262"/>
      <c r="IO150" s="262"/>
      <c r="IP150" s="262"/>
      <c r="IQ150" s="262"/>
      <c r="IR150" s="262"/>
      <c r="IS150" s="262"/>
      <c r="IT150" s="262"/>
      <c r="IU150" s="262"/>
    </row>
    <row r="151" s="262" customFormat="1" ht="18" customHeight="1" spans="1:256">
      <c r="A151" s="267">
        <v>4124</v>
      </c>
      <c r="B151" s="268" t="s">
        <v>1530</v>
      </c>
      <c r="C151" s="225" t="s">
        <v>1380</v>
      </c>
      <c r="D151" s="230">
        <v>47916.5881575749</v>
      </c>
      <c r="IV151" s="263"/>
    </row>
    <row r="152" ht="18" customHeight="1" spans="1:255">
      <c r="A152" s="267">
        <v>4124</v>
      </c>
      <c r="B152" s="268" t="s">
        <v>1531</v>
      </c>
      <c r="C152" s="225" t="s">
        <v>1380</v>
      </c>
      <c r="D152" s="230">
        <v>52049.1058263676</v>
      </c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2"/>
      <c r="S152" s="262"/>
      <c r="T152" s="262"/>
      <c r="U152" s="262"/>
      <c r="V152" s="262"/>
      <c r="W152" s="262"/>
      <c r="X152" s="262"/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62"/>
      <c r="BH152" s="262"/>
      <c r="BI152" s="262"/>
      <c r="BJ152" s="262"/>
      <c r="BK152" s="262"/>
      <c r="BL152" s="262"/>
      <c r="BM152" s="262"/>
      <c r="BN152" s="262"/>
      <c r="BO152" s="262"/>
      <c r="BP152" s="262"/>
      <c r="BQ152" s="262"/>
      <c r="BR152" s="262"/>
      <c r="BS152" s="262"/>
      <c r="BT152" s="262"/>
      <c r="BU152" s="262"/>
      <c r="BV152" s="262"/>
      <c r="BW152" s="262"/>
      <c r="BX152" s="262"/>
      <c r="BY152" s="262"/>
      <c r="BZ152" s="262"/>
      <c r="CA152" s="262"/>
      <c r="CB152" s="262"/>
      <c r="CC152" s="262"/>
      <c r="CD152" s="262"/>
      <c r="CE152" s="262"/>
      <c r="CF152" s="262"/>
      <c r="CG152" s="262"/>
      <c r="CH152" s="262"/>
      <c r="CI152" s="262"/>
      <c r="CJ152" s="262"/>
      <c r="CK152" s="262"/>
      <c r="CL152" s="262"/>
      <c r="CM152" s="262"/>
      <c r="CN152" s="262"/>
      <c r="CO152" s="262"/>
      <c r="CP152" s="262"/>
      <c r="CQ152" s="262"/>
      <c r="CR152" s="262"/>
      <c r="CS152" s="262"/>
      <c r="CT152" s="262"/>
      <c r="CU152" s="262"/>
      <c r="CV152" s="262"/>
      <c r="CW152" s="262"/>
      <c r="CX152" s="262"/>
      <c r="CY152" s="262"/>
      <c r="CZ152" s="262"/>
      <c r="DA152" s="262"/>
      <c r="DB152" s="262"/>
      <c r="DC152" s="262"/>
      <c r="DD152" s="262"/>
      <c r="DE152" s="262"/>
      <c r="DF152" s="262"/>
      <c r="DG152" s="262"/>
      <c r="DH152" s="262"/>
      <c r="DI152" s="262"/>
      <c r="DJ152" s="262"/>
      <c r="DK152" s="262"/>
      <c r="DL152" s="262"/>
      <c r="DM152" s="262"/>
      <c r="DN152" s="262"/>
      <c r="DO152" s="262"/>
      <c r="DP152" s="262"/>
      <c r="DQ152" s="262"/>
      <c r="DR152" s="262"/>
      <c r="DS152" s="262"/>
      <c r="DT152" s="262"/>
      <c r="DU152" s="262"/>
      <c r="DV152" s="262"/>
      <c r="DW152" s="262"/>
      <c r="DX152" s="262"/>
      <c r="DY152" s="262"/>
      <c r="DZ152" s="262"/>
      <c r="EA152" s="262"/>
      <c r="EB152" s="262"/>
      <c r="EC152" s="262"/>
      <c r="ED152" s="262"/>
      <c r="EE152" s="262"/>
      <c r="EF152" s="262"/>
      <c r="EG152" s="262"/>
      <c r="EH152" s="262"/>
      <c r="EI152" s="262"/>
      <c r="EJ152" s="262"/>
      <c r="EK152" s="262"/>
      <c r="EL152" s="262"/>
      <c r="EM152" s="262"/>
      <c r="EN152" s="262"/>
      <c r="EO152" s="262"/>
      <c r="EP152" s="262"/>
      <c r="EQ152" s="262"/>
      <c r="ER152" s="262"/>
      <c r="ES152" s="262"/>
      <c r="ET152" s="262"/>
      <c r="EU152" s="262"/>
      <c r="EV152" s="262"/>
      <c r="EW152" s="262"/>
      <c r="EX152" s="262"/>
      <c r="EY152" s="262"/>
      <c r="EZ152" s="262"/>
      <c r="FA152" s="262"/>
      <c r="FB152" s="262"/>
      <c r="FC152" s="262"/>
      <c r="FD152" s="262"/>
      <c r="FE152" s="262"/>
      <c r="FF152" s="262"/>
      <c r="FG152" s="262"/>
      <c r="FH152" s="262"/>
      <c r="FI152" s="262"/>
      <c r="FJ152" s="262"/>
      <c r="FK152" s="262"/>
      <c r="FL152" s="262"/>
      <c r="FM152" s="262"/>
      <c r="FN152" s="262"/>
      <c r="FO152" s="262"/>
      <c r="FP152" s="262"/>
      <c r="FQ152" s="262"/>
      <c r="FR152" s="262"/>
      <c r="FS152" s="262"/>
      <c r="FT152" s="262"/>
      <c r="FU152" s="262"/>
      <c r="FV152" s="262"/>
      <c r="FW152" s="262"/>
      <c r="FX152" s="262"/>
      <c r="FY152" s="262"/>
      <c r="FZ152" s="262"/>
      <c r="GA152" s="262"/>
      <c r="GB152" s="262"/>
      <c r="GC152" s="262"/>
      <c r="GD152" s="262"/>
      <c r="GE152" s="262"/>
      <c r="GF152" s="262"/>
      <c r="GG152" s="262"/>
      <c r="GH152" s="262"/>
      <c r="GI152" s="262"/>
      <c r="GJ152" s="262"/>
      <c r="GK152" s="262"/>
      <c r="GL152" s="262"/>
      <c r="GM152" s="262"/>
      <c r="GN152" s="262"/>
      <c r="GO152" s="262"/>
      <c r="GP152" s="262"/>
      <c r="GQ152" s="262"/>
      <c r="GR152" s="262"/>
      <c r="GS152" s="262"/>
      <c r="GT152" s="262"/>
      <c r="GU152" s="262"/>
      <c r="GV152" s="262"/>
      <c r="GW152" s="262"/>
      <c r="GX152" s="262"/>
      <c r="GY152" s="262"/>
      <c r="GZ152" s="262"/>
      <c r="HA152" s="262"/>
      <c r="HB152" s="262"/>
      <c r="HC152" s="262"/>
      <c r="HD152" s="262"/>
      <c r="HE152" s="262"/>
      <c r="HF152" s="262"/>
      <c r="HG152" s="262"/>
      <c r="HH152" s="262"/>
      <c r="HI152" s="262"/>
      <c r="HJ152" s="262"/>
      <c r="HK152" s="262"/>
      <c r="HL152" s="262"/>
      <c r="HM152" s="262"/>
      <c r="HN152" s="262"/>
      <c r="HO152" s="262"/>
      <c r="HP152" s="262"/>
      <c r="HQ152" s="262"/>
      <c r="HR152" s="262"/>
      <c r="HS152" s="262"/>
      <c r="HT152" s="262"/>
      <c r="HU152" s="262"/>
      <c r="HV152" s="262"/>
      <c r="HW152" s="262"/>
      <c r="HX152" s="262"/>
      <c r="HY152" s="262"/>
      <c r="HZ152" s="262"/>
      <c r="IA152" s="262"/>
      <c r="IB152" s="262"/>
      <c r="IC152" s="262"/>
      <c r="ID152" s="262"/>
      <c r="IE152" s="262"/>
      <c r="IF152" s="262"/>
      <c r="IG152" s="262"/>
      <c r="IH152" s="262"/>
      <c r="II152" s="262"/>
      <c r="IJ152" s="262"/>
      <c r="IK152" s="262"/>
      <c r="IL152" s="262"/>
      <c r="IM152" s="262"/>
      <c r="IN152" s="262"/>
      <c r="IO152" s="262"/>
      <c r="IP152" s="262"/>
      <c r="IQ152" s="262"/>
      <c r="IR152" s="262"/>
      <c r="IS152" s="262"/>
      <c r="IT152" s="262"/>
      <c r="IU152" s="262"/>
    </row>
    <row r="153" ht="18" customHeight="1" spans="1:255">
      <c r="A153" s="267">
        <v>4130</v>
      </c>
      <c r="B153" s="268" t="s">
        <v>1532</v>
      </c>
      <c r="C153" s="225" t="s">
        <v>1380</v>
      </c>
      <c r="D153" s="230">
        <v>79468.1832357951</v>
      </c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  <c r="BR153" s="262"/>
      <c r="BS153" s="262"/>
      <c r="BT153" s="262"/>
      <c r="BU153" s="262"/>
      <c r="BV153" s="262"/>
      <c r="BW153" s="262"/>
      <c r="BX153" s="262"/>
      <c r="BY153" s="262"/>
      <c r="BZ153" s="262"/>
      <c r="CA153" s="262"/>
      <c r="CB153" s="262"/>
      <c r="CC153" s="262"/>
      <c r="CD153" s="262"/>
      <c r="CE153" s="262"/>
      <c r="CF153" s="262"/>
      <c r="CG153" s="262"/>
      <c r="CH153" s="262"/>
      <c r="CI153" s="262"/>
      <c r="CJ153" s="262"/>
      <c r="CK153" s="262"/>
      <c r="CL153" s="262"/>
      <c r="CM153" s="262"/>
      <c r="CN153" s="262"/>
      <c r="CO153" s="262"/>
      <c r="CP153" s="262"/>
      <c r="CQ153" s="262"/>
      <c r="CR153" s="262"/>
      <c r="CS153" s="262"/>
      <c r="CT153" s="262"/>
      <c r="CU153" s="262"/>
      <c r="CV153" s="262"/>
      <c r="CW153" s="262"/>
      <c r="CX153" s="262"/>
      <c r="CY153" s="262"/>
      <c r="CZ153" s="262"/>
      <c r="DA153" s="262"/>
      <c r="DB153" s="262"/>
      <c r="DC153" s="262"/>
      <c r="DD153" s="262"/>
      <c r="DE153" s="262"/>
      <c r="DF153" s="262"/>
      <c r="DG153" s="262"/>
      <c r="DH153" s="262"/>
      <c r="DI153" s="262"/>
      <c r="DJ153" s="262"/>
      <c r="DK153" s="262"/>
      <c r="DL153" s="262"/>
      <c r="DM153" s="262"/>
      <c r="DN153" s="262"/>
      <c r="DO153" s="262"/>
      <c r="DP153" s="262"/>
      <c r="DQ153" s="262"/>
      <c r="DR153" s="262"/>
      <c r="DS153" s="262"/>
      <c r="DT153" s="262"/>
      <c r="DU153" s="262"/>
      <c r="DV153" s="262"/>
      <c r="DW153" s="262"/>
      <c r="DX153" s="262"/>
      <c r="DY153" s="262"/>
      <c r="DZ153" s="262"/>
      <c r="EA153" s="262"/>
      <c r="EB153" s="262"/>
      <c r="EC153" s="262"/>
      <c r="ED153" s="262"/>
      <c r="EE153" s="262"/>
      <c r="EF153" s="262"/>
      <c r="EG153" s="262"/>
      <c r="EH153" s="262"/>
      <c r="EI153" s="262"/>
      <c r="EJ153" s="262"/>
      <c r="EK153" s="262"/>
      <c r="EL153" s="262"/>
      <c r="EM153" s="262"/>
      <c r="EN153" s="262"/>
      <c r="EO153" s="262"/>
      <c r="EP153" s="262"/>
      <c r="EQ153" s="262"/>
      <c r="ER153" s="262"/>
      <c r="ES153" s="262"/>
      <c r="ET153" s="262"/>
      <c r="EU153" s="262"/>
      <c r="EV153" s="262"/>
      <c r="EW153" s="262"/>
      <c r="EX153" s="262"/>
      <c r="EY153" s="262"/>
      <c r="EZ153" s="262"/>
      <c r="FA153" s="262"/>
      <c r="FB153" s="262"/>
      <c r="FC153" s="262"/>
      <c r="FD153" s="262"/>
      <c r="FE153" s="262"/>
      <c r="FF153" s="262"/>
      <c r="FG153" s="262"/>
      <c r="FH153" s="262"/>
      <c r="FI153" s="262"/>
      <c r="FJ153" s="262"/>
      <c r="FK153" s="262"/>
      <c r="FL153" s="262"/>
      <c r="FM153" s="262"/>
      <c r="FN153" s="262"/>
      <c r="FO153" s="262"/>
      <c r="FP153" s="262"/>
      <c r="FQ153" s="262"/>
      <c r="FR153" s="262"/>
      <c r="FS153" s="262"/>
      <c r="FT153" s="262"/>
      <c r="FU153" s="262"/>
      <c r="FV153" s="262"/>
      <c r="FW153" s="262"/>
      <c r="FX153" s="262"/>
      <c r="FY153" s="262"/>
      <c r="FZ153" s="262"/>
      <c r="GA153" s="262"/>
      <c r="GB153" s="262"/>
      <c r="GC153" s="262"/>
      <c r="GD153" s="262"/>
      <c r="GE153" s="262"/>
      <c r="GF153" s="262"/>
      <c r="GG153" s="262"/>
      <c r="GH153" s="262"/>
      <c r="GI153" s="262"/>
      <c r="GJ153" s="262"/>
      <c r="GK153" s="262"/>
      <c r="GL153" s="262"/>
      <c r="GM153" s="262"/>
      <c r="GN153" s="262"/>
      <c r="GO153" s="262"/>
      <c r="GP153" s="262"/>
      <c r="GQ153" s="262"/>
      <c r="GR153" s="262"/>
      <c r="GS153" s="262"/>
      <c r="GT153" s="262"/>
      <c r="GU153" s="262"/>
      <c r="GV153" s="262"/>
      <c r="GW153" s="262"/>
      <c r="GX153" s="262"/>
      <c r="GY153" s="262"/>
      <c r="GZ153" s="262"/>
      <c r="HA153" s="262"/>
      <c r="HB153" s="262"/>
      <c r="HC153" s="262"/>
      <c r="HD153" s="262"/>
      <c r="HE153" s="262"/>
      <c r="HF153" s="262"/>
      <c r="HG153" s="262"/>
      <c r="HH153" s="262"/>
      <c r="HI153" s="262"/>
      <c r="HJ153" s="262"/>
      <c r="HK153" s="262"/>
      <c r="HL153" s="262"/>
      <c r="HM153" s="262"/>
      <c r="HN153" s="262"/>
      <c r="HO153" s="262"/>
      <c r="HP153" s="262"/>
      <c r="HQ153" s="262"/>
      <c r="HR153" s="262"/>
      <c r="HS153" s="262"/>
      <c r="HT153" s="262"/>
      <c r="HU153" s="262"/>
      <c r="HV153" s="262"/>
      <c r="HW153" s="262"/>
      <c r="HX153" s="262"/>
      <c r="HY153" s="262"/>
      <c r="HZ153" s="262"/>
      <c r="IA153" s="262"/>
      <c r="IB153" s="262"/>
      <c r="IC153" s="262"/>
      <c r="ID153" s="262"/>
      <c r="IE153" s="262"/>
      <c r="IF153" s="262"/>
      <c r="IG153" s="262"/>
      <c r="IH153" s="262"/>
      <c r="II153" s="262"/>
      <c r="IJ153" s="262"/>
      <c r="IK153" s="262"/>
      <c r="IL153" s="262"/>
      <c r="IM153" s="262"/>
      <c r="IN153" s="262"/>
      <c r="IO153" s="262"/>
      <c r="IP153" s="262"/>
      <c r="IQ153" s="262"/>
      <c r="IR153" s="262"/>
      <c r="IS153" s="262"/>
      <c r="IT153" s="262"/>
      <c r="IU153" s="262"/>
    </row>
    <row r="154" ht="18" customHeight="1" spans="1:255">
      <c r="A154" s="267">
        <v>4131</v>
      </c>
      <c r="B154" s="268" t="s">
        <v>1533</v>
      </c>
      <c r="C154" s="225" t="s">
        <v>1380</v>
      </c>
      <c r="D154" s="230">
        <v>77671.6906996882</v>
      </c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2"/>
      <c r="S154" s="262"/>
      <c r="T154" s="262"/>
      <c r="U154" s="262"/>
      <c r="V154" s="262"/>
      <c r="W154" s="262"/>
      <c r="X154" s="262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62"/>
      <c r="BH154" s="262"/>
      <c r="BI154" s="262"/>
      <c r="BJ154" s="262"/>
      <c r="BK154" s="262"/>
      <c r="BL154" s="262"/>
      <c r="BM154" s="262"/>
      <c r="BN154" s="262"/>
      <c r="BO154" s="262"/>
      <c r="BP154" s="262"/>
      <c r="BQ154" s="262"/>
      <c r="BR154" s="262"/>
      <c r="BS154" s="262"/>
      <c r="BT154" s="262"/>
      <c r="BU154" s="262"/>
      <c r="BV154" s="262"/>
      <c r="BW154" s="262"/>
      <c r="BX154" s="262"/>
      <c r="BY154" s="262"/>
      <c r="BZ154" s="262"/>
      <c r="CA154" s="262"/>
      <c r="CB154" s="262"/>
      <c r="CC154" s="262"/>
      <c r="CD154" s="262"/>
      <c r="CE154" s="262"/>
      <c r="CF154" s="262"/>
      <c r="CG154" s="262"/>
      <c r="CH154" s="262"/>
      <c r="CI154" s="262"/>
      <c r="CJ154" s="262"/>
      <c r="CK154" s="262"/>
      <c r="CL154" s="262"/>
      <c r="CM154" s="262"/>
      <c r="CN154" s="262"/>
      <c r="CO154" s="262"/>
      <c r="CP154" s="262"/>
      <c r="CQ154" s="262"/>
      <c r="CR154" s="262"/>
      <c r="CS154" s="262"/>
      <c r="CT154" s="262"/>
      <c r="CU154" s="262"/>
      <c r="CV154" s="262"/>
      <c r="CW154" s="262"/>
      <c r="CX154" s="262"/>
      <c r="CY154" s="262"/>
      <c r="CZ154" s="262"/>
      <c r="DA154" s="262"/>
      <c r="DB154" s="262"/>
      <c r="DC154" s="262"/>
      <c r="DD154" s="262"/>
      <c r="DE154" s="262"/>
      <c r="DF154" s="262"/>
      <c r="DG154" s="262"/>
      <c r="DH154" s="262"/>
      <c r="DI154" s="262"/>
      <c r="DJ154" s="262"/>
      <c r="DK154" s="262"/>
      <c r="DL154" s="262"/>
      <c r="DM154" s="262"/>
      <c r="DN154" s="262"/>
      <c r="DO154" s="262"/>
      <c r="DP154" s="262"/>
      <c r="DQ154" s="262"/>
      <c r="DR154" s="262"/>
      <c r="DS154" s="262"/>
      <c r="DT154" s="262"/>
      <c r="DU154" s="262"/>
      <c r="DV154" s="262"/>
      <c r="DW154" s="262"/>
      <c r="DX154" s="262"/>
      <c r="DY154" s="262"/>
      <c r="DZ154" s="262"/>
      <c r="EA154" s="262"/>
      <c r="EB154" s="262"/>
      <c r="EC154" s="262"/>
      <c r="ED154" s="262"/>
      <c r="EE154" s="262"/>
      <c r="EF154" s="262"/>
      <c r="EG154" s="262"/>
      <c r="EH154" s="262"/>
      <c r="EI154" s="262"/>
      <c r="EJ154" s="262"/>
      <c r="EK154" s="262"/>
      <c r="EL154" s="262"/>
      <c r="EM154" s="262"/>
      <c r="EN154" s="262"/>
      <c r="EO154" s="262"/>
      <c r="EP154" s="262"/>
      <c r="EQ154" s="262"/>
      <c r="ER154" s="262"/>
      <c r="ES154" s="262"/>
      <c r="ET154" s="262"/>
      <c r="EU154" s="262"/>
      <c r="EV154" s="262"/>
      <c r="EW154" s="262"/>
      <c r="EX154" s="262"/>
      <c r="EY154" s="262"/>
      <c r="EZ154" s="262"/>
      <c r="FA154" s="262"/>
      <c r="FB154" s="262"/>
      <c r="FC154" s="262"/>
      <c r="FD154" s="262"/>
      <c r="FE154" s="262"/>
      <c r="FF154" s="262"/>
      <c r="FG154" s="262"/>
      <c r="FH154" s="262"/>
      <c r="FI154" s="262"/>
      <c r="FJ154" s="262"/>
      <c r="FK154" s="262"/>
      <c r="FL154" s="262"/>
      <c r="FM154" s="262"/>
      <c r="FN154" s="262"/>
      <c r="FO154" s="262"/>
      <c r="FP154" s="262"/>
      <c r="FQ154" s="262"/>
      <c r="FR154" s="262"/>
      <c r="FS154" s="262"/>
      <c r="FT154" s="262"/>
      <c r="FU154" s="262"/>
      <c r="FV154" s="262"/>
      <c r="FW154" s="262"/>
      <c r="FX154" s="262"/>
      <c r="FY154" s="262"/>
      <c r="FZ154" s="262"/>
      <c r="GA154" s="262"/>
      <c r="GB154" s="262"/>
      <c r="GC154" s="262"/>
      <c r="GD154" s="262"/>
      <c r="GE154" s="262"/>
      <c r="GF154" s="262"/>
      <c r="GG154" s="262"/>
      <c r="GH154" s="262"/>
      <c r="GI154" s="262"/>
      <c r="GJ154" s="262"/>
      <c r="GK154" s="262"/>
      <c r="GL154" s="262"/>
      <c r="GM154" s="262"/>
      <c r="GN154" s="262"/>
      <c r="GO154" s="262"/>
      <c r="GP154" s="262"/>
      <c r="GQ154" s="262"/>
      <c r="GR154" s="262"/>
      <c r="GS154" s="262"/>
      <c r="GT154" s="262"/>
      <c r="GU154" s="262"/>
      <c r="GV154" s="262"/>
      <c r="GW154" s="262"/>
      <c r="GX154" s="262"/>
      <c r="GY154" s="262"/>
      <c r="GZ154" s="262"/>
      <c r="HA154" s="262"/>
      <c r="HB154" s="262"/>
      <c r="HC154" s="262"/>
      <c r="HD154" s="262"/>
      <c r="HE154" s="262"/>
      <c r="HF154" s="262"/>
      <c r="HG154" s="262"/>
      <c r="HH154" s="262"/>
      <c r="HI154" s="262"/>
      <c r="HJ154" s="262"/>
      <c r="HK154" s="262"/>
      <c r="HL154" s="262"/>
      <c r="HM154" s="262"/>
      <c r="HN154" s="262"/>
      <c r="HO154" s="262"/>
      <c r="HP154" s="262"/>
      <c r="HQ154" s="262"/>
      <c r="HR154" s="262"/>
      <c r="HS154" s="262"/>
      <c r="HT154" s="262"/>
      <c r="HU154" s="262"/>
      <c r="HV154" s="262"/>
      <c r="HW154" s="262"/>
      <c r="HX154" s="262"/>
      <c r="HY154" s="262"/>
      <c r="HZ154" s="262"/>
      <c r="IA154" s="262"/>
      <c r="IB154" s="262"/>
      <c r="IC154" s="262"/>
      <c r="ID154" s="262"/>
      <c r="IE154" s="262"/>
      <c r="IF154" s="262"/>
      <c r="IG154" s="262"/>
      <c r="IH154" s="262"/>
      <c r="II154" s="262"/>
      <c r="IJ154" s="262"/>
      <c r="IK154" s="262"/>
      <c r="IL154" s="262"/>
      <c r="IM154" s="262"/>
      <c r="IN154" s="262"/>
      <c r="IO154" s="262"/>
      <c r="IP154" s="262"/>
      <c r="IQ154" s="262"/>
      <c r="IR154" s="262"/>
      <c r="IS154" s="262"/>
      <c r="IT154" s="262"/>
      <c r="IU154" s="262"/>
    </row>
    <row r="155" ht="18" hidden="1" customHeight="1" spans="1:255">
      <c r="A155" s="267">
        <v>4132</v>
      </c>
      <c r="B155" s="268" t="s">
        <v>1534</v>
      </c>
      <c r="C155" s="225" t="s">
        <v>1380</v>
      </c>
      <c r="D155" s="230">
        <v>105740.071605943</v>
      </c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2"/>
      <c r="S155" s="262"/>
      <c r="T155" s="262"/>
      <c r="U155" s="262"/>
      <c r="V155" s="262"/>
      <c r="W155" s="262"/>
      <c r="X155" s="262"/>
      <c r="Y155" s="262"/>
      <c r="Z155" s="262"/>
      <c r="AA155" s="262"/>
      <c r="AB155" s="262"/>
      <c r="AC155" s="262"/>
      <c r="AD155" s="262"/>
      <c r="AE155" s="262"/>
      <c r="AF155" s="262"/>
      <c r="AG155" s="262"/>
      <c r="AH155" s="262"/>
      <c r="AI155" s="262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62"/>
      <c r="BH155" s="262"/>
      <c r="BI155" s="262"/>
      <c r="BJ155" s="262"/>
      <c r="BK155" s="262"/>
      <c r="BL155" s="262"/>
      <c r="BM155" s="262"/>
      <c r="BN155" s="262"/>
      <c r="BO155" s="262"/>
      <c r="BP155" s="262"/>
      <c r="BQ155" s="262"/>
      <c r="BR155" s="262"/>
      <c r="BS155" s="262"/>
      <c r="BT155" s="262"/>
      <c r="BU155" s="262"/>
      <c r="BV155" s="262"/>
      <c r="BW155" s="262"/>
      <c r="BX155" s="262"/>
      <c r="BY155" s="262"/>
      <c r="BZ155" s="262"/>
      <c r="CA155" s="262"/>
      <c r="CB155" s="262"/>
      <c r="CC155" s="262"/>
      <c r="CD155" s="262"/>
      <c r="CE155" s="262"/>
      <c r="CF155" s="262"/>
      <c r="CG155" s="262"/>
      <c r="CH155" s="262"/>
      <c r="CI155" s="262"/>
      <c r="CJ155" s="262"/>
      <c r="CK155" s="262"/>
      <c r="CL155" s="262"/>
      <c r="CM155" s="262"/>
      <c r="CN155" s="262"/>
      <c r="CO155" s="262"/>
      <c r="CP155" s="262"/>
      <c r="CQ155" s="262"/>
      <c r="CR155" s="262"/>
      <c r="CS155" s="262"/>
      <c r="CT155" s="262"/>
      <c r="CU155" s="262"/>
      <c r="CV155" s="262"/>
      <c r="CW155" s="262"/>
      <c r="CX155" s="262"/>
      <c r="CY155" s="262"/>
      <c r="CZ155" s="262"/>
      <c r="DA155" s="262"/>
      <c r="DB155" s="262"/>
      <c r="DC155" s="262"/>
      <c r="DD155" s="262"/>
      <c r="DE155" s="262"/>
      <c r="DF155" s="262"/>
      <c r="DG155" s="262"/>
      <c r="DH155" s="262"/>
      <c r="DI155" s="262"/>
      <c r="DJ155" s="262"/>
      <c r="DK155" s="262"/>
      <c r="DL155" s="262"/>
      <c r="DM155" s="262"/>
      <c r="DN155" s="262"/>
      <c r="DO155" s="262"/>
      <c r="DP155" s="262"/>
      <c r="DQ155" s="262"/>
      <c r="DR155" s="262"/>
      <c r="DS155" s="262"/>
      <c r="DT155" s="262"/>
      <c r="DU155" s="262"/>
      <c r="DV155" s="262"/>
      <c r="DW155" s="262"/>
      <c r="DX155" s="262"/>
      <c r="DY155" s="262"/>
      <c r="DZ155" s="262"/>
      <c r="EA155" s="262"/>
      <c r="EB155" s="262"/>
      <c r="EC155" s="262"/>
      <c r="ED155" s="262"/>
      <c r="EE155" s="262"/>
      <c r="EF155" s="262"/>
      <c r="EG155" s="262"/>
      <c r="EH155" s="262"/>
      <c r="EI155" s="262"/>
      <c r="EJ155" s="262"/>
      <c r="EK155" s="262"/>
      <c r="EL155" s="262"/>
      <c r="EM155" s="262"/>
      <c r="EN155" s="262"/>
      <c r="EO155" s="262"/>
      <c r="EP155" s="262"/>
      <c r="EQ155" s="262"/>
      <c r="ER155" s="262"/>
      <c r="ES155" s="262"/>
      <c r="ET155" s="262"/>
      <c r="EU155" s="262"/>
      <c r="EV155" s="262"/>
      <c r="EW155" s="262"/>
      <c r="EX155" s="262"/>
      <c r="EY155" s="262"/>
      <c r="EZ155" s="262"/>
      <c r="FA155" s="262"/>
      <c r="FB155" s="262"/>
      <c r="FC155" s="262"/>
      <c r="FD155" s="262"/>
      <c r="FE155" s="262"/>
      <c r="FF155" s="262"/>
      <c r="FG155" s="262"/>
      <c r="FH155" s="262"/>
      <c r="FI155" s="262"/>
      <c r="FJ155" s="262"/>
      <c r="FK155" s="262"/>
      <c r="FL155" s="262"/>
      <c r="FM155" s="262"/>
      <c r="FN155" s="262"/>
      <c r="FO155" s="262"/>
      <c r="FP155" s="262"/>
      <c r="FQ155" s="262"/>
      <c r="FR155" s="262"/>
      <c r="FS155" s="262"/>
      <c r="FT155" s="262"/>
      <c r="FU155" s="262"/>
      <c r="FV155" s="262"/>
      <c r="FW155" s="262"/>
      <c r="FX155" s="262"/>
      <c r="FY155" s="262"/>
      <c r="FZ155" s="262"/>
      <c r="GA155" s="262"/>
      <c r="GB155" s="262"/>
      <c r="GC155" s="262"/>
      <c r="GD155" s="262"/>
      <c r="GE155" s="262"/>
      <c r="GF155" s="262"/>
      <c r="GG155" s="262"/>
      <c r="GH155" s="262"/>
      <c r="GI155" s="262"/>
      <c r="GJ155" s="262"/>
      <c r="GK155" s="262"/>
      <c r="GL155" s="262"/>
      <c r="GM155" s="262"/>
      <c r="GN155" s="262"/>
      <c r="GO155" s="262"/>
      <c r="GP155" s="262"/>
      <c r="GQ155" s="262"/>
      <c r="GR155" s="262"/>
      <c r="GS155" s="262"/>
      <c r="GT155" s="262"/>
      <c r="GU155" s="262"/>
      <c r="GV155" s="262"/>
      <c r="GW155" s="262"/>
      <c r="GX155" s="262"/>
      <c r="GY155" s="262"/>
      <c r="GZ155" s="262"/>
      <c r="HA155" s="262"/>
      <c r="HB155" s="262"/>
      <c r="HC155" s="262"/>
      <c r="HD155" s="262"/>
      <c r="HE155" s="262"/>
      <c r="HF155" s="262"/>
      <c r="HG155" s="262"/>
      <c r="HH155" s="262"/>
      <c r="HI155" s="262"/>
      <c r="HJ155" s="262"/>
      <c r="HK155" s="262"/>
      <c r="HL155" s="262"/>
      <c r="HM155" s="262"/>
      <c r="HN155" s="262"/>
      <c r="HO155" s="262"/>
      <c r="HP155" s="262"/>
      <c r="HQ155" s="262"/>
      <c r="HR155" s="262"/>
      <c r="HS155" s="262"/>
      <c r="HT155" s="262"/>
      <c r="HU155" s="262"/>
      <c r="HV155" s="262"/>
      <c r="HW155" s="262"/>
      <c r="HX155" s="262"/>
      <c r="HY155" s="262"/>
      <c r="HZ155" s="262"/>
      <c r="IA155" s="262"/>
      <c r="IB155" s="262"/>
      <c r="IC155" s="262"/>
      <c r="ID155" s="262"/>
      <c r="IE155" s="262"/>
      <c r="IF155" s="262"/>
      <c r="IG155" s="262"/>
      <c r="IH155" s="262"/>
      <c r="II155" s="262"/>
      <c r="IJ155" s="262"/>
      <c r="IK155" s="262"/>
      <c r="IL155" s="262"/>
      <c r="IM155" s="262"/>
      <c r="IN155" s="262"/>
      <c r="IO155" s="262"/>
      <c r="IP155" s="262"/>
      <c r="IQ155" s="262"/>
      <c r="IR155" s="262"/>
      <c r="IS155" s="262"/>
      <c r="IT155" s="262"/>
      <c r="IU155" s="262"/>
    </row>
    <row r="156" ht="18" customHeight="1" spans="1:255">
      <c r="A156" s="267">
        <v>4133</v>
      </c>
      <c r="B156" s="268" t="s">
        <v>1535</v>
      </c>
      <c r="C156" s="225" t="s">
        <v>1380</v>
      </c>
      <c r="D156" s="230">
        <v>112244.621324774</v>
      </c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2"/>
      <c r="S156" s="262"/>
      <c r="T156" s="262"/>
      <c r="U156" s="262"/>
      <c r="V156" s="262"/>
      <c r="W156" s="262"/>
      <c r="X156" s="262"/>
      <c r="Y156" s="262"/>
      <c r="Z156" s="262"/>
      <c r="AA156" s="262"/>
      <c r="AB156" s="262"/>
      <c r="AC156" s="262"/>
      <c r="AD156" s="262"/>
      <c r="AE156" s="262"/>
      <c r="AF156" s="262"/>
      <c r="AG156" s="262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62"/>
      <c r="BH156" s="262"/>
      <c r="BI156" s="262"/>
      <c r="BJ156" s="262"/>
      <c r="BK156" s="262"/>
      <c r="BL156" s="262"/>
      <c r="BM156" s="262"/>
      <c r="BN156" s="262"/>
      <c r="BO156" s="262"/>
      <c r="BP156" s="262"/>
      <c r="BQ156" s="262"/>
      <c r="BR156" s="262"/>
      <c r="BS156" s="262"/>
      <c r="BT156" s="262"/>
      <c r="BU156" s="262"/>
      <c r="BV156" s="262"/>
      <c r="BW156" s="262"/>
      <c r="BX156" s="262"/>
      <c r="BY156" s="262"/>
      <c r="BZ156" s="262"/>
      <c r="CA156" s="262"/>
      <c r="CB156" s="262"/>
      <c r="CC156" s="262"/>
      <c r="CD156" s="262"/>
      <c r="CE156" s="262"/>
      <c r="CF156" s="262"/>
      <c r="CG156" s="262"/>
      <c r="CH156" s="262"/>
      <c r="CI156" s="262"/>
      <c r="CJ156" s="262"/>
      <c r="CK156" s="262"/>
      <c r="CL156" s="262"/>
      <c r="CM156" s="262"/>
      <c r="CN156" s="262"/>
      <c r="CO156" s="262"/>
      <c r="CP156" s="262"/>
      <c r="CQ156" s="262"/>
      <c r="CR156" s="262"/>
      <c r="CS156" s="262"/>
      <c r="CT156" s="262"/>
      <c r="CU156" s="262"/>
      <c r="CV156" s="262"/>
      <c r="CW156" s="262"/>
      <c r="CX156" s="262"/>
      <c r="CY156" s="262"/>
      <c r="CZ156" s="262"/>
      <c r="DA156" s="262"/>
      <c r="DB156" s="262"/>
      <c r="DC156" s="262"/>
      <c r="DD156" s="262"/>
      <c r="DE156" s="262"/>
      <c r="DF156" s="262"/>
      <c r="DG156" s="262"/>
      <c r="DH156" s="262"/>
      <c r="DI156" s="262"/>
      <c r="DJ156" s="262"/>
      <c r="DK156" s="262"/>
      <c r="DL156" s="262"/>
      <c r="DM156" s="262"/>
      <c r="DN156" s="262"/>
      <c r="DO156" s="262"/>
      <c r="DP156" s="262"/>
      <c r="DQ156" s="262"/>
      <c r="DR156" s="262"/>
      <c r="DS156" s="262"/>
      <c r="DT156" s="262"/>
      <c r="DU156" s="262"/>
      <c r="DV156" s="262"/>
      <c r="DW156" s="262"/>
      <c r="DX156" s="262"/>
      <c r="DY156" s="262"/>
      <c r="DZ156" s="262"/>
      <c r="EA156" s="262"/>
      <c r="EB156" s="262"/>
      <c r="EC156" s="262"/>
      <c r="ED156" s="262"/>
      <c r="EE156" s="262"/>
      <c r="EF156" s="262"/>
      <c r="EG156" s="262"/>
      <c r="EH156" s="262"/>
      <c r="EI156" s="262"/>
      <c r="EJ156" s="262"/>
      <c r="EK156" s="262"/>
      <c r="EL156" s="262"/>
      <c r="EM156" s="262"/>
      <c r="EN156" s="262"/>
      <c r="EO156" s="262"/>
      <c r="EP156" s="262"/>
      <c r="EQ156" s="262"/>
      <c r="ER156" s="262"/>
      <c r="ES156" s="262"/>
      <c r="ET156" s="262"/>
      <c r="EU156" s="262"/>
      <c r="EV156" s="262"/>
      <c r="EW156" s="262"/>
      <c r="EX156" s="262"/>
      <c r="EY156" s="262"/>
      <c r="EZ156" s="262"/>
      <c r="FA156" s="262"/>
      <c r="FB156" s="262"/>
      <c r="FC156" s="262"/>
      <c r="FD156" s="262"/>
      <c r="FE156" s="262"/>
      <c r="FF156" s="262"/>
      <c r="FG156" s="262"/>
      <c r="FH156" s="262"/>
      <c r="FI156" s="262"/>
      <c r="FJ156" s="262"/>
      <c r="FK156" s="262"/>
      <c r="FL156" s="262"/>
      <c r="FM156" s="262"/>
      <c r="FN156" s="262"/>
      <c r="FO156" s="262"/>
      <c r="FP156" s="262"/>
      <c r="FQ156" s="262"/>
      <c r="FR156" s="262"/>
      <c r="FS156" s="262"/>
      <c r="FT156" s="262"/>
      <c r="FU156" s="262"/>
      <c r="FV156" s="262"/>
      <c r="FW156" s="262"/>
      <c r="FX156" s="262"/>
      <c r="FY156" s="262"/>
      <c r="FZ156" s="262"/>
      <c r="GA156" s="262"/>
      <c r="GB156" s="262"/>
      <c r="GC156" s="262"/>
      <c r="GD156" s="262"/>
      <c r="GE156" s="262"/>
      <c r="GF156" s="262"/>
      <c r="GG156" s="262"/>
      <c r="GH156" s="262"/>
      <c r="GI156" s="262"/>
      <c r="GJ156" s="262"/>
      <c r="GK156" s="262"/>
      <c r="GL156" s="262"/>
      <c r="GM156" s="262"/>
      <c r="GN156" s="262"/>
      <c r="GO156" s="262"/>
      <c r="GP156" s="262"/>
      <c r="GQ156" s="262"/>
      <c r="GR156" s="262"/>
      <c r="GS156" s="262"/>
      <c r="GT156" s="262"/>
      <c r="GU156" s="262"/>
      <c r="GV156" s="262"/>
      <c r="GW156" s="262"/>
      <c r="GX156" s="262"/>
      <c r="GY156" s="262"/>
      <c r="GZ156" s="262"/>
      <c r="HA156" s="262"/>
      <c r="HB156" s="262"/>
      <c r="HC156" s="262"/>
      <c r="HD156" s="262"/>
      <c r="HE156" s="262"/>
      <c r="HF156" s="262"/>
      <c r="HG156" s="262"/>
      <c r="HH156" s="262"/>
      <c r="HI156" s="262"/>
      <c r="HJ156" s="262"/>
      <c r="HK156" s="262"/>
      <c r="HL156" s="262"/>
      <c r="HM156" s="262"/>
      <c r="HN156" s="262"/>
      <c r="HO156" s="262"/>
      <c r="HP156" s="262"/>
      <c r="HQ156" s="262"/>
      <c r="HR156" s="262"/>
      <c r="HS156" s="262"/>
      <c r="HT156" s="262"/>
      <c r="HU156" s="262"/>
      <c r="HV156" s="262"/>
      <c r="HW156" s="262"/>
      <c r="HX156" s="262"/>
      <c r="HY156" s="262"/>
      <c r="HZ156" s="262"/>
      <c r="IA156" s="262"/>
      <c r="IB156" s="262"/>
      <c r="IC156" s="262"/>
      <c r="ID156" s="262"/>
      <c r="IE156" s="262"/>
      <c r="IF156" s="262"/>
      <c r="IG156" s="262"/>
      <c r="IH156" s="262"/>
      <c r="II156" s="262"/>
      <c r="IJ156" s="262"/>
      <c r="IK156" s="262"/>
      <c r="IL156" s="262"/>
      <c r="IM156" s="262"/>
      <c r="IN156" s="262"/>
      <c r="IO156" s="262"/>
      <c r="IP156" s="262"/>
      <c r="IQ156" s="262"/>
      <c r="IR156" s="262"/>
      <c r="IS156" s="262"/>
      <c r="IT156" s="262"/>
      <c r="IU156" s="262"/>
    </row>
    <row r="157" s="262" customFormat="1" ht="18" customHeight="1" spans="1:256">
      <c r="A157" s="267">
        <v>4134</v>
      </c>
      <c r="B157" s="268" t="s">
        <v>1536</v>
      </c>
      <c r="C157" s="225" t="s">
        <v>1380</v>
      </c>
      <c r="D157" s="230">
        <v>54262.6586559521</v>
      </c>
      <c r="IV157" s="263"/>
    </row>
    <row r="158" ht="18" customHeight="1" spans="1:255">
      <c r="A158" s="267">
        <v>4138</v>
      </c>
      <c r="B158" s="268" t="s">
        <v>1537</v>
      </c>
      <c r="C158" s="225" t="s">
        <v>1380</v>
      </c>
      <c r="D158" s="230">
        <v>54336.4502825349</v>
      </c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2"/>
      <c r="S158" s="262"/>
      <c r="T158" s="262"/>
      <c r="U158" s="262"/>
      <c r="V158" s="262"/>
      <c r="W158" s="262"/>
      <c r="X158" s="262"/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62"/>
      <c r="BH158" s="262"/>
      <c r="BI158" s="262"/>
      <c r="BJ158" s="262"/>
      <c r="BK158" s="262"/>
      <c r="BL158" s="262"/>
      <c r="BM158" s="262"/>
      <c r="BN158" s="262"/>
      <c r="BO158" s="262"/>
      <c r="BP158" s="262"/>
      <c r="BQ158" s="262"/>
      <c r="BR158" s="262"/>
      <c r="BS158" s="262"/>
      <c r="BT158" s="262"/>
      <c r="BU158" s="262"/>
      <c r="BV158" s="262"/>
      <c r="BW158" s="262"/>
      <c r="BX158" s="262"/>
      <c r="BY158" s="262"/>
      <c r="BZ158" s="262"/>
      <c r="CA158" s="262"/>
      <c r="CB158" s="262"/>
      <c r="CC158" s="262"/>
      <c r="CD158" s="262"/>
      <c r="CE158" s="262"/>
      <c r="CF158" s="262"/>
      <c r="CG158" s="262"/>
      <c r="CH158" s="262"/>
      <c r="CI158" s="262"/>
      <c r="CJ158" s="262"/>
      <c r="CK158" s="262"/>
      <c r="CL158" s="262"/>
      <c r="CM158" s="262"/>
      <c r="CN158" s="262"/>
      <c r="CO158" s="262"/>
      <c r="CP158" s="262"/>
      <c r="CQ158" s="262"/>
      <c r="CR158" s="262"/>
      <c r="CS158" s="262"/>
      <c r="CT158" s="262"/>
      <c r="CU158" s="262"/>
      <c r="CV158" s="262"/>
      <c r="CW158" s="262"/>
      <c r="CX158" s="262"/>
      <c r="CY158" s="262"/>
      <c r="CZ158" s="262"/>
      <c r="DA158" s="262"/>
      <c r="DB158" s="262"/>
      <c r="DC158" s="262"/>
      <c r="DD158" s="262"/>
      <c r="DE158" s="262"/>
      <c r="DF158" s="262"/>
      <c r="DG158" s="262"/>
      <c r="DH158" s="262"/>
      <c r="DI158" s="262"/>
      <c r="DJ158" s="262"/>
      <c r="DK158" s="262"/>
      <c r="DL158" s="262"/>
      <c r="DM158" s="262"/>
      <c r="DN158" s="262"/>
      <c r="DO158" s="262"/>
      <c r="DP158" s="262"/>
      <c r="DQ158" s="262"/>
      <c r="DR158" s="262"/>
      <c r="DS158" s="262"/>
      <c r="DT158" s="262"/>
      <c r="DU158" s="262"/>
      <c r="DV158" s="262"/>
      <c r="DW158" s="262"/>
      <c r="DX158" s="262"/>
      <c r="DY158" s="262"/>
      <c r="DZ158" s="262"/>
      <c r="EA158" s="262"/>
      <c r="EB158" s="262"/>
      <c r="EC158" s="262"/>
      <c r="ED158" s="262"/>
      <c r="EE158" s="262"/>
      <c r="EF158" s="262"/>
      <c r="EG158" s="262"/>
      <c r="EH158" s="262"/>
      <c r="EI158" s="262"/>
      <c r="EJ158" s="262"/>
      <c r="EK158" s="262"/>
      <c r="EL158" s="262"/>
      <c r="EM158" s="262"/>
      <c r="EN158" s="262"/>
      <c r="EO158" s="262"/>
      <c r="EP158" s="262"/>
      <c r="EQ158" s="262"/>
      <c r="ER158" s="262"/>
      <c r="ES158" s="262"/>
      <c r="ET158" s="262"/>
      <c r="EU158" s="262"/>
      <c r="EV158" s="262"/>
      <c r="EW158" s="262"/>
      <c r="EX158" s="262"/>
      <c r="EY158" s="262"/>
      <c r="EZ158" s="262"/>
      <c r="FA158" s="262"/>
      <c r="FB158" s="262"/>
      <c r="FC158" s="262"/>
      <c r="FD158" s="262"/>
      <c r="FE158" s="262"/>
      <c r="FF158" s="262"/>
      <c r="FG158" s="262"/>
      <c r="FH158" s="262"/>
      <c r="FI158" s="262"/>
      <c r="FJ158" s="262"/>
      <c r="FK158" s="262"/>
      <c r="FL158" s="262"/>
      <c r="FM158" s="262"/>
      <c r="FN158" s="262"/>
      <c r="FO158" s="262"/>
      <c r="FP158" s="262"/>
      <c r="FQ158" s="262"/>
      <c r="FR158" s="262"/>
      <c r="FS158" s="262"/>
      <c r="FT158" s="262"/>
      <c r="FU158" s="262"/>
      <c r="FV158" s="262"/>
      <c r="FW158" s="262"/>
      <c r="FX158" s="262"/>
      <c r="FY158" s="262"/>
      <c r="FZ158" s="262"/>
      <c r="GA158" s="262"/>
      <c r="GB158" s="262"/>
      <c r="GC158" s="262"/>
      <c r="GD158" s="262"/>
      <c r="GE158" s="262"/>
      <c r="GF158" s="262"/>
      <c r="GG158" s="262"/>
      <c r="GH158" s="262"/>
      <c r="GI158" s="262"/>
      <c r="GJ158" s="262"/>
      <c r="GK158" s="262"/>
      <c r="GL158" s="262"/>
      <c r="GM158" s="262"/>
      <c r="GN158" s="262"/>
      <c r="GO158" s="262"/>
      <c r="GP158" s="262"/>
      <c r="GQ158" s="262"/>
      <c r="GR158" s="262"/>
      <c r="GS158" s="262"/>
      <c r="GT158" s="262"/>
      <c r="GU158" s="262"/>
      <c r="GV158" s="262"/>
      <c r="GW158" s="262"/>
      <c r="GX158" s="262"/>
      <c r="GY158" s="262"/>
      <c r="GZ158" s="262"/>
      <c r="HA158" s="262"/>
      <c r="HB158" s="262"/>
      <c r="HC158" s="262"/>
      <c r="HD158" s="262"/>
      <c r="HE158" s="262"/>
      <c r="HF158" s="262"/>
      <c r="HG158" s="262"/>
      <c r="HH158" s="262"/>
      <c r="HI158" s="262"/>
      <c r="HJ158" s="262"/>
      <c r="HK158" s="262"/>
      <c r="HL158" s="262"/>
      <c r="HM158" s="262"/>
      <c r="HN158" s="262"/>
      <c r="HO158" s="262"/>
      <c r="HP158" s="262"/>
      <c r="HQ158" s="262"/>
      <c r="HR158" s="262"/>
      <c r="HS158" s="262"/>
      <c r="HT158" s="262"/>
      <c r="HU158" s="262"/>
      <c r="HV158" s="262"/>
      <c r="HW158" s="262"/>
      <c r="HX158" s="262"/>
      <c r="HY158" s="262"/>
      <c r="HZ158" s="262"/>
      <c r="IA158" s="262"/>
      <c r="IB158" s="262"/>
      <c r="IC158" s="262"/>
      <c r="ID158" s="262"/>
      <c r="IE158" s="262"/>
      <c r="IF158" s="262"/>
      <c r="IG158" s="262"/>
      <c r="IH158" s="262"/>
      <c r="II158" s="262"/>
      <c r="IJ158" s="262"/>
      <c r="IK158" s="262"/>
      <c r="IL158" s="262"/>
      <c r="IM158" s="262"/>
      <c r="IN158" s="262"/>
      <c r="IO158" s="262"/>
      <c r="IP158" s="262"/>
      <c r="IQ158" s="262"/>
      <c r="IR158" s="262"/>
      <c r="IS158" s="262"/>
      <c r="IT158" s="262"/>
      <c r="IU158" s="262"/>
    </row>
    <row r="159" ht="18" customHeight="1" spans="1:255">
      <c r="A159" s="267">
        <v>4142</v>
      </c>
      <c r="B159" s="268" t="s">
        <v>1538</v>
      </c>
      <c r="C159" s="225" t="s">
        <v>1380</v>
      </c>
      <c r="D159" s="230">
        <v>64622.1534911363</v>
      </c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2"/>
      <c r="S159" s="262"/>
      <c r="T159" s="262"/>
      <c r="U159" s="262"/>
      <c r="V159" s="262"/>
      <c r="W159" s="262"/>
      <c r="X159" s="262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  <c r="BR159" s="262"/>
      <c r="BS159" s="262"/>
      <c r="BT159" s="262"/>
      <c r="BU159" s="262"/>
      <c r="BV159" s="262"/>
      <c r="BW159" s="262"/>
      <c r="BX159" s="262"/>
      <c r="BY159" s="262"/>
      <c r="BZ159" s="262"/>
      <c r="CA159" s="262"/>
      <c r="CB159" s="262"/>
      <c r="CC159" s="262"/>
      <c r="CD159" s="262"/>
      <c r="CE159" s="262"/>
      <c r="CF159" s="262"/>
      <c r="CG159" s="262"/>
      <c r="CH159" s="262"/>
      <c r="CI159" s="262"/>
      <c r="CJ159" s="262"/>
      <c r="CK159" s="262"/>
      <c r="CL159" s="262"/>
      <c r="CM159" s="262"/>
      <c r="CN159" s="262"/>
      <c r="CO159" s="262"/>
      <c r="CP159" s="262"/>
      <c r="CQ159" s="262"/>
      <c r="CR159" s="262"/>
      <c r="CS159" s="262"/>
      <c r="CT159" s="262"/>
      <c r="CU159" s="262"/>
      <c r="CV159" s="262"/>
      <c r="CW159" s="262"/>
      <c r="CX159" s="262"/>
      <c r="CY159" s="262"/>
      <c r="CZ159" s="262"/>
      <c r="DA159" s="262"/>
      <c r="DB159" s="262"/>
      <c r="DC159" s="262"/>
      <c r="DD159" s="262"/>
      <c r="DE159" s="262"/>
      <c r="DF159" s="262"/>
      <c r="DG159" s="262"/>
      <c r="DH159" s="262"/>
      <c r="DI159" s="262"/>
      <c r="DJ159" s="262"/>
      <c r="DK159" s="262"/>
      <c r="DL159" s="262"/>
      <c r="DM159" s="262"/>
      <c r="DN159" s="262"/>
      <c r="DO159" s="262"/>
      <c r="DP159" s="262"/>
      <c r="DQ159" s="262"/>
      <c r="DR159" s="262"/>
      <c r="DS159" s="262"/>
      <c r="DT159" s="262"/>
      <c r="DU159" s="262"/>
      <c r="DV159" s="262"/>
      <c r="DW159" s="262"/>
      <c r="DX159" s="262"/>
      <c r="DY159" s="262"/>
      <c r="DZ159" s="262"/>
      <c r="EA159" s="262"/>
      <c r="EB159" s="262"/>
      <c r="EC159" s="262"/>
      <c r="ED159" s="262"/>
      <c r="EE159" s="262"/>
      <c r="EF159" s="262"/>
      <c r="EG159" s="262"/>
      <c r="EH159" s="262"/>
      <c r="EI159" s="262"/>
      <c r="EJ159" s="262"/>
      <c r="EK159" s="262"/>
      <c r="EL159" s="262"/>
      <c r="EM159" s="262"/>
      <c r="EN159" s="262"/>
      <c r="EO159" s="262"/>
      <c r="EP159" s="262"/>
      <c r="EQ159" s="262"/>
      <c r="ER159" s="262"/>
      <c r="ES159" s="262"/>
      <c r="ET159" s="262"/>
      <c r="EU159" s="262"/>
      <c r="EV159" s="262"/>
      <c r="EW159" s="262"/>
      <c r="EX159" s="262"/>
      <c r="EY159" s="262"/>
      <c r="EZ159" s="262"/>
      <c r="FA159" s="262"/>
      <c r="FB159" s="262"/>
      <c r="FC159" s="262"/>
      <c r="FD159" s="262"/>
      <c r="FE159" s="262"/>
      <c r="FF159" s="262"/>
      <c r="FG159" s="262"/>
      <c r="FH159" s="262"/>
      <c r="FI159" s="262"/>
      <c r="FJ159" s="262"/>
      <c r="FK159" s="262"/>
      <c r="FL159" s="262"/>
      <c r="FM159" s="262"/>
      <c r="FN159" s="262"/>
      <c r="FO159" s="262"/>
      <c r="FP159" s="262"/>
      <c r="FQ159" s="262"/>
      <c r="FR159" s="262"/>
      <c r="FS159" s="262"/>
      <c r="FT159" s="262"/>
      <c r="FU159" s="262"/>
      <c r="FV159" s="262"/>
      <c r="FW159" s="262"/>
      <c r="FX159" s="262"/>
      <c r="FY159" s="262"/>
      <c r="FZ159" s="262"/>
      <c r="GA159" s="262"/>
      <c r="GB159" s="262"/>
      <c r="GC159" s="262"/>
      <c r="GD159" s="262"/>
      <c r="GE159" s="262"/>
      <c r="GF159" s="262"/>
      <c r="GG159" s="262"/>
      <c r="GH159" s="262"/>
      <c r="GI159" s="262"/>
      <c r="GJ159" s="262"/>
      <c r="GK159" s="262"/>
      <c r="GL159" s="262"/>
      <c r="GM159" s="262"/>
      <c r="GN159" s="262"/>
      <c r="GO159" s="262"/>
      <c r="GP159" s="262"/>
      <c r="GQ159" s="262"/>
      <c r="GR159" s="262"/>
      <c r="GS159" s="262"/>
      <c r="GT159" s="262"/>
      <c r="GU159" s="262"/>
      <c r="GV159" s="262"/>
      <c r="GW159" s="262"/>
      <c r="GX159" s="262"/>
      <c r="GY159" s="262"/>
      <c r="GZ159" s="262"/>
      <c r="HA159" s="262"/>
      <c r="HB159" s="262"/>
      <c r="HC159" s="262"/>
      <c r="HD159" s="262"/>
      <c r="HE159" s="262"/>
      <c r="HF159" s="262"/>
      <c r="HG159" s="262"/>
      <c r="HH159" s="262"/>
      <c r="HI159" s="262"/>
      <c r="HJ159" s="262"/>
      <c r="HK159" s="262"/>
      <c r="HL159" s="262"/>
      <c r="HM159" s="262"/>
      <c r="HN159" s="262"/>
      <c r="HO159" s="262"/>
      <c r="HP159" s="262"/>
      <c r="HQ159" s="262"/>
      <c r="HR159" s="262"/>
      <c r="HS159" s="262"/>
      <c r="HT159" s="262"/>
      <c r="HU159" s="262"/>
      <c r="HV159" s="262"/>
      <c r="HW159" s="262"/>
      <c r="HX159" s="262"/>
      <c r="HY159" s="262"/>
      <c r="HZ159" s="262"/>
      <c r="IA159" s="262"/>
      <c r="IB159" s="262"/>
      <c r="IC159" s="262"/>
      <c r="ID159" s="262"/>
      <c r="IE159" s="262"/>
      <c r="IF159" s="262"/>
      <c r="IG159" s="262"/>
      <c r="IH159" s="262"/>
      <c r="II159" s="262"/>
      <c r="IJ159" s="262"/>
      <c r="IK159" s="262"/>
      <c r="IL159" s="262"/>
      <c r="IM159" s="262"/>
      <c r="IN159" s="262"/>
      <c r="IO159" s="262"/>
      <c r="IP159" s="262"/>
      <c r="IQ159" s="262"/>
      <c r="IR159" s="262"/>
      <c r="IS159" s="262"/>
      <c r="IT159" s="262"/>
      <c r="IU159" s="262"/>
    </row>
    <row r="160" ht="18" hidden="1" customHeight="1" spans="1:255">
      <c r="A160" s="267">
        <v>4145</v>
      </c>
      <c r="B160" s="268" t="s">
        <v>1539</v>
      </c>
      <c r="C160" s="225" t="s">
        <v>1380</v>
      </c>
      <c r="D160" s="230">
        <v>67252.7018115091</v>
      </c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62"/>
      <c r="BH160" s="262"/>
      <c r="BI160" s="262"/>
      <c r="BJ160" s="262"/>
      <c r="BK160" s="262"/>
      <c r="BL160" s="262"/>
      <c r="BM160" s="262"/>
      <c r="BN160" s="262"/>
      <c r="BO160" s="262"/>
      <c r="BP160" s="262"/>
      <c r="BQ160" s="262"/>
      <c r="BR160" s="262"/>
      <c r="BS160" s="262"/>
      <c r="BT160" s="262"/>
      <c r="BU160" s="262"/>
      <c r="BV160" s="262"/>
      <c r="BW160" s="262"/>
      <c r="BX160" s="262"/>
      <c r="BY160" s="262"/>
      <c r="BZ160" s="262"/>
      <c r="CA160" s="262"/>
      <c r="CB160" s="262"/>
      <c r="CC160" s="262"/>
      <c r="CD160" s="262"/>
      <c r="CE160" s="262"/>
      <c r="CF160" s="262"/>
      <c r="CG160" s="262"/>
      <c r="CH160" s="262"/>
      <c r="CI160" s="262"/>
      <c r="CJ160" s="262"/>
      <c r="CK160" s="262"/>
      <c r="CL160" s="262"/>
      <c r="CM160" s="262"/>
      <c r="CN160" s="262"/>
      <c r="CO160" s="262"/>
      <c r="CP160" s="262"/>
      <c r="CQ160" s="262"/>
      <c r="CR160" s="262"/>
      <c r="CS160" s="262"/>
      <c r="CT160" s="262"/>
      <c r="CU160" s="262"/>
      <c r="CV160" s="262"/>
      <c r="CW160" s="262"/>
      <c r="CX160" s="262"/>
      <c r="CY160" s="262"/>
      <c r="CZ160" s="262"/>
      <c r="DA160" s="262"/>
      <c r="DB160" s="262"/>
      <c r="DC160" s="262"/>
      <c r="DD160" s="262"/>
      <c r="DE160" s="262"/>
      <c r="DF160" s="262"/>
      <c r="DG160" s="262"/>
      <c r="DH160" s="262"/>
      <c r="DI160" s="262"/>
      <c r="DJ160" s="262"/>
      <c r="DK160" s="262"/>
      <c r="DL160" s="262"/>
      <c r="DM160" s="262"/>
      <c r="DN160" s="262"/>
      <c r="DO160" s="262"/>
      <c r="DP160" s="262"/>
      <c r="DQ160" s="262"/>
      <c r="DR160" s="262"/>
      <c r="DS160" s="262"/>
      <c r="DT160" s="262"/>
      <c r="DU160" s="262"/>
      <c r="DV160" s="262"/>
      <c r="DW160" s="262"/>
      <c r="DX160" s="262"/>
      <c r="DY160" s="262"/>
      <c r="DZ160" s="262"/>
      <c r="EA160" s="262"/>
      <c r="EB160" s="262"/>
      <c r="EC160" s="262"/>
      <c r="ED160" s="262"/>
      <c r="EE160" s="262"/>
      <c r="EF160" s="262"/>
      <c r="EG160" s="262"/>
      <c r="EH160" s="262"/>
      <c r="EI160" s="262"/>
      <c r="EJ160" s="262"/>
      <c r="EK160" s="262"/>
      <c r="EL160" s="262"/>
      <c r="EM160" s="262"/>
      <c r="EN160" s="262"/>
      <c r="EO160" s="262"/>
      <c r="EP160" s="262"/>
      <c r="EQ160" s="262"/>
      <c r="ER160" s="262"/>
      <c r="ES160" s="262"/>
      <c r="ET160" s="262"/>
      <c r="EU160" s="262"/>
      <c r="EV160" s="262"/>
      <c r="EW160" s="262"/>
      <c r="EX160" s="262"/>
      <c r="EY160" s="262"/>
      <c r="EZ160" s="262"/>
      <c r="FA160" s="262"/>
      <c r="FB160" s="262"/>
      <c r="FC160" s="262"/>
      <c r="FD160" s="262"/>
      <c r="FE160" s="262"/>
      <c r="FF160" s="262"/>
      <c r="FG160" s="262"/>
      <c r="FH160" s="262"/>
      <c r="FI160" s="262"/>
      <c r="FJ160" s="262"/>
      <c r="FK160" s="262"/>
      <c r="FL160" s="262"/>
      <c r="FM160" s="262"/>
      <c r="FN160" s="262"/>
      <c r="FO160" s="262"/>
      <c r="FP160" s="262"/>
      <c r="FQ160" s="262"/>
      <c r="FR160" s="262"/>
      <c r="FS160" s="262"/>
      <c r="FT160" s="262"/>
      <c r="FU160" s="262"/>
      <c r="FV160" s="262"/>
      <c r="FW160" s="262"/>
      <c r="FX160" s="262"/>
      <c r="FY160" s="262"/>
      <c r="FZ160" s="262"/>
      <c r="GA160" s="262"/>
      <c r="GB160" s="262"/>
      <c r="GC160" s="262"/>
      <c r="GD160" s="262"/>
      <c r="GE160" s="262"/>
      <c r="GF160" s="262"/>
      <c r="GG160" s="262"/>
      <c r="GH160" s="262"/>
      <c r="GI160" s="262"/>
      <c r="GJ160" s="262"/>
      <c r="GK160" s="262"/>
      <c r="GL160" s="262"/>
      <c r="GM160" s="262"/>
      <c r="GN160" s="262"/>
      <c r="GO160" s="262"/>
      <c r="GP160" s="262"/>
      <c r="GQ160" s="262"/>
      <c r="GR160" s="262"/>
      <c r="GS160" s="262"/>
      <c r="GT160" s="262"/>
      <c r="GU160" s="262"/>
      <c r="GV160" s="262"/>
      <c r="GW160" s="262"/>
      <c r="GX160" s="262"/>
      <c r="GY160" s="262"/>
      <c r="GZ160" s="262"/>
      <c r="HA160" s="262"/>
      <c r="HB160" s="262"/>
      <c r="HC160" s="262"/>
      <c r="HD160" s="262"/>
      <c r="HE160" s="262"/>
      <c r="HF160" s="262"/>
      <c r="HG160" s="262"/>
      <c r="HH160" s="262"/>
      <c r="HI160" s="262"/>
      <c r="HJ160" s="262"/>
      <c r="HK160" s="262"/>
      <c r="HL160" s="262"/>
      <c r="HM160" s="262"/>
      <c r="HN160" s="262"/>
      <c r="HO160" s="262"/>
      <c r="HP160" s="262"/>
      <c r="HQ160" s="262"/>
      <c r="HR160" s="262"/>
      <c r="HS160" s="262"/>
      <c r="HT160" s="262"/>
      <c r="HU160" s="262"/>
      <c r="HV160" s="262"/>
      <c r="HW160" s="262"/>
      <c r="HX160" s="262"/>
      <c r="HY160" s="262"/>
      <c r="HZ160" s="262"/>
      <c r="IA160" s="262"/>
      <c r="IB160" s="262"/>
      <c r="IC160" s="262"/>
      <c r="ID160" s="262"/>
      <c r="IE160" s="262"/>
      <c r="IF160" s="262"/>
      <c r="IG160" s="262"/>
      <c r="IH160" s="262"/>
      <c r="II160" s="262"/>
      <c r="IJ160" s="262"/>
      <c r="IK160" s="262"/>
      <c r="IL160" s="262"/>
      <c r="IM160" s="262"/>
      <c r="IN160" s="262"/>
      <c r="IO160" s="262"/>
      <c r="IP160" s="262"/>
      <c r="IQ160" s="262"/>
      <c r="IR160" s="262"/>
      <c r="IS160" s="262"/>
      <c r="IT160" s="262"/>
      <c r="IU160" s="262"/>
    </row>
    <row r="161" ht="18" hidden="1" customHeight="1" spans="1:255">
      <c r="A161" s="273">
        <v>4142</v>
      </c>
      <c r="B161" s="268" t="s">
        <v>1540</v>
      </c>
      <c r="C161" s="225" t="s">
        <v>1380</v>
      </c>
      <c r="D161" s="230">
        <v>64622.1534911363</v>
      </c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  <c r="BR161" s="262"/>
      <c r="BS161" s="262"/>
      <c r="BT161" s="262"/>
      <c r="BU161" s="262"/>
      <c r="BV161" s="262"/>
      <c r="BW161" s="262"/>
      <c r="BX161" s="262"/>
      <c r="BY161" s="262"/>
      <c r="BZ161" s="262"/>
      <c r="CA161" s="262"/>
      <c r="CB161" s="262"/>
      <c r="CC161" s="262"/>
      <c r="CD161" s="262"/>
      <c r="CE161" s="262"/>
      <c r="CF161" s="262"/>
      <c r="CG161" s="262"/>
      <c r="CH161" s="262"/>
      <c r="CI161" s="262"/>
      <c r="CJ161" s="262"/>
      <c r="CK161" s="262"/>
      <c r="CL161" s="262"/>
      <c r="CM161" s="262"/>
      <c r="CN161" s="262"/>
      <c r="CO161" s="262"/>
      <c r="CP161" s="262"/>
      <c r="CQ161" s="262"/>
      <c r="CR161" s="262"/>
      <c r="CS161" s="262"/>
      <c r="CT161" s="262"/>
      <c r="CU161" s="262"/>
      <c r="CV161" s="262"/>
      <c r="CW161" s="262"/>
      <c r="CX161" s="262"/>
      <c r="CY161" s="262"/>
      <c r="CZ161" s="262"/>
      <c r="DA161" s="262"/>
      <c r="DB161" s="262"/>
      <c r="DC161" s="262"/>
      <c r="DD161" s="262"/>
      <c r="DE161" s="262"/>
      <c r="DF161" s="262"/>
      <c r="DG161" s="262"/>
      <c r="DH161" s="262"/>
      <c r="DI161" s="262"/>
      <c r="DJ161" s="262"/>
      <c r="DK161" s="262"/>
      <c r="DL161" s="262"/>
      <c r="DM161" s="262"/>
      <c r="DN161" s="262"/>
      <c r="DO161" s="262"/>
      <c r="DP161" s="262"/>
      <c r="DQ161" s="262"/>
      <c r="DR161" s="262"/>
      <c r="DS161" s="262"/>
      <c r="DT161" s="262"/>
      <c r="DU161" s="262"/>
      <c r="DV161" s="262"/>
      <c r="DW161" s="262"/>
      <c r="DX161" s="262"/>
      <c r="DY161" s="262"/>
      <c r="DZ161" s="262"/>
      <c r="EA161" s="262"/>
      <c r="EB161" s="262"/>
      <c r="EC161" s="262"/>
      <c r="ED161" s="262"/>
      <c r="EE161" s="262"/>
      <c r="EF161" s="262"/>
      <c r="EG161" s="262"/>
      <c r="EH161" s="262"/>
      <c r="EI161" s="262"/>
      <c r="EJ161" s="262"/>
      <c r="EK161" s="262"/>
      <c r="EL161" s="262"/>
      <c r="EM161" s="262"/>
      <c r="EN161" s="262"/>
      <c r="EO161" s="262"/>
      <c r="EP161" s="262"/>
      <c r="EQ161" s="262"/>
      <c r="ER161" s="262"/>
      <c r="ES161" s="262"/>
      <c r="ET161" s="262"/>
      <c r="EU161" s="262"/>
      <c r="EV161" s="262"/>
      <c r="EW161" s="262"/>
      <c r="EX161" s="262"/>
      <c r="EY161" s="262"/>
      <c r="EZ161" s="262"/>
      <c r="FA161" s="262"/>
      <c r="FB161" s="262"/>
      <c r="FC161" s="262"/>
      <c r="FD161" s="262"/>
      <c r="FE161" s="262"/>
      <c r="FF161" s="262"/>
      <c r="FG161" s="262"/>
      <c r="FH161" s="262"/>
      <c r="FI161" s="262"/>
      <c r="FJ161" s="262"/>
      <c r="FK161" s="262"/>
      <c r="FL161" s="262"/>
      <c r="FM161" s="262"/>
      <c r="FN161" s="262"/>
      <c r="FO161" s="262"/>
      <c r="FP161" s="262"/>
      <c r="FQ161" s="262"/>
      <c r="FR161" s="262"/>
      <c r="FS161" s="262"/>
      <c r="FT161" s="262"/>
      <c r="FU161" s="262"/>
      <c r="FV161" s="262"/>
      <c r="FW161" s="262"/>
      <c r="FX161" s="262"/>
      <c r="FY161" s="262"/>
      <c r="FZ161" s="262"/>
      <c r="GA161" s="262"/>
      <c r="GB161" s="262"/>
      <c r="GC161" s="262"/>
      <c r="GD161" s="262"/>
      <c r="GE161" s="262"/>
      <c r="GF161" s="262"/>
      <c r="GG161" s="262"/>
      <c r="GH161" s="262"/>
      <c r="GI161" s="262"/>
      <c r="GJ161" s="262"/>
      <c r="GK161" s="262"/>
      <c r="GL161" s="262"/>
      <c r="GM161" s="262"/>
      <c r="GN161" s="262"/>
      <c r="GO161" s="262"/>
      <c r="GP161" s="262"/>
      <c r="GQ161" s="262"/>
      <c r="GR161" s="262"/>
      <c r="GS161" s="262"/>
      <c r="GT161" s="262"/>
      <c r="GU161" s="262"/>
      <c r="GV161" s="262"/>
      <c r="GW161" s="262"/>
      <c r="GX161" s="262"/>
      <c r="GY161" s="262"/>
      <c r="GZ161" s="262"/>
      <c r="HA161" s="262"/>
      <c r="HB161" s="262"/>
      <c r="HC161" s="262"/>
      <c r="HD161" s="262"/>
      <c r="HE161" s="262"/>
      <c r="HF161" s="262"/>
      <c r="HG161" s="262"/>
      <c r="HH161" s="262"/>
      <c r="HI161" s="262"/>
      <c r="HJ161" s="262"/>
      <c r="HK161" s="262"/>
      <c r="HL161" s="262"/>
      <c r="HM161" s="262"/>
      <c r="HN161" s="262"/>
      <c r="HO161" s="262"/>
      <c r="HP161" s="262"/>
      <c r="HQ161" s="262"/>
      <c r="HR161" s="262"/>
      <c r="HS161" s="262"/>
      <c r="HT161" s="262"/>
      <c r="HU161" s="262"/>
      <c r="HV161" s="262"/>
      <c r="HW161" s="262"/>
      <c r="HX161" s="262"/>
      <c r="HY161" s="262"/>
      <c r="HZ161" s="262"/>
      <c r="IA161" s="262"/>
      <c r="IB161" s="262"/>
      <c r="IC161" s="262"/>
      <c r="ID161" s="262"/>
      <c r="IE161" s="262"/>
      <c r="IF161" s="262"/>
      <c r="IG161" s="262"/>
      <c r="IH161" s="262"/>
      <c r="II161" s="262"/>
      <c r="IJ161" s="262"/>
      <c r="IK161" s="262"/>
      <c r="IL161" s="262"/>
      <c r="IM161" s="262"/>
      <c r="IN161" s="262"/>
      <c r="IO161" s="262"/>
      <c r="IP161" s="262"/>
      <c r="IQ161" s="262"/>
      <c r="IR161" s="262"/>
      <c r="IS161" s="262"/>
      <c r="IT161" s="262"/>
      <c r="IU161" s="262"/>
    </row>
    <row r="162" ht="37.5" hidden="1" customHeight="1" spans="1:255">
      <c r="A162" s="267">
        <v>4147</v>
      </c>
      <c r="B162" s="268" t="s">
        <v>1541</v>
      </c>
      <c r="C162" s="225" t="s">
        <v>1380</v>
      </c>
      <c r="D162" s="230">
        <v>93074.3515193151</v>
      </c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62"/>
      <c r="BH162" s="262"/>
      <c r="BI162" s="262"/>
      <c r="BJ162" s="262"/>
      <c r="BK162" s="262"/>
      <c r="BL162" s="262"/>
      <c r="BM162" s="262"/>
      <c r="BN162" s="262"/>
      <c r="BO162" s="262"/>
      <c r="BP162" s="262"/>
      <c r="BQ162" s="262"/>
      <c r="BR162" s="262"/>
      <c r="BS162" s="262"/>
      <c r="BT162" s="262"/>
      <c r="BU162" s="262"/>
      <c r="BV162" s="262"/>
      <c r="BW162" s="262"/>
      <c r="BX162" s="262"/>
      <c r="BY162" s="262"/>
      <c r="BZ162" s="262"/>
      <c r="CA162" s="262"/>
      <c r="CB162" s="262"/>
      <c r="CC162" s="262"/>
      <c r="CD162" s="262"/>
      <c r="CE162" s="262"/>
      <c r="CF162" s="262"/>
      <c r="CG162" s="262"/>
      <c r="CH162" s="262"/>
      <c r="CI162" s="262"/>
      <c r="CJ162" s="262"/>
      <c r="CK162" s="262"/>
      <c r="CL162" s="262"/>
      <c r="CM162" s="262"/>
      <c r="CN162" s="262"/>
      <c r="CO162" s="262"/>
      <c r="CP162" s="262"/>
      <c r="CQ162" s="262"/>
      <c r="CR162" s="262"/>
      <c r="CS162" s="262"/>
      <c r="CT162" s="262"/>
      <c r="CU162" s="262"/>
      <c r="CV162" s="262"/>
      <c r="CW162" s="262"/>
      <c r="CX162" s="262"/>
      <c r="CY162" s="262"/>
      <c r="CZ162" s="262"/>
      <c r="DA162" s="262"/>
      <c r="DB162" s="262"/>
      <c r="DC162" s="262"/>
      <c r="DD162" s="262"/>
      <c r="DE162" s="262"/>
      <c r="DF162" s="262"/>
      <c r="DG162" s="262"/>
      <c r="DH162" s="262"/>
      <c r="DI162" s="262"/>
      <c r="DJ162" s="262"/>
      <c r="DK162" s="262"/>
      <c r="DL162" s="262"/>
      <c r="DM162" s="262"/>
      <c r="DN162" s="262"/>
      <c r="DO162" s="262"/>
      <c r="DP162" s="262"/>
      <c r="DQ162" s="262"/>
      <c r="DR162" s="262"/>
      <c r="DS162" s="262"/>
      <c r="DT162" s="262"/>
      <c r="DU162" s="262"/>
      <c r="DV162" s="262"/>
      <c r="DW162" s="262"/>
      <c r="DX162" s="262"/>
      <c r="DY162" s="262"/>
      <c r="DZ162" s="262"/>
      <c r="EA162" s="262"/>
      <c r="EB162" s="262"/>
      <c r="EC162" s="262"/>
      <c r="ED162" s="262"/>
      <c r="EE162" s="262"/>
      <c r="EF162" s="262"/>
      <c r="EG162" s="262"/>
      <c r="EH162" s="262"/>
      <c r="EI162" s="262"/>
      <c r="EJ162" s="262"/>
      <c r="EK162" s="262"/>
      <c r="EL162" s="262"/>
      <c r="EM162" s="262"/>
      <c r="EN162" s="262"/>
      <c r="EO162" s="262"/>
      <c r="EP162" s="262"/>
      <c r="EQ162" s="262"/>
      <c r="ER162" s="262"/>
      <c r="ES162" s="262"/>
      <c r="ET162" s="262"/>
      <c r="EU162" s="262"/>
      <c r="EV162" s="262"/>
      <c r="EW162" s="262"/>
      <c r="EX162" s="262"/>
      <c r="EY162" s="262"/>
      <c r="EZ162" s="262"/>
      <c r="FA162" s="262"/>
      <c r="FB162" s="262"/>
      <c r="FC162" s="262"/>
      <c r="FD162" s="262"/>
      <c r="FE162" s="262"/>
      <c r="FF162" s="262"/>
      <c r="FG162" s="262"/>
      <c r="FH162" s="262"/>
      <c r="FI162" s="262"/>
      <c r="FJ162" s="262"/>
      <c r="FK162" s="262"/>
      <c r="FL162" s="262"/>
      <c r="FM162" s="262"/>
      <c r="FN162" s="262"/>
      <c r="FO162" s="262"/>
      <c r="FP162" s="262"/>
      <c r="FQ162" s="262"/>
      <c r="FR162" s="262"/>
      <c r="FS162" s="262"/>
      <c r="FT162" s="262"/>
      <c r="FU162" s="262"/>
      <c r="FV162" s="262"/>
      <c r="FW162" s="262"/>
      <c r="FX162" s="262"/>
      <c r="FY162" s="262"/>
      <c r="FZ162" s="262"/>
      <c r="GA162" s="262"/>
      <c r="GB162" s="262"/>
      <c r="GC162" s="262"/>
      <c r="GD162" s="262"/>
      <c r="GE162" s="262"/>
      <c r="GF162" s="262"/>
      <c r="GG162" s="262"/>
      <c r="GH162" s="262"/>
      <c r="GI162" s="262"/>
      <c r="GJ162" s="262"/>
      <c r="GK162" s="262"/>
      <c r="GL162" s="262"/>
      <c r="GM162" s="262"/>
      <c r="GN162" s="262"/>
      <c r="GO162" s="262"/>
      <c r="GP162" s="262"/>
      <c r="GQ162" s="262"/>
      <c r="GR162" s="262"/>
      <c r="GS162" s="262"/>
      <c r="GT162" s="262"/>
      <c r="GU162" s="262"/>
      <c r="GV162" s="262"/>
      <c r="GW162" s="262"/>
      <c r="GX162" s="262"/>
      <c r="GY162" s="262"/>
      <c r="GZ162" s="262"/>
      <c r="HA162" s="262"/>
      <c r="HB162" s="262"/>
      <c r="HC162" s="262"/>
      <c r="HD162" s="262"/>
      <c r="HE162" s="262"/>
      <c r="HF162" s="262"/>
      <c r="HG162" s="262"/>
      <c r="HH162" s="262"/>
      <c r="HI162" s="262"/>
      <c r="HJ162" s="262"/>
      <c r="HK162" s="262"/>
      <c r="HL162" s="262"/>
      <c r="HM162" s="262"/>
      <c r="HN162" s="262"/>
      <c r="HO162" s="262"/>
      <c r="HP162" s="262"/>
      <c r="HQ162" s="262"/>
      <c r="HR162" s="262"/>
      <c r="HS162" s="262"/>
      <c r="HT162" s="262"/>
      <c r="HU162" s="262"/>
      <c r="HV162" s="262"/>
      <c r="HW162" s="262"/>
      <c r="HX162" s="262"/>
      <c r="HY162" s="262"/>
      <c r="HZ162" s="262"/>
      <c r="IA162" s="262"/>
      <c r="IB162" s="262"/>
      <c r="IC162" s="262"/>
      <c r="ID162" s="262"/>
      <c r="IE162" s="262"/>
      <c r="IF162" s="262"/>
      <c r="IG162" s="262"/>
      <c r="IH162" s="262"/>
      <c r="II162" s="262"/>
      <c r="IJ162" s="262"/>
      <c r="IK162" s="262"/>
      <c r="IL162" s="262"/>
      <c r="IM162" s="262"/>
      <c r="IN162" s="262"/>
      <c r="IO162" s="262"/>
      <c r="IP162" s="262"/>
      <c r="IQ162" s="262"/>
      <c r="IR162" s="262"/>
      <c r="IS162" s="262"/>
      <c r="IT162" s="262"/>
      <c r="IU162" s="262"/>
    </row>
    <row r="163" ht="37.5" hidden="1" customHeight="1" spans="1:255">
      <c r="A163" s="267">
        <v>4148</v>
      </c>
      <c r="B163" s="268" t="s">
        <v>1542</v>
      </c>
      <c r="C163" s="225" t="s">
        <v>1380</v>
      </c>
      <c r="D163" s="230">
        <v>91979.9932809382</v>
      </c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62"/>
      <c r="BH163" s="262"/>
      <c r="BI163" s="262"/>
      <c r="BJ163" s="262"/>
      <c r="BK163" s="262"/>
      <c r="BL163" s="262"/>
      <c r="BM163" s="262"/>
      <c r="BN163" s="262"/>
      <c r="BO163" s="262"/>
      <c r="BP163" s="262"/>
      <c r="BQ163" s="262"/>
      <c r="BR163" s="262"/>
      <c r="BS163" s="262"/>
      <c r="BT163" s="262"/>
      <c r="BU163" s="262"/>
      <c r="BV163" s="262"/>
      <c r="BW163" s="262"/>
      <c r="BX163" s="262"/>
      <c r="BY163" s="262"/>
      <c r="BZ163" s="262"/>
      <c r="CA163" s="262"/>
      <c r="CB163" s="262"/>
      <c r="CC163" s="262"/>
      <c r="CD163" s="262"/>
      <c r="CE163" s="262"/>
      <c r="CF163" s="262"/>
      <c r="CG163" s="262"/>
      <c r="CH163" s="262"/>
      <c r="CI163" s="262"/>
      <c r="CJ163" s="262"/>
      <c r="CK163" s="262"/>
      <c r="CL163" s="262"/>
      <c r="CM163" s="262"/>
      <c r="CN163" s="262"/>
      <c r="CO163" s="262"/>
      <c r="CP163" s="262"/>
      <c r="CQ163" s="262"/>
      <c r="CR163" s="262"/>
      <c r="CS163" s="262"/>
      <c r="CT163" s="262"/>
      <c r="CU163" s="262"/>
      <c r="CV163" s="262"/>
      <c r="CW163" s="262"/>
      <c r="CX163" s="262"/>
      <c r="CY163" s="262"/>
      <c r="CZ163" s="262"/>
      <c r="DA163" s="262"/>
      <c r="DB163" s="262"/>
      <c r="DC163" s="262"/>
      <c r="DD163" s="262"/>
      <c r="DE163" s="262"/>
      <c r="DF163" s="262"/>
      <c r="DG163" s="262"/>
      <c r="DH163" s="262"/>
      <c r="DI163" s="262"/>
      <c r="DJ163" s="262"/>
      <c r="DK163" s="262"/>
      <c r="DL163" s="262"/>
      <c r="DM163" s="262"/>
      <c r="DN163" s="262"/>
      <c r="DO163" s="262"/>
      <c r="DP163" s="262"/>
      <c r="DQ163" s="262"/>
      <c r="DR163" s="262"/>
      <c r="DS163" s="262"/>
      <c r="DT163" s="262"/>
      <c r="DU163" s="262"/>
      <c r="DV163" s="262"/>
      <c r="DW163" s="262"/>
      <c r="DX163" s="262"/>
      <c r="DY163" s="262"/>
      <c r="DZ163" s="262"/>
      <c r="EA163" s="262"/>
      <c r="EB163" s="262"/>
      <c r="EC163" s="262"/>
      <c r="ED163" s="262"/>
      <c r="EE163" s="262"/>
      <c r="EF163" s="262"/>
      <c r="EG163" s="262"/>
      <c r="EH163" s="262"/>
      <c r="EI163" s="262"/>
      <c r="EJ163" s="262"/>
      <c r="EK163" s="262"/>
      <c r="EL163" s="262"/>
      <c r="EM163" s="262"/>
      <c r="EN163" s="262"/>
      <c r="EO163" s="262"/>
      <c r="EP163" s="262"/>
      <c r="EQ163" s="262"/>
      <c r="ER163" s="262"/>
      <c r="ES163" s="262"/>
      <c r="ET163" s="262"/>
      <c r="EU163" s="262"/>
      <c r="EV163" s="262"/>
      <c r="EW163" s="262"/>
      <c r="EX163" s="262"/>
      <c r="EY163" s="262"/>
      <c r="EZ163" s="262"/>
      <c r="FA163" s="262"/>
      <c r="FB163" s="262"/>
      <c r="FC163" s="262"/>
      <c r="FD163" s="262"/>
      <c r="FE163" s="262"/>
      <c r="FF163" s="262"/>
      <c r="FG163" s="262"/>
      <c r="FH163" s="262"/>
      <c r="FI163" s="262"/>
      <c r="FJ163" s="262"/>
      <c r="FK163" s="262"/>
      <c r="FL163" s="262"/>
      <c r="FM163" s="262"/>
      <c r="FN163" s="262"/>
      <c r="FO163" s="262"/>
      <c r="FP163" s="262"/>
      <c r="FQ163" s="262"/>
      <c r="FR163" s="262"/>
      <c r="FS163" s="262"/>
      <c r="FT163" s="262"/>
      <c r="FU163" s="262"/>
      <c r="FV163" s="262"/>
      <c r="FW163" s="262"/>
      <c r="FX163" s="262"/>
      <c r="FY163" s="262"/>
      <c r="FZ163" s="262"/>
      <c r="GA163" s="262"/>
      <c r="GB163" s="262"/>
      <c r="GC163" s="262"/>
      <c r="GD163" s="262"/>
      <c r="GE163" s="262"/>
      <c r="GF163" s="262"/>
      <c r="GG163" s="262"/>
      <c r="GH163" s="262"/>
      <c r="GI163" s="262"/>
      <c r="GJ163" s="262"/>
      <c r="GK163" s="262"/>
      <c r="GL163" s="262"/>
      <c r="GM163" s="262"/>
      <c r="GN163" s="262"/>
      <c r="GO163" s="262"/>
      <c r="GP163" s="262"/>
      <c r="GQ163" s="262"/>
      <c r="GR163" s="262"/>
      <c r="GS163" s="262"/>
      <c r="GT163" s="262"/>
      <c r="GU163" s="262"/>
      <c r="GV163" s="262"/>
      <c r="GW163" s="262"/>
      <c r="GX163" s="262"/>
      <c r="GY163" s="262"/>
      <c r="GZ163" s="262"/>
      <c r="HA163" s="262"/>
      <c r="HB163" s="262"/>
      <c r="HC163" s="262"/>
      <c r="HD163" s="262"/>
      <c r="HE163" s="262"/>
      <c r="HF163" s="262"/>
      <c r="HG163" s="262"/>
      <c r="HH163" s="262"/>
      <c r="HI163" s="262"/>
      <c r="HJ163" s="262"/>
      <c r="HK163" s="262"/>
      <c r="HL163" s="262"/>
      <c r="HM163" s="262"/>
      <c r="HN163" s="262"/>
      <c r="HO163" s="262"/>
      <c r="HP163" s="262"/>
      <c r="HQ163" s="262"/>
      <c r="HR163" s="262"/>
      <c r="HS163" s="262"/>
      <c r="HT163" s="262"/>
      <c r="HU163" s="262"/>
      <c r="HV163" s="262"/>
      <c r="HW163" s="262"/>
      <c r="HX163" s="262"/>
      <c r="HY163" s="262"/>
      <c r="HZ163" s="262"/>
      <c r="IA163" s="262"/>
      <c r="IB163" s="262"/>
      <c r="IC163" s="262"/>
      <c r="ID163" s="262"/>
      <c r="IE163" s="262"/>
      <c r="IF163" s="262"/>
      <c r="IG163" s="262"/>
      <c r="IH163" s="262"/>
      <c r="II163" s="262"/>
      <c r="IJ163" s="262"/>
      <c r="IK163" s="262"/>
      <c r="IL163" s="262"/>
      <c r="IM163" s="262"/>
      <c r="IN163" s="262"/>
      <c r="IO163" s="262"/>
      <c r="IP163" s="262"/>
      <c r="IQ163" s="262"/>
      <c r="IR163" s="262"/>
      <c r="IS163" s="262"/>
      <c r="IT163" s="262"/>
      <c r="IU163" s="262"/>
    </row>
    <row r="164" ht="37.5" hidden="1" customHeight="1" spans="1:255">
      <c r="A164" s="267">
        <v>4149</v>
      </c>
      <c r="B164" s="268" t="s">
        <v>1543</v>
      </c>
      <c r="C164" s="225" t="s">
        <v>1380</v>
      </c>
      <c r="D164" s="230">
        <v>81371.9359215969</v>
      </c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62"/>
      <c r="BH164" s="262"/>
      <c r="BI164" s="262"/>
      <c r="BJ164" s="262"/>
      <c r="BK164" s="262"/>
      <c r="BL164" s="262"/>
      <c r="BM164" s="262"/>
      <c r="BN164" s="262"/>
      <c r="BO164" s="262"/>
      <c r="BP164" s="262"/>
      <c r="BQ164" s="262"/>
      <c r="BR164" s="262"/>
      <c r="BS164" s="262"/>
      <c r="BT164" s="262"/>
      <c r="BU164" s="262"/>
      <c r="BV164" s="262"/>
      <c r="BW164" s="262"/>
      <c r="BX164" s="262"/>
      <c r="BY164" s="262"/>
      <c r="BZ164" s="262"/>
      <c r="CA164" s="262"/>
      <c r="CB164" s="262"/>
      <c r="CC164" s="262"/>
      <c r="CD164" s="262"/>
      <c r="CE164" s="262"/>
      <c r="CF164" s="262"/>
      <c r="CG164" s="262"/>
      <c r="CH164" s="262"/>
      <c r="CI164" s="262"/>
      <c r="CJ164" s="262"/>
      <c r="CK164" s="262"/>
      <c r="CL164" s="262"/>
      <c r="CM164" s="262"/>
      <c r="CN164" s="262"/>
      <c r="CO164" s="262"/>
      <c r="CP164" s="262"/>
      <c r="CQ164" s="262"/>
      <c r="CR164" s="262"/>
      <c r="CS164" s="262"/>
      <c r="CT164" s="262"/>
      <c r="CU164" s="262"/>
      <c r="CV164" s="262"/>
      <c r="CW164" s="262"/>
      <c r="CX164" s="262"/>
      <c r="CY164" s="262"/>
      <c r="CZ164" s="262"/>
      <c r="DA164" s="262"/>
      <c r="DB164" s="262"/>
      <c r="DC164" s="262"/>
      <c r="DD164" s="262"/>
      <c r="DE164" s="262"/>
      <c r="DF164" s="262"/>
      <c r="DG164" s="262"/>
      <c r="DH164" s="262"/>
      <c r="DI164" s="262"/>
      <c r="DJ164" s="262"/>
      <c r="DK164" s="262"/>
      <c r="DL164" s="262"/>
      <c r="DM164" s="262"/>
      <c r="DN164" s="262"/>
      <c r="DO164" s="262"/>
      <c r="DP164" s="262"/>
      <c r="DQ164" s="262"/>
      <c r="DR164" s="262"/>
      <c r="DS164" s="262"/>
      <c r="DT164" s="262"/>
      <c r="DU164" s="262"/>
      <c r="DV164" s="262"/>
      <c r="DW164" s="262"/>
      <c r="DX164" s="262"/>
      <c r="DY164" s="262"/>
      <c r="DZ164" s="262"/>
      <c r="EA164" s="262"/>
      <c r="EB164" s="262"/>
      <c r="EC164" s="262"/>
      <c r="ED164" s="262"/>
      <c r="EE164" s="262"/>
      <c r="EF164" s="262"/>
      <c r="EG164" s="262"/>
      <c r="EH164" s="262"/>
      <c r="EI164" s="262"/>
      <c r="EJ164" s="262"/>
      <c r="EK164" s="262"/>
      <c r="EL164" s="262"/>
      <c r="EM164" s="262"/>
      <c r="EN164" s="262"/>
      <c r="EO164" s="262"/>
      <c r="EP164" s="262"/>
      <c r="EQ164" s="262"/>
      <c r="ER164" s="262"/>
      <c r="ES164" s="262"/>
      <c r="ET164" s="262"/>
      <c r="EU164" s="262"/>
      <c r="EV164" s="262"/>
      <c r="EW164" s="262"/>
      <c r="EX164" s="262"/>
      <c r="EY164" s="262"/>
      <c r="EZ164" s="262"/>
      <c r="FA164" s="262"/>
      <c r="FB164" s="262"/>
      <c r="FC164" s="262"/>
      <c r="FD164" s="262"/>
      <c r="FE164" s="262"/>
      <c r="FF164" s="262"/>
      <c r="FG164" s="262"/>
      <c r="FH164" s="262"/>
      <c r="FI164" s="262"/>
      <c r="FJ164" s="262"/>
      <c r="FK164" s="262"/>
      <c r="FL164" s="262"/>
      <c r="FM164" s="262"/>
      <c r="FN164" s="262"/>
      <c r="FO164" s="262"/>
      <c r="FP164" s="262"/>
      <c r="FQ164" s="262"/>
      <c r="FR164" s="262"/>
      <c r="FS164" s="262"/>
      <c r="FT164" s="262"/>
      <c r="FU164" s="262"/>
      <c r="FV164" s="262"/>
      <c r="FW164" s="262"/>
      <c r="FX164" s="262"/>
      <c r="FY164" s="262"/>
      <c r="FZ164" s="262"/>
      <c r="GA164" s="262"/>
      <c r="GB164" s="262"/>
      <c r="GC164" s="262"/>
      <c r="GD164" s="262"/>
      <c r="GE164" s="262"/>
      <c r="GF164" s="262"/>
      <c r="GG164" s="262"/>
      <c r="GH164" s="262"/>
      <c r="GI164" s="262"/>
      <c r="GJ164" s="262"/>
      <c r="GK164" s="262"/>
      <c r="GL164" s="262"/>
      <c r="GM164" s="262"/>
      <c r="GN164" s="262"/>
      <c r="GO164" s="262"/>
      <c r="GP164" s="262"/>
      <c r="GQ164" s="262"/>
      <c r="GR164" s="262"/>
      <c r="GS164" s="262"/>
      <c r="GT164" s="262"/>
      <c r="GU164" s="262"/>
      <c r="GV164" s="262"/>
      <c r="GW164" s="262"/>
      <c r="GX164" s="262"/>
      <c r="GY164" s="262"/>
      <c r="GZ164" s="262"/>
      <c r="HA164" s="262"/>
      <c r="HB164" s="262"/>
      <c r="HC164" s="262"/>
      <c r="HD164" s="262"/>
      <c r="HE164" s="262"/>
      <c r="HF164" s="262"/>
      <c r="HG164" s="262"/>
      <c r="HH164" s="262"/>
      <c r="HI164" s="262"/>
      <c r="HJ164" s="262"/>
      <c r="HK164" s="262"/>
      <c r="HL164" s="262"/>
      <c r="HM164" s="262"/>
      <c r="HN164" s="262"/>
      <c r="HO164" s="262"/>
      <c r="HP164" s="262"/>
      <c r="HQ164" s="262"/>
      <c r="HR164" s="262"/>
      <c r="HS164" s="262"/>
      <c r="HT164" s="262"/>
      <c r="HU164" s="262"/>
      <c r="HV164" s="262"/>
      <c r="HW164" s="262"/>
      <c r="HX164" s="262"/>
      <c r="HY164" s="262"/>
      <c r="HZ164" s="262"/>
      <c r="IA164" s="262"/>
      <c r="IB164" s="262"/>
      <c r="IC164" s="262"/>
      <c r="ID164" s="262"/>
      <c r="IE164" s="262"/>
      <c r="IF164" s="262"/>
      <c r="IG164" s="262"/>
      <c r="IH164" s="262"/>
      <c r="II164" s="262"/>
      <c r="IJ164" s="262"/>
      <c r="IK164" s="262"/>
      <c r="IL164" s="262"/>
      <c r="IM164" s="262"/>
      <c r="IN164" s="262"/>
      <c r="IO164" s="262"/>
      <c r="IP164" s="262"/>
      <c r="IQ164" s="262"/>
      <c r="IR164" s="262"/>
      <c r="IS164" s="262"/>
      <c r="IT164" s="262"/>
      <c r="IU164" s="262"/>
    </row>
    <row r="165" ht="37.5" hidden="1" customHeight="1" spans="1:255">
      <c r="A165" s="267">
        <v>4150</v>
      </c>
      <c r="B165" s="268" t="s">
        <v>1544</v>
      </c>
      <c r="C165" s="225" t="s">
        <v>1380</v>
      </c>
      <c r="D165" s="230">
        <v>85363.5417677657</v>
      </c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62"/>
      <c r="BH165" s="262"/>
      <c r="BI165" s="262"/>
      <c r="BJ165" s="262"/>
      <c r="BK165" s="262"/>
      <c r="BL165" s="262"/>
      <c r="BM165" s="262"/>
      <c r="BN165" s="262"/>
      <c r="BO165" s="262"/>
      <c r="BP165" s="262"/>
      <c r="BQ165" s="262"/>
      <c r="BR165" s="262"/>
      <c r="BS165" s="262"/>
      <c r="BT165" s="262"/>
      <c r="BU165" s="262"/>
      <c r="BV165" s="262"/>
      <c r="BW165" s="262"/>
      <c r="BX165" s="262"/>
      <c r="BY165" s="262"/>
      <c r="BZ165" s="262"/>
      <c r="CA165" s="262"/>
      <c r="CB165" s="262"/>
      <c r="CC165" s="262"/>
      <c r="CD165" s="262"/>
      <c r="CE165" s="262"/>
      <c r="CF165" s="262"/>
      <c r="CG165" s="262"/>
      <c r="CH165" s="262"/>
      <c r="CI165" s="262"/>
      <c r="CJ165" s="262"/>
      <c r="CK165" s="262"/>
      <c r="CL165" s="262"/>
      <c r="CM165" s="262"/>
      <c r="CN165" s="262"/>
      <c r="CO165" s="262"/>
      <c r="CP165" s="262"/>
      <c r="CQ165" s="262"/>
      <c r="CR165" s="262"/>
      <c r="CS165" s="262"/>
      <c r="CT165" s="262"/>
      <c r="CU165" s="262"/>
      <c r="CV165" s="262"/>
      <c r="CW165" s="262"/>
      <c r="CX165" s="262"/>
      <c r="CY165" s="262"/>
      <c r="CZ165" s="262"/>
      <c r="DA165" s="262"/>
      <c r="DB165" s="262"/>
      <c r="DC165" s="262"/>
      <c r="DD165" s="262"/>
      <c r="DE165" s="262"/>
      <c r="DF165" s="262"/>
      <c r="DG165" s="262"/>
      <c r="DH165" s="262"/>
      <c r="DI165" s="262"/>
      <c r="DJ165" s="262"/>
      <c r="DK165" s="262"/>
      <c r="DL165" s="262"/>
      <c r="DM165" s="262"/>
      <c r="DN165" s="262"/>
      <c r="DO165" s="262"/>
      <c r="DP165" s="262"/>
      <c r="DQ165" s="262"/>
      <c r="DR165" s="262"/>
      <c r="DS165" s="262"/>
      <c r="DT165" s="262"/>
      <c r="DU165" s="262"/>
      <c r="DV165" s="262"/>
      <c r="DW165" s="262"/>
      <c r="DX165" s="262"/>
      <c r="DY165" s="262"/>
      <c r="DZ165" s="262"/>
      <c r="EA165" s="262"/>
      <c r="EB165" s="262"/>
      <c r="EC165" s="262"/>
      <c r="ED165" s="262"/>
      <c r="EE165" s="262"/>
      <c r="EF165" s="262"/>
      <c r="EG165" s="262"/>
      <c r="EH165" s="262"/>
      <c r="EI165" s="262"/>
      <c r="EJ165" s="262"/>
      <c r="EK165" s="262"/>
      <c r="EL165" s="262"/>
      <c r="EM165" s="262"/>
      <c r="EN165" s="262"/>
      <c r="EO165" s="262"/>
      <c r="EP165" s="262"/>
      <c r="EQ165" s="262"/>
      <c r="ER165" s="262"/>
      <c r="ES165" s="262"/>
      <c r="ET165" s="262"/>
      <c r="EU165" s="262"/>
      <c r="EV165" s="262"/>
      <c r="EW165" s="262"/>
      <c r="EX165" s="262"/>
      <c r="EY165" s="262"/>
      <c r="EZ165" s="262"/>
      <c r="FA165" s="262"/>
      <c r="FB165" s="262"/>
      <c r="FC165" s="262"/>
      <c r="FD165" s="262"/>
      <c r="FE165" s="262"/>
      <c r="FF165" s="262"/>
      <c r="FG165" s="262"/>
      <c r="FH165" s="262"/>
      <c r="FI165" s="262"/>
      <c r="FJ165" s="262"/>
      <c r="FK165" s="262"/>
      <c r="FL165" s="262"/>
      <c r="FM165" s="262"/>
      <c r="FN165" s="262"/>
      <c r="FO165" s="262"/>
      <c r="FP165" s="262"/>
      <c r="FQ165" s="262"/>
      <c r="FR165" s="262"/>
      <c r="FS165" s="262"/>
      <c r="FT165" s="262"/>
      <c r="FU165" s="262"/>
      <c r="FV165" s="262"/>
      <c r="FW165" s="262"/>
      <c r="FX165" s="262"/>
      <c r="FY165" s="262"/>
      <c r="FZ165" s="262"/>
      <c r="GA165" s="262"/>
      <c r="GB165" s="262"/>
      <c r="GC165" s="262"/>
      <c r="GD165" s="262"/>
      <c r="GE165" s="262"/>
      <c r="GF165" s="262"/>
      <c r="GG165" s="262"/>
      <c r="GH165" s="262"/>
      <c r="GI165" s="262"/>
      <c r="GJ165" s="262"/>
      <c r="GK165" s="262"/>
      <c r="GL165" s="262"/>
      <c r="GM165" s="262"/>
      <c r="GN165" s="262"/>
      <c r="GO165" s="262"/>
      <c r="GP165" s="262"/>
      <c r="GQ165" s="262"/>
      <c r="GR165" s="262"/>
      <c r="GS165" s="262"/>
      <c r="GT165" s="262"/>
      <c r="GU165" s="262"/>
      <c r="GV165" s="262"/>
      <c r="GW165" s="262"/>
      <c r="GX165" s="262"/>
      <c r="GY165" s="262"/>
      <c r="GZ165" s="262"/>
      <c r="HA165" s="262"/>
      <c r="HB165" s="262"/>
      <c r="HC165" s="262"/>
      <c r="HD165" s="262"/>
      <c r="HE165" s="262"/>
      <c r="HF165" s="262"/>
      <c r="HG165" s="262"/>
      <c r="HH165" s="262"/>
      <c r="HI165" s="262"/>
      <c r="HJ165" s="262"/>
      <c r="HK165" s="262"/>
      <c r="HL165" s="262"/>
      <c r="HM165" s="262"/>
      <c r="HN165" s="262"/>
      <c r="HO165" s="262"/>
      <c r="HP165" s="262"/>
      <c r="HQ165" s="262"/>
      <c r="HR165" s="262"/>
      <c r="HS165" s="262"/>
      <c r="HT165" s="262"/>
      <c r="HU165" s="262"/>
      <c r="HV165" s="262"/>
      <c r="HW165" s="262"/>
      <c r="HX165" s="262"/>
      <c r="HY165" s="262"/>
      <c r="HZ165" s="262"/>
      <c r="IA165" s="262"/>
      <c r="IB165" s="262"/>
      <c r="IC165" s="262"/>
      <c r="ID165" s="262"/>
      <c r="IE165" s="262"/>
      <c r="IF165" s="262"/>
      <c r="IG165" s="262"/>
      <c r="IH165" s="262"/>
      <c r="II165" s="262"/>
      <c r="IJ165" s="262"/>
      <c r="IK165" s="262"/>
      <c r="IL165" s="262"/>
      <c r="IM165" s="262"/>
      <c r="IN165" s="262"/>
      <c r="IO165" s="262"/>
      <c r="IP165" s="262"/>
      <c r="IQ165" s="262"/>
      <c r="IR165" s="262"/>
      <c r="IS165" s="262"/>
      <c r="IT165" s="262"/>
      <c r="IU165" s="262"/>
    </row>
    <row r="166" ht="37.5" hidden="1" customHeight="1" spans="1:255">
      <c r="A166" s="267">
        <v>4151</v>
      </c>
      <c r="B166" s="268" t="s">
        <v>1545</v>
      </c>
      <c r="C166" s="225" t="s">
        <v>1380</v>
      </c>
      <c r="D166" s="230">
        <v>103951.642212481</v>
      </c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/>
      <c r="AA166" s="262"/>
      <c r="AB166" s="262"/>
      <c r="AC166" s="262"/>
      <c r="AD166" s="262"/>
      <c r="AE166" s="262"/>
      <c r="AF166" s="262"/>
      <c r="AG166" s="262"/>
      <c r="AH166" s="262"/>
      <c r="AI166" s="262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62"/>
      <c r="BH166" s="262"/>
      <c r="BI166" s="262"/>
      <c r="BJ166" s="262"/>
      <c r="BK166" s="262"/>
      <c r="BL166" s="262"/>
      <c r="BM166" s="262"/>
      <c r="BN166" s="262"/>
      <c r="BO166" s="262"/>
      <c r="BP166" s="262"/>
      <c r="BQ166" s="262"/>
      <c r="BR166" s="262"/>
      <c r="BS166" s="262"/>
      <c r="BT166" s="262"/>
      <c r="BU166" s="262"/>
      <c r="BV166" s="262"/>
      <c r="BW166" s="262"/>
      <c r="BX166" s="262"/>
      <c r="BY166" s="262"/>
      <c r="BZ166" s="262"/>
      <c r="CA166" s="262"/>
      <c r="CB166" s="262"/>
      <c r="CC166" s="262"/>
      <c r="CD166" s="262"/>
      <c r="CE166" s="262"/>
      <c r="CF166" s="262"/>
      <c r="CG166" s="262"/>
      <c r="CH166" s="262"/>
      <c r="CI166" s="262"/>
      <c r="CJ166" s="262"/>
      <c r="CK166" s="262"/>
      <c r="CL166" s="262"/>
      <c r="CM166" s="262"/>
      <c r="CN166" s="262"/>
      <c r="CO166" s="262"/>
      <c r="CP166" s="262"/>
      <c r="CQ166" s="262"/>
      <c r="CR166" s="262"/>
      <c r="CS166" s="262"/>
      <c r="CT166" s="262"/>
      <c r="CU166" s="262"/>
      <c r="CV166" s="262"/>
      <c r="CW166" s="262"/>
      <c r="CX166" s="262"/>
      <c r="CY166" s="262"/>
      <c r="CZ166" s="262"/>
      <c r="DA166" s="262"/>
      <c r="DB166" s="262"/>
      <c r="DC166" s="262"/>
      <c r="DD166" s="262"/>
      <c r="DE166" s="262"/>
      <c r="DF166" s="262"/>
      <c r="DG166" s="262"/>
      <c r="DH166" s="262"/>
      <c r="DI166" s="262"/>
      <c r="DJ166" s="262"/>
      <c r="DK166" s="262"/>
      <c r="DL166" s="262"/>
      <c r="DM166" s="262"/>
      <c r="DN166" s="262"/>
      <c r="DO166" s="262"/>
      <c r="DP166" s="262"/>
      <c r="DQ166" s="262"/>
      <c r="DR166" s="262"/>
      <c r="DS166" s="262"/>
      <c r="DT166" s="262"/>
      <c r="DU166" s="262"/>
      <c r="DV166" s="262"/>
      <c r="DW166" s="262"/>
      <c r="DX166" s="262"/>
      <c r="DY166" s="262"/>
      <c r="DZ166" s="262"/>
      <c r="EA166" s="262"/>
      <c r="EB166" s="262"/>
      <c r="EC166" s="262"/>
      <c r="ED166" s="262"/>
      <c r="EE166" s="262"/>
      <c r="EF166" s="262"/>
      <c r="EG166" s="262"/>
      <c r="EH166" s="262"/>
      <c r="EI166" s="262"/>
      <c r="EJ166" s="262"/>
      <c r="EK166" s="262"/>
      <c r="EL166" s="262"/>
      <c r="EM166" s="262"/>
      <c r="EN166" s="262"/>
      <c r="EO166" s="262"/>
      <c r="EP166" s="262"/>
      <c r="EQ166" s="262"/>
      <c r="ER166" s="262"/>
      <c r="ES166" s="262"/>
      <c r="ET166" s="262"/>
      <c r="EU166" s="262"/>
      <c r="EV166" s="262"/>
      <c r="EW166" s="262"/>
      <c r="EX166" s="262"/>
      <c r="EY166" s="262"/>
      <c r="EZ166" s="262"/>
      <c r="FA166" s="262"/>
      <c r="FB166" s="262"/>
      <c r="FC166" s="262"/>
      <c r="FD166" s="262"/>
      <c r="FE166" s="262"/>
      <c r="FF166" s="262"/>
      <c r="FG166" s="262"/>
      <c r="FH166" s="262"/>
      <c r="FI166" s="262"/>
      <c r="FJ166" s="262"/>
      <c r="FK166" s="262"/>
      <c r="FL166" s="262"/>
      <c r="FM166" s="262"/>
      <c r="FN166" s="262"/>
      <c r="FO166" s="262"/>
      <c r="FP166" s="262"/>
      <c r="FQ166" s="262"/>
      <c r="FR166" s="262"/>
      <c r="FS166" s="262"/>
      <c r="FT166" s="262"/>
      <c r="FU166" s="262"/>
      <c r="FV166" s="262"/>
      <c r="FW166" s="262"/>
      <c r="FX166" s="262"/>
      <c r="FY166" s="262"/>
      <c r="FZ166" s="262"/>
      <c r="GA166" s="262"/>
      <c r="GB166" s="262"/>
      <c r="GC166" s="262"/>
      <c r="GD166" s="262"/>
      <c r="GE166" s="262"/>
      <c r="GF166" s="262"/>
      <c r="GG166" s="262"/>
      <c r="GH166" s="262"/>
      <c r="GI166" s="262"/>
      <c r="GJ166" s="262"/>
      <c r="GK166" s="262"/>
      <c r="GL166" s="262"/>
      <c r="GM166" s="262"/>
      <c r="GN166" s="262"/>
      <c r="GO166" s="262"/>
      <c r="GP166" s="262"/>
      <c r="GQ166" s="262"/>
      <c r="GR166" s="262"/>
      <c r="GS166" s="262"/>
      <c r="GT166" s="262"/>
      <c r="GU166" s="262"/>
      <c r="GV166" s="262"/>
      <c r="GW166" s="262"/>
      <c r="GX166" s="262"/>
      <c r="GY166" s="262"/>
      <c r="GZ166" s="262"/>
      <c r="HA166" s="262"/>
      <c r="HB166" s="262"/>
      <c r="HC166" s="262"/>
      <c r="HD166" s="262"/>
      <c r="HE166" s="262"/>
      <c r="HF166" s="262"/>
      <c r="HG166" s="262"/>
      <c r="HH166" s="262"/>
      <c r="HI166" s="262"/>
      <c r="HJ166" s="262"/>
      <c r="HK166" s="262"/>
      <c r="HL166" s="262"/>
      <c r="HM166" s="262"/>
      <c r="HN166" s="262"/>
      <c r="HO166" s="262"/>
      <c r="HP166" s="262"/>
      <c r="HQ166" s="262"/>
      <c r="HR166" s="262"/>
      <c r="HS166" s="262"/>
      <c r="HT166" s="262"/>
      <c r="HU166" s="262"/>
      <c r="HV166" s="262"/>
      <c r="HW166" s="262"/>
      <c r="HX166" s="262"/>
      <c r="HY166" s="262"/>
      <c r="HZ166" s="262"/>
      <c r="IA166" s="262"/>
      <c r="IB166" s="262"/>
      <c r="IC166" s="262"/>
      <c r="ID166" s="262"/>
      <c r="IE166" s="262"/>
      <c r="IF166" s="262"/>
      <c r="IG166" s="262"/>
      <c r="IH166" s="262"/>
      <c r="II166" s="262"/>
      <c r="IJ166" s="262"/>
      <c r="IK166" s="262"/>
      <c r="IL166" s="262"/>
      <c r="IM166" s="262"/>
      <c r="IN166" s="262"/>
      <c r="IO166" s="262"/>
      <c r="IP166" s="262"/>
      <c r="IQ166" s="262"/>
      <c r="IR166" s="262"/>
      <c r="IS166" s="262"/>
      <c r="IT166" s="262"/>
      <c r="IU166" s="262"/>
    </row>
    <row r="167" ht="37.5" hidden="1" customHeight="1" spans="1:255">
      <c r="A167" s="267">
        <v>4152</v>
      </c>
      <c r="B167" s="268" t="s">
        <v>1546</v>
      </c>
      <c r="C167" s="225" t="s">
        <v>1380</v>
      </c>
      <c r="D167" s="230">
        <v>55574.212232492</v>
      </c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62"/>
      <c r="BH167" s="262"/>
      <c r="BI167" s="262"/>
      <c r="BJ167" s="262"/>
      <c r="BK167" s="262"/>
      <c r="BL167" s="262"/>
      <c r="BM167" s="262"/>
      <c r="BN167" s="262"/>
      <c r="BO167" s="262"/>
      <c r="BP167" s="262"/>
      <c r="BQ167" s="262"/>
      <c r="BR167" s="262"/>
      <c r="BS167" s="262"/>
      <c r="BT167" s="262"/>
      <c r="BU167" s="262"/>
      <c r="BV167" s="262"/>
      <c r="BW167" s="262"/>
      <c r="BX167" s="262"/>
      <c r="BY167" s="262"/>
      <c r="BZ167" s="262"/>
      <c r="CA167" s="262"/>
      <c r="CB167" s="262"/>
      <c r="CC167" s="262"/>
      <c r="CD167" s="262"/>
      <c r="CE167" s="262"/>
      <c r="CF167" s="262"/>
      <c r="CG167" s="262"/>
      <c r="CH167" s="262"/>
      <c r="CI167" s="262"/>
      <c r="CJ167" s="262"/>
      <c r="CK167" s="262"/>
      <c r="CL167" s="262"/>
      <c r="CM167" s="262"/>
      <c r="CN167" s="262"/>
      <c r="CO167" s="262"/>
      <c r="CP167" s="262"/>
      <c r="CQ167" s="262"/>
      <c r="CR167" s="262"/>
      <c r="CS167" s="262"/>
      <c r="CT167" s="262"/>
      <c r="CU167" s="262"/>
      <c r="CV167" s="262"/>
      <c r="CW167" s="262"/>
      <c r="CX167" s="262"/>
      <c r="CY167" s="262"/>
      <c r="CZ167" s="262"/>
      <c r="DA167" s="262"/>
      <c r="DB167" s="262"/>
      <c r="DC167" s="262"/>
      <c r="DD167" s="262"/>
      <c r="DE167" s="262"/>
      <c r="DF167" s="262"/>
      <c r="DG167" s="262"/>
      <c r="DH167" s="262"/>
      <c r="DI167" s="262"/>
      <c r="DJ167" s="262"/>
      <c r="DK167" s="262"/>
      <c r="DL167" s="262"/>
      <c r="DM167" s="262"/>
      <c r="DN167" s="262"/>
      <c r="DO167" s="262"/>
      <c r="DP167" s="262"/>
      <c r="DQ167" s="262"/>
      <c r="DR167" s="262"/>
      <c r="DS167" s="262"/>
      <c r="DT167" s="262"/>
      <c r="DU167" s="262"/>
      <c r="DV167" s="262"/>
      <c r="DW167" s="262"/>
      <c r="DX167" s="262"/>
      <c r="DY167" s="262"/>
      <c r="DZ167" s="262"/>
      <c r="EA167" s="262"/>
      <c r="EB167" s="262"/>
      <c r="EC167" s="262"/>
      <c r="ED167" s="262"/>
      <c r="EE167" s="262"/>
      <c r="EF167" s="262"/>
      <c r="EG167" s="262"/>
      <c r="EH167" s="262"/>
      <c r="EI167" s="262"/>
      <c r="EJ167" s="262"/>
      <c r="EK167" s="262"/>
      <c r="EL167" s="262"/>
      <c r="EM167" s="262"/>
      <c r="EN167" s="262"/>
      <c r="EO167" s="262"/>
      <c r="EP167" s="262"/>
      <c r="EQ167" s="262"/>
      <c r="ER167" s="262"/>
      <c r="ES167" s="262"/>
      <c r="ET167" s="262"/>
      <c r="EU167" s="262"/>
      <c r="EV167" s="262"/>
      <c r="EW167" s="262"/>
      <c r="EX167" s="262"/>
      <c r="EY167" s="262"/>
      <c r="EZ167" s="262"/>
      <c r="FA167" s="262"/>
      <c r="FB167" s="262"/>
      <c r="FC167" s="262"/>
      <c r="FD167" s="262"/>
      <c r="FE167" s="262"/>
      <c r="FF167" s="262"/>
      <c r="FG167" s="262"/>
      <c r="FH167" s="262"/>
      <c r="FI167" s="262"/>
      <c r="FJ167" s="262"/>
      <c r="FK167" s="262"/>
      <c r="FL167" s="262"/>
      <c r="FM167" s="262"/>
      <c r="FN167" s="262"/>
      <c r="FO167" s="262"/>
      <c r="FP167" s="262"/>
      <c r="FQ167" s="262"/>
      <c r="FR167" s="262"/>
      <c r="FS167" s="262"/>
      <c r="FT167" s="262"/>
      <c r="FU167" s="262"/>
      <c r="FV167" s="262"/>
      <c r="FW167" s="262"/>
      <c r="FX167" s="262"/>
      <c r="FY167" s="262"/>
      <c r="FZ167" s="262"/>
      <c r="GA167" s="262"/>
      <c r="GB167" s="262"/>
      <c r="GC167" s="262"/>
      <c r="GD167" s="262"/>
      <c r="GE167" s="262"/>
      <c r="GF167" s="262"/>
      <c r="GG167" s="262"/>
      <c r="GH167" s="262"/>
      <c r="GI167" s="262"/>
      <c r="GJ167" s="262"/>
      <c r="GK167" s="262"/>
      <c r="GL167" s="262"/>
      <c r="GM167" s="262"/>
      <c r="GN167" s="262"/>
      <c r="GO167" s="262"/>
      <c r="GP167" s="262"/>
      <c r="GQ167" s="262"/>
      <c r="GR167" s="262"/>
      <c r="GS167" s="262"/>
      <c r="GT167" s="262"/>
      <c r="GU167" s="262"/>
      <c r="GV167" s="262"/>
      <c r="GW167" s="262"/>
      <c r="GX167" s="262"/>
      <c r="GY167" s="262"/>
      <c r="GZ167" s="262"/>
      <c r="HA167" s="262"/>
      <c r="HB167" s="262"/>
      <c r="HC167" s="262"/>
      <c r="HD167" s="262"/>
      <c r="HE167" s="262"/>
      <c r="HF167" s="262"/>
      <c r="HG167" s="262"/>
      <c r="HH167" s="262"/>
      <c r="HI167" s="262"/>
      <c r="HJ167" s="262"/>
      <c r="HK167" s="262"/>
      <c r="HL167" s="262"/>
      <c r="HM167" s="262"/>
      <c r="HN167" s="262"/>
      <c r="HO167" s="262"/>
      <c r="HP167" s="262"/>
      <c r="HQ167" s="262"/>
      <c r="HR167" s="262"/>
      <c r="HS167" s="262"/>
      <c r="HT167" s="262"/>
      <c r="HU167" s="262"/>
      <c r="HV167" s="262"/>
      <c r="HW167" s="262"/>
      <c r="HX167" s="262"/>
      <c r="HY167" s="262"/>
      <c r="HZ167" s="262"/>
      <c r="IA167" s="262"/>
      <c r="IB167" s="262"/>
      <c r="IC167" s="262"/>
      <c r="ID167" s="262"/>
      <c r="IE167" s="262"/>
      <c r="IF167" s="262"/>
      <c r="IG167" s="262"/>
      <c r="IH167" s="262"/>
      <c r="II167" s="262"/>
      <c r="IJ167" s="262"/>
      <c r="IK167" s="262"/>
      <c r="IL167" s="262"/>
      <c r="IM167" s="262"/>
      <c r="IN167" s="262"/>
      <c r="IO167" s="262"/>
      <c r="IP167" s="262"/>
      <c r="IQ167" s="262"/>
      <c r="IR167" s="262"/>
      <c r="IS167" s="262"/>
      <c r="IT167" s="262"/>
      <c r="IU167" s="262"/>
    </row>
    <row r="168" ht="18" hidden="1" customHeight="1" spans="1:255">
      <c r="A168" s="267">
        <v>4153</v>
      </c>
      <c r="B168" s="268" t="s">
        <v>1547</v>
      </c>
      <c r="C168" s="225" t="s">
        <v>1380</v>
      </c>
      <c r="D168" s="230">
        <v>62374.020319962</v>
      </c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  <c r="Z168" s="262"/>
      <c r="AA168" s="262"/>
      <c r="AB168" s="262"/>
      <c r="AC168" s="262"/>
      <c r="AD168" s="262"/>
      <c r="AE168" s="262"/>
      <c r="AF168" s="262"/>
      <c r="AG168" s="262"/>
      <c r="AH168" s="262"/>
      <c r="AI168" s="262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62"/>
      <c r="BH168" s="262"/>
      <c r="BI168" s="262"/>
      <c r="BJ168" s="262"/>
      <c r="BK168" s="262"/>
      <c r="BL168" s="262"/>
      <c r="BM168" s="262"/>
      <c r="BN168" s="262"/>
      <c r="BO168" s="262"/>
      <c r="BP168" s="262"/>
      <c r="BQ168" s="262"/>
      <c r="BR168" s="262"/>
      <c r="BS168" s="262"/>
      <c r="BT168" s="262"/>
      <c r="BU168" s="262"/>
      <c r="BV168" s="262"/>
      <c r="BW168" s="262"/>
      <c r="BX168" s="262"/>
      <c r="BY168" s="262"/>
      <c r="BZ168" s="262"/>
      <c r="CA168" s="262"/>
      <c r="CB168" s="262"/>
      <c r="CC168" s="262"/>
      <c r="CD168" s="262"/>
      <c r="CE168" s="262"/>
      <c r="CF168" s="262"/>
      <c r="CG168" s="262"/>
      <c r="CH168" s="262"/>
      <c r="CI168" s="262"/>
      <c r="CJ168" s="262"/>
      <c r="CK168" s="262"/>
      <c r="CL168" s="262"/>
      <c r="CM168" s="262"/>
      <c r="CN168" s="262"/>
      <c r="CO168" s="262"/>
      <c r="CP168" s="262"/>
      <c r="CQ168" s="262"/>
      <c r="CR168" s="262"/>
      <c r="CS168" s="262"/>
      <c r="CT168" s="262"/>
      <c r="CU168" s="262"/>
      <c r="CV168" s="262"/>
      <c r="CW168" s="262"/>
      <c r="CX168" s="262"/>
      <c r="CY168" s="262"/>
      <c r="CZ168" s="262"/>
      <c r="DA168" s="262"/>
      <c r="DB168" s="262"/>
      <c r="DC168" s="262"/>
      <c r="DD168" s="262"/>
      <c r="DE168" s="262"/>
      <c r="DF168" s="262"/>
      <c r="DG168" s="262"/>
      <c r="DH168" s="262"/>
      <c r="DI168" s="262"/>
      <c r="DJ168" s="262"/>
      <c r="DK168" s="262"/>
      <c r="DL168" s="262"/>
      <c r="DM168" s="262"/>
      <c r="DN168" s="262"/>
      <c r="DO168" s="262"/>
      <c r="DP168" s="262"/>
      <c r="DQ168" s="262"/>
      <c r="DR168" s="262"/>
      <c r="DS168" s="262"/>
      <c r="DT168" s="262"/>
      <c r="DU168" s="262"/>
      <c r="DV168" s="262"/>
      <c r="DW168" s="262"/>
      <c r="DX168" s="262"/>
      <c r="DY168" s="262"/>
      <c r="DZ168" s="262"/>
      <c r="EA168" s="262"/>
      <c r="EB168" s="262"/>
      <c r="EC168" s="262"/>
      <c r="ED168" s="262"/>
      <c r="EE168" s="262"/>
      <c r="EF168" s="262"/>
      <c r="EG168" s="262"/>
      <c r="EH168" s="262"/>
      <c r="EI168" s="262"/>
      <c r="EJ168" s="262"/>
      <c r="EK168" s="262"/>
      <c r="EL168" s="262"/>
      <c r="EM168" s="262"/>
      <c r="EN168" s="262"/>
      <c r="EO168" s="262"/>
      <c r="EP168" s="262"/>
      <c r="EQ168" s="262"/>
      <c r="ER168" s="262"/>
      <c r="ES168" s="262"/>
      <c r="ET168" s="262"/>
      <c r="EU168" s="262"/>
      <c r="EV168" s="262"/>
      <c r="EW168" s="262"/>
      <c r="EX168" s="262"/>
      <c r="EY168" s="262"/>
      <c r="EZ168" s="262"/>
      <c r="FA168" s="262"/>
      <c r="FB168" s="262"/>
      <c r="FC168" s="262"/>
      <c r="FD168" s="262"/>
      <c r="FE168" s="262"/>
      <c r="FF168" s="262"/>
      <c r="FG168" s="262"/>
      <c r="FH168" s="262"/>
      <c r="FI168" s="262"/>
      <c r="FJ168" s="262"/>
      <c r="FK168" s="262"/>
      <c r="FL168" s="262"/>
      <c r="FM168" s="262"/>
      <c r="FN168" s="262"/>
      <c r="FO168" s="262"/>
      <c r="FP168" s="262"/>
      <c r="FQ168" s="262"/>
      <c r="FR168" s="262"/>
      <c r="FS168" s="262"/>
      <c r="FT168" s="262"/>
      <c r="FU168" s="262"/>
      <c r="FV168" s="262"/>
      <c r="FW168" s="262"/>
      <c r="FX168" s="262"/>
      <c r="FY168" s="262"/>
      <c r="FZ168" s="262"/>
      <c r="GA168" s="262"/>
      <c r="GB168" s="262"/>
      <c r="GC168" s="262"/>
      <c r="GD168" s="262"/>
      <c r="GE168" s="262"/>
      <c r="GF168" s="262"/>
      <c r="GG168" s="262"/>
      <c r="GH168" s="262"/>
      <c r="GI168" s="262"/>
      <c r="GJ168" s="262"/>
      <c r="GK168" s="262"/>
      <c r="GL168" s="262"/>
      <c r="GM168" s="262"/>
      <c r="GN168" s="262"/>
      <c r="GO168" s="262"/>
      <c r="GP168" s="262"/>
      <c r="GQ168" s="262"/>
      <c r="GR168" s="262"/>
      <c r="GS168" s="262"/>
      <c r="GT168" s="262"/>
      <c r="GU168" s="262"/>
      <c r="GV168" s="262"/>
      <c r="GW168" s="262"/>
      <c r="GX168" s="262"/>
      <c r="GY168" s="262"/>
      <c r="GZ168" s="262"/>
      <c r="HA168" s="262"/>
      <c r="HB168" s="262"/>
      <c r="HC168" s="262"/>
      <c r="HD168" s="262"/>
      <c r="HE168" s="262"/>
      <c r="HF168" s="262"/>
      <c r="HG168" s="262"/>
      <c r="HH168" s="262"/>
      <c r="HI168" s="262"/>
      <c r="HJ168" s="262"/>
      <c r="HK168" s="262"/>
      <c r="HL168" s="262"/>
      <c r="HM168" s="262"/>
      <c r="HN168" s="262"/>
      <c r="HO168" s="262"/>
      <c r="HP168" s="262"/>
      <c r="HQ168" s="262"/>
      <c r="HR168" s="262"/>
      <c r="HS168" s="262"/>
      <c r="HT168" s="262"/>
      <c r="HU168" s="262"/>
      <c r="HV168" s="262"/>
      <c r="HW168" s="262"/>
      <c r="HX168" s="262"/>
      <c r="HY168" s="262"/>
      <c r="HZ168" s="262"/>
      <c r="IA168" s="262"/>
      <c r="IB168" s="262"/>
      <c r="IC168" s="262"/>
      <c r="ID168" s="262"/>
      <c r="IE168" s="262"/>
      <c r="IF168" s="262"/>
      <c r="IG168" s="262"/>
      <c r="IH168" s="262"/>
      <c r="II168" s="262"/>
      <c r="IJ168" s="262"/>
      <c r="IK168" s="262"/>
      <c r="IL168" s="262"/>
      <c r="IM168" s="262"/>
      <c r="IN168" s="262"/>
      <c r="IO168" s="262"/>
      <c r="IP168" s="262"/>
      <c r="IQ168" s="262"/>
      <c r="IR168" s="262"/>
      <c r="IS168" s="262"/>
      <c r="IT168" s="262"/>
      <c r="IU168" s="262"/>
    </row>
    <row r="169" ht="18" customHeight="1" spans="1:255">
      <c r="A169" s="267">
        <v>4163</v>
      </c>
      <c r="B169" s="268" t="s">
        <v>1548</v>
      </c>
      <c r="C169" s="225" t="s">
        <v>1380</v>
      </c>
      <c r="D169" s="230">
        <v>68239.363644957</v>
      </c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62"/>
      <c r="AG169" s="262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62"/>
      <c r="BH169" s="262"/>
      <c r="BI169" s="262"/>
      <c r="BJ169" s="262"/>
      <c r="BK169" s="262"/>
      <c r="BL169" s="262"/>
      <c r="BM169" s="262"/>
      <c r="BN169" s="262"/>
      <c r="BO169" s="262"/>
      <c r="BP169" s="262"/>
      <c r="BQ169" s="262"/>
      <c r="BR169" s="262"/>
      <c r="BS169" s="262"/>
      <c r="BT169" s="262"/>
      <c r="BU169" s="262"/>
      <c r="BV169" s="262"/>
      <c r="BW169" s="262"/>
      <c r="BX169" s="262"/>
      <c r="BY169" s="262"/>
      <c r="BZ169" s="262"/>
      <c r="CA169" s="262"/>
      <c r="CB169" s="262"/>
      <c r="CC169" s="262"/>
      <c r="CD169" s="262"/>
      <c r="CE169" s="262"/>
      <c r="CF169" s="262"/>
      <c r="CG169" s="262"/>
      <c r="CH169" s="262"/>
      <c r="CI169" s="262"/>
      <c r="CJ169" s="262"/>
      <c r="CK169" s="262"/>
      <c r="CL169" s="262"/>
      <c r="CM169" s="262"/>
      <c r="CN169" s="262"/>
      <c r="CO169" s="262"/>
      <c r="CP169" s="262"/>
      <c r="CQ169" s="262"/>
      <c r="CR169" s="262"/>
      <c r="CS169" s="262"/>
      <c r="CT169" s="262"/>
      <c r="CU169" s="262"/>
      <c r="CV169" s="262"/>
      <c r="CW169" s="262"/>
      <c r="CX169" s="262"/>
      <c r="CY169" s="262"/>
      <c r="CZ169" s="262"/>
      <c r="DA169" s="262"/>
      <c r="DB169" s="262"/>
      <c r="DC169" s="262"/>
      <c r="DD169" s="262"/>
      <c r="DE169" s="262"/>
      <c r="DF169" s="262"/>
      <c r="DG169" s="262"/>
      <c r="DH169" s="262"/>
      <c r="DI169" s="262"/>
      <c r="DJ169" s="262"/>
      <c r="DK169" s="262"/>
      <c r="DL169" s="262"/>
      <c r="DM169" s="262"/>
      <c r="DN169" s="262"/>
      <c r="DO169" s="262"/>
      <c r="DP169" s="262"/>
      <c r="DQ169" s="262"/>
      <c r="DR169" s="262"/>
      <c r="DS169" s="262"/>
      <c r="DT169" s="262"/>
      <c r="DU169" s="262"/>
      <c r="DV169" s="262"/>
      <c r="DW169" s="262"/>
      <c r="DX169" s="262"/>
      <c r="DY169" s="262"/>
      <c r="DZ169" s="262"/>
      <c r="EA169" s="262"/>
      <c r="EB169" s="262"/>
      <c r="EC169" s="262"/>
      <c r="ED169" s="262"/>
      <c r="EE169" s="262"/>
      <c r="EF169" s="262"/>
      <c r="EG169" s="262"/>
      <c r="EH169" s="262"/>
      <c r="EI169" s="262"/>
      <c r="EJ169" s="262"/>
      <c r="EK169" s="262"/>
      <c r="EL169" s="262"/>
      <c r="EM169" s="262"/>
      <c r="EN169" s="262"/>
      <c r="EO169" s="262"/>
      <c r="EP169" s="262"/>
      <c r="EQ169" s="262"/>
      <c r="ER169" s="262"/>
      <c r="ES169" s="262"/>
      <c r="ET169" s="262"/>
      <c r="EU169" s="262"/>
      <c r="EV169" s="262"/>
      <c r="EW169" s="262"/>
      <c r="EX169" s="262"/>
      <c r="EY169" s="262"/>
      <c r="EZ169" s="262"/>
      <c r="FA169" s="262"/>
      <c r="FB169" s="262"/>
      <c r="FC169" s="262"/>
      <c r="FD169" s="262"/>
      <c r="FE169" s="262"/>
      <c r="FF169" s="262"/>
      <c r="FG169" s="262"/>
      <c r="FH169" s="262"/>
      <c r="FI169" s="262"/>
      <c r="FJ169" s="262"/>
      <c r="FK169" s="262"/>
      <c r="FL169" s="262"/>
      <c r="FM169" s="262"/>
      <c r="FN169" s="262"/>
      <c r="FO169" s="262"/>
      <c r="FP169" s="262"/>
      <c r="FQ169" s="262"/>
      <c r="FR169" s="262"/>
      <c r="FS169" s="262"/>
      <c r="FT169" s="262"/>
      <c r="FU169" s="262"/>
      <c r="FV169" s="262"/>
      <c r="FW169" s="262"/>
      <c r="FX169" s="262"/>
      <c r="FY169" s="262"/>
      <c r="FZ169" s="262"/>
      <c r="GA169" s="262"/>
      <c r="GB169" s="262"/>
      <c r="GC169" s="262"/>
      <c r="GD169" s="262"/>
      <c r="GE169" s="262"/>
      <c r="GF169" s="262"/>
      <c r="GG169" s="262"/>
      <c r="GH169" s="262"/>
      <c r="GI169" s="262"/>
      <c r="GJ169" s="262"/>
      <c r="GK169" s="262"/>
      <c r="GL169" s="262"/>
      <c r="GM169" s="262"/>
      <c r="GN169" s="262"/>
      <c r="GO169" s="262"/>
      <c r="GP169" s="262"/>
      <c r="GQ169" s="262"/>
      <c r="GR169" s="262"/>
      <c r="GS169" s="262"/>
      <c r="GT169" s="262"/>
      <c r="GU169" s="262"/>
      <c r="GV169" s="262"/>
      <c r="GW169" s="262"/>
      <c r="GX169" s="262"/>
      <c r="GY169" s="262"/>
      <c r="GZ169" s="262"/>
      <c r="HA169" s="262"/>
      <c r="HB169" s="262"/>
      <c r="HC169" s="262"/>
      <c r="HD169" s="262"/>
      <c r="HE169" s="262"/>
      <c r="HF169" s="262"/>
      <c r="HG169" s="262"/>
      <c r="HH169" s="262"/>
      <c r="HI169" s="262"/>
      <c r="HJ169" s="262"/>
      <c r="HK169" s="262"/>
      <c r="HL169" s="262"/>
      <c r="HM169" s="262"/>
      <c r="HN169" s="262"/>
      <c r="HO169" s="262"/>
      <c r="HP169" s="262"/>
      <c r="HQ169" s="262"/>
      <c r="HR169" s="262"/>
      <c r="HS169" s="262"/>
      <c r="HT169" s="262"/>
      <c r="HU169" s="262"/>
      <c r="HV169" s="262"/>
      <c r="HW169" s="262"/>
      <c r="HX169" s="262"/>
      <c r="HY169" s="262"/>
      <c r="HZ169" s="262"/>
      <c r="IA169" s="262"/>
      <c r="IB169" s="262"/>
      <c r="IC169" s="262"/>
      <c r="ID169" s="262"/>
      <c r="IE169" s="262"/>
      <c r="IF169" s="262"/>
      <c r="IG169" s="262"/>
      <c r="IH169" s="262"/>
      <c r="II169" s="262"/>
      <c r="IJ169" s="262"/>
      <c r="IK169" s="262"/>
      <c r="IL169" s="262"/>
      <c r="IM169" s="262"/>
      <c r="IN169" s="262"/>
      <c r="IO169" s="262"/>
      <c r="IP169" s="262"/>
      <c r="IQ169" s="262"/>
      <c r="IR169" s="262"/>
      <c r="IS169" s="262"/>
      <c r="IT169" s="262"/>
      <c r="IU169" s="262"/>
    </row>
    <row r="170" ht="18" customHeight="1" spans="1:255">
      <c r="A170" s="267">
        <v>4174</v>
      </c>
      <c r="B170" s="268" t="s">
        <v>1549</v>
      </c>
      <c r="C170" s="225" t="s">
        <v>1380</v>
      </c>
      <c r="D170" s="230">
        <v>71447.9309197312</v>
      </c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62"/>
      <c r="AG170" s="262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62"/>
      <c r="BH170" s="262"/>
      <c r="BI170" s="262"/>
      <c r="BJ170" s="262"/>
      <c r="BK170" s="262"/>
      <c r="BL170" s="262"/>
      <c r="BM170" s="262"/>
      <c r="BN170" s="262"/>
      <c r="BO170" s="262"/>
      <c r="BP170" s="262"/>
      <c r="BQ170" s="262"/>
      <c r="BR170" s="262"/>
      <c r="BS170" s="262"/>
      <c r="BT170" s="262"/>
      <c r="BU170" s="262"/>
      <c r="BV170" s="262"/>
      <c r="BW170" s="262"/>
      <c r="BX170" s="262"/>
      <c r="BY170" s="262"/>
      <c r="BZ170" s="262"/>
      <c r="CA170" s="262"/>
      <c r="CB170" s="262"/>
      <c r="CC170" s="262"/>
      <c r="CD170" s="262"/>
      <c r="CE170" s="262"/>
      <c r="CF170" s="262"/>
      <c r="CG170" s="262"/>
      <c r="CH170" s="262"/>
      <c r="CI170" s="262"/>
      <c r="CJ170" s="262"/>
      <c r="CK170" s="262"/>
      <c r="CL170" s="262"/>
      <c r="CM170" s="262"/>
      <c r="CN170" s="262"/>
      <c r="CO170" s="262"/>
      <c r="CP170" s="262"/>
      <c r="CQ170" s="262"/>
      <c r="CR170" s="262"/>
      <c r="CS170" s="262"/>
      <c r="CT170" s="262"/>
      <c r="CU170" s="262"/>
      <c r="CV170" s="262"/>
      <c r="CW170" s="262"/>
      <c r="CX170" s="262"/>
      <c r="CY170" s="262"/>
      <c r="CZ170" s="262"/>
      <c r="DA170" s="262"/>
      <c r="DB170" s="262"/>
      <c r="DC170" s="262"/>
      <c r="DD170" s="262"/>
      <c r="DE170" s="262"/>
      <c r="DF170" s="262"/>
      <c r="DG170" s="262"/>
      <c r="DH170" s="262"/>
      <c r="DI170" s="262"/>
      <c r="DJ170" s="262"/>
      <c r="DK170" s="262"/>
      <c r="DL170" s="262"/>
      <c r="DM170" s="262"/>
      <c r="DN170" s="262"/>
      <c r="DO170" s="262"/>
      <c r="DP170" s="262"/>
      <c r="DQ170" s="262"/>
      <c r="DR170" s="262"/>
      <c r="DS170" s="262"/>
      <c r="DT170" s="262"/>
      <c r="DU170" s="262"/>
      <c r="DV170" s="262"/>
      <c r="DW170" s="262"/>
      <c r="DX170" s="262"/>
      <c r="DY170" s="262"/>
      <c r="DZ170" s="262"/>
      <c r="EA170" s="262"/>
      <c r="EB170" s="262"/>
      <c r="EC170" s="262"/>
      <c r="ED170" s="262"/>
      <c r="EE170" s="262"/>
      <c r="EF170" s="262"/>
      <c r="EG170" s="262"/>
      <c r="EH170" s="262"/>
      <c r="EI170" s="262"/>
      <c r="EJ170" s="262"/>
      <c r="EK170" s="262"/>
      <c r="EL170" s="262"/>
      <c r="EM170" s="262"/>
      <c r="EN170" s="262"/>
      <c r="EO170" s="262"/>
      <c r="EP170" s="262"/>
      <c r="EQ170" s="262"/>
      <c r="ER170" s="262"/>
      <c r="ES170" s="262"/>
      <c r="ET170" s="262"/>
      <c r="EU170" s="262"/>
      <c r="EV170" s="262"/>
      <c r="EW170" s="262"/>
      <c r="EX170" s="262"/>
      <c r="EY170" s="262"/>
      <c r="EZ170" s="262"/>
      <c r="FA170" s="262"/>
      <c r="FB170" s="262"/>
      <c r="FC170" s="262"/>
      <c r="FD170" s="262"/>
      <c r="FE170" s="262"/>
      <c r="FF170" s="262"/>
      <c r="FG170" s="262"/>
      <c r="FH170" s="262"/>
      <c r="FI170" s="262"/>
      <c r="FJ170" s="262"/>
      <c r="FK170" s="262"/>
      <c r="FL170" s="262"/>
      <c r="FM170" s="262"/>
      <c r="FN170" s="262"/>
      <c r="FO170" s="262"/>
      <c r="FP170" s="262"/>
      <c r="FQ170" s="262"/>
      <c r="FR170" s="262"/>
      <c r="FS170" s="262"/>
      <c r="FT170" s="262"/>
      <c r="FU170" s="262"/>
      <c r="FV170" s="262"/>
      <c r="FW170" s="262"/>
      <c r="FX170" s="262"/>
      <c r="FY170" s="262"/>
      <c r="FZ170" s="262"/>
      <c r="GA170" s="262"/>
      <c r="GB170" s="262"/>
      <c r="GC170" s="262"/>
      <c r="GD170" s="262"/>
      <c r="GE170" s="262"/>
      <c r="GF170" s="262"/>
      <c r="GG170" s="262"/>
      <c r="GH170" s="262"/>
      <c r="GI170" s="262"/>
      <c r="GJ170" s="262"/>
      <c r="GK170" s="262"/>
      <c r="GL170" s="262"/>
      <c r="GM170" s="262"/>
      <c r="GN170" s="262"/>
      <c r="GO170" s="262"/>
      <c r="GP170" s="262"/>
      <c r="GQ170" s="262"/>
      <c r="GR170" s="262"/>
      <c r="GS170" s="262"/>
      <c r="GT170" s="262"/>
      <c r="GU170" s="262"/>
      <c r="GV170" s="262"/>
      <c r="GW170" s="262"/>
      <c r="GX170" s="262"/>
      <c r="GY170" s="262"/>
      <c r="GZ170" s="262"/>
      <c r="HA170" s="262"/>
      <c r="HB170" s="262"/>
      <c r="HC170" s="262"/>
      <c r="HD170" s="262"/>
      <c r="HE170" s="262"/>
      <c r="HF170" s="262"/>
      <c r="HG170" s="262"/>
      <c r="HH170" s="262"/>
      <c r="HI170" s="262"/>
      <c r="HJ170" s="262"/>
      <c r="HK170" s="262"/>
      <c r="HL170" s="262"/>
      <c r="HM170" s="262"/>
      <c r="HN170" s="262"/>
      <c r="HO170" s="262"/>
      <c r="HP170" s="262"/>
      <c r="HQ170" s="262"/>
      <c r="HR170" s="262"/>
      <c r="HS170" s="262"/>
      <c r="HT170" s="262"/>
      <c r="HU170" s="262"/>
      <c r="HV170" s="262"/>
      <c r="HW170" s="262"/>
      <c r="HX170" s="262"/>
      <c r="HY170" s="262"/>
      <c r="HZ170" s="262"/>
      <c r="IA170" s="262"/>
      <c r="IB170" s="262"/>
      <c r="IC170" s="262"/>
      <c r="ID170" s="262"/>
      <c r="IE170" s="262"/>
      <c r="IF170" s="262"/>
      <c r="IG170" s="262"/>
      <c r="IH170" s="262"/>
      <c r="II170" s="262"/>
      <c r="IJ170" s="262"/>
      <c r="IK170" s="262"/>
      <c r="IL170" s="262"/>
      <c r="IM170" s="262"/>
      <c r="IN170" s="262"/>
      <c r="IO170" s="262"/>
      <c r="IP170" s="262"/>
      <c r="IQ170" s="262"/>
      <c r="IR170" s="262"/>
      <c r="IS170" s="262"/>
      <c r="IT170" s="262"/>
      <c r="IU170" s="262"/>
    </row>
    <row r="171" ht="18" hidden="1" customHeight="1" spans="1:255">
      <c r="A171" s="267">
        <v>4175</v>
      </c>
      <c r="B171" s="268" t="s">
        <v>1550</v>
      </c>
      <c r="C171" s="225" t="s">
        <v>1380</v>
      </c>
      <c r="D171" s="230">
        <v>160219.598869829</v>
      </c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  <c r="AC171" s="262"/>
      <c r="AD171" s="262"/>
      <c r="AE171" s="262"/>
      <c r="AF171" s="262"/>
      <c r="AG171" s="262"/>
      <c r="AH171" s="262"/>
      <c r="AI171" s="262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62"/>
      <c r="BH171" s="262"/>
      <c r="BI171" s="262"/>
      <c r="BJ171" s="262"/>
      <c r="BK171" s="262"/>
      <c r="BL171" s="262"/>
      <c r="BM171" s="262"/>
      <c r="BN171" s="262"/>
      <c r="BO171" s="262"/>
      <c r="BP171" s="262"/>
      <c r="BQ171" s="262"/>
      <c r="BR171" s="262"/>
      <c r="BS171" s="262"/>
      <c r="BT171" s="262"/>
      <c r="BU171" s="262"/>
      <c r="BV171" s="262"/>
      <c r="BW171" s="262"/>
      <c r="BX171" s="262"/>
      <c r="BY171" s="262"/>
      <c r="BZ171" s="262"/>
      <c r="CA171" s="262"/>
      <c r="CB171" s="262"/>
      <c r="CC171" s="262"/>
      <c r="CD171" s="262"/>
      <c r="CE171" s="262"/>
      <c r="CF171" s="262"/>
      <c r="CG171" s="262"/>
      <c r="CH171" s="262"/>
      <c r="CI171" s="262"/>
      <c r="CJ171" s="262"/>
      <c r="CK171" s="262"/>
      <c r="CL171" s="262"/>
      <c r="CM171" s="262"/>
      <c r="CN171" s="262"/>
      <c r="CO171" s="262"/>
      <c r="CP171" s="262"/>
      <c r="CQ171" s="262"/>
      <c r="CR171" s="262"/>
      <c r="CS171" s="262"/>
      <c r="CT171" s="262"/>
      <c r="CU171" s="262"/>
      <c r="CV171" s="262"/>
      <c r="CW171" s="262"/>
      <c r="CX171" s="262"/>
      <c r="CY171" s="262"/>
      <c r="CZ171" s="262"/>
      <c r="DA171" s="262"/>
      <c r="DB171" s="262"/>
      <c r="DC171" s="262"/>
      <c r="DD171" s="262"/>
      <c r="DE171" s="262"/>
      <c r="DF171" s="262"/>
      <c r="DG171" s="262"/>
      <c r="DH171" s="262"/>
      <c r="DI171" s="262"/>
      <c r="DJ171" s="262"/>
      <c r="DK171" s="262"/>
      <c r="DL171" s="262"/>
      <c r="DM171" s="262"/>
      <c r="DN171" s="262"/>
      <c r="DO171" s="262"/>
      <c r="DP171" s="262"/>
      <c r="DQ171" s="262"/>
      <c r="DR171" s="262"/>
      <c r="DS171" s="262"/>
      <c r="DT171" s="262"/>
      <c r="DU171" s="262"/>
      <c r="DV171" s="262"/>
      <c r="DW171" s="262"/>
      <c r="DX171" s="262"/>
      <c r="DY171" s="262"/>
      <c r="DZ171" s="262"/>
      <c r="EA171" s="262"/>
      <c r="EB171" s="262"/>
      <c r="EC171" s="262"/>
      <c r="ED171" s="262"/>
      <c r="EE171" s="262"/>
      <c r="EF171" s="262"/>
      <c r="EG171" s="262"/>
      <c r="EH171" s="262"/>
      <c r="EI171" s="262"/>
      <c r="EJ171" s="262"/>
      <c r="EK171" s="262"/>
      <c r="EL171" s="262"/>
      <c r="EM171" s="262"/>
      <c r="EN171" s="262"/>
      <c r="EO171" s="262"/>
      <c r="EP171" s="262"/>
      <c r="EQ171" s="262"/>
      <c r="ER171" s="262"/>
      <c r="ES171" s="262"/>
      <c r="ET171" s="262"/>
      <c r="EU171" s="262"/>
      <c r="EV171" s="262"/>
      <c r="EW171" s="262"/>
      <c r="EX171" s="262"/>
      <c r="EY171" s="262"/>
      <c r="EZ171" s="262"/>
      <c r="FA171" s="262"/>
      <c r="FB171" s="262"/>
      <c r="FC171" s="262"/>
      <c r="FD171" s="262"/>
      <c r="FE171" s="262"/>
      <c r="FF171" s="262"/>
      <c r="FG171" s="262"/>
      <c r="FH171" s="262"/>
      <c r="FI171" s="262"/>
      <c r="FJ171" s="262"/>
      <c r="FK171" s="262"/>
      <c r="FL171" s="262"/>
      <c r="FM171" s="262"/>
      <c r="FN171" s="262"/>
      <c r="FO171" s="262"/>
      <c r="FP171" s="262"/>
      <c r="FQ171" s="262"/>
      <c r="FR171" s="262"/>
      <c r="FS171" s="262"/>
      <c r="FT171" s="262"/>
      <c r="FU171" s="262"/>
      <c r="FV171" s="262"/>
      <c r="FW171" s="262"/>
      <c r="FX171" s="262"/>
      <c r="FY171" s="262"/>
      <c r="FZ171" s="262"/>
      <c r="GA171" s="262"/>
      <c r="GB171" s="262"/>
      <c r="GC171" s="262"/>
      <c r="GD171" s="262"/>
      <c r="GE171" s="262"/>
      <c r="GF171" s="262"/>
      <c r="GG171" s="262"/>
      <c r="GH171" s="262"/>
      <c r="GI171" s="262"/>
      <c r="GJ171" s="262"/>
      <c r="GK171" s="262"/>
      <c r="GL171" s="262"/>
      <c r="GM171" s="262"/>
      <c r="GN171" s="262"/>
      <c r="GO171" s="262"/>
      <c r="GP171" s="262"/>
      <c r="GQ171" s="262"/>
      <c r="GR171" s="262"/>
      <c r="GS171" s="262"/>
      <c r="GT171" s="262"/>
      <c r="GU171" s="262"/>
      <c r="GV171" s="262"/>
      <c r="GW171" s="262"/>
      <c r="GX171" s="262"/>
      <c r="GY171" s="262"/>
      <c r="GZ171" s="262"/>
      <c r="HA171" s="262"/>
      <c r="HB171" s="262"/>
      <c r="HC171" s="262"/>
      <c r="HD171" s="262"/>
      <c r="HE171" s="262"/>
      <c r="HF171" s="262"/>
      <c r="HG171" s="262"/>
      <c r="HH171" s="262"/>
      <c r="HI171" s="262"/>
      <c r="HJ171" s="262"/>
      <c r="HK171" s="262"/>
      <c r="HL171" s="262"/>
      <c r="HM171" s="262"/>
      <c r="HN171" s="262"/>
      <c r="HO171" s="262"/>
      <c r="HP171" s="262"/>
      <c r="HQ171" s="262"/>
      <c r="HR171" s="262"/>
      <c r="HS171" s="262"/>
      <c r="HT171" s="262"/>
      <c r="HU171" s="262"/>
      <c r="HV171" s="262"/>
      <c r="HW171" s="262"/>
      <c r="HX171" s="262"/>
      <c r="HY171" s="262"/>
      <c r="HZ171" s="262"/>
      <c r="IA171" s="262"/>
      <c r="IB171" s="262"/>
      <c r="IC171" s="262"/>
      <c r="ID171" s="262"/>
      <c r="IE171" s="262"/>
      <c r="IF171" s="262"/>
      <c r="IG171" s="262"/>
      <c r="IH171" s="262"/>
      <c r="II171" s="262"/>
      <c r="IJ171" s="262"/>
      <c r="IK171" s="262"/>
      <c r="IL171" s="262"/>
      <c r="IM171" s="262"/>
      <c r="IN171" s="262"/>
      <c r="IO171" s="262"/>
      <c r="IP171" s="262"/>
      <c r="IQ171" s="262"/>
      <c r="IR171" s="262"/>
      <c r="IS171" s="262"/>
      <c r="IT171" s="262"/>
      <c r="IU171" s="262"/>
    </row>
    <row r="172" ht="18" hidden="1" customHeight="1" spans="1:255">
      <c r="A172" s="267">
        <v>4176</v>
      </c>
      <c r="B172" s="268" t="s">
        <v>1551</v>
      </c>
      <c r="C172" s="225" t="s">
        <v>1380</v>
      </c>
      <c r="D172" s="230">
        <v>108696.176360707</v>
      </c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  <c r="Z172" s="262"/>
      <c r="AA172" s="262"/>
      <c r="AB172" s="262"/>
      <c r="AC172" s="262"/>
      <c r="AD172" s="262"/>
      <c r="AE172" s="262"/>
      <c r="AF172" s="262"/>
      <c r="AG172" s="262"/>
      <c r="AH172" s="262"/>
      <c r="AI172" s="262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62"/>
      <c r="BH172" s="262"/>
      <c r="BI172" s="262"/>
      <c r="BJ172" s="262"/>
      <c r="BK172" s="262"/>
      <c r="BL172" s="262"/>
      <c r="BM172" s="262"/>
      <c r="BN172" s="262"/>
      <c r="BO172" s="262"/>
      <c r="BP172" s="262"/>
      <c r="BQ172" s="262"/>
      <c r="BR172" s="262"/>
      <c r="BS172" s="262"/>
      <c r="BT172" s="262"/>
      <c r="BU172" s="262"/>
      <c r="BV172" s="262"/>
      <c r="BW172" s="262"/>
      <c r="BX172" s="262"/>
      <c r="BY172" s="262"/>
      <c r="BZ172" s="262"/>
      <c r="CA172" s="262"/>
      <c r="CB172" s="262"/>
      <c r="CC172" s="262"/>
      <c r="CD172" s="262"/>
      <c r="CE172" s="262"/>
      <c r="CF172" s="262"/>
      <c r="CG172" s="262"/>
      <c r="CH172" s="262"/>
      <c r="CI172" s="262"/>
      <c r="CJ172" s="262"/>
      <c r="CK172" s="262"/>
      <c r="CL172" s="262"/>
      <c r="CM172" s="262"/>
      <c r="CN172" s="262"/>
      <c r="CO172" s="262"/>
      <c r="CP172" s="262"/>
      <c r="CQ172" s="262"/>
      <c r="CR172" s="262"/>
      <c r="CS172" s="262"/>
      <c r="CT172" s="262"/>
      <c r="CU172" s="262"/>
      <c r="CV172" s="262"/>
      <c r="CW172" s="262"/>
      <c r="CX172" s="262"/>
      <c r="CY172" s="262"/>
      <c r="CZ172" s="262"/>
      <c r="DA172" s="262"/>
      <c r="DB172" s="262"/>
      <c r="DC172" s="262"/>
      <c r="DD172" s="262"/>
      <c r="DE172" s="262"/>
      <c r="DF172" s="262"/>
      <c r="DG172" s="262"/>
      <c r="DH172" s="262"/>
      <c r="DI172" s="262"/>
      <c r="DJ172" s="262"/>
      <c r="DK172" s="262"/>
      <c r="DL172" s="262"/>
      <c r="DM172" s="262"/>
      <c r="DN172" s="262"/>
      <c r="DO172" s="262"/>
      <c r="DP172" s="262"/>
      <c r="DQ172" s="262"/>
      <c r="DR172" s="262"/>
      <c r="DS172" s="262"/>
      <c r="DT172" s="262"/>
      <c r="DU172" s="262"/>
      <c r="DV172" s="262"/>
      <c r="DW172" s="262"/>
      <c r="DX172" s="262"/>
      <c r="DY172" s="262"/>
      <c r="DZ172" s="262"/>
      <c r="EA172" s="262"/>
      <c r="EB172" s="262"/>
      <c r="EC172" s="262"/>
      <c r="ED172" s="262"/>
      <c r="EE172" s="262"/>
      <c r="EF172" s="262"/>
      <c r="EG172" s="262"/>
      <c r="EH172" s="262"/>
      <c r="EI172" s="262"/>
      <c r="EJ172" s="262"/>
      <c r="EK172" s="262"/>
      <c r="EL172" s="262"/>
      <c r="EM172" s="262"/>
      <c r="EN172" s="262"/>
      <c r="EO172" s="262"/>
      <c r="EP172" s="262"/>
      <c r="EQ172" s="262"/>
      <c r="ER172" s="262"/>
      <c r="ES172" s="262"/>
      <c r="ET172" s="262"/>
      <c r="EU172" s="262"/>
      <c r="EV172" s="262"/>
      <c r="EW172" s="262"/>
      <c r="EX172" s="262"/>
      <c r="EY172" s="262"/>
      <c r="EZ172" s="262"/>
      <c r="FA172" s="262"/>
      <c r="FB172" s="262"/>
      <c r="FC172" s="262"/>
      <c r="FD172" s="262"/>
      <c r="FE172" s="262"/>
      <c r="FF172" s="262"/>
      <c r="FG172" s="262"/>
      <c r="FH172" s="262"/>
      <c r="FI172" s="262"/>
      <c r="FJ172" s="262"/>
      <c r="FK172" s="262"/>
      <c r="FL172" s="262"/>
      <c r="FM172" s="262"/>
      <c r="FN172" s="262"/>
      <c r="FO172" s="262"/>
      <c r="FP172" s="262"/>
      <c r="FQ172" s="262"/>
      <c r="FR172" s="262"/>
      <c r="FS172" s="262"/>
      <c r="FT172" s="262"/>
      <c r="FU172" s="262"/>
      <c r="FV172" s="262"/>
      <c r="FW172" s="262"/>
      <c r="FX172" s="262"/>
      <c r="FY172" s="262"/>
      <c r="FZ172" s="262"/>
      <c r="GA172" s="262"/>
      <c r="GB172" s="262"/>
      <c r="GC172" s="262"/>
      <c r="GD172" s="262"/>
      <c r="GE172" s="262"/>
      <c r="GF172" s="262"/>
      <c r="GG172" s="262"/>
      <c r="GH172" s="262"/>
      <c r="GI172" s="262"/>
      <c r="GJ172" s="262"/>
      <c r="GK172" s="262"/>
      <c r="GL172" s="262"/>
      <c r="GM172" s="262"/>
      <c r="GN172" s="262"/>
      <c r="GO172" s="262"/>
      <c r="GP172" s="262"/>
      <c r="GQ172" s="262"/>
      <c r="GR172" s="262"/>
      <c r="GS172" s="262"/>
      <c r="GT172" s="262"/>
      <c r="GU172" s="262"/>
      <c r="GV172" s="262"/>
      <c r="GW172" s="262"/>
      <c r="GX172" s="262"/>
      <c r="GY172" s="262"/>
      <c r="GZ172" s="262"/>
      <c r="HA172" s="262"/>
      <c r="HB172" s="262"/>
      <c r="HC172" s="262"/>
      <c r="HD172" s="262"/>
      <c r="HE172" s="262"/>
      <c r="HF172" s="262"/>
      <c r="HG172" s="262"/>
      <c r="HH172" s="262"/>
      <c r="HI172" s="262"/>
      <c r="HJ172" s="262"/>
      <c r="HK172" s="262"/>
      <c r="HL172" s="262"/>
      <c r="HM172" s="262"/>
      <c r="HN172" s="262"/>
      <c r="HO172" s="262"/>
      <c r="HP172" s="262"/>
      <c r="HQ172" s="262"/>
      <c r="HR172" s="262"/>
      <c r="HS172" s="262"/>
      <c r="HT172" s="262"/>
      <c r="HU172" s="262"/>
      <c r="HV172" s="262"/>
      <c r="HW172" s="262"/>
      <c r="HX172" s="262"/>
      <c r="HY172" s="262"/>
      <c r="HZ172" s="262"/>
      <c r="IA172" s="262"/>
      <c r="IB172" s="262"/>
      <c r="IC172" s="262"/>
      <c r="ID172" s="262"/>
      <c r="IE172" s="262"/>
      <c r="IF172" s="262"/>
      <c r="IG172" s="262"/>
      <c r="IH172" s="262"/>
      <c r="II172" s="262"/>
      <c r="IJ172" s="262"/>
      <c r="IK172" s="262"/>
      <c r="IL172" s="262"/>
      <c r="IM172" s="262"/>
      <c r="IN172" s="262"/>
      <c r="IO172" s="262"/>
      <c r="IP172" s="262"/>
      <c r="IQ172" s="262"/>
      <c r="IR172" s="262"/>
      <c r="IS172" s="262"/>
      <c r="IT172" s="262"/>
      <c r="IU172" s="262"/>
    </row>
    <row r="173" s="262" customFormat="1" ht="18" customHeight="1" spans="1:256">
      <c r="A173" s="267">
        <v>4182</v>
      </c>
      <c r="B173" s="268" t="s">
        <v>1552</v>
      </c>
      <c r="C173" s="225" t="s">
        <v>1380</v>
      </c>
      <c r="D173" s="230">
        <v>68565.4676926322</v>
      </c>
      <c r="IV173" s="263"/>
    </row>
    <row r="174" ht="18" customHeight="1" spans="1:255">
      <c r="A174" s="267">
        <v>4190</v>
      </c>
      <c r="B174" s="268" t="s">
        <v>1553</v>
      </c>
      <c r="C174" s="225" t="s">
        <v>1380</v>
      </c>
      <c r="D174" s="230">
        <v>17453.6821647939</v>
      </c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2"/>
      <c r="X174" s="262"/>
      <c r="Y174" s="262"/>
      <c r="Z174" s="262"/>
      <c r="AA174" s="262"/>
      <c r="AB174" s="262"/>
      <c r="AC174" s="262"/>
      <c r="AD174" s="262"/>
      <c r="AE174" s="262"/>
      <c r="AF174" s="262"/>
      <c r="AG174" s="262"/>
      <c r="AH174" s="262"/>
      <c r="AI174" s="262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62"/>
      <c r="BH174" s="262"/>
      <c r="BI174" s="262"/>
      <c r="BJ174" s="262"/>
      <c r="BK174" s="262"/>
      <c r="BL174" s="262"/>
      <c r="BM174" s="262"/>
      <c r="BN174" s="262"/>
      <c r="BO174" s="262"/>
      <c r="BP174" s="262"/>
      <c r="BQ174" s="262"/>
      <c r="BR174" s="262"/>
      <c r="BS174" s="262"/>
      <c r="BT174" s="262"/>
      <c r="BU174" s="262"/>
      <c r="BV174" s="262"/>
      <c r="BW174" s="262"/>
      <c r="BX174" s="262"/>
      <c r="BY174" s="262"/>
      <c r="BZ174" s="262"/>
      <c r="CA174" s="262"/>
      <c r="CB174" s="262"/>
      <c r="CC174" s="262"/>
      <c r="CD174" s="262"/>
      <c r="CE174" s="262"/>
      <c r="CF174" s="262"/>
      <c r="CG174" s="262"/>
      <c r="CH174" s="262"/>
      <c r="CI174" s="262"/>
      <c r="CJ174" s="262"/>
      <c r="CK174" s="262"/>
      <c r="CL174" s="262"/>
      <c r="CM174" s="262"/>
      <c r="CN174" s="262"/>
      <c r="CO174" s="262"/>
      <c r="CP174" s="262"/>
      <c r="CQ174" s="262"/>
      <c r="CR174" s="262"/>
      <c r="CS174" s="262"/>
      <c r="CT174" s="262"/>
      <c r="CU174" s="262"/>
      <c r="CV174" s="262"/>
      <c r="CW174" s="262"/>
      <c r="CX174" s="262"/>
      <c r="CY174" s="262"/>
      <c r="CZ174" s="262"/>
      <c r="DA174" s="262"/>
      <c r="DB174" s="262"/>
      <c r="DC174" s="262"/>
      <c r="DD174" s="262"/>
      <c r="DE174" s="262"/>
      <c r="DF174" s="262"/>
      <c r="DG174" s="262"/>
      <c r="DH174" s="262"/>
      <c r="DI174" s="262"/>
      <c r="DJ174" s="262"/>
      <c r="DK174" s="262"/>
      <c r="DL174" s="262"/>
      <c r="DM174" s="262"/>
      <c r="DN174" s="262"/>
      <c r="DO174" s="262"/>
      <c r="DP174" s="262"/>
      <c r="DQ174" s="262"/>
      <c r="DR174" s="262"/>
      <c r="DS174" s="262"/>
      <c r="DT174" s="262"/>
      <c r="DU174" s="262"/>
      <c r="DV174" s="262"/>
      <c r="DW174" s="262"/>
      <c r="DX174" s="262"/>
      <c r="DY174" s="262"/>
      <c r="DZ174" s="262"/>
      <c r="EA174" s="262"/>
      <c r="EB174" s="262"/>
      <c r="EC174" s="262"/>
      <c r="ED174" s="262"/>
      <c r="EE174" s="262"/>
      <c r="EF174" s="262"/>
      <c r="EG174" s="262"/>
      <c r="EH174" s="262"/>
      <c r="EI174" s="262"/>
      <c r="EJ174" s="262"/>
      <c r="EK174" s="262"/>
      <c r="EL174" s="262"/>
      <c r="EM174" s="262"/>
      <c r="EN174" s="262"/>
      <c r="EO174" s="262"/>
      <c r="EP174" s="262"/>
      <c r="EQ174" s="262"/>
      <c r="ER174" s="262"/>
      <c r="ES174" s="262"/>
      <c r="ET174" s="262"/>
      <c r="EU174" s="262"/>
      <c r="EV174" s="262"/>
      <c r="EW174" s="262"/>
      <c r="EX174" s="262"/>
      <c r="EY174" s="262"/>
      <c r="EZ174" s="262"/>
      <c r="FA174" s="262"/>
      <c r="FB174" s="262"/>
      <c r="FC174" s="262"/>
      <c r="FD174" s="262"/>
      <c r="FE174" s="262"/>
      <c r="FF174" s="262"/>
      <c r="FG174" s="262"/>
      <c r="FH174" s="262"/>
      <c r="FI174" s="262"/>
      <c r="FJ174" s="262"/>
      <c r="FK174" s="262"/>
      <c r="FL174" s="262"/>
      <c r="FM174" s="262"/>
      <c r="FN174" s="262"/>
      <c r="FO174" s="262"/>
      <c r="FP174" s="262"/>
      <c r="FQ174" s="262"/>
      <c r="FR174" s="262"/>
      <c r="FS174" s="262"/>
      <c r="FT174" s="262"/>
      <c r="FU174" s="262"/>
      <c r="FV174" s="262"/>
      <c r="FW174" s="262"/>
      <c r="FX174" s="262"/>
      <c r="FY174" s="262"/>
      <c r="FZ174" s="262"/>
      <c r="GA174" s="262"/>
      <c r="GB174" s="262"/>
      <c r="GC174" s="262"/>
      <c r="GD174" s="262"/>
      <c r="GE174" s="262"/>
      <c r="GF174" s="262"/>
      <c r="GG174" s="262"/>
      <c r="GH174" s="262"/>
      <c r="GI174" s="262"/>
      <c r="GJ174" s="262"/>
      <c r="GK174" s="262"/>
      <c r="GL174" s="262"/>
      <c r="GM174" s="262"/>
      <c r="GN174" s="262"/>
      <c r="GO174" s="262"/>
      <c r="GP174" s="262"/>
      <c r="GQ174" s="262"/>
      <c r="GR174" s="262"/>
      <c r="GS174" s="262"/>
      <c r="GT174" s="262"/>
      <c r="GU174" s="262"/>
      <c r="GV174" s="262"/>
      <c r="GW174" s="262"/>
      <c r="GX174" s="262"/>
      <c r="GY174" s="262"/>
      <c r="GZ174" s="262"/>
      <c r="HA174" s="262"/>
      <c r="HB174" s="262"/>
      <c r="HC174" s="262"/>
      <c r="HD174" s="262"/>
      <c r="HE174" s="262"/>
      <c r="HF174" s="262"/>
      <c r="HG174" s="262"/>
      <c r="HH174" s="262"/>
      <c r="HI174" s="262"/>
      <c r="HJ174" s="262"/>
      <c r="HK174" s="262"/>
      <c r="HL174" s="262"/>
      <c r="HM174" s="262"/>
      <c r="HN174" s="262"/>
      <c r="HO174" s="262"/>
      <c r="HP174" s="262"/>
      <c r="HQ174" s="262"/>
      <c r="HR174" s="262"/>
      <c r="HS174" s="262"/>
      <c r="HT174" s="262"/>
      <c r="HU174" s="262"/>
      <c r="HV174" s="262"/>
      <c r="HW174" s="262"/>
      <c r="HX174" s="262"/>
      <c r="HY174" s="262"/>
      <c r="HZ174" s="262"/>
      <c r="IA174" s="262"/>
      <c r="IB174" s="262"/>
      <c r="IC174" s="262"/>
      <c r="ID174" s="262"/>
      <c r="IE174" s="262"/>
      <c r="IF174" s="262"/>
      <c r="IG174" s="262"/>
      <c r="IH174" s="262"/>
      <c r="II174" s="262"/>
      <c r="IJ174" s="262"/>
      <c r="IK174" s="262"/>
      <c r="IL174" s="262"/>
      <c r="IM174" s="262"/>
      <c r="IN174" s="262"/>
      <c r="IO174" s="262"/>
      <c r="IP174" s="262"/>
      <c r="IQ174" s="262"/>
      <c r="IR174" s="262"/>
      <c r="IS174" s="262"/>
      <c r="IT174" s="262"/>
      <c r="IU174" s="262"/>
    </row>
    <row r="175" ht="18" customHeight="1" spans="1:255">
      <c r="A175" s="267">
        <v>4191</v>
      </c>
      <c r="B175" s="268" t="s">
        <v>1554</v>
      </c>
      <c r="C175" s="225" t="s">
        <v>1380</v>
      </c>
      <c r="D175" s="230">
        <v>13451.9992759377</v>
      </c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2"/>
      <c r="S175" s="262"/>
      <c r="T175" s="262"/>
      <c r="U175" s="262"/>
      <c r="V175" s="262"/>
      <c r="W175" s="262"/>
      <c r="X175" s="262"/>
      <c r="Y175" s="262"/>
      <c r="Z175" s="262"/>
      <c r="AA175" s="262"/>
      <c r="AB175" s="262"/>
      <c r="AC175" s="262"/>
      <c r="AD175" s="262"/>
      <c r="AE175" s="262"/>
      <c r="AF175" s="262"/>
      <c r="AG175" s="262"/>
      <c r="AH175" s="262"/>
      <c r="AI175" s="262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62"/>
      <c r="BH175" s="262"/>
      <c r="BI175" s="262"/>
      <c r="BJ175" s="262"/>
      <c r="BK175" s="262"/>
      <c r="BL175" s="262"/>
      <c r="BM175" s="262"/>
      <c r="BN175" s="262"/>
      <c r="BO175" s="262"/>
      <c r="BP175" s="262"/>
      <c r="BQ175" s="262"/>
      <c r="BR175" s="262"/>
      <c r="BS175" s="262"/>
      <c r="BT175" s="262"/>
      <c r="BU175" s="262"/>
      <c r="BV175" s="262"/>
      <c r="BW175" s="262"/>
      <c r="BX175" s="262"/>
      <c r="BY175" s="262"/>
      <c r="BZ175" s="262"/>
      <c r="CA175" s="262"/>
      <c r="CB175" s="262"/>
      <c r="CC175" s="262"/>
      <c r="CD175" s="262"/>
      <c r="CE175" s="262"/>
      <c r="CF175" s="262"/>
      <c r="CG175" s="262"/>
      <c r="CH175" s="262"/>
      <c r="CI175" s="262"/>
      <c r="CJ175" s="262"/>
      <c r="CK175" s="262"/>
      <c r="CL175" s="262"/>
      <c r="CM175" s="262"/>
      <c r="CN175" s="262"/>
      <c r="CO175" s="262"/>
      <c r="CP175" s="262"/>
      <c r="CQ175" s="262"/>
      <c r="CR175" s="262"/>
      <c r="CS175" s="262"/>
      <c r="CT175" s="262"/>
      <c r="CU175" s="262"/>
      <c r="CV175" s="262"/>
      <c r="CW175" s="262"/>
      <c r="CX175" s="262"/>
      <c r="CY175" s="262"/>
      <c r="CZ175" s="262"/>
      <c r="DA175" s="262"/>
      <c r="DB175" s="262"/>
      <c r="DC175" s="262"/>
      <c r="DD175" s="262"/>
      <c r="DE175" s="262"/>
      <c r="DF175" s="262"/>
      <c r="DG175" s="262"/>
      <c r="DH175" s="262"/>
      <c r="DI175" s="262"/>
      <c r="DJ175" s="262"/>
      <c r="DK175" s="262"/>
      <c r="DL175" s="262"/>
      <c r="DM175" s="262"/>
      <c r="DN175" s="262"/>
      <c r="DO175" s="262"/>
      <c r="DP175" s="262"/>
      <c r="DQ175" s="262"/>
      <c r="DR175" s="262"/>
      <c r="DS175" s="262"/>
      <c r="DT175" s="262"/>
      <c r="DU175" s="262"/>
      <c r="DV175" s="262"/>
      <c r="DW175" s="262"/>
      <c r="DX175" s="262"/>
      <c r="DY175" s="262"/>
      <c r="DZ175" s="262"/>
      <c r="EA175" s="262"/>
      <c r="EB175" s="262"/>
      <c r="EC175" s="262"/>
      <c r="ED175" s="262"/>
      <c r="EE175" s="262"/>
      <c r="EF175" s="262"/>
      <c r="EG175" s="262"/>
      <c r="EH175" s="262"/>
      <c r="EI175" s="262"/>
      <c r="EJ175" s="262"/>
      <c r="EK175" s="262"/>
      <c r="EL175" s="262"/>
      <c r="EM175" s="262"/>
      <c r="EN175" s="262"/>
      <c r="EO175" s="262"/>
      <c r="EP175" s="262"/>
      <c r="EQ175" s="262"/>
      <c r="ER175" s="262"/>
      <c r="ES175" s="262"/>
      <c r="ET175" s="262"/>
      <c r="EU175" s="262"/>
      <c r="EV175" s="262"/>
      <c r="EW175" s="262"/>
      <c r="EX175" s="262"/>
      <c r="EY175" s="262"/>
      <c r="EZ175" s="262"/>
      <c r="FA175" s="262"/>
      <c r="FB175" s="262"/>
      <c r="FC175" s="262"/>
      <c r="FD175" s="262"/>
      <c r="FE175" s="262"/>
      <c r="FF175" s="262"/>
      <c r="FG175" s="262"/>
      <c r="FH175" s="262"/>
      <c r="FI175" s="262"/>
      <c r="FJ175" s="262"/>
      <c r="FK175" s="262"/>
      <c r="FL175" s="262"/>
      <c r="FM175" s="262"/>
      <c r="FN175" s="262"/>
      <c r="FO175" s="262"/>
      <c r="FP175" s="262"/>
      <c r="FQ175" s="262"/>
      <c r="FR175" s="262"/>
      <c r="FS175" s="262"/>
      <c r="FT175" s="262"/>
      <c r="FU175" s="262"/>
      <c r="FV175" s="262"/>
      <c r="FW175" s="262"/>
      <c r="FX175" s="262"/>
      <c r="FY175" s="262"/>
      <c r="FZ175" s="262"/>
      <c r="GA175" s="262"/>
      <c r="GB175" s="262"/>
      <c r="GC175" s="262"/>
      <c r="GD175" s="262"/>
      <c r="GE175" s="262"/>
      <c r="GF175" s="262"/>
      <c r="GG175" s="262"/>
      <c r="GH175" s="262"/>
      <c r="GI175" s="262"/>
      <c r="GJ175" s="262"/>
      <c r="GK175" s="262"/>
      <c r="GL175" s="262"/>
      <c r="GM175" s="262"/>
      <c r="GN175" s="262"/>
      <c r="GO175" s="262"/>
      <c r="GP175" s="262"/>
      <c r="GQ175" s="262"/>
      <c r="GR175" s="262"/>
      <c r="GS175" s="262"/>
      <c r="GT175" s="262"/>
      <c r="GU175" s="262"/>
      <c r="GV175" s="262"/>
      <c r="GW175" s="262"/>
      <c r="GX175" s="262"/>
      <c r="GY175" s="262"/>
      <c r="GZ175" s="262"/>
      <c r="HA175" s="262"/>
      <c r="HB175" s="262"/>
      <c r="HC175" s="262"/>
      <c r="HD175" s="262"/>
      <c r="HE175" s="262"/>
      <c r="HF175" s="262"/>
      <c r="HG175" s="262"/>
      <c r="HH175" s="262"/>
      <c r="HI175" s="262"/>
      <c r="HJ175" s="262"/>
      <c r="HK175" s="262"/>
      <c r="HL175" s="262"/>
      <c r="HM175" s="262"/>
      <c r="HN175" s="262"/>
      <c r="HO175" s="262"/>
      <c r="HP175" s="262"/>
      <c r="HQ175" s="262"/>
      <c r="HR175" s="262"/>
      <c r="HS175" s="262"/>
      <c r="HT175" s="262"/>
      <c r="HU175" s="262"/>
      <c r="HV175" s="262"/>
      <c r="HW175" s="262"/>
      <c r="HX175" s="262"/>
      <c r="HY175" s="262"/>
      <c r="HZ175" s="262"/>
      <c r="IA175" s="262"/>
      <c r="IB175" s="262"/>
      <c r="IC175" s="262"/>
      <c r="ID175" s="262"/>
      <c r="IE175" s="262"/>
      <c r="IF175" s="262"/>
      <c r="IG175" s="262"/>
      <c r="IH175" s="262"/>
      <c r="II175" s="262"/>
      <c r="IJ175" s="262"/>
      <c r="IK175" s="262"/>
      <c r="IL175" s="262"/>
      <c r="IM175" s="262"/>
      <c r="IN175" s="262"/>
      <c r="IO175" s="262"/>
      <c r="IP175" s="262"/>
      <c r="IQ175" s="262"/>
      <c r="IR175" s="262"/>
      <c r="IS175" s="262"/>
      <c r="IT175" s="262"/>
      <c r="IU175" s="262"/>
    </row>
    <row r="176" ht="18" customHeight="1" spans="1:255">
      <c r="A176" s="267">
        <v>4192</v>
      </c>
      <c r="B176" s="268" t="s">
        <v>1555</v>
      </c>
      <c r="C176" s="225" t="s">
        <v>1380</v>
      </c>
      <c r="D176" s="230">
        <v>12853.0057511819</v>
      </c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  <c r="P176" s="262"/>
      <c r="Q176" s="262"/>
      <c r="R176" s="262"/>
      <c r="S176" s="262"/>
      <c r="T176" s="262"/>
      <c r="U176" s="262"/>
      <c r="V176" s="262"/>
      <c r="W176" s="262"/>
      <c r="X176" s="262"/>
      <c r="Y176" s="262"/>
      <c r="Z176" s="262"/>
      <c r="AA176" s="262"/>
      <c r="AB176" s="262"/>
      <c r="AC176" s="262"/>
      <c r="AD176" s="262"/>
      <c r="AE176" s="262"/>
      <c r="AF176" s="262"/>
      <c r="AG176" s="262"/>
      <c r="AH176" s="262"/>
      <c r="AI176" s="262"/>
      <c r="AJ176" s="262"/>
      <c r="AK176" s="262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62"/>
      <c r="BH176" s="262"/>
      <c r="BI176" s="262"/>
      <c r="BJ176" s="262"/>
      <c r="BK176" s="262"/>
      <c r="BL176" s="262"/>
      <c r="BM176" s="262"/>
      <c r="BN176" s="262"/>
      <c r="BO176" s="262"/>
      <c r="BP176" s="262"/>
      <c r="BQ176" s="262"/>
      <c r="BR176" s="262"/>
      <c r="BS176" s="262"/>
      <c r="BT176" s="262"/>
      <c r="BU176" s="262"/>
      <c r="BV176" s="262"/>
      <c r="BW176" s="262"/>
      <c r="BX176" s="262"/>
      <c r="BY176" s="262"/>
      <c r="BZ176" s="262"/>
      <c r="CA176" s="262"/>
      <c r="CB176" s="262"/>
      <c r="CC176" s="262"/>
      <c r="CD176" s="262"/>
      <c r="CE176" s="262"/>
      <c r="CF176" s="262"/>
      <c r="CG176" s="262"/>
      <c r="CH176" s="262"/>
      <c r="CI176" s="262"/>
      <c r="CJ176" s="262"/>
      <c r="CK176" s="262"/>
      <c r="CL176" s="262"/>
      <c r="CM176" s="262"/>
      <c r="CN176" s="262"/>
      <c r="CO176" s="262"/>
      <c r="CP176" s="262"/>
      <c r="CQ176" s="262"/>
      <c r="CR176" s="262"/>
      <c r="CS176" s="262"/>
      <c r="CT176" s="262"/>
      <c r="CU176" s="262"/>
      <c r="CV176" s="262"/>
      <c r="CW176" s="262"/>
      <c r="CX176" s="262"/>
      <c r="CY176" s="262"/>
      <c r="CZ176" s="262"/>
      <c r="DA176" s="262"/>
      <c r="DB176" s="262"/>
      <c r="DC176" s="262"/>
      <c r="DD176" s="262"/>
      <c r="DE176" s="262"/>
      <c r="DF176" s="262"/>
      <c r="DG176" s="262"/>
      <c r="DH176" s="262"/>
      <c r="DI176" s="262"/>
      <c r="DJ176" s="262"/>
      <c r="DK176" s="262"/>
      <c r="DL176" s="262"/>
      <c r="DM176" s="262"/>
      <c r="DN176" s="262"/>
      <c r="DO176" s="262"/>
      <c r="DP176" s="262"/>
      <c r="DQ176" s="262"/>
      <c r="DR176" s="262"/>
      <c r="DS176" s="262"/>
      <c r="DT176" s="262"/>
      <c r="DU176" s="262"/>
      <c r="DV176" s="262"/>
      <c r="DW176" s="262"/>
      <c r="DX176" s="262"/>
      <c r="DY176" s="262"/>
      <c r="DZ176" s="262"/>
      <c r="EA176" s="262"/>
      <c r="EB176" s="262"/>
      <c r="EC176" s="262"/>
      <c r="ED176" s="262"/>
      <c r="EE176" s="262"/>
      <c r="EF176" s="262"/>
      <c r="EG176" s="262"/>
      <c r="EH176" s="262"/>
      <c r="EI176" s="262"/>
      <c r="EJ176" s="262"/>
      <c r="EK176" s="262"/>
      <c r="EL176" s="262"/>
      <c r="EM176" s="262"/>
      <c r="EN176" s="262"/>
      <c r="EO176" s="262"/>
      <c r="EP176" s="262"/>
      <c r="EQ176" s="262"/>
      <c r="ER176" s="262"/>
      <c r="ES176" s="262"/>
      <c r="ET176" s="262"/>
      <c r="EU176" s="262"/>
      <c r="EV176" s="262"/>
      <c r="EW176" s="262"/>
      <c r="EX176" s="262"/>
      <c r="EY176" s="262"/>
      <c r="EZ176" s="262"/>
      <c r="FA176" s="262"/>
      <c r="FB176" s="262"/>
      <c r="FC176" s="262"/>
      <c r="FD176" s="262"/>
      <c r="FE176" s="262"/>
      <c r="FF176" s="262"/>
      <c r="FG176" s="262"/>
      <c r="FH176" s="262"/>
      <c r="FI176" s="262"/>
      <c r="FJ176" s="262"/>
      <c r="FK176" s="262"/>
      <c r="FL176" s="262"/>
      <c r="FM176" s="262"/>
      <c r="FN176" s="262"/>
      <c r="FO176" s="262"/>
      <c r="FP176" s="262"/>
      <c r="FQ176" s="262"/>
      <c r="FR176" s="262"/>
      <c r="FS176" s="262"/>
      <c r="FT176" s="262"/>
      <c r="FU176" s="262"/>
      <c r="FV176" s="262"/>
      <c r="FW176" s="262"/>
      <c r="FX176" s="262"/>
      <c r="FY176" s="262"/>
      <c r="FZ176" s="262"/>
      <c r="GA176" s="262"/>
      <c r="GB176" s="262"/>
      <c r="GC176" s="262"/>
      <c r="GD176" s="262"/>
      <c r="GE176" s="262"/>
      <c r="GF176" s="262"/>
      <c r="GG176" s="262"/>
      <c r="GH176" s="262"/>
      <c r="GI176" s="262"/>
      <c r="GJ176" s="262"/>
      <c r="GK176" s="262"/>
      <c r="GL176" s="262"/>
      <c r="GM176" s="262"/>
      <c r="GN176" s="262"/>
      <c r="GO176" s="262"/>
      <c r="GP176" s="262"/>
      <c r="GQ176" s="262"/>
      <c r="GR176" s="262"/>
      <c r="GS176" s="262"/>
      <c r="GT176" s="262"/>
      <c r="GU176" s="262"/>
      <c r="GV176" s="262"/>
      <c r="GW176" s="262"/>
      <c r="GX176" s="262"/>
      <c r="GY176" s="262"/>
      <c r="GZ176" s="262"/>
      <c r="HA176" s="262"/>
      <c r="HB176" s="262"/>
      <c r="HC176" s="262"/>
      <c r="HD176" s="262"/>
      <c r="HE176" s="262"/>
      <c r="HF176" s="262"/>
      <c r="HG176" s="262"/>
      <c r="HH176" s="262"/>
      <c r="HI176" s="262"/>
      <c r="HJ176" s="262"/>
      <c r="HK176" s="262"/>
      <c r="HL176" s="262"/>
      <c r="HM176" s="262"/>
      <c r="HN176" s="262"/>
      <c r="HO176" s="262"/>
      <c r="HP176" s="262"/>
      <c r="HQ176" s="262"/>
      <c r="HR176" s="262"/>
      <c r="HS176" s="262"/>
      <c r="HT176" s="262"/>
      <c r="HU176" s="262"/>
      <c r="HV176" s="262"/>
      <c r="HW176" s="262"/>
      <c r="HX176" s="262"/>
      <c r="HY176" s="262"/>
      <c r="HZ176" s="262"/>
      <c r="IA176" s="262"/>
      <c r="IB176" s="262"/>
      <c r="IC176" s="262"/>
      <c r="ID176" s="262"/>
      <c r="IE176" s="262"/>
      <c r="IF176" s="262"/>
      <c r="IG176" s="262"/>
      <c r="IH176" s="262"/>
      <c r="II176" s="262"/>
      <c r="IJ176" s="262"/>
      <c r="IK176" s="262"/>
      <c r="IL176" s="262"/>
      <c r="IM176" s="262"/>
      <c r="IN176" s="262"/>
      <c r="IO176" s="262"/>
      <c r="IP176" s="262"/>
      <c r="IQ176" s="262"/>
      <c r="IR176" s="262"/>
      <c r="IS176" s="262"/>
      <c r="IT176" s="262"/>
      <c r="IU176" s="262"/>
    </row>
    <row r="177" ht="18" hidden="1" customHeight="1" spans="1:255">
      <c r="A177" s="267">
        <v>4193</v>
      </c>
      <c r="B177" s="268" t="s">
        <v>1556</v>
      </c>
      <c r="C177" s="225" t="s">
        <v>1380</v>
      </c>
      <c r="D177" s="230">
        <v>10863.7724166115</v>
      </c>
      <c r="E177" s="262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  <c r="P177" s="262"/>
      <c r="Q177" s="262"/>
      <c r="R177" s="262"/>
      <c r="S177" s="262"/>
      <c r="T177" s="262"/>
      <c r="U177" s="262"/>
      <c r="V177" s="262"/>
      <c r="W177" s="262"/>
      <c r="X177" s="262"/>
      <c r="Y177" s="262"/>
      <c r="Z177" s="262"/>
      <c r="AA177" s="262"/>
      <c r="AB177" s="262"/>
      <c r="AC177" s="262"/>
      <c r="AD177" s="262"/>
      <c r="AE177" s="262"/>
      <c r="AF177" s="262"/>
      <c r="AG177" s="262"/>
      <c r="AH177" s="262"/>
      <c r="AI177" s="262"/>
      <c r="AJ177" s="262"/>
      <c r="AK177" s="262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62"/>
      <c r="BH177" s="262"/>
      <c r="BI177" s="262"/>
      <c r="BJ177" s="262"/>
      <c r="BK177" s="262"/>
      <c r="BL177" s="262"/>
      <c r="BM177" s="262"/>
      <c r="BN177" s="262"/>
      <c r="BO177" s="262"/>
      <c r="BP177" s="262"/>
      <c r="BQ177" s="262"/>
      <c r="BR177" s="262"/>
      <c r="BS177" s="262"/>
      <c r="BT177" s="262"/>
      <c r="BU177" s="262"/>
      <c r="BV177" s="262"/>
      <c r="BW177" s="262"/>
      <c r="BX177" s="262"/>
      <c r="BY177" s="262"/>
      <c r="BZ177" s="262"/>
      <c r="CA177" s="262"/>
      <c r="CB177" s="262"/>
      <c r="CC177" s="262"/>
      <c r="CD177" s="262"/>
      <c r="CE177" s="262"/>
      <c r="CF177" s="262"/>
      <c r="CG177" s="262"/>
      <c r="CH177" s="262"/>
      <c r="CI177" s="262"/>
      <c r="CJ177" s="262"/>
      <c r="CK177" s="262"/>
      <c r="CL177" s="262"/>
      <c r="CM177" s="262"/>
      <c r="CN177" s="262"/>
      <c r="CO177" s="262"/>
      <c r="CP177" s="262"/>
      <c r="CQ177" s="262"/>
      <c r="CR177" s="262"/>
      <c r="CS177" s="262"/>
      <c r="CT177" s="262"/>
      <c r="CU177" s="262"/>
      <c r="CV177" s="262"/>
      <c r="CW177" s="262"/>
      <c r="CX177" s="262"/>
      <c r="CY177" s="262"/>
      <c r="CZ177" s="262"/>
      <c r="DA177" s="262"/>
      <c r="DB177" s="262"/>
      <c r="DC177" s="262"/>
      <c r="DD177" s="262"/>
      <c r="DE177" s="262"/>
      <c r="DF177" s="262"/>
      <c r="DG177" s="262"/>
      <c r="DH177" s="262"/>
      <c r="DI177" s="262"/>
      <c r="DJ177" s="262"/>
      <c r="DK177" s="262"/>
      <c r="DL177" s="262"/>
      <c r="DM177" s="262"/>
      <c r="DN177" s="262"/>
      <c r="DO177" s="262"/>
      <c r="DP177" s="262"/>
      <c r="DQ177" s="262"/>
      <c r="DR177" s="262"/>
      <c r="DS177" s="262"/>
      <c r="DT177" s="262"/>
      <c r="DU177" s="262"/>
      <c r="DV177" s="262"/>
      <c r="DW177" s="262"/>
      <c r="DX177" s="262"/>
      <c r="DY177" s="262"/>
      <c r="DZ177" s="262"/>
      <c r="EA177" s="262"/>
      <c r="EB177" s="262"/>
      <c r="EC177" s="262"/>
      <c r="ED177" s="262"/>
      <c r="EE177" s="262"/>
      <c r="EF177" s="262"/>
      <c r="EG177" s="262"/>
      <c r="EH177" s="262"/>
      <c r="EI177" s="262"/>
      <c r="EJ177" s="262"/>
      <c r="EK177" s="262"/>
      <c r="EL177" s="262"/>
      <c r="EM177" s="262"/>
      <c r="EN177" s="262"/>
      <c r="EO177" s="262"/>
      <c r="EP177" s="262"/>
      <c r="EQ177" s="262"/>
      <c r="ER177" s="262"/>
      <c r="ES177" s="262"/>
      <c r="ET177" s="262"/>
      <c r="EU177" s="262"/>
      <c r="EV177" s="262"/>
      <c r="EW177" s="262"/>
      <c r="EX177" s="262"/>
      <c r="EY177" s="262"/>
      <c r="EZ177" s="262"/>
      <c r="FA177" s="262"/>
      <c r="FB177" s="262"/>
      <c r="FC177" s="262"/>
      <c r="FD177" s="262"/>
      <c r="FE177" s="262"/>
      <c r="FF177" s="262"/>
      <c r="FG177" s="262"/>
      <c r="FH177" s="262"/>
      <c r="FI177" s="262"/>
      <c r="FJ177" s="262"/>
      <c r="FK177" s="262"/>
      <c r="FL177" s="262"/>
      <c r="FM177" s="262"/>
      <c r="FN177" s="262"/>
      <c r="FO177" s="262"/>
      <c r="FP177" s="262"/>
      <c r="FQ177" s="262"/>
      <c r="FR177" s="262"/>
      <c r="FS177" s="262"/>
      <c r="FT177" s="262"/>
      <c r="FU177" s="262"/>
      <c r="FV177" s="262"/>
      <c r="FW177" s="262"/>
      <c r="FX177" s="262"/>
      <c r="FY177" s="262"/>
      <c r="FZ177" s="262"/>
      <c r="GA177" s="262"/>
      <c r="GB177" s="262"/>
      <c r="GC177" s="262"/>
      <c r="GD177" s="262"/>
      <c r="GE177" s="262"/>
      <c r="GF177" s="262"/>
      <c r="GG177" s="262"/>
      <c r="GH177" s="262"/>
      <c r="GI177" s="262"/>
      <c r="GJ177" s="262"/>
      <c r="GK177" s="262"/>
      <c r="GL177" s="262"/>
      <c r="GM177" s="262"/>
      <c r="GN177" s="262"/>
      <c r="GO177" s="262"/>
      <c r="GP177" s="262"/>
      <c r="GQ177" s="262"/>
      <c r="GR177" s="262"/>
      <c r="GS177" s="262"/>
      <c r="GT177" s="262"/>
      <c r="GU177" s="262"/>
      <c r="GV177" s="262"/>
      <c r="GW177" s="262"/>
      <c r="GX177" s="262"/>
      <c r="GY177" s="262"/>
      <c r="GZ177" s="262"/>
      <c r="HA177" s="262"/>
      <c r="HB177" s="262"/>
      <c r="HC177" s="262"/>
      <c r="HD177" s="262"/>
      <c r="HE177" s="262"/>
      <c r="HF177" s="262"/>
      <c r="HG177" s="262"/>
      <c r="HH177" s="262"/>
      <c r="HI177" s="262"/>
      <c r="HJ177" s="262"/>
      <c r="HK177" s="262"/>
      <c r="HL177" s="262"/>
      <c r="HM177" s="262"/>
      <c r="HN177" s="262"/>
      <c r="HO177" s="262"/>
      <c r="HP177" s="262"/>
      <c r="HQ177" s="262"/>
      <c r="HR177" s="262"/>
      <c r="HS177" s="262"/>
      <c r="HT177" s="262"/>
      <c r="HU177" s="262"/>
      <c r="HV177" s="262"/>
      <c r="HW177" s="262"/>
      <c r="HX177" s="262"/>
      <c r="HY177" s="262"/>
      <c r="HZ177" s="262"/>
      <c r="IA177" s="262"/>
      <c r="IB177" s="262"/>
      <c r="IC177" s="262"/>
      <c r="ID177" s="262"/>
      <c r="IE177" s="262"/>
      <c r="IF177" s="262"/>
      <c r="IG177" s="262"/>
      <c r="IH177" s="262"/>
      <c r="II177" s="262"/>
      <c r="IJ177" s="262"/>
      <c r="IK177" s="262"/>
      <c r="IL177" s="262"/>
      <c r="IM177" s="262"/>
      <c r="IN177" s="262"/>
      <c r="IO177" s="262"/>
      <c r="IP177" s="262"/>
      <c r="IQ177" s="262"/>
      <c r="IR177" s="262"/>
      <c r="IS177" s="262"/>
      <c r="IT177" s="262"/>
      <c r="IU177" s="262"/>
    </row>
    <row r="178" ht="18" hidden="1" customHeight="1" spans="1:255">
      <c r="A178" s="267">
        <v>4197</v>
      </c>
      <c r="B178" s="268" t="s">
        <v>1557</v>
      </c>
      <c r="C178" s="225" t="s">
        <v>1380</v>
      </c>
      <c r="D178" s="230">
        <v>18109.0859852526</v>
      </c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2"/>
      <c r="S178" s="262"/>
      <c r="T178" s="262"/>
      <c r="U178" s="262"/>
      <c r="V178" s="262"/>
      <c r="W178" s="262"/>
      <c r="X178" s="262"/>
      <c r="Y178" s="262"/>
      <c r="Z178" s="262"/>
      <c r="AA178" s="262"/>
      <c r="AB178" s="262"/>
      <c r="AC178" s="262"/>
      <c r="AD178" s="262"/>
      <c r="AE178" s="262"/>
      <c r="AF178" s="262"/>
      <c r="AG178" s="262"/>
      <c r="AH178" s="262"/>
      <c r="AI178" s="262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62"/>
      <c r="BH178" s="262"/>
      <c r="BI178" s="262"/>
      <c r="BJ178" s="262"/>
      <c r="BK178" s="262"/>
      <c r="BL178" s="262"/>
      <c r="BM178" s="262"/>
      <c r="BN178" s="262"/>
      <c r="BO178" s="262"/>
      <c r="BP178" s="262"/>
      <c r="BQ178" s="262"/>
      <c r="BR178" s="262"/>
      <c r="BS178" s="262"/>
      <c r="BT178" s="262"/>
      <c r="BU178" s="262"/>
      <c r="BV178" s="262"/>
      <c r="BW178" s="262"/>
      <c r="BX178" s="262"/>
      <c r="BY178" s="262"/>
      <c r="BZ178" s="262"/>
      <c r="CA178" s="262"/>
      <c r="CB178" s="262"/>
      <c r="CC178" s="262"/>
      <c r="CD178" s="262"/>
      <c r="CE178" s="262"/>
      <c r="CF178" s="262"/>
      <c r="CG178" s="262"/>
      <c r="CH178" s="262"/>
      <c r="CI178" s="262"/>
      <c r="CJ178" s="262"/>
      <c r="CK178" s="262"/>
      <c r="CL178" s="262"/>
      <c r="CM178" s="262"/>
      <c r="CN178" s="262"/>
      <c r="CO178" s="262"/>
      <c r="CP178" s="262"/>
      <c r="CQ178" s="262"/>
      <c r="CR178" s="262"/>
      <c r="CS178" s="262"/>
      <c r="CT178" s="262"/>
      <c r="CU178" s="262"/>
      <c r="CV178" s="262"/>
      <c r="CW178" s="262"/>
      <c r="CX178" s="262"/>
      <c r="CY178" s="262"/>
      <c r="CZ178" s="262"/>
      <c r="DA178" s="262"/>
      <c r="DB178" s="262"/>
      <c r="DC178" s="262"/>
      <c r="DD178" s="262"/>
      <c r="DE178" s="262"/>
      <c r="DF178" s="262"/>
      <c r="DG178" s="262"/>
      <c r="DH178" s="262"/>
      <c r="DI178" s="262"/>
      <c r="DJ178" s="262"/>
      <c r="DK178" s="262"/>
      <c r="DL178" s="262"/>
      <c r="DM178" s="262"/>
      <c r="DN178" s="262"/>
      <c r="DO178" s="262"/>
      <c r="DP178" s="262"/>
      <c r="DQ178" s="262"/>
      <c r="DR178" s="262"/>
      <c r="DS178" s="262"/>
      <c r="DT178" s="262"/>
      <c r="DU178" s="262"/>
      <c r="DV178" s="262"/>
      <c r="DW178" s="262"/>
      <c r="DX178" s="262"/>
      <c r="DY178" s="262"/>
      <c r="DZ178" s="262"/>
      <c r="EA178" s="262"/>
      <c r="EB178" s="262"/>
      <c r="EC178" s="262"/>
      <c r="ED178" s="262"/>
      <c r="EE178" s="262"/>
      <c r="EF178" s="262"/>
      <c r="EG178" s="262"/>
      <c r="EH178" s="262"/>
      <c r="EI178" s="262"/>
      <c r="EJ178" s="262"/>
      <c r="EK178" s="262"/>
      <c r="EL178" s="262"/>
      <c r="EM178" s="262"/>
      <c r="EN178" s="262"/>
      <c r="EO178" s="262"/>
      <c r="EP178" s="262"/>
      <c r="EQ178" s="262"/>
      <c r="ER178" s="262"/>
      <c r="ES178" s="262"/>
      <c r="ET178" s="262"/>
      <c r="EU178" s="262"/>
      <c r="EV178" s="262"/>
      <c r="EW178" s="262"/>
      <c r="EX178" s="262"/>
      <c r="EY178" s="262"/>
      <c r="EZ178" s="262"/>
      <c r="FA178" s="262"/>
      <c r="FB178" s="262"/>
      <c r="FC178" s="262"/>
      <c r="FD178" s="262"/>
      <c r="FE178" s="262"/>
      <c r="FF178" s="262"/>
      <c r="FG178" s="262"/>
      <c r="FH178" s="262"/>
      <c r="FI178" s="262"/>
      <c r="FJ178" s="262"/>
      <c r="FK178" s="262"/>
      <c r="FL178" s="262"/>
      <c r="FM178" s="262"/>
      <c r="FN178" s="262"/>
      <c r="FO178" s="262"/>
      <c r="FP178" s="262"/>
      <c r="FQ178" s="262"/>
      <c r="FR178" s="262"/>
      <c r="FS178" s="262"/>
      <c r="FT178" s="262"/>
      <c r="FU178" s="262"/>
      <c r="FV178" s="262"/>
      <c r="FW178" s="262"/>
      <c r="FX178" s="262"/>
      <c r="FY178" s="262"/>
      <c r="FZ178" s="262"/>
      <c r="GA178" s="262"/>
      <c r="GB178" s="262"/>
      <c r="GC178" s="262"/>
      <c r="GD178" s="262"/>
      <c r="GE178" s="262"/>
      <c r="GF178" s="262"/>
      <c r="GG178" s="262"/>
      <c r="GH178" s="262"/>
      <c r="GI178" s="262"/>
      <c r="GJ178" s="262"/>
      <c r="GK178" s="262"/>
      <c r="GL178" s="262"/>
      <c r="GM178" s="262"/>
      <c r="GN178" s="262"/>
      <c r="GO178" s="262"/>
      <c r="GP178" s="262"/>
      <c r="GQ178" s="262"/>
      <c r="GR178" s="262"/>
      <c r="GS178" s="262"/>
      <c r="GT178" s="262"/>
      <c r="GU178" s="262"/>
      <c r="GV178" s="262"/>
      <c r="GW178" s="262"/>
      <c r="GX178" s="262"/>
      <c r="GY178" s="262"/>
      <c r="GZ178" s="262"/>
      <c r="HA178" s="262"/>
      <c r="HB178" s="262"/>
      <c r="HC178" s="262"/>
      <c r="HD178" s="262"/>
      <c r="HE178" s="262"/>
      <c r="HF178" s="262"/>
      <c r="HG178" s="262"/>
      <c r="HH178" s="262"/>
      <c r="HI178" s="262"/>
      <c r="HJ178" s="262"/>
      <c r="HK178" s="262"/>
      <c r="HL178" s="262"/>
      <c r="HM178" s="262"/>
      <c r="HN178" s="262"/>
      <c r="HO178" s="262"/>
      <c r="HP178" s="262"/>
      <c r="HQ178" s="262"/>
      <c r="HR178" s="262"/>
      <c r="HS178" s="262"/>
      <c r="HT178" s="262"/>
      <c r="HU178" s="262"/>
      <c r="HV178" s="262"/>
      <c r="HW178" s="262"/>
      <c r="HX178" s="262"/>
      <c r="HY178" s="262"/>
      <c r="HZ178" s="262"/>
      <c r="IA178" s="262"/>
      <c r="IB178" s="262"/>
      <c r="IC178" s="262"/>
      <c r="ID178" s="262"/>
      <c r="IE178" s="262"/>
      <c r="IF178" s="262"/>
      <c r="IG178" s="262"/>
      <c r="IH178" s="262"/>
      <c r="II178" s="262"/>
      <c r="IJ178" s="262"/>
      <c r="IK178" s="262"/>
      <c r="IL178" s="262"/>
      <c r="IM178" s="262"/>
      <c r="IN178" s="262"/>
      <c r="IO178" s="262"/>
      <c r="IP178" s="262"/>
      <c r="IQ178" s="262"/>
      <c r="IR178" s="262"/>
      <c r="IS178" s="262"/>
      <c r="IT178" s="262"/>
      <c r="IU178" s="262"/>
    </row>
    <row r="179" ht="18" hidden="1" customHeight="1" spans="1:255">
      <c r="A179" s="267">
        <v>4198</v>
      </c>
      <c r="B179" s="268" t="s">
        <v>1558</v>
      </c>
      <c r="C179" s="225" t="s">
        <v>1380</v>
      </c>
      <c r="D179" s="230">
        <v>41779.3923510494</v>
      </c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  <c r="Z179" s="262"/>
      <c r="AA179" s="262"/>
      <c r="AB179" s="262"/>
      <c r="AC179" s="262"/>
      <c r="AD179" s="262"/>
      <c r="AE179" s="262"/>
      <c r="AF179" s="262"/>
      <c r="AG179" s="262"/>
      <c r="AH179" s="262"/>
      <c r="AI179" s="262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62"/>
      <c r="BH179" s="262"/>
      <c r="BI179" s="262"/>
      <c r="BJ179" s="262"/>
      <c r="BK179" s="262"/>
      <c r="BL179" s="262"/>
      <c r="BM179" s="262"/>
      <c r="BN179" s="262"/>
      <c r="BO179" s="262"/>
      <c r="BP179" s="262"/>
      <c r="BQ179" s="262"/>
      <c r="BR179" s="262"/>
      <c r="BS179" s="262"/>
      <c r="BT179" s="262"/>
      <c r="BU179" s="262"/>
      <c r="BV179" s="262"/>
      <c r="BW179" s="262"/>
      <c r="BX179" s="262"/>
      <c r="BY179" s="262"/>
      <c r="BZ179" s="262"/>
      <c r="CA179" s="262"/>
      <c r="CB179" s="262"/>
      <c r="CC179" s="262"/>
      <c r="CD179" s="262"/>
      <c r="CE179" s="262"/>
      <c r="CF179" s="262"/>
      <c r="CG179" s="262"/>
      <c r="CH179" s="262"/>
      <c r="CI179" s="262"/>
      <c r="CJ179" s="262"/>
      <c r="CK179" s="262"/>
      <c r="CL179" s="262"/>
      <c r="CM179" s="262"/>
      <c r="CN179" s="262"/>
      <c r="CO179" s="262"/>
      <c r="CP179" s="262"/>
      <c r="CQ179" s="262"/>
      <c r="CR179" s="262"/>
      <c r="CS179" s="262"/>
      <c r="CT179" s="262"/>
      <c r="CU179" s="262"/>
      <c r="CV179" s="262"/>
      <c r="CW179" s="262"/>
      <c r="CX179" s="262"/>
      <c r="CY179" s="262"/>
      <c r="CZ179" s="262"/>
      <c r="DA179" s="262"/>
      <c r="DB179" s="262"/>
      <c r="DC179" s="262"/>
      <c r="DD179" s="262"/>
      <c r="DE179" s="262"/>
      <c r="DF179" s="262"/>
      <c r="DG179" s="262"/>
      <c r="DH179" s="262"/>
      <c r="DI179" s="262"/>
      <c r="DJ179" s="262"/>
      <c r="DK179" s="262"/>
      <c r="DL179" s="262"/>
      <c r="DM179" s="262"/>
      <c r="DN179" s="262"/>
      <c r="DO179" s="262"/>
      <c r="DP179" s="262"/>
      <c r="DQ179" s="262"/>
      <c r="DR179" s="262"/>
      <c r="DS179" s="262"/>
      <c r="DT179" s="262"/>
      <c r="DU179" s="262"/>
      <c r="DV179" s="262"/>
      <c r="DW179" s="262"/>
      <c r="DX179" s="262"/>
      <c r="DY179" s="262"/>
      <c r="DZ179" s="262"/>
      <c r="EA179" s="262"/>
      <c r="EB179" s="262"/>
      <c r="EC179" s="262"/>
      <c r="ED179" s="262"/>
      <c r="EE179" s="262"/>
      <c r="EF179" s="262"/>
      <c r="EG179" s="262"/>
      <c r="EH179" s="262"/>
      <c r="EI179" s="262"/>
      <c r="EJ179" s="262"/>
      <c r="EK179" s="262"/>
      <c r="EL179" s="262"/>
      <c r="EM179" s="262"/>
      <c r="EN179" s="262"/>
      <c r="EO179" s="262"/>
      <c r="EP179" s="262"/>
      <c r="EQ179" s="262"/>
      <c r="ER179" s="262"/>
      <c r="ES179" s="262"/>
      <c r="ET179" s="262"/>
      <c r="EU179" s="262"/>
      <c r="EV179" s="262"/>
      <c r="EW179" s="262"/>
      <c r="EX179" s="262"/>
      <c r="EY179" s="262"/>
      <c r="EZ179" s="262"/>
      <c r="FA179" s="262"/>
      <c r="FB179" s="262"/>
      <c r="FC179" s="262"/>
      <c r="FD179" s="262"/>
      <c r="FE179" s="262"/>
      <c r="FF179" s="262"/>
      <c r="FG179" s="262"/>
      <c r="FH179" s="262"/>
      <c r="FI179" s="262"/>
      <c r="FJ179" s="262"/>
      <c r="FK179" s="262"/>
      <c r="FL179" s="262"/>
      <c r="FM179" s="262"/>
      <c r="FN179" s="262"/>
      <c r="FO179" s="262"/>
      <c r="FP179" s="262"/>
      <c r="FQ179" s="262"/>
      <c r="FR179" s="262"/>
      <c r="FS179" s="262"/>
      <c r="FT179" s="262"/>
      <c r="FU179" s="262"/>
      <c r="FV179" s="262"/>
      <c r="FW179" s="262"/>
      <c r="FX179" s="262"/>
      <c r="FY179" s="262"/>
      <c r="FZ179" s="262"/>
      <c r="GA179" s="262"/>
      <c r="GB179" s="262"/>
      <c r="GC179" s="262"/>
      <c r="GD179" s="262"/>
      <c r="GE179" s="262"/>
      <c r="GF179" s="262"/>
      <c r="GG179" s="262"/>
      <c r="GH179" s="262"/>
      <c r="GI179" s="262"/>
      <c r="GJ179" s="262"/>
      <c r="GK179" s="262"/>
      <c r="GL179" s="262"/>
      <c r="GM179" s="262"/>
      <c r="GN179" s="262"/>
      <c r="GO179" s="262"/>
      <c r="GP179" s="262"/>
      <c r="GQ179" s="262"/>
      <c r="GR179" s="262"/>
      <c r="GS179" s="262"/>
      <c r="GT179" s="262"/>
      <c r="GU179" s="262"/>
      <c r="GV179" s="262"/>
      <c r="GW179" s="262"/>
      <c r="GX179" s="262"/>
      <c r="GY179" s="262"/>
      <c r="GZ179" s="262"/>
      <c r="HA179" s="262"/>
      <c r="HB179" s="262"/>
      <c r="HC179" s="262"/>
      <c r="HD179" s="262"/>
      <c r="HE179" s="262"/>
      <c r="HF179" s="262"/>
      <c r="HG179" s="262"/>
      <c r="HH179" s="262"/>
      <c r="HI179" s="262"/>
      <c r="HJ179" s="262"/>
      <c r="HK179" s="262"/>
      <c r="HL179" s="262"/>
      <c r="HM179" s="262"/>
      <c r="HN179" s="262"/>
      <c r="HO179" s="262"/>
      <c r="HP179" s="262"/>
      <c r="HQ179" s="262"/>
      <c r="HR179" s="262"/>
      <c r="HS179" s="262"/>
      <c r="HT179" s="262"/>
      <c r="HU179" s="262"/>
      <c r="HV179" s="262"/>
      <c r="HW179" s="262"/>
      <c r="HX179" s="262"/>
      <c r="HY179" s="262"/>
      <c r="HZ179" s="262"/>
      <c r="IA179" s="262"/>
      <c r="IB179" s="262"/>
      <c r="IC179" s="262"/>
      <c r="ID179" s="262"/>
      <c r="IE179" s="262"/>
      <c r="IF179" s="262"/>
      <c r="IG179" s="262"/>
      <c r="IH179" s="262"/>
      <c r="II179" s="262"/>
      <c r="IJ179" s="262"/>
      <c r="IK179" s="262"/>
      <c r="IL179" s="262"/>
      <c r="IM179" s="262"/>
      <c r="IN179" s="262"/>
      <c r="IO179" s="262"/>
      <c r="IP179" s="262"/>
      <c r="IQ179" s="262"/>
      <c r="IR179" s="262"/>
      <c r="IS179" s="262"/>
      <c r="IT179" s="262"/>
      <c r="IU179" s="262"/>
    </row>
    <row r="180" ht="18" hidden="1" customHeight="1" spans="1:255">
      <c r="A180" s="267">
        <v>4199</v>
      </c>
      <c r="B180" s="268" t="s">
        <v>1559</v>
      </c>
      <c r="C180" s="225" t="s">
        <v>1380</v>
      </c>
      <c r="D180" s="230">
        <v>18492.2161742792</v>
      </c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262"/>
      <c r="T180" s="262"/>
      <c r="U180" s="262"/>
      <c r="V180" s="262"/>
      <c r="W180" s="262"/>
      <c r="X180" s="262"/>
      <c r="Y180" s="262"/>
      <c r="Z180" s="262"/>
      <c r="AA180" s="262"/>
      <c r="AB180" s="262"/>
      <c r="AC180" s="262"/>
      <c r="AD180" s="262"/>
      <c r="AE180" s="262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62"/>
      <c r="BH180" s="262"/>
      <c r="BI180" s="262"/>
      <c r="BJ180" s="262"/>
      <c r="BK180" s="262"/>
      <c r="BL180" s="262"/>
      <c r="BM180" s="262"/>
      <c r="BN180" s="262"/>
      <c r="BO180" s="262"/>
      <c r="BP180" s="262"/>
      <c r="BQ180" s="262"/>
      <c r="BR180" s="262"/>
      <c r="BS180" s="262"/>
      <c r="BT180" s="262"/>
      <c r="BU180" s="262"/>
      <c r="BV180" s="262"/>
      <c r="BW180" s="262"/>
      <c r="BX180" s="262"/>
      <c r="BY180" s="262"/>
      <c r="BZ180" s="262"/>
      <c r="CA180" s="262"/>
      <c r="CB180" s="262"/>
      <c r="CC180" s="262"/>
      <c r="CD180" s="262"/>
      <c r="CE180" s="262"/>
      <c r="CF180" s="262"/>
      <c r="CG180" s="262"/>
      <c r="CH180" s="262"/>
      <c r="CI180" s="262"/>
      <c r="CJ180" s="262"/>
      <c r="CK180" s="262"/>
      <c r="CL180" s="262"/>
      <c r="CM180" s="262"/>
      <c r="CN180" s="262"/>
      <c r="CO180" s="262"/>
      <c r="CP180" s="262"/>
      <c r="CQ180" s="262"/>
      <c r="CR180" s="262"/>
      <c r="CS180" s="262"/>
      <c r="CT180" s="262"/>
      <c r="CU180" s="262"/>
      <c r="CV180" s="262"/>
      <c r="CW180" s="262"/>
      <c r="CX180" s="262"/>
      <c r="CY180" s="262"/>
      <c r="CZ180" s="262"/>
      <c r="DA180" s="262"/>
      <c r="DB180" s="262"/>
      <c r="DC180" s="262"/>
      <c r="DD180" s="262"/>
      <c r="DE180" s="262"/>
      <c r="DF180" s="262"/>
      <c r="DG180" s="262"/>
      <c r="DH180" s="262"/>
      <c r="DI180" s="262"/>
      <c r="DJ180" s="262"/>
      <c r="DK180" s="262"/>
      <c r="DL180" s="262"/>
      <c r="DM180" s="262"/>
      <c r="DN180" s="262"/>
      <c r="DO180" s="262"/>
      <c r="DP180" s="262"/>
      <c r="DQ180" s="262"/>
      <c r="DR180" s="262"/>
      <c r="DS180" s="262"/>
      <c r="DT180" s="262"/>
      <c r="DU180" s="262"/>
      <c r="DV180" s="262"/>
      <c r="DW180" s="262"/>
      <c r="DX180" s="262"/>
      <c r="DY180" s="262"/>
      <c r="DZ180" s="262"/>
      <c r="EA180" s="262"/>
      <c r="EB180" s="262"/>
      <c r="EC180" s="262"/>
      <c r="ED180" s="262"/>
      <c r="EE180" s="262"/>
      <c r="EF180" s="262"/>
      <c r="EG180" s="262"/>
      <c r="EH180" s="262"/>
      <c r="EI180" s="262"/>
      <c r="EJ180" s="262"/>
      <c r="EK180" s="262"/>
      <c r="EL180" s="262"/>
      <c r="EM180" s="262"/>
      <c r="EN180" s="262"/>
      <c r="EO180" s="262"/>
      <c r="EP180" s="262"/>
      <c r="EQ180" s="262"/>
      <c r="ER180" s="262"/>
      <c r="ES180" s="262"/>
      <c r="ET180" s="262"/>
      <c r="EU180" s="262"/>
      <c r="EV180" s="262"/>
      <c r="EW180" s="262"/>
      <c r="EX180" s="262"/>
      <c r="EY180" s="262"/>
      <c r="EZ180" s="262"/>
      <c r="FA180" s="262"/>
      <c r="FB180" s="262"/>
      <c r="FC180" s="262"/>
      <c r="FD180" s="262"/>
      <c r="FE180" s="262"/>
      <c r="FF180" s="262"/>
      <c r="FG180" s="262"/>
      <c r="FH180" s="262"/>
      <c r="FI180" s="262"/>
      <c r="FJ180" s="262"/>
      <c r="FK180" s="262"/>
      <c r="FL180" s="262"/>
      <c r="FM180" s="262"/>
      <c r="FN180" s="262"/>
      <c r="FO180" s="262"/>
      <c r="FP180" s="262"/>
      <c r="FQ180" s="262"/>
      <c r="FR180" s="262"/>
      <c r="FS180" s="262"/>
      <c r="FT180" s="262"/>
      <c r="FU180" s="262"/>
      <c r="FV180" s="262"/>
      <c r="FW180" s="262"/>
      <c r="FX180" s="262"/>
      <c r="FY180" s="262"/>
      <c r="FZ180" s="262"/>
      <c r="GA180" s="262"/>
      <c r="GB180" s="262"/>
      <c r="GC180" s="262"/>
      <c r="GD180" s="262"/>
      <c r="GE180" s="262"/>
      <c r="GF180" s="262"/>
      <c r="GG180" s="262"/>
      <c r="GH180" s="262"/>
      <c r="GI180" s="262"/>
      <c r="GJ180" s="262"/>
      <c r="GK180" s="262"/>
      <c r="GL180" s="262"/>
      <c r="GM180" s="262"/>
      <c r="GN180" s="262"/>
      <c r="GO180" s="262"/>
      <c r="GP180" s="262"/>
      <c r="GQ180" s="262"/>
      <c r="GR180" s="262"/>
      <c r="GS180" s="262"/>
      <c r="GT180" s="262"/>
      <c r="GU180" s="262"/>
      <c r="GV180" s="262"/>
      <c r="GW180" s="262"/>
      <c r="GX180" s="262"/>
      <c r="GY180" s="262"/>
      <c r="GZ180" s="262"/>
      <c r="HA180" s="262"/>
      <c r="HB180" s="262"/>
      <c r="HC180" s="262"/>
      <c r="HD180" s="262"/>
      <c r="HE180" s="262"/>
      <c r="HF180" s="262"/>
      <c r="HG180" s="262"/>
      <c r="HH180" s="262"/>
      <c r="HI180" s="262"/>
      <c r="HJ180" s="262"/>
      <c r="HK180" s="262"/>
      <c r="HL180" s="262"/>
      <c r="HM180" s="262"/>
      <c r="HN180" s="262"/>
      <c r="HO180" s="262"/>
      <c r="HP180" s="262"/>
      <c r="HQ180" s="262"/>
      <c r="HR180" s="262"/>
      <c r="HS180" s="262"/>
      <c r="HT180" s="262"/>
      <c r="HU180" s="262"/>
      <c r="HV180" s="262"/>
      <c r="HW180" s="262"/>
      <c r="HX180" s="262"/>
      <c r="HY180" s="262"/>
      <c r="HZ180" s="262"/>
      <c r="IA180" s="262"/>
      <c r="IB180" s="262"/>
      <c r="IC180" s="262"/>
      <c r="ID180" s="262"/>
      <c r="IE180" s="262"/>
      <c r="IF180" s="262"/>
      <c r="IG180" s="262"/>
      <c r="IH180" s="262"/>
      <c r="II180" s="262"/>
      <c r="IJ180" s="262"/>
      <c r="IK180" s="262"/>
      <c r="IL180" s="262"/>
      <c r="IM180" s="262"/>
      <c r="IN180" s="262"/>
      <c r="IO180" s="262"/>
      <c r="IP180" s="262"/>
      <c r="IQ180" s="262"/>
      <c r="IR180" s="262"/>
      <c r="IS180" s="262"/>
      <c r="IT180" s="262"/>
      <c r="IU180" s="262"/>
    </row>
    <row r="181" ht="18" hidden="1" customHeight="1" spans="1:255">
      <c r="A181" s="267">
        <v>4200</v>
      </c>
      <c r="B181" s="268" t="s">
        <v>1560</v>
      </c>
      <c r="C181" s="225" t="s">
        <v>1380</v>
      </c>
      <c r="D181" s="230">
        <v>20073.4420894174</v>
      </c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2"/>
      <c r="S181" s="262"/>
      <c r="T181" s="262"/>
      <c r="U181" s="262"/>
      <c r="V181" s="262"/>
      <c r="W181" s="262"/>
      <c r="X181" s="262"/>
      <c r="Y181" s="262"/>
      <c r="Z181" s="262"/>
      <c r="AA181" s="262"/>
      <c r="AB181" s="262"/>
      <c r="AC181" s="262"/>
      <c r="AD181" s="262"/>
      <c r="AE181" s="262"/>
      <c r="AF181" s="262"/>
      <c r="AG181" s="262"/>
      <c r="AH181" s="262"/>
      <c r="AI181" s="262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62"/>
      <c r="BH181" s="262"/>
      <c r="BI181" s="262"/>
      <c r="BJ181" s="262"/>
      <c r="BK181" s="262"/>
      <c r="BL181" s="262"/>
      <c r="BM181" s="262"/>
      <c r="BN181" s="262"/>
      <c r="BO181" s="262"/>
      <c r="BP181" s="262"/>
      <c r="BQ181" s="262"/>
      <c r="BR181" s="262"/>
      <c r="BS181" s="262"/>
      <c r="BT181" s="262"/>
      <c r="BU181" s="262"/>
      <c r="BV181" s="262"/>
      <c r="BW181" s="262"/>
      <c r="BX181" s="262"/>
      <c r="BY181" s="262"/>
      <c r="BZ181" s="262"/>
      <c r="CA181" s="262"/>
      <c r="CB181" s="262"/>
      <c r="CC181" s="262"/>
      <c r="CD181" s="262"/>
      <c r="CE181" s="262"/>
      <c r="CF181" s="262"/>
      <c r="CG181" s="262"/>
      <c r="CH181" s="262"/>
      <c r="CI181" s="262"/>
      <c r="CJ181" s="262"/>
      <c r="CK181" s="262"/>
      <c r="CL181" s="262"/>
      <c r="CM181" s="262"/>
      <c r="CN181" s="262"/>
      <c r="CO181" s="262"/>
      <c r="CP181" s="262"/>
      <c r="CQ181" s="262"/>
      <c r="CR181" s="262"/>
      <c r="CS181" s="262"/>
      <c r="CT181" s="262"/>
      <c r="CU181" s="262"/>
      <c r="CV181" s="262"/>
      <c r="CW181" s="262"/>
      <c r="CX181" s="262"/>
      <c r="CY181" s="262"/>
      <c r="CZ181" s="262"/>
      <c r="DA181" s="262"/>
      <c r="DB181" s="262"/>
      <c r="DC181" s="262"/>
      <c r="DD181" s="262"/>
      <c r="DE181" s="262"/>
      <c r="DF181" s="262"/>
      <c r="DG181" s="262"/>
      <c r="DH181" s="262"/>
      <c r="DI181" s="262"/>
      <c r="DJ181" s="262"/>
      <c r="DK181" s="262"/>
      <c r="DL181" s="262"/>
      <c r="DM181" s="262"/>
      <c r="DN181" s="262"/>
      <c r="DO181" s="262"/>
      <c r="DP181" s="262"/>
      <c r="DQ181" s="262"/>
      <c r="DR181" s="262"/>
      <c r="DS181" s="262"/>
      <c r="DT181" s="262"/>
      <c r="DU181" s="262"/>
      <c r="DV181" s="262"/>
      <c r="DW181" s="262"/>
      <c r="DX181" s="262"/>
      <c r="DY181" s="262"/>
      <c r="DZ181" s="262"/>
      <c r="EA181" s="262"/>
      <c r="EB181" s="262"/>
      <c r="EC181" s="262"/>
      <c r="ED181" s="262"/>
      <c r="EE181" s="262"/>
      <c r="EF181" s="262"/>
      <c r="EG181" s="262"/>
      <c r="EH181" s="262"/>
      <c r="EI181" s="262"/>
      <c r="EJ181" s="262"/>
      <c r="EK181" s="262"/>
      <c r="EL181" s="262"/>
      <c r="EM181" s="262"/>
      <c r="EN181" s="262"/>
      <c r="EO181" s="262"/>
      <c r="EP181" s="262"/>
      <c r="EQ181" s="262"/>
      <c r="ER181" s="262"/>
      <c r="ES181" s="262"/>
      <c r="ET181" s="262"/>
      <c r="EU181" s="262"/>
      <c r="EV181" s="262"/>
      <c r="EW181" s="262"/>
      <c r="EX181" s="262"/>
      <c r="EY181" s="262"/>
      <c r="EZ181" s="262"/>
      <c r="FA181" s="262"/>
      <c r="FB181" s="262"/>
      <c r="FC181" s="262"/>
      <c r="FD181" s="262"/>
      <c r="FE181" s="262"/>
      <c r="FF181" s="262"/>
      <c r="FG181" s="262"/>
      <c r="FH181" s="262"/>
      <c r="FI181" s="262"/>
      <c r="FJ181" s="262"/>
      <c r="FK181" s="262"/>
      <c r="FL181" s="262"/>
      <c r="FM181" s="262"/>
      <c r="FN181" s="262"/>
      <c r="FO181" s="262"/>
      <c r="FP181" s="262"/>
      <c r="FQ181" s="262"/>
      <c r="FR181" s="262"/>
      <c r="FS181" s="262"/>
      <c r="FT181" s="262"/>
      <c r="FU181" s="262"/>
      <c r="FV181" s="262"/>
      <c r="FW181" s="262"/>
      <c r="FX181" s="262"/>
      <c r="FY181" s="262"/>
      <c r="FZ181" s="262"/>
      <c r="GA181" s="262"/>
      <c r="GB181" s="262"/>
      <c r="GC181" s="262"/>
      <c r="GD181" s="262"/>
      <c r="GE181" s="262"/>
      <c r="GF181" s="262"/>
      <c r="GG181" s="262"/>
      <c r="GH181" s="262"/>
      <c r="GI181" s="262"/>
      <c r="GJ181" s="262"/>
      <c r="GK181" s="262"/>
      <c r="GL181" s="262"/>
      <c r="GM181" s="262"/>
      <c r="GN181" s="262"/>
      <c r="GO181" s="262"/>
      <c r="GP181" s="262"/>
      <c r="GQ181" s="262"/>
      <c r="GR181" s="262"/>
      <c r="GS181" s="262"/>
      <c r="GT181" s="262"/>
      <c r="GU181" s="262"/>
      <c r="GV181" s="262"/>
      <c r="GW181" s="262"/>
      <c r="GX181" s="262"/>
      <c r="GY181" s="262"/>
      <c r="GZ181" s="262"/>
      <c r="HA181" s="262"/>
      <c r="HB181" s="262"/>
      <c r="HC181" s="262"/>
      <c r="HD181" s="262"/>
      <c r="HE181" s="262"/>
      <c r="HF181" s="262"/>
      <c r="HG181" s="262"/>
      <c r="HH181" s="262"/>
      <c r="HI181" s="262"/>
      <c r="HJ181" s="262"/>
      <c r="HK181" s="262"/>
      <c r="HL181" s="262"/>
      <c r="HM181" s="262"/>
      <c r="HN181" s="262"/>
      <c r="HO181" s="262"/>
      <c r="HP181" s="262"/>
      <c r="HQ181" s="262"/>
      <c r="HR181" s="262"/>
      <c r="HS181" s="262"/>
      <c r="HT181" s="262"/>
      <c r="HU181" s="262"/>
      <c r="HV181" s="262"/>
      <c r="HW181" s="262"/>
      <c r="HX181" s="262"/>
      <c r="HY181" s="262"/>
      <c r="HZ181" s="262"/>
      <c r="IA181" s="262"/>
      <c r="IB181" s="262"/>
      <c r="IC181" s="262"/>
      <c r="ID181" s="262"/>
      <c r="IE181" s="262"/>
      <c r="IF181" s="262"/>
      <c r="IG181" s="262"/>
      <c r="IH181" s="262"/>
      <c r="II181" s="262"/>
      <c r="IJ181" s="262"/>
      <c r="IK181" s="262"/>
      <c r="IL181" s="262"/>
      <c r="IM181" s="262"/>
      <c r="IN181" s="262"/>
      <c r="IO181" s="262"/>
      <c r="IP181" s="262"/>
      <c r="IQ181" s="262"/>
      <c r="IR181" s="262"/>
      <c r="IS181" s="262"/>
      <c r="IT181" s="262"/>
      <c r="IU181" s="262"/>
    </row>
    <row r="182" ht="18" hidden="1" customHeight="1" spans="1:255">
      <c r="A182" s="267">
        <v>4201</v>
      </c>
      <c r="B182" s="268" t="s">
        <v>1561</v>
      </c>
      <c r="C182" s="225" t="s">
        <v>1380</v>
      </c>
      <c r="D182" s="230">
        <v>21851.5143844922</v>
      </c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  <c r="Z182" s="262"/>
      <c r="AA182" s="262"/>
      <c r="AB182" s="262"/>
      <c r="AC182" s="262"/>
      <c r="AD182" s="262"/>
      <c r="AE182" s="262"/>
      <c r="AF182" s="262"/>
      <c r="AG182" s="262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62"/>
      <c r="BH182" s="262"/>
      <c r="BI182" s="262"/>
      <c r="BJ182" s="262"/>
      <c r="BK182" s="262"/>
      <c r="BL182" s="262"/>
      <c r="BM182" s="262"/>
      <c r="BN182" s="262"/>
      <c r="BO182" s="262"/>
      <c r="BP182" s="262"/>
      <c r="BQ182" s="262"/>
      <c r="BR182" s="262"/>
      <c r="BS182" s="262"/>
      <c r="BT182" s="262"/>
      <c r="BU182" s="262"/>
      <c r="BV182" s="262"/>
      <c r="BW182" s="262"/>
      <c r="BX182" s="262"/>
      <c r="BY182" s="262"/>
      <c r="BZ182" s="262"/>
      <c r="CA182" s="262"/>
      <c r="CB182" s="262"/>
      <c r="CC182" s="262"/>
      <c r="CD182" s="262"/>
      <c r="CE182" s="262"/>
      <c r="CF182" s="262"/>
      <c r="CG182" s="262"/>
      <c r="CH182" s="262"/>
      <c r="CI182" s="262"/>
      <c r="CJ182" s="262"/>
      <c r="CK182" s="262"/>
      <c r="CL182" s="262"/>
      <c r="CM182" s="262"/>
      <c r="CN182" s="262"/>
      <c r="CO182" s="262"/>
      <c r="CP182" s="262"/>
      <c r="CQ182" s="262"/>
      <c r="CR182" s="262"/>
      <c r="CS182" s="262"/>
      <c r="CT182" s="262"/>
      <c r="CU182" s="262"/>
      <c r="CV182" s="262"/>
      <c r="CW182" s="262"/>
      <c r="CX182" s="262"/>
      <c r="CY182" s="262"/>
      <c r="CZ182" s="262"/>
      <c r="DA182" s="262"/>
      <c r="DB182" s="262"/>
      <c r="DC182" s="262"/>
      <c r="DD182" s="262"/>
      <c r="DE182" s="262"/>
      <c r="DF182" s="262"/>
      <c r="DG182" s="262"/>
      <c r="DH182" s="262"/>
      <c r="DI182" s="262"/>
      <c r="DJ182" s="262"/>
      <c r="DK182" s="262"/>
      <c r="DL182" s="262"/>
      <c r="DM182" s="262"/>
      <c r="DN182" s="262"/>
      <c r="DO182" s="262"/>
      <c r="DP182" s="262"/>
      <c r="DQ182" s="262"/>
      <c r="DR182" s="262"/>
      <c r="DS182" s="262"/>
      <c r="DT182" s="262"/>
      <c r="DU182" s="262"/>
      <c r="DV182" s="262"/>
      <c r="DW182" s="262"/>
      <c r="DX182" s="262"/>
      <c r="DY182" s="262"/>
      <c r="DZ182" s="262"/>
      <c r="EA182" s="262"/>
      <c r="EB182" s="262"/>
      <c r="EC182" s="262"/>
      <c r="ED182" s="262"/>
      <c r="EE182" s="262"/>
      <c r="EF182" s="262"/>
      <c r="EG182" s="262"/>
      <c r="EH182" s="262"/>
      <c r="EI182" s="262"/>
      <c r="EJ182" s="262"/>
      <c r="EK182" s="262"/>
      <c r="EL182" s="262"/>
      <c r="EM182" s="262"/>
      <c r="EN182" s="262"/>
      <c r="EO182" s="262"/>
      <c r="EP182" s="262"/>
      <c r="EQ182" s="262"/>
      <c r="ER182" s="262"/>
      <c r="ES182" s="262"/>
      <c r="ET182" s="262"/>
      <c r="EU182" s="262"/>
      <c r="EV182" s="262"/>
      <c r="EW182" s="262"/>
      <c r="EX182" s="262"/>
      <c r="EY182" s="262"/>
      <c r="EZ182" s="262"/>
      <c r="FA182" s="262"/>
      <c r="FB182" s="262"/>
      <c r="FC182" s="262"/>
      <c r="FD182" s="262"/>
      <c r="FE182" s="262"/>
      <c r="FF182" s="262"/>
      <c r="FG182" s="262"/>
      <c r="FH182" s="262"/>
      <c r="FI182" s="262"/>
      <c r="FJ182" s="262"/>
      <c r="FK182" s="262"/>
      <c r="FL182" s="262"/>
      <c r="FM182" s="262"/>
      <c r="FN182" s="262"/>
      <c r="FO182" s="262"/>
      <c r="FP182" s="262"/>
      <c r="FQ182" s="262"/>
      <c r="FR182" s="262"/>
      <c r="FS182" s="262"/>
      <c r="FT182" s="262"/>
      <c r="FU182" s="262"/>
      <c r="FV182" s="262"/>
      <c r="FW182" s="262"/>
      <c r="FX182" s="262"/>
      <c r="FY182" s="262"/>
      <c r="FZ182" s="262"/>
      <c r="GA182" s="262"/>
      <c r="GB182" s="262"/>
      <c r="GC182" s="262"/>
      <c r="GD182" s="262"/>
      <c r="GE182" s="262"/>
      <c r="GF182" s="262"/>
      <c r="GG182" s="262"/>
      <c r="GH182" s="262"/>
      <c r="GI182" s="262"/>
      <c r="GJ182" s="262"/>
      <c r="GK182" s="262"/>
      <c r="GL182" s="262"/>
      <c r="GM182" s="262"/>
      <c r="GN182" s="262"/>
      <c r="GO182" s="262"/>
      <c r="GP182" s="262"/>
      <c r="GQ182" s="262"/>
      <c r="GR182" s="262"/>
      <c r="GS182" s="262"/>
      <c r="GT182" s="262"/>
      <c r="GU182" s="262"/>
      <c r="GV182" s="262"/>
      <c r="GW182" s="262"/>
      <c r="GX182" s="262"/>
      <c r="GY182" s="262"/>
      <c r="GZ182" s="262"/>
      <c r="HA182" s="262"/>
      <c r="HB182" s="262"/>
      <c r="HC182" s="262"/>
      <c r="HD182" s="262"/>
      <c r="HE182" s="262"/>
      <c r="HF182" s="262"/>
      <c r="HG182" s="262"/>
      <c r="HH182" s="262"/>
      <c r="HI182" s="262"/>
      <c r="HJ182" s="262"/>
      <c r="HK182" s="262"/>
      <c r="HL182" s="262"/>
      <c r="HM182" s="262"/>
      <c r="HN182" s="262"/>
      <c r="HO182" s="262"/>
      <c r="HP182" s="262"/>
      <c r="HQ182" s="262"/>
      <c r="HR182" s="262"/>
      <c r="HS182" s="262"/>
      <c r="HT182" s="262"/>
      <c r="HU182" s="262"/>
      <c r="HV182" s="262"/>
      <c r="HW182" s="262"/>
      <c r="HX182" s="262"/>
      <c r="HY182" s="262"/>
      <c r="HZ182" s="262"/>
      <c r="IA182" s="262"/>
      <c r="IB182" s="262"/>
      <c r="IC182" s="262"/>
      <c r="ID182" s="262"/>
      <c r="IE182" s="262"/>
      <c r="IF182" s="262"/>
      <c r="IG182" s="262"/>
      <c r="IH182" s="262"/>
      <c r="II182" s="262"/>
      <c r="IJ182" s="262"/>
      <c r="IK182" s="262"/>
      <c r="IL182" s="262"/>
      <c r="IM182" s="262"/>
      <c r="IN182" s="262"/>
      <c r="IO182" s="262"/>
      <c r="IP182" s="262"/>
      <c r="IQ182" s="262"/>
      <c r="IR182" s="262"/>
      <c r="IS182" s="262"/>
      <c r="IT182" s="262"/>
      <c r="IU182" s="262"/>
    </row>
    <row r="183" ht="18" hidden="1" customHeight="1" spans="1:255">
      <c r="A183" s="267">
        <v>4202</v>
      </c>
      <c r="B183" s="268" t="s">
        <v>1562</v>
      </c>
      <c r="C183" s="225" t="s">
        <v>1380</v>
      </c>
      <c r="D183" s="230">
        <v>11455.6605984613</v>
      </c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  <c r="Z183" s="262"/>
      <c r="AA183" s="262"/>
      <c r="AB183" s="262"/>
      <c r="AC183" s="262"/>
      <c r="AD183" s="262"/>
      <c r="AE183" s="262"/>
      <c r="AF183" s="262"/>
      <c r="AG183" s="262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62"/>
      <c r="BH183" s="262"/>
      <c r="BI183" s="262"/>
      <c r="BJ183" s="262"/>
      <c r="BK183" s="262"/>
      <c r="BL183" s="262"/>
      <c r="BM183" s="262"/>
      <c r="BN183" s="262"/>
      <c r="BO183" s="262"/>
      <c r="BP183" s="262"/>
      <c r="BQ183" s="262"/>
      <c r="BR183" s="262"/>
      <c r="BS183" s="262"/>
      <c r="BT183" s="262"/>
      <c r="BU183" s="262"/>
      <c r="BV183" s="262"/>
      <c r="BW183" s="262"/>
      <c r="BX183" s="262"/>
      <c r="BY183" s="262"/>
      <c r="BZ183" s="262"/>
      <c r="CA183" s="262"/>
      <c r="CB183" s="262"/>
      <c r="CC183" s="262"/>
      <c r="CD183" s="262"/>
      <c r="CE183" s="262"/>
      <c r="CF183" s="262"/>
      <c r="CG183" s="262"/>
      <c r="CH183" s="262"/>
      <c r="CI183" s="262"/>
      <c r="CJ183" s="262"/>
      <c r="CK183" s="262"/>
      <c r="CL183" s="262"/>
      <c r="CM183" s="262"/>
      <c r="CN183" s="262"/>
      <c r="CO183" s="262"/>
      <c r="CP183" s="262"/>
      <c r="CQ183" s="262"/>
      <c r="CR183" s="262"/>
      <c r="CS183" s="262"/>
      <c r="CT183" s="262"/>
      <c r="CU183" s="262"/>
      <c r="CV183" s="262"/>
      <c r="CW183" s="262"/>
      <c r="CX183" s="262"/>
      <c r="CY183" s="262"/>
      <c r="CZ183" s="262"/>
      <c r="DA183" s="262"/>
      <c r="DB183" s="262"/>
      <c r="DC183" s="262"/>
      <c r="DD183" s="262"/>
      <c r="DE183" s="262"/>
      <c r="DF183" s="262"/>
      <c r="DG183" s="262"/>
      <c r="DH183" s="262"/>
      <c r="DI183" s="262"/>
      <c r="DJ183" s="262"/>
      <c r="DK183" s="262"/>
      <c r="DL183" s="262"/>
      <c r="DM183" s="262"/>
      <c r="DN183" s="262"/>
      <c r="DO183" s="262"/>
      <c r="DP183" s="262"/>
      <c r="DQ183" s="262"/>
      <c r="DR183" s="262"/>
      <c r="DS183" s="262"/>
      <c r="DT183" s="262"/>
      <c r="DU183" s="262"/>
      <c r="DV183" s="262"/>
      <c r="DW183" s="262"/>
      <c r="DX183" s="262"/>
      <c r="DY183" s="262"/>
      <c r="DZ183" s="262"/>
      <c r="EA183" s="262"/>
      <c r="EB183" s="262"/>
      <c r="EC183" s="262"/>
      <c r="ED183" s="262"/>
      <c r="EE183" s="262"/>
      <c r="EF183" s="262"/>
      <c r="EG183" s="262"/>
      <c r="EH183" s="262"/>
      <c r="EI183" s="262"/>
      <c r="EJ183" s="262"/>
      <c r="EK183" s="262"/>
      <c r="EL183" s="262"/>
      <c r="EM183" s="262"/>
      <c r="EN183" s="262"/>
      <c r="EO183" s="262"/>
      <c r="EP183" s="262"/>
      <c r="EQ183" s="262"/>
      <c r="ER183" s="262"/>
      <c r="ES183" s="262"/>
      <c r="ET183" s="262"/>
      <c r="EU183" s="262"/>
      <c r="EV183" s="262"/>
      <c r="EW183" s="262"/>
      <c r="EX183" s="262"/>
      <c r="EY183" s="262"/>
      <c r="EZ183" s="262"/>
      <c r="FA183" s="262"/>
      <c r="FB183" s="262"/>
      <c r="FC183" s="262"/>
      <c r="FD183" s="262"/>
      <c r="FE183" s="262"/>
      <c r="FF183" s="262"/>
      <c r="FG183" s="262"/>
      <c r="FH183" s="262"/>
      <c r="FI183" s="262"/>
      <c r="FJ183" s="262"/>
      <c r="FK183" s="262"/>
      <c r="FL183" s="262"/>
      <c r="FM183" s="262"/>
      <c r="FN183" s="262"/>
      <c r="FO183" s="262"/>
      <c r="FP183" s="262"/>
      <c r="FQ183" s="262"/>
      <c r="FR183" s="262"/>
      <c r="FS183" s="262"/>
      <c r="FT183" s="262"/>
      <c r="FU183" s="262"/>
      <c r="FV183" s="262"/>
      <c r="FW183" s="262"/>
      <c r="FX183" s="262"/>
      <c r="FY183" s="262"/>
      <c r="FZ183" s="262"/>
      <c r="GA183" s="262"/>
      <c r="GB183" s="262"/>
      <c r="GC183" s="262"/>
      <c r="GD183" s="262"/>
      <c r="GE183" s="262"/>
      <c r="GF183" s="262"/>
      <c r="GG183" s="262"/>
      <c r="GH183" s="262"/>
      <c r="GI183" s="262"/>
      <c r="GJ183" s="262"/>
      <c r="GK183" s="262"/>
      <c r="GL183" s="262"/>
      <c r="GM183" s="262"/>
      <c r="GN183" s="262"/>
      <c r="GO183" s="262"/>
      <c r="GP183" s="262"/>
      <c r="GQ183" s="262"/>
      <c r="GR183" s="262"/>
      <c r="GS183" s="262"/>
      <c r="GT183" s="262"/>
      <c r="GU183" s="262"/>
      <c r="GV183" s="262"/>
      <c r="GW183" s="262"/>
      <c r="GX183" s="262"/>
      <c r="GY183" s="262"/>
      <c r="GZ183" s="262"/>
      <c r="HA183" s="262"/>
      <c r="HB183" s="262"/>
      <c r="HC183" s="262"/>
      <c r="HD183" s="262"/>
      <c r="HE183" s="262"/>
      <c r="HF183" s="262"/>
      <c r="HG183" s="262"/>
      <c r="HH183" s="262"/>
      <c r="HI183" s="262"/>
      <c r="HJ183" s="262"/>
      <c r="HK183" s="262"/>
      <c r="HL183" s="262"/>
      <c r="HM183" s="262"/>
      <c r="HN183" s="262"/>
      <c r="HO183" s="262"/>
      <c r="HP183" s="262"/>
      <c r="HQ183" s="262"/>
      <c r="HR183" s="262"/>
      <c r="HS183" s="262"/>
      <c r="HT183" s="262"/>
      <c r="HU183" s="262"/>
      <c r="HV183" s="262"/>
      <c r="HW183" s="262"/>
      <c r="HX183" s="262"/>
      <c r="HY183" s="262"/>
      <c r="HZ183" s="262"/>
      <c r="IA183" s="262"/>
      <c r="IB183" s="262"/>
      <c r="IC183" s="262"/>
      <c r="ID183" s="262"/>
      <c r="IE183" s="262"/>
      <c r="IF183" s="262"/>
      <c r="IG183" s="262"/>
      <c r="IH183" s="262"/>
      <c r="II183" s="262"/>
      <c r="IJ183" s="262"/>
      <c r="IK183" s="262"/>
      <c r="IL183" s="262"/>
      <c r="IM183" s="262"/>
      <c r="IN183" s="262"/>
      <c r="IO183" s="262"/>
      <c r="IP183" s="262"/>
      <c r="IQ183" s="262"/>
      <c r="IR183" s="262"/>
      <c r="IS183" s="262"/>
      <c r="IT183" s="262"/>
      <c r="IU183" s="262"/>
    </row>
    <row r="184" ht="18" hidden="1" customHeight="1" spans="1:255">
      <c r="A184" s="267">
        <v>4203</v>
      </c>
      <c r="B184" s="268" t="s">
        <v>1563</v>
      </c>
      <c r="C184" s="225" t="s">
        <v>1380</v>
      </c>
      <c r="D184" s="230">
        <v>12843.2628518464</v>
      </c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2"/>
      <c r="S184" s="262"/>
      <c r="T184" s="262"/>
      <c r="U184" s="262"/>
      <c r="V184" s="262"/>
      <c r="W184" s="262"/>
      <c r="X184" s="262"/>
      <c r="Y184" s="262"/>
      <c r="Z184" s="262"/>
      <c r="AA184" s="262"/>
      <c r="AB184" s="262"/>
      <c r="AC184" s="262"/>
      <c r="AD184" s="262"/>
      <c r="AE184" s="262"/>
      <c r="AF184" s="262"/>
      <c r="AG184" s="262"/>
      <c r="AH184" s="262"/>
      <c r="AI184" s="262"/>
      <c r="AJ184" s="262"/>
      <c r="AK184" s="262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62"/>
      <c r="BH184" s="262"/>
      <c r="BI184" s="262"/>
      <c r="BJ184" s="262"/>
      <c r="BK184" s="262"/>
      <c r="BL184" s="262"/>
      <c r="BM184" s="262"/>
      <c r="BN184" s="262"/>
      <c r="BO184" s="262"/>
      <c r="BP184" s="262"/>
      <c r="BQ184" s="262"/>
      <c r="BR184" s="262"/>
      <c r="BS184" s="262"/>
      <c r="BT184" s="262"/>
      <c r="BU184" s="262"/>
      <c r="BV184" s="262"/>
      <c r="BW184" s="262"/>
      <c r="BX184" s="262"/>
      <c r="BY184" s="262"/>
      <c r="BZ184" s="262"/>
      <c r="CA184" s="262"/>
      <c r="CB184" s="262"/>
      <c r="CC184" s="262"/>
      <c r="CD184" s="262"/>
      <c r="CE184" s="262"/>
      <c r="CF184" s="262"/>
      <c r="CG184" s="262"/>
      <c r="CH184" s="262"/>
      <c r="CI184" s="262"/>
      <c r="CJ184" s="262"/>
      <c r="CK184" s="262"/>
      <c r="CL184" s="262"/>
      <c r="CM184" s="262"/>
      <c r="CN184" s="262"/>
      <c r="CO184" s="262"/>
      <c r="CP184" s="262"/>
      <c r="CQ184" s="262"/>
      <c r="CR184" s="262"/>
      <c r="CS184" s="262"/>
      <c r="CT184" s="262"/>
      <c r="CU184" s="262"/>
      <c r="CV184" s="262"/>
      <c r="CW184" s="262"/>
      <c r="CX184" s="262"/>
      <c r="CY184" s="262"/>
      <c r="CZ184" s="262"/>
      <c r="DA184" s="262"/>
      <c r="DB184" s="262"/>
      <c r="DC184" s="262"/>
      <c r="DD184" s="262"/>
      <c r="DE184" s="262"/>
      <c r="DF184" s="262"/>
      <c r="DG184" s="262"/>
      <c r="DH184" s="262"/>
      <c r="DI184" s="262"/>
      <c r="DJ184" s="262"/>
      <c r="DK184" s="262"/>
      <c r="DL184" s="262"/>
      <c r="DM184" s="262"/>
      <c r="DN184" s="262"/>
      <c r="DO184" s="262"/>
      <c r="DP184" s="262"/>
      <c r="DQ184" s="262"/>
      <c r="DR184" s="262"/>
      <c r="DS184" s="262"/>
      <c r="DT184" s="262"/>
      <c r="DU184" s="262"/>
      <c r="DV184" s="262"/>
      <c r="DW184" s="262"/>
      <c r="DX184" s="262"/>
      <c r="DY184" s="262"/>
      <c r="DZ184" s="262"/>
      <c r="EA184" s="262"/>
      <c r="EB184" s="262"/>
      <c r="EC184" s="262"/>
      <c r="ED184" s="262"/>
      <c r="EE184" s="262"/>
      <c r="EF184" s="262"/>
      <c r="EG184" s="262"/>
      <c r="EH184" s="262"/>
      <c r="EI184" s="262"/>
      <c r="EJ184" s="262"/>
      <c r="EK184" s="262"/>
      <c r="EL184" s="262"/>
      <c r="EM184" s="262"/>
      <c r="EN184" s="262"/>
      <c r="EO184" s="262"/>
      <c r="EP184" s="262"/>
      <c r="EQ184" s="262"/>
      <c r="ER184" s="262"/>
      <c r="ES184" s="262"/>
      <c r="ET184" s="262"/>
      <c r="EU184" s="262"/>
      <c r="EV184" s="262"/>
      <c r="EW184" s="262"/>
      <c r="EX184" s="262"/>
      <c r="EY184" s="262"/>
      <c r="EZ184" s="262"/>
      <c r="FA184" s="262"/>
      <c r="FB184" s="262"/>
      <c r="FC184" s="262"/>
      <c r="FD184" s="262"/>
      <c r="FE184" s="262"/>
      <c r="FF184" s="262"/>
      <c r="FG184" s="262"/>
      <c r="FH184" s="262"/>
      <c r="FI184" s="262"/>
      <c r="FJ184" s="262"/>
      <c r="FK184" s="262"/>
      <c r="FL184" s="262"/>
      <c r="FM184" s="262"/>
      <c r="FN184" s="262"/>
      <c r="FO184" s="262"/>
      <c r="FP184" s="262"/>
      <c r="FQ184" s="262"/>
      <c r="FR184" s="262"/>
      <c r="FS184" s="262"/>
      <c r="FT184" s="262"/>
      <c r="FU184" s="262"/>
      <c r="FV184" s="262"/>
      <c r="FW184" s="262"/>
      <c r="FX184" s="262"/>
      <c r="FY184" s="262"/>
      <c r="FZ184" s="262"/>
      <c r="GA184" s="262"/>
      <c r="GB184" s="262"/>
      <c r="GC184" s="262"/>
      <c r="GD184" s="262"/>
      <c r="GE184" s="262"/>
      <c r="GF184" s="262"/>
      <c r="GG184" s="262"/>
      <c r="GH184" s="262"/>
      <c r="GI184" s="262"/>
      <c r="GJ184" s="262"/>
      <c r="GK184" s="262"/>
      <c r="GL184" s="262"/>
      <c r="GM184" s="262"/>
      <c r="GN184" s="262"/>
      <c r="GO184" s="262"/>
      <c r="GP184" s="262"/>
      <c r="GQ184" s="262"/>
      <c r="GR184" s="262"/>
      <c r="GS184" s="262"/>
      <c r="GT184" s="262"/>
      <c r="GU184" s="262"/>
      <c r="GV184" s="262"/>
      <c r="GW184" s="262"/>
      <c r="GX184" s="262"/>
      <c r="GY184" s="262"/>
      <c r="GZ184" s="262"/>
      <c r="HA184" s="262"/>
      <c r="HB184" s="262"/>
      <c r="HC184" s="262"/>
      <c r="HD184" s="262"/>
      <c r="HE184" s="262"/>
      <c r="HF184" s="262"/>
      <c r="HG184" s="262"/>
      <c r="HH184" s="262"/>
      <c r="HI184" s="262"/>
      <c r="HJ184" s="262"/>
      <c r="HK184" s="262"/>
      <c r="HL184" s="262"/>
      <c r="HM184" s="262"/>
      <c r="HN184" s="262"/>
      <c r="HO184" s="262"/>
      <c r="HP184" s="262"/>
      <c r="HQ184" s="262"/>
      <c r="HR184" s="262"/>
      <c r="HS184" s="262"/>
      <c r="HT184" s="262"/>
      <c r="HU184" s="262"/>
      <c r="HV184" s="262"/>
      <c r="HW184" s="262"/>
      <c r="HX184" s="262"/>
      <c r="HY184" s="262"/>
      <c r="HZ184" s="262"/>
      <c r="IA184" s="262"/>
      <c r="IB184" s="262"/>
      <c r="IC184" s="262"/>
      <c r="ID184" s="262"/>
      <c r="IE184" s="262"/>
      <c r="IF184" s="262"/>
      <c r="IG184" s="262"/>
      <c r="IH184" s="262"/>
      <c r="II184" s="262"/>
      <c r="IJ184" s="262"/>
      <c r="IK184" s="262"/>
      <c r="IL184" s="262"/>
      <c r="IM184" s="262"/>
      <c r="IN184" s="262"/>
      <c r="IO184" s="262"/>
      <c r="IP184" s="262"/>
      <c r="IQ184" s="262"/>
      <c r="IR184" s="262"/>
      <c r="IS184" s="262"/>
      <c r="IT184" s="262"/>
      <c r="IU184" s="262"/>
    </row>
    <row r="185" ht="18" hidden="1" customHeight="1" spans="1:255">
      <c r="A185" s="267">
        <v>4204</v>
      </c>
      <c r="B185" s="268" t="s">
        <v>1564</v>
      </c>
      <c r="C185" s="225" t="s">
        <v>1380</v>
      </c>
      <c r="D185" s="230">
        <v>15333.3822663661</v>
      </c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  <c r="P185" s="262"/>
      <c r="Q185" s="262"/>
      <c r="R185" s="262"/>
      <c r="S185" s="262"/>
      <c r="T185" s="262"/>
      <c r="U185" s="262"/>
      <c r="V185" s="262"/>
      <c r="W185" s="262"/>
      <c r="X185" s="262"/>
      <c r="Y185" s="262"/>
      <c r="Z185" s="262"/>
      <c r="AA185" s="262"/>
      <c r="AB185" s="262"/>
      <c r="AC185" s="262"/>
      <c r="AD185" s="262"/>
      <c r="AE185" s="262"/>
      <c r="AF185" s="262"/>
      <c r="AG185" s="262"/>
      <c r="AH185" s="262"/>
      <c r="AI185" s="262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62"/>
      <c r="BH185" s="262"/>
      <c r="BI185" s="262"/>
      <c r="BJ185" s="262"/>
      <c r="BK185" s="262"/>
      <c r="BL185" s="262"/>
      <c r="BM185" s="262"/>
      <c r="BN185" s="262"/>
      <c r="BO185" s="262"/>
      <c r="BP185" s="262"/>
      <c r="BQ185" s="262"/>
      <c r="BR185" s="262"/>
      <c r="BS185" s="262"/>
      <c r="BT185" s="262"/>
      <c r="BU185" s="262"/>
      <c r="BV185" s="262"/>
      <c r="BW185" s="262"/>
      <c r="BX185" s="262"/>
      <c r="BY185" s="262"/>
      <c r="BZ185" s="262"/>
      <c r="CA185" s="262"/>
      <c r="CB185" s="262"/>
      <c r="CC185" s="262"/>
      <c r="CD185" s="262"/>
      <c r="CE185" s="262"/>
      <c r="CF185" s="262"/>
      <c r="CG185" s="262"/>
      <c r="CH185" s="262"/>
      <c r="CI185" s="262"/>
      <c r="CJ185" s="262"/>
      <c r="CK185" s="262"/>
      <c r="CL185" s="262"/>
      <c r="CM185" s="262"/>
      <c r="CN185" s="262"/>
      <c r="CO185" s="262"/>
      <c r="CP185" s="262"/>
      <c r="CQ185" s="262"/>
      <c r="CR185" s="262"/>
      <c r="CS185" s="262"/>
      <c r="CT185" s="262"/>
      <c r="CU185" s="262"/>
      <c r="CV185" s="262"/>
      <c r="CW185" s="262"/>
      <c r="CX185" s="262"/>
      <c r="CY185" s="262"/>
      <c r="CZ185" s="262"/>
      <c r="DA185" s="262"/>
      <c r="DB185" s="262"/>
      <c r="DC185" s="262"/>
      <c r="DD185" s="262"/>
      <c r="DE185" s="262"/>
      <c r="DF185" s="262"/>
      <c r="DG185" s="262"/>
      <c r="DH185" s="262"/>
      <c r="DI185" s="262"/>
      <c r="DJ185" s="262"/>
      <c r="DK185" s="262"/>
      <c r="DL185" s="262"/>
      <c r="DM185" s="262"/>
      <c r="DN185" s="262"/>
      <c r="DO185" s="262"/>
      <c r="DP185" s="262"/>
      <c r="DQ185" s="262"/>
      <c r="DR185" s="262"/>
      <c r="DS185" s="262"/>
      <c r="DT185" s="262"/>
      <c r="DU185" s="262"/>
      <c r="DV185" s="262"/>
      <c r="DW185" s="262"/>
      <c r="DX185" s="262"/>
      <c r="DY185" s="262"/>
      <c r="DZ185" s="262"/>
      <c r="EA185" s="262"/>
      <c r="EB185" s="262"/>
      <c r="EC185" s="262"/>
      <c r="ED185" s="262"/>
      <c r="EE185" s="262"/>
      <c r="EF185" s="262"/>
      <c r="EG185" s="262"/>
      <c r="EH185" s="262"/>
      <c r="EI185" s="262"/>
      <c r="EJ185" s="262"/>
      <c r="EK185" s="262"/>
      <c r="EL185" s="262"/>
      <c r="EM185" s="262"/>
      <c r="EN185" s="262"/>
      <c r="EO185" s="262"/>
      <c r="EP185" s="262"/>
      <c r="EQ185" s="262"/>
      <c r="ER185" s="262"/>
      <c r="ES185" s="262"/>
      <c r="ET185" s="262"/>
      <c r="EU185" s="262"/>
      <c r="EV185" s="262"/>
      <c r="EW185" s="262"/>
      <c r="EX185" s="262"/>
      <c r="EY185" s="262"/>
      <c r="EZ185" s="262"/>
      <c r="FA185" s="262"/>
      <c r="FB185" s="262"/>
      <c r="FC185" s="262"/>
      <c r="FD185" s="262"/>
      <c r="FE185" s="262"/>
      <c r="FF185" s="262"/>
      <c r="FG185" s="262"/>
      <c r="FH185" s="262"/>
      <c r="FI185" s="262"/>
      <c r="FJ185" s="262"/>
      <c r="FK185" s="262"/>
      <c r="FL185" s="262"/>
      <c r="FM185" s="262"/>
      <c r="FN185" s="262"/>
      <c r="FO185" s="262"/>
      <c r="FP185" s="262"/>
      <c r="FQ185" s="262"/>
      <c r="FR185" s="262"/>
      <c r="FS185" s="262"/>
      <c r="FT185" s="262"/>
      <c r="FU185" s="262"/>
      <c r="FV185" s="262"/>
      <c r="FW185" s="262"/>
      <c r="FX185" s="262"/>
      <c r="FY185" s="262"/>
      <c r="FZ185" s="262"/>
      <c r="GA185" s="262"/>
      <c r="GB185" s="262"/>
      <c r="GC185" s="262"/>
      <c r="GD185" s="262"/>
      <c r="GE185" s="262"/>
      <c r="GF185" s="262"/>
      <c r="GG185" s="262"/>
      <c r="GH185" s="262"/>
      <c r="GI185" s="262"/>
      <c r="GJ185" s="262"/>
      <c r="GK185" s="262"/>
      <c r="GL185" s="262"/>
      <c r="GM185" s="262"/>
      <c r="GN185" s="262"/>
      <c r="GO185" s="262"/>
      <c r="GP185" s="262"/>
      <c r="GQ185" s="262"/>
      <c r="GR185" s="262"/>
      <c r="GS185" s="262"/>
      <c r="GT185" s="262"/>
      <c r="GU185" s="262"/>
      <c r="GV185" s="262"/>
      <c r="GW185" s="262"/>
      <c r="GX185" s="262"/>
      <c r="GY185" s="262"/>
      <c r="GZ185" s="262"/>
      <c r="HA185" s="262"/>
      <c r="HB185" s="262"/>
      <c r="HC185" s="262"/>
      <c r="HD185" s="262"/>
      <c r="HE185" s="262"/>
      <c r="HF185" s="262"/>
      <c r="HG185" s="262"/>
      <c r="HH185" s="262"/>
      <c r="HI185" s="262"/>
      <c r="HJ185" s="262"/>
      <c r="HK185" s="262"/>
      <c r="HL185" s="262"/>
      <c r="HM185" s="262"/>
      <c r="HN185" s="262"/>
      <c r="HO185" s="262"/>
      <c r="HP185" s="262"/>
      <c r="HQ185" s="262"/>
      <c r="HR185" s="262"/>
      <c r="HS185" s="262"/>
      <c r="HT185" s="262"/>
      <c r="HU185" s="262"/>
      <c r="HV185" s="262"/>
      <c r="HW185" s="262"/>
      <c r="HX185" s="262"/>
      <c r="HY185" s="262"/>
      <c r="HZ185" s="262"/>
      <c r="IA185" s="262"/>
      <c r="IB185" s="262"/>
      <c r="IC185" s="262"/>
      <c r="ID185" s="262"/>
      <c r="IE185" s="262"/>
      <c r="IF185" s="262"/>
      <c r="IG185" s="262"/>
      <c r="IH185" s="262"/>
      <c r="II185" s="262"/>
      <c r="IJ185" s="262"/>
      <c r="IK185" s="262"/>
      <c r="IL185" s="262"/>
      <c r="IM185" s="262"/>
      <c r="IN185" s="262"/>
      <c r="IO185" s="262"/>
      <c r="IP185" s="262"/>
      <c r="IQ185" s="262"/>
      <c r="IR185" s="262"/>
      <c r="IS185" s="262"/>
      <c r="IT185" s="262"/>
      <c r="IU185" s="262"/>
    </row>
    <row r="186" ht="18" hidden="1" customHeight="1" spans="1:255">
      <c r="A186" s="267">
        <v>4205</v>
      </c>
      <c r="B186" s="268" t="s">
        <v>1565</v>
      </c>
      <c r="C186" s="225" t="s">
        <v>1380</v>
      </c>
      <c r="D186" s="230">
        <v>16996.0499937089</v>
      </c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2"/>
      <c r="S186" s="262"/>
      <c r="T186" s="262"/>
      <c r="U186" s="262"/>
      <c r="V186" s="262"/>
      <c r="W186" s="262"/>
      <c r="X186" s="262"/>
      <c r="Y186" s="262"/>
      <c r="Z186" s="262"/>
      <c r="AA186" s="262"/>
      <c r="AB186" s="262"/>
      <c r="AC186" s="262"/>
      <c r="AD186" s="262"/>
      <c r="AE186" s="262"/>
      <c r="AF186" s="262"/>
      <c r="AG186" s="262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62"/>
      <c r="BH186" s="262"/>
      <c r="BI186" s="262"/>
      <c r="BJ186" s="262"/>
      <c r="BK186" s="262"/>
      <c r="BL186" s="262"/>
      <c r="BM186" s="262"/>
      <c r="BN186" s="262"/>
      <c r="BO186" s="262"/>
      <c r="BP186" s="262"/>
      <c r="BQ186" s="262"/>
      <c r="BR186" s="262"/>
      <c r="BS186" s="262"/>
      <c r="BT186" s="262"/>
      <c r="BU186" s="262"/>
      <c r="BV186" s="262"/>
      <c r="BW186" s="262"/>
      <c r="BX186" s="262"/>
      <c r="BY186" s="262"/>
      <c r="BZ186" s="262"/>
      <c r="CA186" s="262"/>
      <c r="CB186" s="262"/>
      <c r="CC186" s="262"/>
      <c r="CD186" s="262"/>
      <c r="CE186" s="262"/>
      <c r="CF186" s="262"/>
      <c r="CG186" s="262"/>
      <c r="CH186" s="262"/>
      <c r="CI186" s="262"/>
      <c r="CJ186" s="262"/>
      <c r="CK186" s="262"/>
      <c r="CL186" s="262"/>
      <c r="CM186" s="262"/>
      <c r="CN186" s="262"/>
      <c r="CO186" s="262"/>
      <c r="CP186" s="262"/>
      <c r="CQ186" s="262"/>
      <c r="CR186" s="262"/>
      <c r="CS186" s="262"/>
      <c r="CT186" s="262"/>
      <c r="CU186" s="262"/>
      <c r="CV186" s="262"/>
      <c r="CW186" s="262"/>
      <c r="CX186" s="262"/>
      <c r="CY186" s="262"/>
      <c r="CZ186" s="262"/>
      <c r="DA186" s="262"/>
      <c r="DB186" s="262"/>
      <c r="DC186" s="262"/>
      <c r="DD186" s="262"/>
      <c r="DE186" s="262"/>
      <c r="DF186" s="262"/>
      <c r="DG186" s="262"/>
      <c r="DH186" s="262"/>
      <c r="DI186" s="262"/>
      <c r="DJ186" s="262"/>
      <c r="DK186" s="262"/>
      <c r="DL186" s="262"/>
      <c r="DM186" s="262"/>
      <c r="DN186" s="262"/>
      <c r="DO186" s="262"/>
      <c r="DP186" s="262"/>
      <c r="DQ186" s="262"/>
      <c r="DR186" s="262"/>
      <c r="DS186" s="262"/>
      <c r="DT186" s="262"/>
      <c r="DU186" s="262"/>
      <c r="DV186" s="262"/>
      <c r="DW186" s="262"/>
      <c r="DX186" s="262"/>
      <c r="DY186" s="262"/>
      <c r="DZ186" s="262"/>
      <c r="EA186" s="262"/>
      <c r="EB186" s="262"/>
      <c r="EC186" s="262"/>
      <c r="ED186" s="262"/>
      <c r="EE186" s="262"/>
      <c r="EF186" s="262"/>
      <c r="EG186" s="262"/>
      <c r="EH186" s="262"/>
      <c r="EI186" s="262"/>
      <c r="EJ186" s="262"/>
      <c r="EK186" s="262"/>
      <c r="EL186" s="262"/>
      <c r="EM186" s="262"/>
      <c r="EN186" s="262"/>
      <c r="EO186" s="262"/>
      <c r="EP186" s="262"/>
      <c r="EQ186" s="262"/>
      <c r="ER186" s="262"/>
      <c r="ES186" s="262"/>
      <c r="ET186" s="262"/>
      <c r="EU186" s="262"/>
      <c r="EV186" s="262"/>
      <c r="EW186" s="262"/>
      <c r="EX186" s="262"/>
      <c r="EY186" s="262"/>
      <c r="EZ186" s="262"/>
      <c r="FA186" s="262"/>
      <c r="FB186" s="262"/>
      <c r="FC186" s="262"/>
      <c r="FD186" s="262"/>
      <c r="FE186" s="262"/>
      <c r="FF186" s="262"/>
      <c r="FG186" s="262"/>
      <c r="FH186" s="262"/>
      <c r="FI186" s="262"/>
      <c r="FJ186" s="262"/>
      <c r="FK186" s="262"/>
      <c r="FL186" s="262"/>
      <c r="FM186" s="262"/>
      <c r="FN186" s="262"/>
      <c r="FO186" s="262"/>
      <c r="FP186" s="262"/>
      <c r="FQ186" s="262"/>
      <c r="FR186" s="262"/>
      <c r="FS186" s="262"/>
      <c r="FT186" s="262"/>
      <c r="FU186" s="262"/>
      <c r="FV186" s="262"/>
      <c r="FW186" s="262"/>
      <c r="FX186" s="262"/>
      <c r="FY186" s="262"/>
      <c r="FZ186" s="262"/>
      <c r="GA186" s="262"/>
      <c r="GB186" s="262"/>
      <c r="GC186" s="262"/>
      <c r="GD186" s="262"/>
      <c r="GE186" s="262"/>
      <c r="GF186" s="262"/>
      <c r="GG186" s="262"/>
      <c r="GH186" s="262"/>
      <c r="GI186" s="262"/>
      <c r="GJ186" s="262"/>
      <c r="GK186" s="262"/>
      <c r="GL186" s="262"/>
      <c r="GM186" s="262"/>
      <c r="GN186" s="262"/>
      <c r="GO186" s="262"/>
      <c r="GP186" s="262"/>
      <c r="GQ186" s="262"/>
      <c r="GR186" s="262"/>
      <c r="GS186" s="262"/>
      <c r="GT186" s="262"/>
      <c r="GU186" s="262"/>
      <c r="GV186" s="262"/>
      <c r="GW186" s="262"/>
      <c r="GX186" s="262"/>
      <c r="GY186" s="262"/>
      <c r="GZ186" s="262"/>
      <c r="HA186" s="262"/>
      <c r="HB186" s="262"/>
      <c r="HC186" s="262"/>
      <c r="HD186" s="262"/>
      <c r="HE186" s="262"/>
      <c r="HF186" s="262"/>
      <c r="HG186" s="262"/>
      <c r="HH186" s="262"/>
      <c r="HI186" s="262"/>
      <c r="HJ186" s="262"/>
      <c r="HK186" s="262"/>
      <c r="HL186" s="262"/>
      <c r="HM186" s="262"/>
      <c r="HN186" s="262"/>
      <c r="HO186" s="262"/>
      <c r="HP186" s="262"/>
      <c r="HQ186" s="262"/>
      <c r="HR186" s="262"/>
      <c r="HS186" s="262"/>
      <c r="HT186" s="262"/>
      <c r="HU186" s="262"/>
      <c r="HV186" s="262"/>
      <c r="HW186" s="262"/>
      <c r="HX186" s="262"/>
      <c r="HY186" s="262"/>
      <c r="HZ186" s="262"/>
      <c r="IA186" s="262"/>
      <c r="IB186" s="262"/>
      <c r="IC186" s="262"/>
      <c r="ID186" s="262"/>
      <c r="IE186" s="262"/>
      <c r="IF186" s="262"/>
      <c r="IG186" s="262"/>
      <c r="IH186" s="262"/>
      <c r="II186" s="262"/>
      <c r="IJ186" s="262"/>
      <c r="IK186" s="262"/>
      <c r="IL186" s="262"/>
      <c r="IM186" s="262"/>
      <c r="IN186" s="262"/>
      <c r="IO186" s="262"/>
      <c r="IP186" s="262"/>
      <c r="IQ186" s="262"/>
      <c r="IR186" s="262"/>
      <c r="IS186" s="262"/>
      <c r="IT186" s="262"/>
      <c r="IU186" s="262"/>
    </row>
    <row r="187" s="262" customFormat="1" ht="18" customHeight="1" spans="1:256">
      <c r="A187" s="267">
        <v>4213</v>
      </c>
      <c r="B187" s="268" t="s">
        <v>1566</v>
      </c>
      <c r="C187" s="225" t="s">
        <v>1380</v>
      </c>
      <c r="D187" s="230">
        <v>21106.997983966</v>
      </c>
      <c r="IV187" s="263"/>
    </row>
    <row r="188" ht="18" customHeight="1" spans="1:255">
      <c r="A188" s="267">
        <v>4220</v>
      </c>
      <c r="B188" s="268" t="s">
        <v>1567</v>
      </c>
      <c r="C188" s="225" t="s">
        <v>1380</v>
      </c>
      <c r="D188" s="230">
        <v>6293.37656974334</v>
      </c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2"/>
      <c r="S188" s="262"/>
      <c r="T188" s="262"/>
      <c r="U188" s="262"/>
      <c r="V188" s="262"/>
      <c r="W188" s="262"/>
      <c r="X188" s="262"/>
      <c r="Y188" s="262"/>
      <c r="Z188" s="262"/>
      <c r="AA188" s="262"/>
      <c r="AB188" s="262"/>
      <c r="AC188" s="262"/>
      <c r="AD188" s="262"/>
      <c r="AE188" s="262"/>
      <c r="AF188" s="262"/>
      <c r="AG188" s="262"/>
      <c r="AH188" s="262"/>
      <c r="AI188" s="262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62"/>
      <c r="BH188" s="262"/>
      <c r="BI188" s="262"/>
      <c r="BJ188" s="262"/>
      <c r="BK188" s="262"/>
      <c r="BL188" s="262"/>
      <c r="BM188" s="262"/>
      <c r="BN188" s="262"/>
      <c r="BO188" s="262"/>
      <c r="BP188" s="262"/>
      <c r="BQ188" s="262"/>
      <c r="BR188" s="262"/>
      <c r="BS188" s="262"/>
      <c r="BT188" s="262"/>
      <c r="BU188" s="262"/>
      <c r="BV188" s="262"/>
      <c r="BW188" s="262"/>
      <c r="BX188" s="262"/>
      <c r="BY188" s="262"/>
      <c r="BZ188" s="262"/>
      <c r="CA188" s="262"/>
      <c r="CB188" s="262"/>
      <c r="CC188" s="262"/>
      <c r="CD188" s="262"/>
      <c r="CE188" s="262"/>
      <c r="CF188" s="262"/>
      <c r="CG188" s="262"/>
      <c r="CH188" s="262"/>
      <c r="CI188" s="262"/>
      <c r="CJ188" s="262"/>
      <c r="CK188" s="262"/>
      <c r="CL188" s="262"/>
      <c r="CM188" s="262"/>
      <c r="CN188" s="262"/>
      <c r="CO188" s="262"/>
      <c r="CP188" s="262"/>
      <c r="CQ188" s="262"/>
      <c r="CR188" s="262"/>
      <c r="CS188" s="262"/>
      <c r="CT188" s="262"/>
      <c r="CU188" s="262"/>
      <c r="CV188" s="262"/>
      <c r="CW188" s="262"/>
      <c r="CX188" s="262"/>
      <c r="CY188" s="262"/>
      <c r="CZ188" s="262"/>
      <c r="DA188" s="262"/>
      <c r="DB188" s="262"/>
      <c r="DC188" s="262"/>
      <c r="DD188" s="262"/>
      <c r="DE188" s="262"/>
      <c r="DF188" s="262"/>
      <c r="DG188" s="262"/>
      <c r="DH188" s="262"/>
      <c r="DI188" s="262"/>
      <c r="DJ188" s="262"/>
      <c r="DK188" s="262"/>
      <c r="DL188" s="262"/>
      <c r="DM188" s="262"/>
      <c r="DN188" s="262"/>
      <c r="DO188" s="262"/>
      <c r="DP188" s="262"/>
      <c r="DQ188" s="262"/>
      <c r="DR188" s="262"/>
      <c r="DS188" s="262"/>
      <c r="DT188" s="262"/>
      <c r="DU188" s="262"/>
      <c r="DV188" s="262"/>
      <c r="DW188" s="262"/>
      <c r="DX188" s="262"/>
      <c r="DY188" s="262"/>
      <c r="DZ188" s="262"/>
      <c r="EA188" s="262"/>
      <c r="EB188" s="262"/>
      <c r="EC188" s="262"/>
      <c r="ED188" s="262"/>
      <c r="EE188" s="262"/>
      <c r="EF188" s="262"/>
      <c r="EG188" s="262"/>
      <c r="EH188" s="262"/>
      <c r="EI188" s="262"/>
      <c r="EJ188" s="262"/>
      <c r="EK188" s="262"/>
      <c r="EL188" s="262"/>
      <c r="EM188" s="262"/>
      <c r="EN188" s="262"/>
      <c r="EO188" s="262"/>
      <c r="EP188" s="262"/>
      <c r="EQ188" s="262"/>
      <c r="ER188" s="262"/>
      <c r="ES188" s="262"/>
      <c r="ET188" s="262"/>
      <c r="EU188" s="262"/>
      <c r="EV188" s="262"/>
      <c r="EW188" s="262"/>
      <c r="EX188" s="262"/>
      <c r="EY188" s="262"/>
      <c r="EZ188" s="262"/>
      <c r="FA188" s="262"/>
      <c r="FB188" s="262"/>
      <c r="FC188" s="262"/>
      <c r="FD188" s="262"/>
      <c r="FE188" s="262"/>
      <c r="FF188" s="262"/>
      <c r="FG188" s="262"/>
      <c r="FH188" s="262"/>
      <c r="FI188" s="262"/>
      <c r="FJ188" s="262"/>
      <c r="FK188" s="262"/>
      <c r="FL188" s="262"/>
      <c r="FM188" s="262"/>
      <c r="FN188" s="262"/>
      <c r="FO188" s="262"/>
      <c r="FP188" s="262"/>
      <c r="FQ188" s="262"/>
      <c r="FR188" s="262"/>
      <c r="FS188" s="262"/>
      <c r="FT188" s="262"/>
      <c r="FU188" s="262"/>
      <c r="FV188" s="262"/>
      <c r="FW188" s="262"/>
      <c r="FX188" s="262"/>
      <c r="FY188" s="262"/>
      <c r="FZ188" s="262"/>
      <c r="GA188" s="262"/>
      <c r="GB188" s="262"/>
      <c r="GC188" s="262"/>
      <c r="GD188" s="262"/>
      <c r="GE188" s="262"/>
      <c r="GF188" s="262"/>
      <c r="GG188" s="262"/>
      <c r="GH188" s="262"/>
      <c r="GI188" s="262"/>
      <c r="GJ188" s="262"/>
      <c r="GK188" s="262"/>
      <c r="GL188" s="262"/>
      <c r="GM188" s="262"/>
      <c r="GN188" s="262"/>
      <c r="GO188" s="262"/>
      <c r="GP188" s="262"/>
      <c r="GQ188" s="262"/>
      <c r="GR188" s="262"/>
      <c r="GS188" s="262"/>
      <c r="GT188" s="262"/>
      <c r="GU188" s="262"/>
      <c r="GV188" s="262"/>
      <c r="GW188" s="262"/>
      <c r="GX188" s="262"/>
      <c r="GY188" s="262"/>
      <c r="GZ188" s="262"/>
      <c r="HA188" s="262"/>
      <c r="HB188" s="262"/>
      <c r="HC188" s="262"/>
      <c r="HD188" s="262"/>
      <c r="HE188" s="262"/>
      <c r="HF188" s="262"/>
      <c r="HG188" s="262"/>
      <c r="HH188" s="262"/>
      <c r="HI188" s="262"/>
      <c r="HJ188" s="262"/>
      <c r="HK188" s="262"/>
      <c r="HL188" s="262"/>
      <c r="HM188" s="262"/>
      <c r="HN188" s="262"/>
      <c r="HO188" s="262"/>
      <c r="HP188" s="262"/>
      <c r="HQ188" s="262"/>
      <c r="HR188" s="262"/>
      <c r="HS188" s="262"/>
      <c r="HT188" s="262"/>
      <c r="HU188" s="262"/>
      <c r="HV188" s="262"/>
      <c r="HW188" s="262"/>
      <c r="HX188" s="262"/>
      <c r="HY188" s="262"/>
      <c r="HZ188" s="262"/>
      <c r="IA188" s="262"/>
      <c r="IB188" s="262"/>
      <c r="IC188" s="262"/>
      <c r="ID188" s="262"/>
      <c r="IE188" s="262"/>
      <c r="IF188" s="262"/>
      <c r="IG188" s="262"/>
      <c r="IH188" s="262"/>
      <c r="II188" s="262"/>
      <c r="IJ188" s="262"/>
      <c r="IK188" s="262"/>
      <c r="IL188" s="262"/>
      <c r="IM188" s="262"/>
      <c r="IN188" s="262"/>
      <c r="IO188" s="262"/>
      <c r="IP188" s="262"/>
      <c r="IQ188" s="262"/>
      <c r="IR188" s="262"/>
      <c r="IS188" s="262"/>
      <c r="IT188" s="262"/>
      <c r="IU188" s="262"/>
    </row>
    <row r="189" ht="18" customHeight="1" spans="1:255">
      <c r="A189" s="267">
        <v>4224</v>
      </c>
      <c r="B189" s="268" t="s">
        <v>1568</v>
      </c>
      <c r="C189" s="225" t="s">
        <v>1380</v>
      </c>
      <c r="D189" s="230">
        <v>12857.8613012465</v>
      </c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  <c r="Z189" s="262"/>
      <c r="AA189" s="262"/>
      <c r="AB189" s="262"/>
      <c r="AC189" s="262"/>
      <c r="AD189" s="262"/>
      <c r="AE189" s="262"/>
      <c r="AF189" s="262"/>
      <c r="AG189" s="262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62"/>
      <c r="BH189" s="262"/>
      <c r="BI189" s="262"/>
      <c r="BJ189" s="262"/>
      <c r="BK189" s="262"/>
      <c r="BL189" s="262"/>
      <c r="BM189" s="262"/>
      <c r="BN189" s="262"/>
      <c r="BO189" s="262"/>
      <c r="BP189" s="262"/>
      <c r="BQ189" s="262"/>
      <c r="BR189" s="262"/>
      <c r="BS189" s="262"/>
      <c r="BT189" s="262"/>
      <c r="BU189" s="262"/>
      <c r="BV189" s="262"/>
      <c r="BW189" s="262"/>
      <c r="BX189" s="262"/>
      <c r="BY189" s="262"/>
      <c r="BZ189" s="262"/>
      <c r="CA189" s="262"/>
      <c r="CB189" s="262"/>
      <c r="CC189" s="262"/>
      <c r="CD189" s="262"/>
      <c r="CE189" s="262"/>
      <c r="CF189" s="262"/>
      <c r="CG189" s="262"/>
      <c r="CH189" s="262"/>
      <c r="CI189" s="262"/>
      <c r="CJ189" s="262"/>
      <c r="CK189" s="262"/>
      <c r="CL189" s="262"/>
      <c r="CM189" s="262"/>
      <c r="CN189" s="262"/>
      <c r="CO189" s="262"/>
      <c r="CP189" s="262"/>
      <c r="CQ189" s="262"/>
      <c r="CR189" s="262"/>
      <c r="CS189" s="262"/>
      <c r="CT189" s="262"/>
      <c r="CU189" s="262"/>
      <c r="CV189" s="262"/>
      <c r="CW189" s="262"/>
      <c r="CX189" s="262"/>
      <c r="CY189" s="262"/>
      <c r="CZ189" s="262"/>
      <c r="DA189" s="262"/>
      <c r="DB189" s="262"/>
      <c r="DC189" s="262"/>
      <c r="DD189" s="262"/>
      <c r="DE189" s="262"/>
      <c r="DF189" s="262"/>
      <c r="DG189" s="262"/>
      <c r="DH189" s="262"/>
      <c r="DI189" s="262"/>
      <c r="DJ189" s="262"/>
      <c r="DK189" s="262"/>
      <c r="DL189" s="262"/>
      <c r="DM189" s="262"/>
      <c r="DN189" s="262"/>
      <c r="DO189" s="262"/>
      <c r="DP189" s="262"/>
      <c r="DQ189" s="262"/>
      <c r="DR189" s="262"/>
      <c r="DS189" s="262"/>
      <c r="DT189" s="262"/>
      <c r="DU189" s="262"/>
      <c r="DV189" s="262"/>
      <c r="DW189" s="262"/>
      <c r="DX189" s="262"/>
      <c r="DY189" s="262"/>
      <c r="DZ189" s="262"/>
      <c r="EA189" s="262"/>
      <c r="EB189" s="262"/>
      <c r="EC189" s="262"/>
      <c r="ED189" s="262"/>
      <c r="EE189" s="262"/>
      <c r="EF189" s="262"/>
      <c r="EG189" s="262"/>
      <c r="EH189" s="262"/>
      <c r="EI189" s="262"/>
      <c r="EJ189" s="262"/>
      <c r="EK189" s="262"/>
      <c r="EL189" s="262"/>
      <c r="EM189" s="262"/>
      <c r="EN189" s="262"/>
      <c r="EO189" s="262"/>
      <c r="EP189" s="262"/>
      <c r="EQ189" s="262"/>
      <c r="ER189" s="262"/>
      <c r="ES189" s="262"/>
      <c r="ET189" s="262"/>
      <c r="EU189" s="262"/>
      <c r="EV189" s="262"/>
      <c r="EW189" s="262"/>
      <c r="EX189" s="262"/>
      <c r="EY189" s="262"/>
      <c r="EZ189" s="262"/>
      <c r="FA189" s="262"/>
      <c r="FB189" s="262"/>
      <c r="FC189" s="262"/>
      <c r="FD189" s="262"/>
      <c r="FE189" s="262"/>
      <c r="FF189" s="262"/>
      <c r="FG189" s="262"/>
      <c r="FH189" s="262"/>
      <c r="FI189" s="262"/>
      <c r="FJ189" s="262"/>
      <c r="FK189" s="262"/>
      <c r="FL189" s="262"/>
      <c r="FM189" s="262"/>
      <c r="FN189" s="262"/>
      <c r="FO189" s="262"/>
      <c r="FP189" s="262"/>
      <c r="FQ189" s="262"/>
      <c r="FR189" s="262"/>
      <c r="FS189" s="262"/>
      <c r="FT189" s="262"/>
      <c r="FU189" s="262"/>
      <c r="FV189" s="262"/>
      <c r="FW189" s="262"/>
      <c r="FX189" s="262"/>
      <c r="FY189" s="262"/>
      <c r="FZ189" s="262"/>
      <c r="GA189" s="262"/>
      <c r="GB189" s="262"/>
      <c r="GC189" s="262"/>
      <c r="GD189" s="262"/>
      <c r="GE189" s="262"/>
      <c r="GF189" s="262"/>
      <c r="GG189" s="262"/>
      <c r="GH189" s="262"/>
      <c r="GI189" s="262"/>
      <c r="GJ189" s="262"/>
      <c r="GK189" s="262"/>
      <c r="GL189" s="262"/>
      <c r="GM189" s="262"/>
      <c r="GN189" s="262"/>
      <c r="GO189" s="262"/>
      <c r="GP189" s="262"/>
      <c r="GQ189" s="262"/>
      <c r="GR189" s="262"/>
      <c r="GS189" s="262"/>
      <c r="GT189" s="262"/>
      <c r="GU189" s="262"/>
      <c r="GV189" s="262"/>
      <c r="GW189" s="262"/>
      <c r="GX189" s="262"/>
      <c r="GY189" s="262"/>
      <c r="GZ189" s="262"/>
      <c r="HA189" s="262"/>
      <c r="HB189" s="262"/>
      <c r="HC189" s="262"/>
      <c r="HD189" s="262"/>
      <c r="HE189" s="262"/>
      <c r="HF189" s="262"/>
      <c r="HG189" s="262"/>
      <c r="HH189" s="262"/>
      <c r="HI189" s="262"/>
      <c r="HJ189" s="262"/>
      <c r="HK189" s="262"/>
      <c r="HL189" s="262"/>
      <c r="HM189" s="262"/>
      <c r="HN189" s="262"/>
      <c r="HO189" s="262"/>
      <c r="HP189" s="262"/>
      <c r="HQ189" s="262"/>
      <c r="HR189" s="262"/>
      <c r="HS189" s="262"/>
      <c r="HT189" s="262"/>
      <c r="HU189" s="262"/>
      <c r="HV189" s="262"/>
      <c r="HW189" s="262"/>
      <c r="HX189" s="262"/>
      <c r="HY189" s="262"/>
      <c r="HZ189" s="262"/>
      <c r="IA189" s="262"/>
      <c r="IB189" s="262"/>
      <c r="IC189" s="262"/>
      <c r="ID189" s="262"/>
      <c r="IE189" s="262"/>
      <c r="IF189" s="262"/>
      <c r="IG189" s="262"/>
      <c r="IH189" s="262"/>
      <c r="II189" s="262"/>
      <c r="IJ189" s="262"/>
      <c r="IK189" s="262"/>
      <c r="IL189" s="262"/>
      <c r="IM189" s="262"/>
      <c r="IN189" s="262"/>
      <c r="IO189" s="262"/>
      <c r="IP189" s="262"/>
      <c r="IQ189" s="262"/>
      <c r="IR189" s="262"/>
      <c r="IS189" s="262"/>
      <c r="IT189" s="262"/>
      <c r="IU189" s="262"/>
    </row>
    <row r="190" ht="18" customHeight="1" spans="1:255">
      <c r="A190" s="267">
        <v>4224</v>
      </c>
      <c r="B190" s="268" t="s">
        <v>1569</v>
      </c>
      <c r="C190" s="225" t="s">
        <v>1380</v>
      </c>
      <c r="D190" s="230">
        <v>15127.314926752</v>
      </c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62"/>
      <c r="AK190" s="262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62"/>
      <c r="BH190" s="262"/>
      <c r="BI190" s="262"/>
      <c r="BJ190" s="262"/>
      <c r="BK190" s="262"/>
      <c r="BL190" s="262"/>
      <c r="BM190" s="262"/>
      <c r="BN190" s="262"/>
      <c r="BO190" s="262"/>
      <c r="BP190" s="262"/>
      <c r="BQ190" s="262"/>
      <c r="BR190" s="262"/>
      <c r="BS190" s="262"/>
      <c r="BT190" s="262"/>
      <c r="BU190" s="262"/>
      <c r="BV190" s="262"/>
      <c r="BW190" s="262"/>
      <c r="BX190" s="262"/>
      <c r="BY190" s="262"/>
      <c r="BZ190" s="262"/>
      <c r="CA190" s="262"/>
      <c r="CB190" s="262"/>
      <c r="CC190" s="262"/>
      <c r="CD190" s="262"/>
      <c r="CE190" s="262"/>
      <c r="CF190" s="262"/>
      <c r="CG190" s="262"/>
      <c r="CH190" s="262"/>
      <c r="CI190" s="262"/>
      <c r="CJ190" s="262"/>
      <c r="CK190" s="262"/>
      <c r="CL190" s="262"/>
      <c r="CM190" s="262"/>
      <c r="CN190" s="262"/>
      <c r="CO190" s="262"/>
      <c r="CP190" s="262"/>
      <c r="CQ190" s="262"/>
      <c r="CR190" s="262"/>
      <c r="CS190" s="262"/>
      <c r="CT190" s="262"/>
      <c r="CU190" s="262"/>
      <c r="CV190" s="262"/>
      <c r="CW190" s="262"/>
      <c r="CX190" s="262"/>
      <c r="CY190" s="262"/>
      <c r="CZ190" s="262"/>
      <c r="DA190" s="262"/>
      <c r="DB190" s="262"/>
      <c r="DC190" s="262"/>
      <c r="DD190" s="262"/>
      <c r="DE190" s="262"/>
      <c r="DF190" s="262"/>
      <c r="DG190" s="262"/>
      <c r="DH190" s="262"/>
      <c r="DI190" s="262"/>
      <c r="DJ190" s="262"/>
      <c r="DK190" s="262"/>
      <c r="DL190" s="262"/>
      <c r="DM190" s="262"/>
      <c r="DN190" s="262"/>
      <c r="DO190" s="262"/>
      <c r="DP190" s="262"/>
      <c r="DQ190" s="262"/>
      <c r="DR190" s="262"/>
      <c r="DS190" s="262"/>
      <c r="DT190" s="262"/>
      <c r="DU190" s="262"/>
      <c r="DV190" s="262"/>
      <c r="DW190" s="262"/>
      <c r="DX190" s="262"/>
      <c r="DY190" s="262"/>
      <c r="DZ190" s="262"/>
      <c r="EA190" s="262"/>
      <c r="EB190" s="262"/>
      <c r="EC190" s="262"/>
      <c r="ED190" s="262"/>
      <c r="EE190" s="262"/>
      <c r="EF190" s="262"/>
      <c r="EG190" s="262"/>
      <c r="EH190" s="262"/>
      <c r="EI190" s="262"/>
      <c r="EJ190" s="262"/>
      <c r="EK190" s="262"/>
      <c r="EL190" s="262"/>
      <c r="EM190" s="262"/>
      <c r="EN190" s="262"/>
      <c r="EO190" s="262"/>
      <c r="EP190" s="262"/>
      <c r="EQ190" s="262"/>
      <c r="ER190" s="262"/>
      <c r="ES190" s="262"/>
      <c r="ET190" s="262"/>
      <c r="EU190" s="262"/>
      <c r="EV190" s="262"/>
      <c r="EW190" s="262"/>
      <c r="EX190" s="262"/>
      <c r="EY190" s="262"/>
      <c r="EZ190" s="262"/>
      <c r="FA190" s="262"/>
      <c r="FB190" s="262"/>
      <c r="FC190" s="262"/>
      <c r="FD190" s="262"/>
      <c r="FE190" s="262"/>
      <c r="FF190" s="262"/>
      <c r="FG190" s="262"/>
      <c r="FH190" s="262"/>
      <c r="FI190" s="262"/>
      <c r="FJ190" s="262"/>
      <c r="FK190" s="262"/>
      <c r="FL190" s="262"/>
      <c r="FM190" s="262"/>
      <c r="FN190" s="262"/>
      <c r="FO190" s="262"/>
      <c r="FP190" s="262"/>
      <c r="FQ190" s="262"/>
      <c r="FR190" s="262"/>
      <c r="FS190" s="262"/>
      <c r="FT190" s="262"/>
      <c r="FU190" s="262"/>
      <c r="FV190" s="262"/>
      <c r="FW190" s="262"/>
      <c r="FX190" s="262"/>
      <c r="FY190" s="262"/>
      <c r="FZ190" s="262"/>
      <c r="GA190" s="262"/>
      <c r="GB190" s="262"/>
      <c r="GC190" s="262"/>
      <c r="GD190" s="262"/>
      <c r="GE190" s="262"/>
      <c r="GF190" s="262"/>
      <c r="GG190" s="262"/>
      <c r="GH190" s="262"/>
      <c r="GI190" s="262"/>
      <c r="GJ190" s="262"/>
      <c r="GK190" s="262"/>
      <c r="GL190" s="262"/>
      <c r="GM190" s="262"/>
      <c r="GN190" s="262"/>
      <c r="GO190" s="262"/>
      <c r="GP190" s="262"/>
      <c r="GQ190" s="262"/>
      <c r="GR190" s="262"/>
      <c r="GS190" s="262"/>
      <c r="GT190" s="262"/>
      <c r="GU190" s="262"/>
      <c r="GV190" s="262"/>
      <c r="GW190" s="262"/>
      <c r="GX190" s="262"/>
      <c r="GY190" s="262"/>
      <c r="GZ190" s="262"/>
      <c r="HA190" s="262"/>
      <c r="HB190" s="262"/>
      <c r="HC190" s="262"/>
      <c r="HD190" s="262"/>
      <c r="HE190" s="262"/>
      <c r="HF190" s="262"/>
      <c r="HG190" s="262"/>
      <c r="HH190" s="262"/>
      <c r="HI190" s="262"/>
      <c r="HJ190" s="262"/>
      <c r="HK190" s="262"/>
      <c r="HL190" s="262"/>
      <c r="HM190" s="262"/>
      <c r="HN190" s="262"/>
      <c r="HO190" s="262"/>
      <c r="HP190" s="262"/>
      <c r="HQ190" s="262"/>
      <c r="HR190" s="262"/>
      <c r="HS190" s="262"/>
      <c r="HT190" s="262"/>
      <c r="HU190" s="262"/>
      <c r="HV190" s="262"/>
      <c r="HW190" s="262"/>
      <c r="HX190" s="262"/>
      <c r="HY190" s="262"/>
      <c r="HZ190" s="262"/>
      <c r="IA190" s="262"/>
      <c r="IB190" s="262"/>
      <c r="IC190" s="262"/>
      <c r="ID190" s="262"/>
      <c r="IE190" s="262"/>
      <c r="IF190" s="262"/>
      <c r="IG190" s="262"/>
      <c r="IH190" s="262"/>
      <c r="II190" s="262"/>
      <c r="IJ190" s="262"/>
      <c r="IK190" s="262"/>
      <c r="IL190" s="262"/>
      <c r="IM190" s="262"/>
      <c r="IN190" s="262"/>
      <c r="IO190" s="262"/>
      <c r="IP190" s="262"/>
      <c r="IQ190" s="262"/>
      <c r="IR190" s="262"/>
      <c r="IS190" s="262"/>
      <c r="IT190" s="262"/>
      <c r="IU190" s="262"/>
    </row>
    <row r="191" ht="18" customHeight="1" spans="1:255">
      <c r="A191" s="267">
        <v>4224</v>
      </c>
      <c r="B191" s="268" t="s">
        <v>1570</v>
      </c>
      <c r="C191" s="225" t="s">
        <v>1380</v>
      </c>
      <c r="D191" s="230">
        <v>27359.572424266</v>
      </c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  <c r="P191" s="262"/>
      <c r="Q191" s="262"/>
      <c r="R191" s="262"/>
      <c r="S191" s="262"/>
      <c r="T191" s="262"/>
      <c r="U191" s="262"/>
      <c r="V191" s="262"/>
      <c r="W191" s="262"/>
      <c r="X191" s="262"/>
      <c r="Y191" s="262"/>
      <c r="Z191" s="262"/>
      <c r="AA191" s="262"/>
      <c r="AB191" s="262"/>
      <c r="AC191" s="262"/>
      <c r="AD191" s="262"/>
      <c r="AE191" s="262"/>
      <c r="AF191" s="262"/>
      <c r="AG191" s="262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62"/>
      <c r="BH191" s="262"/>
      <c r="BI191" s="262"/>
      <c r="BJ191" s="262"/>
      <c r="BK191" s="262"/>
      <c r="BL191" s="262"/>
      <c r="BM191" s="262"/>
      <c r="BN191" s="262"/>
      <c r="BO191" s="262"/>
      <c r="BP191" s="262"/>
      <c r="BQ191" s="262"/>
      <c r="BR191" s="262"/>
      <c r="BS191" s="262"/>
      <c r="BT191" s="262"/>
      <c r="BU191" s="262"/>
      <c r="BV191" s="262"/>
      <c r="BW191" s="262"/>
      <c r="BX191" s="262"/>
      <c r="BY191" s="262"/>
      <c r="BZ191" s="262"/>
      <c r="CA191" s="262"/>
      <c r="CB191" s="262"/>
      <c r="CC191" s="262"/>
      <c r="CD191" s="262"/>
      <c r="CE191" s="262"/>
      <c r="CF191" s="262"/>
      <c r="CG191" s="262"/>
      <c r="CH191" s="262"/>
      <c r="CI191" s="262"/>
      <c r="CJ191" s="262"/>
      <c r="CK191" s="262"/>
      <c r="CL191" s="262"/>
      <c r="CM191" s="262"/>
      <c r="CN191" s="262"/>
      <c r="CO191" s="262"/>
      <c r="CP191" s="262"/>
      <c r="CQ191" s="262"/>
      <c r="CR191" s="262"/>
      <c r="CS191" s="262"/>
      <c r="CT191" s="262"/>
      <c r="CU191" s="262"/>
      <c r="CV191" s="262"/>
      <c r="CW191" s="262"/>
      <c r="CX191" s="262"/>
      <c r="CY191" s="262"/>
      <c r="CZ191" s="262"/>
      <c r="DA191" s="262"/>
      <c r="DB191" s="262"/>
      <c r="DC191" s="262"/>
      <c r="DD191" s="262"/>
      <c r="DE191" s="262"/>
      <c r="DF191" s="262"/>
      <c r="DG191" s="262"/>
      <c r="DH191" s="262"/>
      <c r="DI191" s="262"/>
      <c r="DJ191" s="262"/>
      <c r="DK191" s="262"/>
      <c r="DL191" s="262"/>
      <c r="DM191" s="262"/>
      <c r="DN191" s="262"/>
      <c r="DO191" s="262"/>
      <c r="DP191" s="262"/>
      <c r="DQ191" s="262"/>
      <c r="DR191" s="262"/>
      <c r="DS191" s="262"/>
      <c r="DT191" s="262"/>
      <c r="DU191" s="262"/>
      <c r="DV191" s="262"/>
      <c r="DW191" s="262"/>
      <c r="DX191" s="262"/>
      <c r="DY191" s="262"/>
      <c r="DZ191" s="262"/>
      <c r="EA191" s="262"/>
      <c r="EB191" s="262"/>
      <c r="EC191" s="262"/>
      <c r="ED191" s="262"/>
      <c r="EE191" s="262"/>
      <c r="EF191" s="262"/>
      <c r="EG191" s="262"/>
      <c r="EH191" s="262"/>
      <c r="EI191" s="262"/>
      <c r="EJ191" s="262"/>
      <c r="EK191" s="262"/>
      <c r="EL191" s="262"/>
      <c r="EM191" s="262"/>
      <c r="EN191" s="262"/>
      <c r="EO191" s="262"/>
      <c r="EP191" s="262"/>
      <c r="EQ191" s="262"/>
      <c r="ER191" s="262"/>
      <c r="ES191" s="262"/>
      <c r="ET191" s="262"/>
      <c r="EU191" s="262"/>
      <c r="EV191" s="262"/>
      <c r="EW191" s="262"/>
      <c r="EX191" s="262"/>
      <c r="EY191" s="262"/>
      <c r="EZ191" s="262"/>
      <c r="FA191" s="262"/>
      <c r="FB191" s="262"/>
      <c r="FC191" s="262"/>
      <c r="FD191" s="262"/>
      <c r="FE191" s="262"/>
      <c r="FF191" s="262"/>
      <c r="FG191" s="262"/>
      <c r="FH191" s="262"/>
      <c r="FI191" s="262"/>
      <c r="FJ191" s="262"/>
      <c r="FK191" s="262"/>
      <c r="FL191" s="262"/>
      <c r="FM191" s="262"/>
      <c r="FN191" s="262"/>
      <c r="FO191" s="262"/>
      <c r="FP191" s="262"/>
      <c r="FQ191" s="262"/>
      <c r="FR191" s="262"/>
      <c r="FS191" s="262"/>
      <c r="FT191" s="262"/>
      <c r="FU191" s="262"/>
      <c r="FV191" s="262"/>
      <c r="FW191" s="262"/>
      <c r="FX191" s="262"/>
      <c r="FY191" s="262"/>
      <c r="FZ191" s="262"/>
      <c r="GA191" s="262"/>
      <c r="GB191" s="262"/>
      <c r="GC191" s="262"/>
      <c r="GD191" s="262"/>
      <c r="GE191" s="262"/>
      <c r="GF191" s="262"/>
      <c r="GG191" s="262"/>
      <c r="GH191" s="262"/>
      <c r="GI191" s="262"/>
      <c r="GJ191" s="262"/>
      <c r="GK191" s="262"/>
      <c r="GL191" s="262"/>
      <c r="GM191" s="262"/>
      <c r="GN191" s="262"/>
      <c r="GO191" s="262"/>
      <c r="GP191" s="262"/>
      <c r="GQ191" s="262"/>
      <c r="GR191" s="262"/>
      <c r="GS191" s="262"/>
      <c r="GT191" s="262"/>
      <c r="GU191" s="262"/>
      <c r="GV191" s="262"/>
      <c r="GW191" s="262"/>
      <c r="GX191" s="262"/>
      <c r="GY191" s="262"/>
      <c r="GZ191" s="262"/>
      <c r="HA191" s="262"/>
      <c r="HB191" s="262"/>
      <c r="HC191" s="262"/>
      <c r="HD191" s="262"/>
      <c r="HE191" s="262"/>
      <c r="HF191" s="262"/>
      <c r="HG191" s="262"/>
      <c r="HH191" s="262"/>
      <c r="HI191" s="262"/>
      <c r="HJ191" s="262"/>
      <c r="HK191" s="262"/>
      <c r="HL191" s="262"/>
      <c r="HM191" s="262"/>
      <c r="HN191" s="262"/>
      <c r="HO191" s="262"/>
      <c r="HP191" s="262"/>
      <c r="HQ191" s="262"/>
      <c r="HR191" s="262"/>
      <c r="HS191" s="262"/>
      <c r="HT191" s="262"/>
      <c r="HU191" s="262"/>
      <c r="HV191" s="262"/>
      <c r="HW191" s="262"/>
      <c r="HX191" s="262"/>
      <c r="HY191" s="262"/>
      <c r="HZ191" s="262"/>
      <c r="IA191" s="262"/>
      <c r="IB191" s="262"/>
      <c r="IC191" s="262"/>
      <c r="ID191" s="262"/>
      <c r="IE191" s="262"/>
      <c r="IF191" s="262"/>
      <c r="IG191" s="262"/>
      <c r="IH191" s="262"/>
      <c r="II191" s="262"/>
      <c r="IJ191" s="262"/>
      <c r="IK191" s="262"/>
      <c r="IL191" s="262"/>
      <c r="IM191" s="262"/>
      <c r="IN191" s="262"/>
      <c r="IO191" s="262"/>
      <c r="IP191" s="262"/>
      <c r="IQ191" s="262"/>
      <c r="IR191" s="262"/>
      <c r="IS191" s="262"/>
      <c r="IT191" s="262"/>
      <c r="IU191" s="262"/>
    </row>
    <row r="192" ht="18" customHeight="1" spans="1:255">
      <c r="A192" s="267">
        <v>4244</v>
      </c>
      <c r="B192" s="268" t="s">
        <v>1571</v>
      </c>
      <c r="C192" s="225" t="s">
        <v>1380</v>
      </c>
      <c r="D192" s="230">
        <v>1689.75265916818</v>
      </c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  <c r="P192" s="262"/>
      <c r="Q192" s="262"/>
      <c r="R192" s="262"/>
      <c r="S192" s="262"/>
      <c r="T192" s="262"/>
      <c r="U192" s="262"/>
      <c r="V192" s="262"/>
      <c r="W192" s="262"/>
      <c r="X192" s="262"/>
      <c r="Y192" s="262"/>
      <c r="Z192" s="262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62"/>
      <c r="BH192" s="262"/>
      <c r="BI192" s="262"/>
      <c r="BJ192" s="262"/>
      <c r="BK192" s="262"/>
      <c r="BL192" s="262"/>
      <c r="BM192" s="262"/>
      <c r="BN192" s="262"/>
      <c r="BO192" s="262"/>
      <c r="BP192" s="262"/>
      <c r="BQ192" s="262"/>
      <c r="BR192" s="262"/>
      <c r="BS192" s="262"/>
      <c r="BT192" s="262"/>
      <c r="BU192" s="262"/>
      <c r="BV192" s="262"/>
      <c r="BW192" s="262"/>
      <c r="BX192" s="262"/>
      <c r="BY192" s="262"/>
      <c r="BZ192" s="262"/>
      <c r="CA192" s="262"/>
      <c r="CB192" s="262"/>
      <c r="CC192" s="262"/>
      <c r="CD192" s="262"/>
      <c r="CE192" s="262"/>
      <c r="CF192" s="262"/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  <c r="CR192" s="262"/>
      <c r="CS192" s="262"/>
      <c r="CT192" s="262"/>
      <c r="CU192" s="262"/>
      <c r="CV192" s="262"/>
      <c r="CW192" s="262"/>
      <c r="CX192" s="262"/>
      <c r="CY192" s="262"/>
      <c r="CZ192" s="262"/>
      <c r="DA192" s="262"/>
      <c r="DB192" s="262"/>
      <c r="DC192" s="262"/>
      <c r="DD192" s="262"/>
      <c r="DE192" s="262"/>
      <c r="DF192" s="262"/>
      <c r="DG192" s="262"/>
      <c r="DH192" s="262"/>
      <c r="DI192" s="262"/>
      <c r="DJ192" s="262"/>
      <c r="DK192" s="262"/>
      <c r="DL192" s="262"/>
      <c r="DM192" s="262"/>
      <c r="DN192" s="262"/>
      <c r="DO192" s="262"/>
      <c r="DP192" s="262"/>
      <c r="DQ192" s="262"/>
      <c r="DR192" s="262"/>
      <c r="DS192" s="262"/>
      <c r="DT192" s="262"/>
      <c r="DU192" s="262"/>
      <c r="DV192" s="262"/>
      <c r="DW192" s="262"/>
      <c r="DX192" s="262"/>
      <c r="DY192" s="262"/>
      <c r="DZ192" s="262"/>
      <c r="EA192" s="262"/>
      <c r="EB192" s="262"/>
      <c r="EC192" s="262"/>
      <c r="ED192" s="262"/>
      <c r="EE192" s="262"/>
      <c r="EF192" s="262"/>
      <c r="EG192" s="262"/>
      <c r="EH192" s="262"/>
      <c r="EI192" s="262"/>
      <c r="EJ192" s="262"/>
      <c r="EK192" s="262"/>
      <c r="EL192" s="262"/>
      <c r="EM192" s="262"/>
      <c r="EN192" s="262"/>
      <c r="EO192" s="262"/>
      <c r="EP192" s="262"/>
      <c r="EQ192" s="262"/>
      <c r="ER192" s="262"/>
      <c r="ES192" s="262"/>
      <c r="ET192" s="262"/>
      <c r="EU192" s="262"/>
      <c r="EV192" s="262"/>
      <c r="EW192" s="262"/>
      <c r="EX192" s="262"/>
      <c r="EY192" s="262"/>
      <c r="EZ192" s="262"/>
      <c r="FA192" s="262"/>
      <c r="FB192" s="262"/>
      <c r="FC192" s="262"/>
      <c r="FD192" s="262"/>
      <c r="FE192" s="262"/>
      <c r="FF192" s="262"/>
      <c r="FG192" s="262"/>
      <c r="FH192" s="262"/>
      <c r="FI192" s="262"/>
      <c r="FJ192" s="262"/>
      <c r="FK192" s="262"/>
      <c r="FL192" s="262"/>
      <c r="FM192" s="262"/>
      <c r="FN192" s="262"/>
      <c r="FO192" s="262"/>
      <c r="FP192" s="262"/>
      <c r="FQ192" s="262"/>
      <c r="FR192" s="262"/>
      <c r="FS192" s="262"/>
      <c r="FT192" s="262"/>
      <c r="FU192" s="262"/>
      <c r="FV192" s="262"/>
      <c r="FW192" s="262"/>
      <c r="FX192" s="262"/>
      <c r="FY192" s="262"/>
      <c r="FZ192" s="262"/>
      <c r="GA192" s="262"/>
      <c r="GB192" s="262"/>
      <c r="GC192" s="262"/>
      <c r="GD192" s="262"/>
      <c r="GE192" s="262"/>
      <c r="GF192" s="262"/>
      <c r="GG192" s="262"/>
      <c r="GH192" s="262"/>
      <c r="GI192" s="262"/>
      <c r="GJ192" s="262"/>
      <c r="GK192" s="262"/>
      <c r="GL192" s="262"/>
      <c r="GM192" s="262"/>
      <c r="GN192" s="262"/>
      <c r="GO192" s="262"/>
      <c r="GP192" s="262"/>
      <c r="GQ192" s="262"/>
      <c r="GR192" s="262"/>
      <c r="GS192" s="262"/>
      <c r="GT192" s="262"/>
      <c r="GU192" s="262"/>
      <c r="GV192" s="262"/>
      <c r="GW192" s="262"/>
      <c r="GX192" s="262"/>
      <c r="GY192" s="262"/>
      <c r="GZ192" s="262"/>
      <c r="HA192" s="262"/>
      <c r="HB192" s="262"/>
      <c r="HC192" s="262"/>
      <c r="HD192" s="262"/>
      <c r="HE192" s="262"/>
      <c r="HF192" s="262"/>
      <c r="HG192" s="262"/>
      <c r="HH192" s="262"/>
      <c r="HI192" s="262"/>
      <c r="HJ192" s="262"/>
      <c r="HK192" s="262"/>
      <c r="HL192" s="262"/>
      <c r="HM192" s="262"/>
      <c r="HN192" s="262"/>
      <c r="HO192" s="262"/>
      <c r="HP192" s="262"/>
      <c r="HQ192" s="262"/>
      <c r="HR192" s="262"/>
      <c r="HS192" s="262"/>
      <c r="HT192" s="262"/>
      <c r="HU192" s="262"/>
      <c r="HV192" s="262"/>
      <c r="HW192" s="262"/>
      <c r="HX192" s="262"/>
      <c r="HY192" s="262"/>
      <c r="HZ192" s="262"/>
      <c r="IA192" s="262"/>
      <c r="IB192" s="262"/>
      <c r="IC192" s="262"/>
      <c r="ID192" s="262"/>
      <c r="IE192" s="262"/>
      <c r="IF192" s="262"/>
      <c r="IG192" s="262"/>
      <c r="IH192" s="262"/>
      <c r="II192" s="262"/>
      <c r="IJ192" s="262"/>
      <c r="IK192" s="262"/>
      <c r="IL192" s="262"/>
      <c r="IM192" s="262"/>
      <c r="IN192" s="262"/>
      <c r="IO192" s="262"/>
      <c r="IP192" s="262"/>
      <c r="IQ192" s="262"/>
      <c r="IR192" s="262"/>
      <c r="IS192" s="262"/>
      <c r="IT192" s="262"/>
      <c r="IU192" s="262"/>
    </row>
    <row r="193" ht="18" customHeight="1" spans="1:255">
      <c r="A193" s="267">
        <v>4244</v>
      </c>
      <c r="B193" s="268" t="s">
        <v>1572</v>
      </c>
      <c r="C193" s="225" t="s">
        <v>1380</v>
      </c>
      <c r="D193" s="230">
        <v>5345.49353568483</v>
      </c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2"/>
      <c r="T193" s="262"/>
      <c r="U193" s="262"/>
      <c r="V193" s="262"/>
      <c r="W193" s="262"/>
      <c r="X193" s="262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62"/>
      <c r="BH193" s="262"/>
      <c r="BI193" s="262"/>
      <c r="BJ193" s="262"/>
      <c r="BK193" s="262"/>
      <c r="BL193" s="262"/>
      <c r="BM193" s="262"/>
      <c r="BN193" s="262"/>
      <c r="BO193" s="262"/>
      <c r="BP193" s="262"/>
      <c r="BQ193" s="262"/>
      <c r="BR193" s="262"/>
      <c r="BS193" s="262"/>
      <c r="BT193" s="262"/>
      <c r="BU193" s="262"/>
      <c r="BV193" s="262"/>
      <c r="BW193" s="262"/>
      <c r="BX193" s="262"/>
      <c r="BY193" s="262"/>
      <c r="BZ193" s="262"/>
      <c r="CA193" s="262"/>
      <c r="CB193" s="262"/>
      <c r="CC193" s="262"/>
      <c r="CD193" s="262"/>
      <c r="CE193" s="262"/>
      <c r="CF193" s="262"/>
      <c r="CG193" s="262"/>
      <c r="CH193" s="262"/>
      <c r="CI193" s="262"/>
      <c r="CJ193" s="262"/>
      <c r="CK193" s="262"/>
      <c r="CL193" s="262"/>
      <c r="CM193" s="262"/>
      <c r="CN193" s="262"/>
      <c r="CO193" s="262"/>
      <c r="CP193" s="262"/>
      <c r="CQ193" s="262"/>
      <c r="CR193" s="262"/>
      <c r="CS193" s="262"/>
      <c r="CT193" s="262"/>
      <c r="CU193" s="262"/>
      <c r="CV193" s="262"/>
      <c r="CW193" s="262"/>
      <c r="CX193" s="262"/>
      <c r="CY193" s="262"/>
      <c r="CZ193" s="262"/>
      <c r="DA193" s="262"/>
      <c r="DB193" s="262"/>
      <c r="DC193" s="262"/>
      <c r="DD193" s="262"/>
      <c r="DE193" s="262"/>
      <c r="DF193" s="262"/>
      <c r="DG193" s="262"/>
      <c r="DH193" s="262"/>
      <c r="DI193" s="262"/>
      <c r="DJ193" s="262"/>
      <c r="DK193" s="262"/>
      <c r="DL193" s="262"/>
      <c r="DM193" s="262"/>
      <c r="DN193" s="262"/>
      <c r="DO193" s="262"/>
      <c r="DP193" s="262"/>
      <c r="DQ193" s="262"/>
      <c r="DR193" s="262"/>
      <c r="DS193" s="262"/>
      <c r="DT193" s="262"/>
      <c r="DU193" s="262"/>
      <c r="DV193" s="262"/>
      <c r="DW193" s="262"/>
      <c r="DX193" s="262"/>
      <c r="DY193" s="262"/>
      <c r="DZ193" s="262"/>
      <c r="EA193" s="262"/>
      <c r="EB193" s="262"/>
      <c r="EC193" s="262"/>
      <c r="ED193" s="262"/>
      <c r="EE193" s="262"/>
      <c r="EF193" s="262"/>
      <c r="EG193" s="262"/>
      <c r="EH193" s="262"/>
      <c r="EI193" s="262"/>
      <c r="EJ193" s="262"/>
      <c r="EK193" s="262"/>
      <c r="EL193" s="262"/>
      <c r="EM193" s="262"/>
      <c r="EN193" s="262"/>
      <c r="EO193" s="262"/>
      <c r="EP193" s="262"/>
      <c r="EQ193" s="262"/>
      <c r="ER193" s="262"/>
      <c r="ES193" s="262"/>
      <c r="ET193" s="262"/>
      <c r="EU193" s="262"/>
      <c r="EV193" s="262"/>
      <c r="EW193" s="262"/>
      <c r="EX193" s="262"/>
      <c r="EY193" s="262"/>
      <c r="EZ193" s="262"/>
      <c r="FA193" s="262"/>
      <c r="FB193" s="262"/>
      <c r="FC193" s="262"/>
      <c r="FD193" s="262"/>
      <c r="FE193" s="262"/>
      <c r="FF193" s="262"/>
      <c r="FG193" s="262"/>
      <c r="FH193" s="262"/>
      <c r="FI193" s="262"/>
      <c r="FJ193" s="262"/>
      <c r="FK193" s="262"/>
      <c r="FL193" s="262"/>
      <c r="FM193" s="262"/>
      <c r="FN193" s="262"/>
      <c r="FO193" s="262"/>
      <c r="FP193" s="262"/>
      <c r="FQ193" s="262"/>
      <c r="FR193" s="262"/>
      <c r="FS193" s="262"/>
      <c r="FT193" s="262"/>
      <c r="FU193" s="262"/>
      <c r="FV193" s="262"/>
      <c r="FW193" s="262"/>
      <c r="FX193" s="262"/>
      <c r="FY193" s="262"/>
      <c r="FZ193" s="262"/>
      <c r="GA193" s="262"/>
      <c r="GB193" s="262"/>
      <c r="GC193" s="262"/>
      <c r="GD193" s="262"/>
      <c r="GE193" s="262"/>
      <c r="GF193" s="262"/>
      <c r="GG193" s="262"/>
      <c r="GH193" s="262"/>
      <c r="GI193" s="262"/>
      <c r="GJ193" s="262"/>
      <c r="GK193" s="262"/>
      <c r="GL193" s="262"/>
      <c r="GM193" s="262"/>
      <c r="GN193" s="262"/>
      <c r="GO193" s="262"/>
      <c r="GP193" s="262"/>
      <c r="GQ193" s="262"/>
      <c r="GR193" s="262"/>
      <c r="GS193" s="262"/>
      <c r="GT193" s="262"/>
      <c r="GU193" s="262"/>
      <c r="GV193" s="262"/>
      <c r="GW193" s="262"/>
      <c r="GX193" s="262"/>
      <c r="GY193" s="262"/>
      <c r="GZ193" s="262"/>
      <c r="HA193" s="262"/>
      <c r="HB193" s="262"/>
      <c r="HC193" s="262"/>
      <c r="HD193" s="262"/>
      <c r="HE193" s="262"/>
      <c r="HF193" s="262"/>
      <c r="HG193" s="262"/>
      <c r="HH193" s="262"/>
      <c r="HI193" s="262"/>
      <c r="HJ193" s="262"/>
      <c r="HK193" s="262"/>
      <c r="HL193" s="262"/>
      <c r="HM193" s="262"/>
      <c r="HN193" s="262"/>
      <c r="HO193" s="262"/>
      <c r="HP193" s="262"/>
      <c r="HQ193" s="262"/>
      <c r="HR193" s="262"/>
      <c r="HS193" s="262"/>
      <c r="HT193" s="262"/>
      <c r="HU193" s="262"/>
      <c r="HV193" s="262"/>
      <c r="HW193" s="262"/>
      <c r="HX193" s="262"/>
      <c r="HY193" s="262"/>
      <c r="HZ193" s="262"/>
      <c r="IA193" s="262"/>
      <c r="IB193" s="262"/>
      <c r="IC193" s="262"/>
      <c r="ID193" s="262"/>
      <c r="IE193" s="262"/>
      <c r="IF193" s="262"/>
      <c r="IG193" s="262"/>
      <c r="IH193" s="262"/>
      <c r="II193" s="262"/>
      <c r="IJ193" s="262"/>
      <c r="IK193" s="262"/>
      <c r="IL193" s="262"/>
      <c r="IM193" s="262"/>
      <c r="IN193" s="262"/>
      <c r="IO193" s="262"/>
      <c r="IP193" s="262"/>
      <c r="IQ193" s="262"/>
      <c r="IR193" s="262"/>
      <c r="IS193" s="262"/>
      <c r="IT193" s="262"/>
      <c r="IU193" s="262"/>
    </row>
    <row r="194" ht="18" customHeight="1" spans="1:255">
      <c r="A194" s="267">
        <v>4253</v>
      </c>
      <c r="B194" s="268" t="s">
        <v>1573</v>
      </c>
      <c r="C194" s="225" t="s">
        <v>1380</v>
      </c>
      <c r="D194" s="230">
        <v>365.741930447209</v>
      </c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2"/>
      <c r="S194" s="262"/>
      <c r="T194" s="262"/>
      <c r="U194" s="262"/>
      <c r="V194" s="262"/>
      <c r="W194" s="262"/>
      <c r="X194" s="262"/>
      <c r="Y194" s="262"/>
      <c r="Z194" s="262"/>
      <c r="AA194" s="262"/>
      <c r="AB194" s="262"/>
      <c r="AC194" s="262"/>
      <c r="AD194" s="262"/>
      <c r="AE194" s="262"/>
      <c r="AF194" s="262"/>
      <c r="AG194" s="262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62"/>
      <c r="BH194" s="262"/>
      <c r="BI194" s="262"/>
      <c r="BJ194" s="262"/>
      <c r="BK194" s="262"/>
      <c r="BL194" s="262"/>
      <c r="BM194" s="262"/>
      <c r="BN194" s="262"/>
      <c r="BO194" s="262"/>
      <c r="BP194" s="262"/>
      <c r="BQ194" s="262"/>
      <c r="BR194" s="262"/>
      <c r="BS194" s="262"/>
      <c r="BT194" s="262"/>
      <c r="BU194" s="262"/>
      <c r="BV194" s="262"/>
      <c r="BW194" s="262"/>
      <c r="BX194" s="262"/>
      <c r="BY194" s="262"/>
      <c r="BZ194" s="262"/>
      <c r="CA194" s="262"/>
      <c r="CB194" s="262"/>
      <c r="CC194" s="262"/>
      <c r="CD194" s="262"/>
      <c r="CE194" s="262"/>
      <c r="CF194" s="262"/>
      <c r="CG194" s="262"/>
      <c r="CH194" s="262"/>
      <c r="CI194" s="262"/>
      <c r="CJ194" s="262"/>
      <c r="CK194" s="262"/>
      <c r="CL194" s="262"/>
      <c r="CM194" s="262"/>
      <c r="CN194" s="262"/>
      <c r="CO194" s="262"/>
      <c r="CP194" s="262"/>
      <c r="CQ194" s="262"/>
      <c r="CR194" s="262"/>
      <c r="CS194" s="262"/>
      <c r="CT194" s="262"/>
      <c r="CU194" s="262"/>
      <c r="CV194" s="262"/>
      <c r="CW194" s="262"/>
      <c r="CX194" s="262"/>
      <c r="CY194" s="262"/>
      <c r="CZ194" s="262"/>
      <c r="DA194" s="262"/>
      <c r="DB194" s="262"/>
      <c r="DC194" s="262"/>
      <c r="DD194" s="262"/>
      <c r="DE194" s="262"/>
      <c r="DF194" s="262"/>
      <c r="DG194" s="262"/>
      <c r="DH194" s="262"/>
      <c r="DI194" s="262"/>
      <c r="DJ194" s="262"/>
      <c r="DK194" s="262"/>
      <c r="DL194" s="262"/>
      <c r="DM194" s="262"/>
      <c r="DN194" s="262"/>
      <c r="DO194" s="262"/>
      <c r="DP194" s="262"/>
      <c r="DQ194" s="262"/>
      <c r="DR194" s="262"/>
      <c r="DS194" s="262"/>
      <c r="DT194" s="262"/>
      <c r="DU194" s="262"/>
      <c r="DV194" s="262"/>
      <c r="DW194" s="262"/>
      <c r="DX194" s="262"/>
      <c r="DY194" s="262"/>
      <c r="DZ194" s="262"/>
      <c r="EA194" s="262"/>
      <c r="EB194" s="262"/>
      <c r="EC194" s="262"/>
      <c r="ED194" s="262"/>
      <c r="EE194" s="262"/>
      <c r="EF194" s="262"/>
      <c r="EG194" s="262"/>
      <c r="EH194" s="262"/>
      <c r="EI194" s="262"/>
      <c r="EJ194" s="262"/>
      <c r="EK194" s="262"/>
      <c r="EL194" s="262"/>
      <c r="EM194" s="262"/>
      <c r="EN194" s="262"/>
      <c r="EO194" s="262"/>
      <c r="EP194" s="262"/>
      <c r="EQ194" s="262"/>
      <c r="ER194" s="262"/>
      <c r="ES194" s="262"/>
      <c r="ET194" s="262"/>
      <c r="EU194" s="262"/>
      <c r="EV194" s="262"/>
      <c r="EW194" s="262"/>
      <c r="EX194" s="262"/>
      <c r="EY194" s="262"/>
      <c r="EZ194" s="262"/>
      <c r="FA194" s="262"/>
      <c r="FB194" s="262"/>
      <c r="FC194" s="262"/>
      <c r="FD194" s="262"/>
      <c r="FE194" s="262"/>
      <c r="FF194" s="262"/>
      <c r="FG194" s="262"/>
      <c r="FH194" s="262"/>
      <c r="FI194" s="262"/>
      <c r="FJ194" s="262"/>
      <c r="FK194" s="262"/>
      <c r="FL194" s="262"/>
      <c r="FM194" s="262"/>
      <c r="FN194" s="262"/>
      <c r="FO194" s="262"/>
      <c r="FP194" s="262"/>
      <c r="FQ194" s="262"/>
      <c r="FR194" s="262"/>
      <c r="FS194" s="262"/>
      <c r="FT194" s="262"/>
      <c r="FU194" s="262"/>
      <c r="FV194" s="262"/>
      <c r="FW194" s="262"/>
      <c r="FX194" s="262"/>
      <c r="FY194" s="262"/>
      <c r="FZ194" s="262"/>
      <c r="GA194" s="262"/>
      <c r="GB194" s="262"/>
      <c r="GC194" s="262"/>
      <c r="GD194" s="262"/>
      <c r="GE194" s="262"/>
      <c r="GF194" s="262"/>
      <c r="GG194" s="262"/>
      <c r="GH194" s="262"/>
      <c r="GI194" s="262"/>
      <c r="GJ194" s="262"/>
      <c r="GK194" s="262"/>
      <c r="GL194" s="262"/>
      <c r="GM194" s="262"/>
      <c r="GN194" s="262"/>
      <c r="GO194" s="262"/>
      <c r="GP194" s="262"/>
      <c r="GQ194" s="262"/>
      <c r="GR194" s="262"/>
      <c r="GS194" s="262"/>
      <c r="GT194" s="262"/>
      <c r="GU194" s="262"/>
      <c r="GV194" s="262"/>
      <c r="GW194" s="262"/>
      <c r="GX194" s="262"/>
      <c r="GY194" s="262"/>
      <c r="GZ194" s="262"/>
      <c r="HA194" s="262"/>
      <c r="HB194" s="262"/>
      <c r="HC194" s="262"/>
      <c r="HD194" s="262"/>
      <c r="HE194" s="262"/>
      <c r="HF194" s="262"/>
      <c r="HG194" s="262"/>
      <c r="HH194" s="262"/>
      <c r="HI194" s="262"/>
      <c r="HJ194" s="262"/>
      <c r="HK194" s="262"/>
      <c r="HL194" s="262"/>
      <c r="HM194" s="262"/>
      <c r="HN194" s="262"/>
      <c r="HO194" s="262"/>
      <c r="HP194" s="262"/>
      <c r="HQ194" s="262"/>
      <c r="HR194" s="262"/>
      <c r="HS194" s="262"/>
      <c r="HT194" s="262"/>
      <c r="HU194" s="262"/>
      <c r="HV194" s="262"/>
      <c r="HW194" s="262"/>
      <c r="HX194" s="262"/>
      <c r="HY194" s="262"/>
      <c r="HZ194" s="262"/>
      <c r="IA194" s="262"/>
      <c r="IB194" s="262"/>
      <c r="IC194" s="262"/>
      <c r="ID194" s="262"/>
      <c r="IE194" s="262"/>
      <c r="IF194" s="262"/>
      <c r="IG194" s="262"/>
      <c r="IH194" s="262"/>
      <c r="II194" s="262"/>
      <c r="IJ194" s="262"/>
      <c r="IK194" s="262"/>
      <c r="IL194" s="262"/>
      <c r="IM194" s="262"/>
      <c r="IN194" s="262"/>
      <c r="IO194" s="262"/>
      <c r="IP194" s="262"/>
      <c r="IQ194" s="262"/>
      <c r="IR194" s="262"/>
      <c r="IS194" s="262"/>
      <c r="IT194" s="262"/>
      <c r="IU194" s="262"/>
    </row>
    <row r="195" ht="18" customHeight="1" spans="1:255">
      <c r="A195" s="267">
        <v>4255</v>
      </c>
      <c r="B195" s="268" t="s">
        <v>1574</v>
      </c>
      <c r="C195" s="225" t="s">
        <v>1380</v>
      </c>
      <c r="D195" s="230">
        <v>941.581992245589</v>
      </c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2"/>
      <c r="S195" s="262"/>
      <c r="T195" s="262"/>
      <c r="U195" s="262"/>
      <c r="V195" s="262"/>
      <c r="W195" s="262"/>
      <c r="X195" s="262"/>
      <c r="Y195" s="262"/>
      <c r="Z195" s="262"/>
      <c r="AA195" s="262"/>
      <c r="AB195" s="262"/>
      <c r="AC195" s="262"/>
      <c r="AD195" s="262"/>
      <c r="AE195" s="262"/>
      <c r="AF195" s="262"/>
      <c r="AG195" s="262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62"/>
      <c r="BH195" s="262"/>
      <c r="BI195" s="262"/>
      <c r="BJ195" s="262"/>
      <c r="BK195" s="262"/>
      <c r="BL195" s="262"/>
      <c r="BM195" s="262"/>
      <c r="BN195" s="262"/>
      <c r="BO195" s="262"/>
      <c r="BP195" s="262"/>
      <c r="BQ195" s="262"/>
      <c r="BR195" s="262"/>
      <c r="BS195" s="262"/>
      <c r="BT195" s="262"/>
      <c r="BU195" s="262"/>
      <c r="BV195" s="262"/>
      <c r="BW195" s="262"/>
      <c r="BX195" s="262"/>
      <c r="BY195" s="262"/>
      <c r="BZ195" s="262"/>
      <c r="CA195" s="262"/>
      <c r="CB195" s="262"/>
      <c r="CC195" s="262"/>
      <c r="CD195" s="262"/>
      <c r="CE195" s="262"/>
      <c r="CF195" s="262"/>
      <c r="CG195" s="262"/>
      <c r="CH195" s="262"/>
      <c r="CI195" s="262"/>
      <c r="CJ195" s="262"/>
      <c r="CK195" s="262"/>
      <c r="CL195" s="262"/>
      <c r="CM195" s="262"/>
      <c r="CN195" s="262"/>
      <c r="CO195" s="262"/>
      <c r="CP195" s="262"/>
      <c r="CQ195" s="262"/>
      <c r="CR195" s="262"/>
      <c r="CS195" s="262"/>
      <c r="CT195" s="262"/>
      <c r="CU195" s="262"/>
      <c r="CV195" s="262"/>
      <c r="CW195" s="262"/>
      <c r="CX195" s="262"/>
      <c r="CY195" s="262"/>
      <c r="CZ195" s="262"/>
      <c r="DA195" s="262"/>
      <c r="DB195" s="262"/>
      <c r="DC195" s="262"/>
      <c r="DD195" s="262"/>
      <c r="DE195" s="262"/>
      <c r="DF195" s="262"/>
      <c r="DG195" s="262"/>
      <c r="DH195" s="262"/>
      <c r="DI195" s="262"/>
      <c r="DJ195" s="262"/>
      <c r="DK195" s="262"/>
      <c r="DL195" s="262"/>
      <c r="DM195" s="262"/>
      <c r="DN195" s="262"/>
      <c r="DO195" s="262"/>
      <c r="DP195" s="262"/>
      <c r="DQ195" s="262"/>
      <c r="DR195" s="262"/>
      <c r="DS195" s="262"/>
      <c r="DT195" s="262"/>
      <c r="DU195" s="262"/>
      <c r="DV195" s="262"/>
      <c r="DW195" s="262"/>
      <c r="DX195" s="262"/>
      <c r="DY195" s="262"/>
      <c r="DZ195" s="262"/>
      <c r="EA195" s="262"/>
      <c r="EB195" s="262"/>
      <c r="EC195" s="262"/>
      <c r="ED195" s="262"/>
      <c r="EE195" s="262"/>
      <c r="EF195" s="262"/>
      <c r="EG195" s="262"/>
      <c r="EH195" s="262"/>
      <c r="EI195" s="262"/>
      <c r="EJ195" s="262"/>
      <c r="EK195" s="262"/>
      <c r="EL195" s="262"/>
      <c r="EM195" s="262"/>
      <c r="EN195" s="262"/>
      <c r="EO195" s="262"/>
      <c r="EP195" s="262"/>
      <c r="EQ195" s="262"/>
      <c r="ER195" s="262"/>
      <c r="ES195" s="262"/>
      <c r="ET195" s="262"/>
      <c r="EU195" s="262"/>
      <c r="EV195" s="262"/>
      <c r="EW195" s="262"/>
      <c r="EX195" s="262"/>
      <c r="EY195" s="262"/>
      <c r="EZ195" s="262"/>
      <c r="FA195" s="262"/>
      <c r="FB195" s="262"/>
      <c r="FC195" s="262"/>
      <c r="FD195" s="262"/>
      <c r="FE195" s="262"/>
      <c r="FF195" s="262"/>
      <c r="FG195" s="262"/>
      <c r="FH195" s="262"/>
      <c r="FI195" s="262"/>
      <c r="FJ195" s="262"/>
      <c r="FK195" s="262"/>
      <c r="FL195" s="262"/>
      <c r="FM195" s="262"/>
      <c r="FN195" s="262"/>
      <c r="FO195" s="262"/>
      <c r="FP195" s="262"/>
      <c r="FQ195" s="262"/>
      <c r="FR195" s="262"/>
      <c r="FS195" s="262"/>
      <c r="FT195" s="262"/>
      <c r="FU195" s="262"/>
      <c r="FV195" s="262"/>
      <c r="FW195" s="262"/>
      <c r="FX195" s="262"/>
      <c r="FY195" s="262"/>
      <c r="FZ195" s="262"/>
      <c r="GA195" s="262"/>
      <c r="GB195" s="262"/>
      <c r="GC195" s="262"/>
      <c r="GD195" s="262"/>
      <c r="GE195" s="262"/>
      <c r="GF195" s="262"/>
      <c r="GG195" s="262"/>
      <c r="GH195" s="262"/>
      <c r="GI195" s="262"/>
      <c r="GJ195" s="262"/>
      <c r="GK195" s="262"/>
      <c r="GL195" s="262"/>
      <c r="GM195" s="262"/>
      <c r="GN195" s="262"/>
      <c r="GO195" s="262"/>
      <c r="GP195" s="262"/>
      <c r="GQ195" s="262"/>
      <c r="GR195" s="262"/>
      <c r="GS195" s="262"/>
      <c r="GT195" s="262"/>
      <c r="GU195" s="262"/>
      <c r="GV195" s="262"/>
      <c r="GW195" s="262"/>
      <c r="GX195" s="262"/>
      <c r="GY195" s="262"/>
      <c r="GZ195" s="262"/>
      <c r="HA195" s="262"/>
      <c r="HB195" s="262"/>
      <c r="HC195" s="262"/>
      <c r="HD195" s="262"/>
      <c r="HE195" s="262"/>
      <c r="HF195" s="262"/>
      <c r="HG195" s="262"/>
      <c r="HH195" s="262"/>
      <c r="HI195" s="262"/>
      <c r="HJ195" s="262"/>
      <c r="HK195" s="262"/>
      <c r="HL195" s="262"/>
      <c r="HM195" s="262"/>
      <c r="HN195" s="262"/>
      <c r="HO195" s="262"/>
      <c r="HP195" s="262"/>
      <c r="HQ195" s="262"/>
      <c r="HR195" s="262"/>
      <c r="HS195" s="262"/>
      <c r="HT195" s="262"/>
      <c r="HU195" s="262"/>
      <c r="HV195" s="262"/>
      <c r="HW195" s="262"/>
      <c r="HX195" s="262"/>
      <c r="HY195" s="262"/>
      <c r="HZ195" s="262"/>
      <c r="IA195" s="262"/>
      <c r="IB195" s="262"/>
      <c r="IC195" s="262"/>
      <c r="ID195" s="262"/>
      <c r="IE195" s="262"/>
      <c r="IF195" s="262"/>
      <c r="IG195" s="262"/>
      <c r="IH195" s="262"/>
      <c r="II195" s="262"/>
      <c r="IJ195" s="262"/>
      <c r="IK195" s="262"/>
      <c r="IL195" s="262"/>
      <c r="IM195" s="262"/>
      <c r="IN195" s="262"/>
      <c r="IO195" s="262"/>
      <c r="IP195" s="262"/>
      <c r="IQ195" s="262"/>
      <c r="IR195" s="262"/>
      <c r="IS195" s="262"/>
      <c r="IT195" s="262"/>
      <c r="IU195" s="262"/>
    </row>
    <row r="196" s="262" customFormat="1" ht="18" customHeight="1" spans="1:256">
      <c r="A196" s="267">
        <v>4267</v>
      </c>
      <c r="B196" s="268" t="s">
        <v>549</v>
      </c>
      <c r="C196" s="225" t="s">
        <v>1575</v>
      </c>
      <c r="D196" s="230">
        <v>6240.66751713011</v>
      </c>
      <c r="IV196" s="263"/>
    </row>
    <row r="197" s="262" customFormat="1" ht="18" hidden="1" customHeight="1" spans="1:4">
      <c r="A197" s="267">
        <v>4269</v>
      </c>
      <c r="B197" s="268" t="s">
        <v>1576</v>
      </c>
      <c r="C197" s="225" t="s">
        <v>1577</v>
      </c>
      <c r="D197" s="230">
        <v>17507.4283110621</v>
      </c>
    </row>
    <row r="198" s="262" customFormat="1" ht="18" hidden="1" customHeight="1" spans="1:4">
      <c r="A198" s="267">
        <v>4270</v>
      </c>
      <c r="B198" s="268" t="s">
        <v>1578</v>
      </c>
      <c r="C198" s="225" t="s">
        <v>1577</v>
      </c>
      <c r="D198" s="230">
        <v>7046.0760848279</v>
      </c>
    </row>
    <row r="199" s="262" customFormat="1" ht="18" hidden="1" customHeight="1" spans="1:4">
      <c r="A199" s="267">
        <v>4271</v>
      </c>
      <c r="B199" s="268" t="s">
        <v>1579</v>
      </c>
      <c r="C199" s="225" t="s">
        <v>1577</v>
      </c>
      <c r="D199" s="230">
        <v>3934.73381079112</v>
      </c>
    </row>
    <row r="200" s="262" customFormat="1" ht="18" customHeight="1" spans="1:4">
      <c r="A200" s="267">
        <v>4272</v>
      </c>
      <c r="B200" s="268" t="s">
        <v>1580</v>
      </c>
      <c r="C200" s="225" t="s">
        <v>1577</v>
      </c>
      <c r="D200" s="230">
        <v>7723.10045399818</v>
      </c>
    </row>
    <row r="201" s="262" customFormat="1" ht="18" customHeight="1" spans="1:4">
      <c r="A201" s="267">
        <v>4273</v>
      </c>
      <c r="B201" s="268" t="s">
        <v>1581</v>
      </c>
      <c r="C201" s="225" t="s">
        <v>1577</v>
      </c>
      <c r="D201" s="230">
        <v>5817.51077801732</v>
      </c>
    </row>
    <row r="202" s="262" customFormat="1" ht="18" customHeight="1" spans="1:4">
      <c r="A202" s="267">
        <v>4284</v>
      </c>
      <c r="B202" s="268" t="s">
        <v>1582</v>
      </c>
      <c r="C202" s="225" t="s">
        <v>1440</v>
      </c>
      <c r="D202" s="230">
        <v>15951.5307611092</v>
      </c>
    </row>
    <row r="203" s="262" customFormat="1" ht="18" customHeight="1" spans="1:4">
      <c r="A203" s="267">
        <v>4291</v>
      </c>
      <c r="B203" s="268" t="s">
        <v>1583</v>
      </c>
      <c r="C203" s="225" t="s">
        <v>1440</v>
      </c>
      <c r="D203" s="230">
        <v>1683.67063853091</v>
      </c>
    </row>
    <row r="204" s="262" customFormat="1" ht="18" customHeight="1" spans="1:4">
      <c r="A204" s="267">
        <v>4292</v>
      </c>
      <c r="B204" s="268" t="s">
        <v>1584</v>
      </c>
      <c r="C204" s="225" t="s">
        <v>1440</v>
      </c>
      <c r="D204" s="230">
        <v>2436.04674366061</v>
      </c>
    </row>
    <row r="205" s="262" customFormat="1" ht="18" customHeight="1" spans="1:4">
      <c r="A205" s="267">
        <v>4296</v>
      </c>
      <c r="B205" s="268" t="s">
        <v>1585</v>
      </c>
      <c r="C205" s="225" t="s">
        <v>1380</v>
      </c>
      <c r="D205" s="230">
        <v>2773.75916134622</v>
      </c>
    </row>
    <row r="206" s="262" customFormat="1" ht="18" customHeight="1" spans="1:4">
      <c r="A206" s="267">
        <v>4297</v>
      </c>
      <c r="B206" s="268" t="s">
        <v>1586</v>
      </c>
      <c r="C206" s="225" t="s">
        <v>1587</v>
      </c>
      <c r="D206" s="230">
        <v>6271.57491352639</v>
      </c>
    </row>
    <row r="207" s="261" customFormat="1" ht="18" hidden="1" customHeight="1" spans="1:4">
      <c r="A207" s="266" t="s">
        <v>1588</v>
      </c>
      <c r="B207" s="266"/>
      <c r="C207" s="271"/>
      <c r="D207" s="272"/>
    </row>
    <row r="208" s="262" customFormat="1" ht="18" customHeight="1" spans="1:4">
      <c r="A208" s="267">
        <v>5081</v>
      </c>
      <c r="B208" s="268" t="s">
        <v>1589</v>
      </c>
      <c r="C208" s="225" t="s">
        <v>1380</v>
      </c>
      <c r="D208" s="230">
        <v>1170.05268787835</v>
      </c>
    </row>
    <row r="209" s="262" customFormat="1" ht="18" customHeight="1" spans="1:4">
      <c r="A209" s="267">
        <v>5082</v>
      </c>
      <c r="B209" s="268" t="s">
        <v>1590</v>
      </c>
      <c r="C209" s="225" t="s">
        <v>1380</v>
      </c>
      <c r="D209" s="230">
        <v>2688.41091783532</v>
      </c>
    </row>
    <row r="210" s="262" customFormat="1" ht="18" customHeight="1" spans="1:4">
      <c r="A210" s="267">
        <v>5087</v>
      </c>
      <c r="B210" s="268" t="s">
        <v>1591</v>
      </c>
      <c r="C210" s="225" t="s">
        <v>1380</v>
      </c>
      <c r="D210" s="230">
        <v>1804.31756546415</v>
      </c>
    </row>
    <row r="211" s="262" customFormat="1" ht="18" hidden="1" customHeight="1" spans="1:4">
      <c r="A211" s="267">
        <v>5088</v>
      </c>
      <c r="B211" s="268" t="s">
        <v>1592</v>
      </c>
      <c r="C211" s="225" t="s">
        <v>1380</v>
      </c>
      <c r="D211" s="230">
        <v>3830.11504677018</v>
      </c>
    </row>
    <row r="212" s="262" customFormat="1" ht="18" hidden="1" customHeight="1" spans="1:4">
      <c r="A212" s="267">
        <v>5093</v>
      </c>
      <c r="B212" s="268" t="s">
        <v>1593</v>
      </c>
      <c r="C212" s="225" t="s">
        <v>1380</v>
      </c>
      <c r="D212" s="230">
        <v>1547.50192801603</v>
      </c>
    </row>
    <row r="213" s="262" customFormat="1" ht="18" hidden="1" customHeight="1" spans="1:4">
      <c r="A213" s="267">
        <v>5094</v>
      </c>
      <c r="B213" s="268" t="s">
        <v>1594</v>
      </c>
      <c r="C213" s="225" t="s">
        <v>1380</v>
      </c>
      <c r="D213" s="230">
        <v>2983.75087981107</v>
      </c>
    </row>
    <row r="214" s="261" customFormat="1" ht="15" hidden="1" customHeight="1" spans="1:4">
      <c r="A214" s="270" t="s">
        <v>1595</v>
      </c>
      <c r="B214" s="271"/>
      <c r="C214" s="271"/>
      <c r="D214" s="272"/>
    </row>
    <row r="215" s="262" customFormat="1" ht="18" hidden="1" customHeight="1" spans="1:4">
      <c r="A215" s="267">
        <v>6082</v>
      </c>
      <c r="B215" s="268" t="s">
        <v>1596</v>
      </c>
      <c r="C215" s="225" t="s">
        <v>1577</v>
      </c>
      <c r="D215" s="230">
        <v>16339.6027524611</v>
      </c>
    </row>
    <row r="216" s="262" customFormat="1" ht="18" hidden="1" customHeight="1" spans="1:4">
      <c r="A216" s="267">
        <v>6083</v>
      </c>
      <c r="B216" s="268" t="s">
        <v>1597</v>
      </c>
      <c r="C216" s="225" t="s">
        <v>1577</v>
      </c>
      <c r="D216" s="230">
        <v>16765.8484755822</v>
      </c>
    </row>
    <row r="217" s="262" customFormat="1" ht="18" hidden="1" customHeight="1" spans="1:4">
      <c r="A217" s="267">
        <v>6084</v>
      </c>
      <c r="B217" s="268" t="s">
        <v>1598</v>
      </c>
      <c r="C217" s="225" t="s">
        <v>1577</v>
      </c>
      <c r="D217" s="230">
        <v>17774.716972865</v>
      </c>
    </row>
    <row r="218" s="262" customFormat="1" ht="18" hidden="1" customHeight="1" spans="1:4">
      <c r="A218" s="267">
        <v>6085</v>
      </c>
      <c r="B218" s="268" t="s">
        <v>1599</v>
      </c>
      <c r="C218" s="225" t="s">
        <v>1577</v>
      </c>
      <c r="D218" s="230">
        <v>20201.255453624</v>
      </c>
    </row>
    <row r="219" s="262" customFormat="1" ht="18" hidden="1" customHeight="1" spans="1:4">
      <c r="A219" s="267">
        <v>6086</v>
      </c>
      <c r="B219" s="268" t="s">
        <v>1600</v>
      </c>
      <c r="C219" s="225" t="s">
        <v>1577</v>
      </c>
      <c r="D219" s="230">
        <v>24114.435201548</v>
      </c>
    </row>
    <row r="220" s="262" customFormat="1" ht="18" hidden="1" customHeight="1" spans="1:4">
      <c r="A220" s="267">
        <v>6087</v>
      </c>
      <c r="B220" s="268" t="s">
        <v>1601</v>
      </c>
      <c r="C220" s="225" t="s">
        <v>1577</v>
      </c>
      <c r="D220" s="230">
        <v>55208.4697035091</v>
      </c>
    </row>
    <row r="221" s="262" customFormat="1" ht="18" hidden="1" customHeight="1" spans="1:4">
      <c r="A221" s="267">
        <v>6088</v>
      </c>
      <c r="B221" s="268" t="s">
        <v>1602</v>
      </c>
      <c r="C221" s="225" t="s">
        <v>1577</v>
      </c>
      <c r="D221" s="230">
        <v>55801.7823679698</v>
      </c>
    </row>
    <row r="222" s="262" customFormat="1" ht="18" hidden="1" customHeight="1" spans="1:4">
      <c r="A222" s="267">
        <v>6089</v>
      </c>
      <c r="B222" s="268" t="s">
        <v>1603</v>
      </c>
      <c r="C222" s="225" t="s">
        <v>1577</v>
      </c>
      <c r="D222" s="230">
        <v>102830.148236996</v>
      </c>
    </row>
    <row r="223" s="262" customFormat="1" ht="18" hidden="1" customHeight="1" spans="1:4">
      <c r="A223" s="267">
        <v>6090</v>
      </c>
      <c r="B223" s="268" t="s">
        <v>1604</v>
      </c>
      <c r="C223" s="225" t="s">
        <v>1577</v>
      </c>
      <c r="D223" s="230">
        <v>78419.4526229884</v>
      </c>
    </row>
    <row r="224" s="262" customFormat="1" ht="18" hidden="1" customHeight="1" spans="1:4">
      <c r="A224" s="267">
        <v>6091</v>
      </c>
      <c r="B224" s="268" t="s">
        <v>1605</v>
      </c>
      <c r="C224" s="225" t="s">
        <v>1577</v>
      </c>
      <c r="D224" s="230">
        <v>102641.955301899</v>
      </c>
    </row>
    <row r="225" s="262" customFormat="1" ht="18" hidden="1" customHeight="1" spans="1:4">
      <c r="A225" s="267">
        <v>6092</v>
      </c>
      <c r="B225" s="268" t="s">
        <v>1606</v>
      </c>
      <c r="C225" s="225" t="s">
        <v>1577</v>
      </c>
      <c r="D225" s="230">
        <v>117577.25028955</v>
      </c>
    </row>
    <row r="226" s="262" customFormat="1" ht="18" hidden="1" customHeight="1" spans="1:4">
      <c r="A226" s="267">
        <v>6093</v>
      </c>
      <c r="B226" s="268" t="s">
        <v>1607</v>
      </c>
      <c r="C226" s="225" t="s">
        <v>1577</v>
      </c>
      <c r="D226" s="230">
        <v>127404.718926912</v>
      </c>
    </row>
    <row r="227" s="262" customFormat="1" ht="18" hidden="1" customHeight="1" spans="1:4">
      <c r="A227" s="267">
        <v>6095</v>
      </c>
      <c r="B227" s="268" t="s">
        <v>1608</v>
      </c>
      <c r="C227" s="225" t="s">
        <v>1380</v>
      </c>
      <c r="D227" s="230">
        <v>63803.1014499868</v>
      </c>
    </row>
    <row r="228" s="262" customFormat="1" ht="18" hidden="1" customHeight="1" spans="1:4">
      <c r="A228" s="267">
        <v>6096</v>
      </c>
      <c r="B228" s="268" t="s">
        <v>1609</v>
      </c>
      <c r="C228" s="225" t="s">
        <v>580</v>
      </c>
      <c r="D228" s="230">
        <v>8009.57427869815</v>
      </c>
    </row>
    <row r="229" s="262" customFormat="1" ht="18" hidden="1" customHeight="1" spans="1:4">
      <c r="A229" s="267">
        <v>6100</v>
      </c>
      <c r="B229" s="268" t="s">
        <v>1610</v>
      </c>
      <c r="C229" s="225" t="s">
        <v>1577</v>
      </c>
      <c r="D229" s="230">
        <v>111564.860769012</v>
      </c>
    </row>
    <row r="230" s="262" customFormat="1" ht="18" hidden="1" customHeight="1" spans="1:4">
      <c r="A230" s="267">
        <v>6101</v>
      </c>
      <c r="B230" s="268" t="s">
        <v>1611</v>
      </c>
      <c r="C230" s="225" t="s">
        <v>1577</v>
      </c>
      <c r="D230" s="230">
        <v>104059.900159783</v>
      </c>
    </row>
    <row r="231" s="262" customFormat="1" ht="18" hidden="1" customHeight="1" spans="1:4">
      <c r="A231" s="267">
        <v>6102</v>
      </c>
      <c r="B231" s="268" t="s">
        <v>1612</v>
      </c>
      <c r="C231" s="225" t="s">
        <v>1577</v>
      </c>
      <c r="D231" s="230">
        <v>124801.121913385</v>
      </c>
    </row>
    <row r="232" s="262" customFormat="1" ht="18" hidden="1" customHeight="1" spans="1:4">
      <c r="A232" s="267">
        <v>6103</v>
      </c>
      <c r="B232" s="268" t="s">
        <v>1613</v>
      </c>
      <c r="C232" s="225" t="s">
        <v>1577</v>
      </c>
      <c r="D232" s="230">
        <v>127915.390174505</v>
      </c>
    </row>
    <row r="233" s="262" customFormat="1" ht="18" hidden="1" customHeight="1" spans="1:4">
      <c r="A233" s="267">
        <v>6104</v>
      </c>
      <c r="B233" s="268" t="s">
        <v>1614</v>
      </c>
      <c r="C233" s="225" t="s">
        <v>1577</v>
      </c>
      <c r="D233" s="230">
        <v>125615.433089684</v>
      </c>
    </row>
    <row r="234" s="262" customFormat="1" ht="18" hidden="1" customHeight="1" spans="1:4">
      <c r="A234" s="267">
        <v>6105</v>
      </c>
      <c r="B234" s="268" t="s">
        <v>1615</v>
      </c>
      <c r="C234" s="225" t="s">
        <v>1577</v>
      </c>
      <c r="D234" s="230">
        <v>146990.371478251</v>
      </c>
    </row>
    <row r="235" s="262" customFormat="1" ht="18" hidden="1" customHeight="1" spans="1:4">
      <c r="A235" s="267">
        <v>6016</v>
      </c>
      <c r="B235" s="268" t="s">
        <v>1616</v>
      </c>
      <c r="C235" s="270" t="s">
        <v>1617</v>
      </c>
      <c r="D235" s="230">
        <v>9984.35393857573</v>
      </c>
    </row>
    <row r="236" s="262" customFormat="1" ht="18" hidden="1" customHeight="1" spans="1:4">
      <c r="A236" s="267">
        <v>6017</v>
      </c>
      <c r="B236" s="268" t="s">
        <v>1618</v>
      </c>
      <c r="C236" s="270" t="s">
        <v>1617</v>
      </c>
      <c r="D236" s="230">
        <v>12866.2699496851</v>
      </c>
    </row>
    <row r="237" s="262" customFormat="1" ht="18" hidden="1" customHeight="1" spans="1:4">
      <c r="A237" s="267">
        <v>6018</v>
      </c>
      <c r="B237" s="268" t="s">
        <v>1619</v>
      </c>
      <c r="C237" s="270" t="s">
        <v>1617</v>
      </c>
      <c r="D237" s="230">
        <v>15812.839577906</v>
      </c>
    </row>
    <row r="238" s="262" customFormat="1" ht="18" hidden="1" customHeight="1" spans="1:4">
      <c r="A238" s="267">
        <v>6019</v>
      </c>
      <c r="B238" s="268" t="s">
        <v>1620</v>
      </c>
      <c r="C238" s="270" t="s">
        <v>1617</v>
      </c>
      <c r="D238" s="230">
        <v>21692.2260417904</v>
      </c>
    </row>
    <row r="239" s="262" customFormat="1" ht="18" hidden="1" customHeight="1" spans="1:4">
      <c r="A239" s="267">
        <v>6110</v>
      </c>
      <c r="B239" s="268" t="s">
        <v>1621</v>
      </c>
      <c r="C239" s="225" t="s">
        <v>1380</v>
      </c>
      <c r="D239" s="230">
        <v>55692.9089335038</v>
      </c>
    </row>
    <row r="240" s="262" customFormat="1" ht="18" hidden="1" customHeight="1" spans="1:4">
      <c r="A240" s="267">
        <v>6111</v>
      </c>
      <c r="B240" s="268" t="s">
        <v>1622</v>
      </c>
      <c r="C240" s="225" t="s">
        <v>1380</v>
      </c>
      <c r="D240" s="230">
        <v>73193.4587421882</v>
      </c>
    </row>
    <row r="241" s="262" customFormat="1" ht="18" hidden="1" customHeight="1" spans="1:4">
      <c r="A241" s="267">
        <v>6127</v>
      </c>
      <c r="B241" s="268" t="s">
        <v>1623</v>
      </c>
      <c r="C241" s="225" t="s">
        <v>1440</v>
      </c>
      <c r="D241" s="230">
        <v>2562.04414283997</v>
      </c>
    </row>
    <row r="242" s="262" customFormat="1" ht="18" hidden="1" customHeight="1" spans="1:4">
      <c r="A242" s="267">
        <v>6128</v>
      </c>
      <c r="B242" s="268" t="s">
        <v>1624</v>
      </c>
      <c r="C242" s="225" t="s">
        <v>1440</v>
      </c>
      <c r="D242" s="230">
        <v>3279.9252354028</v>
      </c>
    </row>
    <row r="243" s="262" customFormat="1" ht="18" hidden="1" customHeight="1" spans="1:4">
      <c r="A243" s="267">
        <v>6129</v>
      </c>
      <c r="B243" s="268" t="s">
        <v>1625</v>
      </c>
      <c r="C243" s="225" t="s">
        <v>1440</v>
      </c>
      <c r="D243" s="230">
        <v>4010.25494518285</v>
      </c>
    </row>
    <row r="244" s="262" customFormat="1" ht="18" hidden="1" customHeight="1" spans="1:4">
      <c r="A244" s="267">
        <v>6130</v>
      </c>
      <c r="B244" s="268" t="s">
        <v>1626</v>
      </c>
      <c r="C244" s="225" t="s">
        <v>1440</v>
      </c>
      <c r="D244" s="230">
        <v>4731.9057061403</v>
      </c>
    </row>
    <row r="245" s="262" customFormat="1" ht="18" hidden="1" customHeight="1" spans="1:4">
      <c r="A245" s="267">
        <v>6131</v>
      </c>
      <c r="B245" s="268" t="s">
        <v>1627</v>
      </c>
      <c r="C245" s="225" t="s">
        <v>1440</v>
      </c>
      <c r="D245" s="230">
        <v>5436.81651624237</v>
      </c>
    </row>
    <row r="246" s="261" customFormat="1" ht="18" hidden="1" customHeight="1" spans="1:4">
      <c r="A246" s="266" t="s">
        <v>1628</v>
      </c>
      <c r="B246" s="266"/>
      <c r="C246" s="271"/>
      <c r="D246" s="272"/>
    </row>
    <row r="247" s="262" customFormat="1" ht="18" hidden="1" customHeight="1" spans="1:4">
      <c r="A247" s="267">
        <v>8001</v>
      </c>
      <c r="B247" s="269" t="s">
        <v>1629</v>
      </c>
      <c r="C247" s="225" t="s">
        <v>1630</v>
      </c>
      <c r="D247" s="230">
        <v>6572.02850075827</v>
      </c>
    </row>
    <row r="248" s="262" customFormat="1" ht="18" hidden="1" customHeight="1" spans="1:4">
      <c r="A248" s="267">
        <v>8002</v>
      </c>
      <c r="B248" s="269" t="s">
        <v>1631</v>
      </c>
      <c r="C248" s="225" t="s">
        <v>1630</v>
      </c>
      <c r="D248" s="230">
        <v>9977.2676650542</v>
      </c>
    </row>
    <row r="249" s="262" customFormat="1" ht="18" hidden="1" customHeight="1" spans="1:4">
      <c r="A249" s="267">
        <v>8003</v>
      </c>
      <c r="B249" s="269" t="s">
        <v>1632</v>
      </c>
      <c r="C249" s="225" t="s">
        <v>1630</v>
      </c>
      <c r="D249" s="230">
        <v>13527.6705049676</v>
      </c>
    </row>
    <row r="250" s="262" customFormat="1" ht="18" hidden="1" customHeight="1" spans="1:4">
      <c r="A250" s="267">
        <v>8004</v>
      </c>
      <c r="B250" s="269" t="s">
        <v>1633</v>
      </c>
      <c r="C250" s="225" t="s">
        <v>1630</v>
      </c>
      <c r="D250" s="230">
        <v>17739.2290483587</v>
      </c>
    </row>
    <row r="251" s="262" customFormat="1" ht="18" hidden="1" customHeight="1" spans="1:4">
      <c r="A251" s="267">
        <v>8005</v>
      </c>
      <c r="B251" s="269" t="s">
        <v>1634</v>
      </c>
      <c r="C251" s="225" t="s">
        <v>1630</v>
      </c>
      <c r="D251" s="230">
        <v>6711.71749372567</v>
      </c>
    </row>
    <row r="252" s="262" customFormat="1" ht="18" hidden="1" customHeight="1" spans="1:4">
      <c r="A252" s="267">
        <v>8006</v>
      </c>
      <c r="B252" s="269" t="s">
        <v>1635</v>
      </c>
      <c r="C252" s="225" t="s">
        <v>1630</v>
      </c>
      <c r="D252" s="230">
        <v>3755.22536408094</v>
      </c>
    </row>
    <row r="253" s="262" customFormat="1" ht="18" hidden="1" customHeight="1" spans="1:4">
      <c r="A253" s="267">
        <v>8007</v>
      </c>
      <c r="B253" s="269" t="s">
        <v>1636</v>
      </c>
      <c r="C253" s="225" t="s">
        <v>1630</v>
      </c>
      <c r="D253" s="230">
        <v>8438.29089272702</v>
      </c>
    </row>
    <row r="254" s="262" customFormat="1" ht="18" hidden="1" customHeight="1" spans="1:4">
      <c r="A254" s="267">
        <v>8008</v>
      </c>
      <c r="B254" s="269" t="s">
        <v>1637</v>
      </c>
      <c r="C254" s="225" t="s">
        <v>1630</v>
      </c>
      <c r="D254" s="230">
        <v>11288.6269654852</v>
      </c>
    </row>
    <row r="255" s="262" customFormat="1" ht="18" hidden="1" customHeight="1" spans="1:4">
      <c r="A255" s="267">
        <v>8009</v>
      </c>
      <c r="B255" s="269" t="s">
        <v>1638</v>
      </c>
      <c r="C255" s="225" t="s">
        <v>1630</v>
      </c>
      <c r="D255" s="230">
        <v>14107.6739319081</v>
      </c>
    </row>
    <row r="256" s="262" customFormat="1" ht="18" hidden="1" customHeight="1" spans="1:4">
      <c r="A256" s="267">
        <v>8010</v>
      </c>
      <c r="B256" s="269" t="s">
        <v>1639</v>
      </c>
      <c r="C256" s="225" t="s">
        <v>1630</v>
      </c>
      <c r="D256" s="230">
        <v>14623.1865190811</v>
      </c>
    </row>
    <row r="257" s="262" customFormat="1" ht="18" hidden="1" customHeight="1" spans="1:4">
      <c r="A257" s="267">
        <v>8011</v>
      </c>
      <c r="B257" s="269" t="s">
        <v>1640</v>
      </c>
      <c r="C257" s="225" t="s">
        <v>1630</v>
      </c>
      <c r="D257" s="230">
        <v>189.604349682274</v>
      </c>
    </row>
    <row r="258" s="262" customFormat="1" ht="18" hidden="1" customHeight="1" spans="1:4">
      <c r="A258" s="267">
        <v>8012</v>
      </c>
      <c r="B258" s="269" t="s">
        <v>1641</v>
      </c>
      <c r="C258" s="225" t="s">
        <v>1630</v>
      </c>
      <c r="D258" s="230">
        <v>263.470196524537</v>
      </c>
    </row>
    <row r="259" s="262" customFormat="1" ht="18" hidden="1" customHeight="1" spans="1:4">
      <c r="A259" s="267">
        <v>8013</v>
      </c>
      <c r="B259" s="269" t="s">
        <v>1642</v>
      </c>
      <c r="C259" s="225" t="s">
        <v>1630</v>
      </c>
      <c r="D259" s="230">
        <v>447.630613344152</v>
      </c>
    </row>
    <row r="260" s="262" customFormat="1" ht="18" hidden="1" customHeight="1" spans="1:4">
      <c r="A260" s="267">
        <v>8014</v>
      </c>
      <c r="B260" s="269" t="s">
        <v>1643</v>
      </c>
      <c r="C260" s="225" t="s">
        <v>1630</v>
      </c>
      <c r="D260" s="230">
        <v>624.7717683622</v>
      </c>
    </row>
    <row r="261" s="262" customFormat="1" ht="18" hidden="1" customHeight="1" spans="1:4">
      <c r="A261" s="267">
        <v>8015</v>
      </c>
      <c r="B261" s="269" t="s">
        <v>1644</v>
      </c>
      <c r="C261" s="225" t="s">
        <v>1630</v>
      </c>
      <c r="D261" s="230">
        <v>852.892500059683</v>
      </c>
    </row>
    <row r="262" s="262" customFormat="1" ht="18" hidden="1" customHeight="1" spans="1:4">
      <c r="A262" s="267">
        <v>8016</v>
      </c>
      <c r="B262" s="269" t="s">
        <v>1645</v>
      </c>
      <c r="C262" s="225" t="s">
        <v>1630</v>
      </c>
      <c r="D262" s="230">
        <v>847.677867937326</v>
      </c>
    </row>
    <row r="263" s="262" customFormat="1" ht="18" hidden="1" customHeight="1" spans="1:4">
      <c r="A263" s="267">
        <v>8017</v>
      </c>
      <c r="B263" s="269" t="s">
        <v>1646</v>
      </c>
      <c r="C263" s="225" t="s">
        <v>1630</v>
      </c>
      <c r="D263" s="230">
        <v>676.911966052946</v>
      </c>
    </row>
    <row r="264" s="262" customFormat="1" ht="18" hidden="1" customHeight="1" spans="1:4">
      <c r="A264" s="267">
        <v>8018</v>
      </c>
      <c r="B264" s="269" t="s">
        <v>1647</v>
      </c>
      <c r="C264" s="225" t="s">
        <v>1630</v>
      </c>
      <c r="D264" s="230">
        <v>981.137053631552</v>
      </c>
    </row>
    <row r="265" s="262" customFormat="1" ht="18" hidden="1" customHeight="1" spans="1:4">
      <c r="A265" s="267">
        <v>8019</v>
      </c>
      <c r="B265" s="269" t="s">
        <v>1648</v>
      </c>
      <c r="C265" s="225" t="s">
        <v>1630</v>
      </c>
      <c r="D265" s="230">
        <v>1798.68997790138</v>
      </c>
    </row>
    <row r="266" s="262" customFormat="1" ht="18" hidden="1" customHeight="1" spans="1:4">
      <c r="A266" s="267">
        <v>8020</v>
      </c>
      <c r="B266" s="269" t="s">
        <v>1649</v>
      </c>
      <c r="C266" s="225" t="s">
        <v>1630</v>
      </c>
      <c r="D266" s="230">
        <v>2183.47645802297</v>
      </c>
    </row>
    <row r="267" s="262" customFormat="1" ht="18" customHeight="1" spans="1:4">
      <c r="A267" s="267">
        <v>8021</v>
      </c>
      <c r="B267" s="269" t="s">
        <v>1650</v>
      </c>
      <c r="C267" s="225" t="s">
        <v>1630</v>
      </c>
      <c r="D267" s="230">
        <v>3068.01020565138</v>
      </c>
    </row>
    <row r="268" s="262" customFormat="1" ht="18" customHeight="1" spans="1:4">
      <c r="A268" s="267">
        <v>8022</v>
      </c>
      <c r="B268" s="269" t="s">
        <v>1651</v>
      </c>
      <c r="C268" s="225" t="s">
        <v>1630</v>
      </c>
      <c r="D268" s="230">
        <v>3331.88122111378</v>
      </c>
    </row>
    <row r="269" s="262" customFormat="1" ht="18" hidden="1" customHeight="1" spans="1:4">
      <c r="A269" s="267">
        <v>8023</v>
      </c>
      <c r="B269" s="269" t="s">
        <v>1652</v>
      </c>
      <c r="C269" s="225" t="s">
        <v>1630</v>
      </c>
      <c r="D269" s="230">
        <v>120.352136695681</v>
      </c>
    </row>
    <row r="270" s="262" customFormat="1" ht="18" hidden="1" customHeight="1" spans="1:4">
      <c r="A270" s="267">
        <v>8024</v>
      </c>
      <c r="B270" s="269" t="s">
        <v>1653</v>
      </c>
      <c r="C270" s="225" t="s">
        <v>1630</v>
      </c>
      <c r="D270" s="230">
        <v>186.147834057592</v>
      </c>
    </row>
    <row r="271" s="262" customFormat="1" ht="18" hidden="1" customHeight="1" spans="1:4">
      <c r="A271" s="267">
        <v>8025</v>
      </c>
      <c r="B271" s="269" t="s">
        <v>1654</v>
      </c>
      <c r="C271" s="225" t="s">
        <v>1630</v>
      </c>
      <c r="D271" s="230">
        <v>425.304806848904</v>
      </c>
    </row>
    <row r="272" s="262" customFormat="1" ht="18" hidden="1" customHeight="1" spans="1:4">
      <c r="A272" s="267">
        <v>8026</v>
      </c>
      <c r="B272" s="269" t="s">
        <v>1655</v>
      </c>
      <c r="C272" s="225" t="s">
        <v>1630</v>
      </c>
      <c r="D272" s="230">
        <v>153.213002143556</v>
      </c>
    </row>
    <row r="273" s="262" customFormat="1" ht="18" hidden="1" customHeight="1" spans="1:4">
      <c r="A273" s="267">
        <v>8027</v>
      </c>
      <c r="B273" s="269" t="s">
        <v>1656</v>
      </c>
      <c r="C273" s="225" t="s">
        <v>1630</v>
      </c>
      <c r="D273" s="230">
        <v>140.399700548703</v>
      </c>
    </row>
    <row r="274" s="262" customFormat="1" ht="18" hidden="1" customHeight="1" spans="1:4">
      <c r="A274" s="267">
        <v>8028</v>
      </c>
      <c r="B274" s="269" t="s">
        <v>1657</v>
      </c>
      <c r="C274" s="225" t="s">
        <v>1630</v>
      </c>
      <c r="D274" s="230">
        <v>263.63601761611</v>
      </c>
    </row>
    <row r="275" s="262" customFormat="1" ht="18" hidden="1" customHeight="1" spans="1:4">
      <c r="A275" s="267">
        <v>8029</v>
      </c>
      <c r="B275" s="269" t="s">
        <v>1658</v>
      </c>
      <c r="C275" s="225" t="s">
        <v>1630</v>
      </c>
      <c r="D275" s="230">
        <v>263.280482568394</v>
      </c>
    </row>
    <row r="276" s="262" customFormat="1" ht="18" hidden="1" customHeight="1" spans="1:4">
      <c r="A276" s="267">
        <v>8030</v>
      </c>
      <c r="B276" s="269" t="s">
        <v>1659</v>
      </c>
      <c r="C276" s="225" t="s">
        <v>1630</v>
      </c>
      <c r="D276" s="230">
        <v>276.856237489563</v>
      </c>
    </row>
    <row r="277" s="262" customFormat="1" ht="18" hidden="1" customHeight="1" spans="1:4">
      <c r="A277" s="267">
        <v>8030</v>
      </c>
      <c r="B277" s="269" t="s">
        <v>1660</v>
      </c>
      <c r="C277" s="225" t="s">
        <v>1630</v>
      </c>
      <c r="D277" s="230">
        <v>344.330507489564</v>
      </c>
    </row>
    <row r="278" s="262" customFormat="1" ht="18" hidden="1" customHeight="1" spans="1:4">
      <c r="A278" s="267">
        <v>8031</v>
      </c>
      <c r="B278" s="269" t="s">
        <v>1661</v>
      </c>
      <c r="C278" s="225" t="s">
        <v>1630</v>
      </c>
      <c r="D278" s="230">
        <v>263.280482568394</v>
      </c>
    </row>
    <row r="279" s="262" customFormat="1" ht="18" hidden="1" customHeight="1" spans="1:4">
      <c r="A279" s="267">
        <v>8031</v>
      </c>
      <c r="B279" s="269" t="s">
        <v>1662</v>
      </c>
      <c r="C279" s="225" t="s">
        <v>1630</v>
      </c>
      <c r="D279" s="230">
        <v>482.948014207224</v>
      </c>
    </row>
    <row r="280" s="262" customFormat="1" ht="18" hidden="1" customHeight="1" spans="1:4">
      <c r="A280" s="267">
        <v>8033</v>
      </c>
      <c r="B280" s="269" t="s">
        <v>1663</v>
      </c>
      <c r="C280" s="225" t="s">
        <v>1630</v>
      </c>
      <c r="D280" s="230">
        <v>758.413735846054</v>
      </c>
    </row>
    <row r="281" s="262" customFormat="1" ht="18" hidden="1" customHeight="1" spans="1:4">
      <c r="A281" s="267">
        <v>8033</v>
      </c>
      <c r="B281" s="269" t="s">
        <v>1664</v>
      </c>
      <c r="C281" s="225" t="s">
        <v>1630</v>
      </c>
      <c r="D281" s="230">
        <v>1321.94975561214</v>
      </c>
    </row>
    <row r="282" s="262" customFormat="1" ht="18" hidden="1" customHeight="1" spans="1:4">
      <c r="A282" s="267">
        <v>8034</v>
      </c>
      <c r="B282" s="269" t="s">
        <v>1665</v>
      </c>
      <c r="C282" s="225" t="s">
        <v>1630</v>
      </c>
      <c r="D282" s="230">
        <v>1634.33060287436</v>
      </c>
    </row>
    <row r="283" s="262" customFormat="1" ht="18" hidden="1" customHeight="1" spans="1:4">
      <c r="A283" s="267">
        <v>8035</v>
      </c>
      <c r="B283" s="269" t="s">
        <v>1666</v>
      </c>
      <c r="C283" s="225" t="s">
        <v>1630</v>
      </c>
      <c r="D283" s="230">
        <v>2752.610787484</v>
      </c>
    </row>
    <row r="284" s="262" customFormat="1" ht="18" hidden="1" customHeight="1" spans="1:4">
      <c r="A284" s="267">
        <v>8036</v>
      </c>
      <c r="B284" s="269" t="s">
        <v>1667</v>
      </c>
      <c r="C284" s="225" t="s">
        <v>1630</v>
      </c>
      <c r="D284" s="230">
        <v>7882.83673858077</v>
      </c>
    </row>
    <row r="285" s="262" customFormat="1" ht="18" hidden="1" customHeight="1" spans="1:4">
      <c r="A285" s="267">
        <v>8037</v>
      </c>
      <c r="B285" s="269" t="s">
        <v>1668</v>
      </c>
      <c r="C285" s="225" t="s">
        <v>1630</v>
      </c>
      <c r="D285" s="230">
        <v>5184.93757406932</v>
      </c>
    </row>
    <row r="286" s="262" customFormat="1" ht="18" hidden="1" customHeight="1" spans="1:4">
      <c r="A286" s="267">
        <v>8038</v>
      </c>
      <c r="B286" s="269" t="s">
        <v>1669</v>
      </c>
      <c r="C286" s="225" t="s">
        <v>1630</v>
      </c>
      <c r="D286" s="230">
        <v>6794.76299889668</v>
      </c>
    </row>
    <row r="287" s="262" customFormat="1" ht="18" hidden="1" customHeight="1" spans="1:4">
      <c r="A287" s="267">
        <v>8039</v>
      </c>
      <c r="B287" s="269" t="s">
        <v>1670</v>
      </c>
      <c r="C287" s="225" t="s">
        <v>1630</v>
      </c>
      <c r="D287" s="230">
        <v>8747.26372365099</v>
      </c>
    </row>
    <row r="288" s="262" customFormat="1" ht="18" hidden="1" customHeight="1" spans="1:4">
      <c r="A288" s="267">
        <v>8040</v>
      </c>
      <c r="B288" s="269" t="s">
        <v>1671</v>
      </c>
      <c r="C288" s="225" t="s">
        <v>1630</v>
      </c>
      <c r="D288" s="230">
        <v>11111.164978971</v>
      </c>
    </row>
    <row r="289" s="262" customFormat="1" ht="18" hidden="1" customHeight="1" spans="1:4">
      <c r="A289" s="267">
        <v>8041</v>
      </c>
      <c r="B289" s="269" t="s">
        <v>1672</v>
      </c>
      <c r="C289" s="225" t="s">
        <v>1630</v>
      </c>
      <c r="D289" s="230">
        <v>12991.6677602773</v>
      </c>
    </row>
    <row r="290" s="262" customFormat="1" ht="18" hidden="1" customHeight="1" spans="1:4">
      <c r="A290" s="267">
        <v>8042</v>
      </c>
      <c r="B290" s="269" t="s">
        <v>1673</v>
      </c>
      <c r="C290" s="225" t="s">
        <v>1630</v>
      </c>
      <c r="D290" s="230">
        <v>17282.2706359526</v>
      </c>
    </row>
    <row r="291" s="262" customFormat="1" ht="18" hidden="1" customHeight="1" spans="1:4">
      <c r="A291" s="267">
        <v>8043</v>
      </c>
      <c r="B291" s="269" t="s">
        <v>1674</v>
      </c>
      <c r="C291" s="225" t="s">
        <v>1630</v>
      </c>
      <c r="D291" s="230">
        <v>22896.1637377599</v>
      </c>
    </row>
    <row r="292" s="262" customFormat="1" ht="27" customHeight="1" spans="1:4">
      <c r="A292" s="267">
        <v>8051</v>
      </c>
      <c r="B292" s="269" t="s">
        <v>1675</v>
      </c>
      <c r="C292" s="225" t="s">
        <v>1630</v>
      </c>
      <c r="D292" s="230">
        <v>2297.88996742732</v>
      </c>
    </row>
    <row r="293" s="262" customFormat="1" ht="18" hidden="1" customHeight="1" spans="1:4">
      <c r="A293" s="267">
        <v>8045</v>
      </c>
      <c r="B293" s="269" t="s">
        <v>1676</v>
      </c>
      <c r="C293" s="225" t="s">
        <v>1630</v>
      </c>
      <c r="D293" s="230">
        <v>3777.1735310024</v>
      </c>
    </row>
    <row r="294" s="262" customFormat="1" ht="18" customHeight="1" spans="1:4">
      <c r="A294" s="267">
        <v>8046</v>
      </c>
      <c r="B294" s="269" t="s">
        <v>1677</v>
      </c>
      <c r="C294" s="225" t="s">
        <v>1630</v>
      </c>
      <c r="D294" s="230">
        <v>5982.64216448738</v>
      </c>
    </row>
    <row r="295" s="262" customFormat="1" ht="22" customHeight="1" spans="1:4">
      <c r="A295" s="267">
        <v>8047</v>
      </c>
      <c r="B295" s="269" t="s">
        <v>1678</v>
      </c>
      <c r="C295" s="225" t="s">
        <v>1630</v>
      </c>
      <c r="D295" s="230">
        <v>9599.6561407295</v>
      </c>
    </row>
    <row r="296" s="262" customFormat="1" ht="18" hidden="1" customHeight="1" spans="1:4">
      <c r="A296" s="267">
        <v>8048</v>
      </c>
      <c r="B296" s="269" t="s">
        <v>1679</v>
      </c>
      <c r="C296" s="225" t="s">
        <v>1630</v>
      </c>
      <c r="D296" s="230">
        <v>14060.5922303042</v>
      </c>
    </row>
    <row r="297" s="262" customFormat="1" ht="18" hidden="1" customHeight="1" spans="1:4">
      <c r="A297" s="267">
        <v>8049</v>
      </c>
      <c r="B297" s="269" t="s">
        <v>1680</v>
      </c>
      <c r="C297" s="225" t="s">
        <v>1630</v>
      </c>
      <c r="D297" s="230">
        <v>18455.8956698848</v>
      </c>
    </row>
    <row r="298" s="262" customFormat="1" ht="18" hidden="1" customHeight="1" spans="1:4">
      <c r="A298" s="267">
        <v>8050</v>
      </c>
      <c r="B298" s="269" t="s">
        <v>1681</v>
      </c>
      <c r="C298" s="225" t="s">
        <v>1630</v>
      </c>
      <c r="D298" s="230">
        <v>25704.9433349738</v>
      </c>
    </row>
    <row r="299" s="262" customFormat="1" ht="32.25" hidden="1" customHeight="1" spans="1:4">
      <c r="A299" s="267">
        <v>8051</v>
      </c>
      <c r="B299" s="269" t="s">
        <v>1682</v>
      </c>
      <c r="C299" s="225" t="s">
        <v>1630</v>
      </c>
      <c r="D299" s="230">
        <v>2297.88996742732</v>
      </c>
    </row>
    <row r="300" s="262" customFormat="1" ht="31.5" hidden="1" customHeight="1" spans="1:4">
      <c r="A300" s="267">
        <v>8052</v>
      </c>
      <c r="B300" s="269" t="s">
        <v>1683</v>
      </c>
      <c r="C300" s="225" t="s">
        <v>1630</v>
      </c>
      <c r="D300" s="230">
        <v>3141.06956531383</v>
      </c>
    </row>
    <row r="301" s="262" customFormat="1" ht="27" hidden="1" customHeight="1" spans="1:4">
      <c r="A301" s="267">
        <v>8053</v>
      </c>
      <c r="B301" s="269" t="s">
        <v>1684</v>
      </c>
      <c r="C301" s="225" t="s">
        <v>1630</v>
      </c>
      <c r="D301" s="230">
        <v>4873.79128796978</v>
      </c>
    </row>
    <row r="302" s="262" customFormat="1" ht="37" hidden="1" customHeight="1" spans="1:4">
      <c r="A302" s="267">
        <v>8054</v>
      </c>
      <c r="B302" s="269" t="s">
        <v>1685</v>
      </c>
      <c r="C302" s="225" t="s">
        <v>1630</v>
      </c>
      <c r="D302" s="230">
        <v>9568.56581690224</v>
      </c>
    </row>
    <row r="303" s="262" customFormat="1" ht="18" hidden="1" customHeight="1" spans="1:4">
      <c r="A303" s="267">
        <v>8055</v>
      </c>
      <c r="B303" s="269" t="s">
        <v>1686</v>
      </c>
      <c r="C303" s="225" t="s">
        <v>1630</v>
      </c>
      <c r="D303" s="230">
        <v>13931.2053864386</v>
      </c>
    </row>
    <row r="304" s="262" customFormat="1" ht="18" hidden="1" customHeight="1" spans="1:4">
      <c r="A304" s="267">
        <v>8056</v>
      </c>
      <c r="B304" s="269" t="s">
        <v>1687</v>
      </c>
      <c r="C304" s="225" t="s">
        <v>1630</v>
      </c>
      <c r="D304" s="230">
        <v>18274.268288606</v>
      </c>
    </row>
    <row r="305" s="262" customFormat="1" ht="18" hidden="1" customHeight="1" spans="1:4">
      <c r="A305" s="267">
        <v>8057</v>
      </c>
      <c r="B305" s="269" t="s">
        <v>1688</v>
      </c>
      <c r="C305" s="225" t="s">
        <v>1630</v>
      </c>
      <c r="D305" s="230">
        <v>25519.3688659688</v>
      </c>
    </row>
    <row r="306" s="262" customFormat="1" ht="18" hidden="1" customHeight="1" spans="1:4">
      <c r="A306" s="267">
        <v>8058</v>
      </c>
      <c r="B306" s="269" t="s">
        <v>1689</v>
      </c>
      <c r="C306" s="225" t="s">
        <v>1577</v>
      </c>
      <c r="D306" s="230">
        <v>41614.3644255984</v>
      </c>
    </row>
    <row r="307" s="262" customFormat="1" ht="18" hidden="1" customHeight="1" spans="1:4">
      <c r="A307" s="267">
        <v>8059</v>
      </c>
      <c r="B307" s="269" t="s">
        <v>1690</v>
      </c>
      <c r="C307" s="225" t="s">
        <v>1577</v>
      </c>
      <c r="D307" s="230">
        <v>52274.7723091399</v>
      </c>
    </row>
    <row r="308" s="262" customFormat="1" ht="18" hidden="1" customHeight="1" spans="1:4">
      <c r="A308" s="267">
        <v>8060</v>
      </c>
      <c r="B308" s="269" t="s">
        <v>1691</v>
      </c>
      <c r="C308" s="225" t="s">
        <v>1577</v>
      </c>
      <c r="D308" s="230">
        <v>70452.7353825442</v>
      </c>
    </row>
    <row r="309" s="262" customFormat="1" ht="18" hidden="1" customHeight="1" spans="1:4">
      <c r="A309" s="267">
        <v>8061</v>
      </c>
      <c r="B309" s="269" t="s">
        <v>1692</v>
      </c>
      <c r="C309" s="225" t="s">
        <v>1577</v>
      </c>
      <c r="D309" s="230">
        <v>106432.009074286</v>
      </c>
    </row>
    <row r="310" s="262" customFormat="1" ht="18" hidden="1" customHeight="1" spans="1:4">
      <c r="A310" s="267">
        <v>8062</v>
      </c>
      <c r="B310" s="269" t="s">
        <v>1693</v>
      </c>
      <c r="C310" s="225" t="s">
        <v>1577</v>
      </c>
      <c r="D310" s="230">
        <v>148952.420096006</v>
      </c>
    </row>
    <row r="311" s="262" customFormat="1" ht="18" hidden="1" customHeight="1" spans="1:4">
      <c r="A311" s="267">
        <v>8063</v>
      </c>
      <c r="B311" s="269" t="s">
        <v>1694</v>
      </c>
      <c r="C311" s="225" t="s">
        <v>1577</v>
      </c>
      <c r="D311" s="230">
        <v>203564.342597024</v>
      </c>
    </row>
    <row r="312" s="262" customFormat="1" ht="18" hidden="1" customHeight="1" spans="1:4">
      <c r="A312" s="267">
        <v>8064</v>
      </c>
      <c r="B312" s="269" t="s">
        <v>1695</v>
      </c>
      <c r="C312" s="225" t="s">
        <v>1577</v>
      </c>
      <c r="D312" s="230">
        <v>272598.443477879</v>
      </c>
    </row>
    <row r="313" s="262" customFormat="1" ht="18" hidden="1" customHeight="1" spans="1:4">
      <c r="A313" s="267">
        <v>8065</v>
      </c>
      <c r="B313" s="269" t="s">
        <v>1696</v>
      </c>
      <c r="C313" s="225" t="s">
        <v>1577</v>
      </c>
      <c r="D313" s="230">
        <v>338547.666678562</v>
      </c>
    </row>
    <row r="314" s="262" customFormat="1" ht="18" hidden="1" customHeight="1" spans="1:4">
      <c r="A314" s="267">
        <v>8066</v>
      </c>
      <c r="B314" s="269" t="s">
        <v>1697</v>
      </c>
      <c r="C314" s="225" t="s">
        <v>1577</v>
      </c>
      <c r="D314" s="230">
        <v>43034.7018883706</v>
      </c>
    </row>
    <row r="315" s="262" customFormat="1" ht="18" hidden="1" customHeight="1" spans="1:4">
      <c r="A315" s="267">
        <v>8067</v>
      </c>
      <c r="B315" s="269" t="s">
        <v>1698</v>
      </c>
      <c r="C315" s="225" t="s">
        <v>1577</v>
      </c>
      <c r="D315" s="230">
        <v>54097.7407431754</v>
      </c>
    </row>
    <row r="316" s="262" customFormat="1" ht="18" hidden="1" customHeight="1" spans="1:4">
      <c r="A316" s="267">
        <v>8068</v>
      </c>
      <c r="B316" s="269" t="s">
        <v>1699</v>
      </c>
      <c r="C316" s="225" t="s">
        <v>1577</v>
      </c>
      <c r="D316" s="230">
        <v>72551.0682787613</v>
      </c>
    </row>
    <row r="317" s="262" customFormat="1" ht="18" hidden="1" customHeight="1" spans="1:4">
      <c r="A317" s="267">
        <v>8069</v>
      </c>
      <c r="B317" s="269" t="s">
        <v>1700</v>
      </c>
      <c r="C317" s="225" t="s">
        <v>1577</v>
      </c>
      <c r="D317" s="230">
        <v>109034.839406491</v>
      </c>
    </row>
    <row r="318" s="262" customFormat="1" ht="18" hidden="1" customHeight="1" spans="1:4">
      <c r="A318" s="267">
        <v>8070</v>
      </c>
      <c r="B318" s="269" t="s">
        <v>1701</v>
      </c>
      <c r="C318" s="225" t="s">
        <v>1577</v>
      </c>
      <c r="D318" s="230">
        <v>154972.607624737</v>
      </c>
    </row>
    <row r="319" s="262" customFormat="1" ht="18" hidden="1" customHeight="1" spans="1:4">
      <c r="A319" s="267">
        <v>8071</v>
      </c>
      <c r="B319" s="269" t="s">
        <v>1702</v>
      </c>
      <c r="C319" s="225" t="s">
        <v>1577</v>
      </c>
      <c r="D319" s="230">
        <v>209479.686890643</v>
      </c>
    </row>
    <row r="320" s="262" customFormat="1" ht="18" hidden="1" customHeight="1" spans="1:4">
      <c r="A320" s="267">
        <v>8072</v>
      </c>
      <c r="B320" s="269" t="s">
        <v>1703</v>
      </c>
      <c r="C320" s="225" t="s">
        <v>1577</v>
      </c>
      <c r="D320" s="230">
        <v>276437.194375815</v>
      </c>
    </row>
    <row r="321" s="262" customFormat="1" ht="18" hidden="1" customHeight="1" spans="1:4">
      <c r="A321" s="267">
        <v>8073</v>
      </c>
      <c r="B321" s="269" t="s">
        <v>1704</v>
      </c>
      <c r="C321" s="225" t="s">
        <v>1577</v>
      </c>
      <c r="D321" s="230">
        <v>344093.089947239</v>
      </c>
    </row>
    <row r="322" s="262" customFormat="1" ht="18" hidden="1" customHeight="1" spans="1:4">
      <c r="A322" s="267">
        <v>8083</v>
      </c>
      <c r="B322" s="268" t="s">
        <v>1705</v>
      </c>
      <c r="C322" s="225" t="s">
        <v>580</v>
      </c>
      <c r="D322" s="230">
        <v>1995.12377761533</v>
      </c>
    </row>
    <row r="323" s="262" customFormat="1" ht="18" hidden="1" customHeight="1" spans="1:4">
      <c r="A323" s="267">
        <v>8084</v>
      </c>
      <c r="B323" s="268" t="s">
        <v>1706</v>
      </c>
      <c r="C323" s="225" t="s">
        <v>580</v>
      </c>
      <c r="D323" s="230">
        <v>3184.92714141112</v>
      </c>
    </row>
    <row r="324" s="262" customFormat="1" ht="18" hidden="1" customHeight="1" spans="1:4">
      <c r="A324" s="267">
        <v>8085</v>
      </c>
      <c r="B324" s="269" t="s">
        <v>1707</v>
      </c>
      <c r="C324" s="270" t="s">
        <v>552</v>
      </c>
      <c r="D324" s="230">
        <v>343.831064401669</v>
      </c>
    </row>
    <row r="325" s="262" customFormat="1" ht="18" hidden="1" customHeight="1" spans="1:4">
      <c r="A325" s="267">
        <v>8086</v>
      </c>
      <c r="B325" s="269" t="s">
        <v>1708</v>
      </c>
      <c r="C325" s="270" t="s">
        <v>552</v>
      </c>
      <c r="D325" s="230">
        <v>445.068829781916</v>
      </c>
    </row>
    <row r="326" s="262" customFormat="1" ht="18" hidden="1" customHeight="1" spans="1:4">
      <c r="A326" s="267">
        <v>8087</v>
      </c>
      <c r="B326" s="269" t="s">
        <v>1709</v>
      </c>
      <c r="C326" s="270" t="s">
        <v>552</v>
      </c>
      <c r="D326" s="230">
        <v>546.559785250223</v>
      </c>
    </row>
    <row r="327" s="262" customFormat="1" ht="18" hidden="1" customHeight="1" spans="1:4">
      <c r="A327" s="267">
        <v>8088</v>
      </c>
      <c r="B327" s="269" t="s">
        <v>1710</v>
      </c>
      <c r="C327" s="270" t="s">
        <v>552</v>
      </c>
      <c r="D327" s="230">
        <v>852.200200512547</v>
      </c>
    </row>
    <row r="328" s="262" customFormat="1" ht="18" hidden="1" customHeight="1" spans="1:4">
      <c r="A328" s="267">
        <v>8089</v>
      </c>
      <c r="B328" s="269" t="s">
        <v>1711</v>
      </c>
      <c r="C328" s="270" t="s">
        <v>552</v>
      </c>
      <c r="D328" s="230">
        <v>1146.00772119915</v>
      </c>
    </row>
    <row r="329" s="262" customFormat="1" ht="18" hidden="1" customHeight="1" spans="1:4">
      <c r="A329" s="267">
        <v>8090</v>
      </c>
      <c r="B329" s="269" t="s">
        <v>1712</v>
      </c>
      <c r="C329" s="270" t="s">
        <v>552</v>
      </c>
      <c r="D329" s="230">
        <v>1629.15414961867</v>
      </c>
    </row>
    <row r="330" s="262" customFormat="1" ht="18" hidden="1" customHeight="1" spans="1:4">
      <c r="A330" s="267">
        <v>8091</v>
      </c>
      <c r="B330" s="268" t="s">
        <v>1713</v>
      </c>
      <c r="C330" s="270" t="s">
        <v>329</v>
      </c>
      <c r="D330" s="230">
        <v>1428.06734755106</v>
      </c>
    </row>
    <row r="331" s="262" customFormat="1" ht="18" hidden="1" customHeight="1" spans="1:4">
      <c r="A331" s="267">
        <v>8092</v>
      </c>
      <c r="B331" s="268" t="s">
        <v>1714</v>
      </c>
      <c r="C331" s="270" t="s">
        <v>329</v>
      </c>
      <c r="D331" s="230">
        <v>2152.09992316226</v>
      </c>
    </row>
    <row r="332" s="262" customFormat="1" ht="18" hidden="1" customHeight="1" spans="1:4">
      <c r="A332" s="267">
        <v>8093</v>
      </c>
      <c r="B332" s="268" t="s">
        <v>1715</v>
      </c>
      <c r="C332" s="270" t="s">
        <v>329</v>
      </c>
      <c r="D332" s="230">
        <v>4162.97407676781</v>
      </c>
    </row>
    <row r="333" s="262" customFormat="1" ht="18" hidden="1" customHeight="1" spans="1:4">
      <c r="A333" s="267">
        <v>8094</v>
      </c>
      <c r="B333" s="268" t="s">
        <v>1716</v>
      </c>
      <c r="C333" s="270" t="s">
        <v>329</v>
      </c>
      <c r="D333" s="230">
        <v>5210.2649862253</v>
      </c>
    </row>
    <row r="334" s="262" customFormat="1" ht="18" hidden="1" customHeight="1" spans="1:4">
      <c r="A334" s="267">
        <v>8095</v>
      </c>
      <c r="B334" s="268" t="s">
        <v>1717</v>
      </c>
      <c r="C334" s="270" t="s">
        <v>329</v>
      </c>
      <c r="D334" s="230">
        <v>6264.88111306082</v>
      </c>
    </row>
    <row r="335" s="262" customFormat="1" ht="18" hidden="1" customHeight="1" spans="1:4">
      <c r="A335" s="267">
        <v>8096</v>
      </c>
      <c r="B335" s="268" t="s">
        <v>1718</v>
      </c>
      <c r="C335" s="270" t="s">
        <v>329</v>
      </c>
      <c r="D335" s="230">
        <v>7690.79451471093</v>
      </c>
    </row>
    <row r="336" s="262" customFormat="1" ht="18" customHeight="1" spans="1:4">
      <c r="A336" s="267">
        <v>8097</v>
      </c>
      <c r="B336" s="268" t="s">
        <v>1719</v>
      </c>
      <c r="C336" s="225" t="s">
        <v>580</v>
      </c>
      <c r="D336" s="230">
        <v>12649.5264868435</v>
      </c>
    </row>
    <row r="337" s="262" customFormat="1" ht="18" customHeight="1" spans="1:4">
      <c r="A337" s="267">
        <v>8098</v>
      </c>
      <c r="B337" s="268" t="s">
        <v>1720</v>
      </c>
      <c r="C337" s="225" t="s">
        <v>580</v>
      </c>
      <c r="D337" s="230">
        <v>13920.3345273155</v>
      </c>
    </row>
    <row r="338" s="262" customFormat="1" ht="18" customHeight="1" spans="1:4">
      <c r="A338" s="267">
        <v>8099</v>
      </c>
      <c r="B338" s="268" t="s">
        <v>1721</v>
      </c>
      <c r="C338" s="225" t="s">
        <v>580</v>
      </c>
      <c r="D338" s="230">
        <v>10865.8035676355</v>
      </c>
    </row>
    <row r="339" s="262" customFormat="1" ht="18" customHeight="1" spans="1:4">
      <c r="A339" s="267">
        <v>8100</v>
      </c>
      <c r="B339" s="268" t="s">
        <v>1722</v>
      </c>
      <c r="C339" s="225" t="s">
        <v>580</v>
      </c>
      <c r="D339" s="230">
        <v>10315.5272613974</v>
      </c>
    </row>
    <row r="340" s="262" customFormat="1" ht="18" customHeight="1" spans="1:4">
      <c r="A340" s="267">
        <v>8101</v>
      </c>
      <c r="B340" s="268" t="s">
        <v>1723</v>
      </c>
      <c r="C340" s="225" t="s">
        <v>580</v>
      </c>
      <c r="D340" s="230">
        <v>11535.3857309737</v>
      </c>
    </row>
    <row r="341" s="262" customFormat="1" ht="18" customHeight="1" spans="1:4">
      <c r="A341" s="267">
        <v>8102</v>
      </c>
      <c r="B341" s="268" t="s">
        <v>1724</v>
      </c>
      <c r="C341" s="225" t="s">
        <v>580</v>
      </c>
      <c r="D341" s="230">
        <v>10921.6224725502</v>
      </c>
    </row>
    <row r="342" s="262" customFormat="1" ht="18" customHeight="1" spans="1:4">
      <c r="A342" s="267">
        <v>8103</v>
      </c>
      <c r="B342" s="274" t="s">
        <v>1725</v>
      </c>
      <c r="C342" s="267" t="s">
        <v>580</v>
      </c>
      <c r="D342" s="275">
        <v>10702.792576668</v>
      </c>
    </row>
    <row r="343" s="262" customFormat="1" ht="18" customHeight="1" spans="1:4">
      <c r="A343" s="267">
        <v>8104</v>
      </c>
      <c r="B343" s="274" t="s">
        <v>1726</v>
      </c>
      <c r="C343" s="267" t="s">
        <v>580</v>
      </c>
      <c r="D343" s="275">
        <v>11090.6282802271</v>
      </c>
    </row>
    <row r="344" s="262" customFormat="1" ht="18" hidden="1" customHeight="1" spans="1:4">
      <c r="A344" s="267">
        <v>8109</v>
      </c>
      <c r="B344" s="274" t="s">
        <v>1727</v>
      </c>
      <c r="C344" s="267" t="s">
        <v>1728</v>
      </c>
      <c r="D344" s="275">
        <v>57.4433130580461</v>
      </c>
    </row>
    <row r="345" s="261" customFormat="1" ht="18" hidden="1" customHeight="1" spans="1:4">
      <c r="A345" s="267">
        <v>9025</v>
      </c>
      <c r="B345" s="274" t="s">
        <v>1729</v>
      </c>
      <c r="C345" s="267" t="s">
        <v>1577</v>
      </c>
      <c r="D345" s="275">
        <v>1931.66037186546</v>
      </c>
    </row>
    <row r="346" s="261" customFormat="1" ht="16.5" hidden="1" customHeight="1" spans="1:255">
      <c r="A346" s="267">
        <v>9026</v>
      </c>
      <c r="B346" s="274" t="s">
        <v>1730</v>
      </c>
      <c r="C346" s="267" t="s">
        <v>1440</v>
      </c>
      <c r="D346" s="275">
        <v>1307.60895496678</v>
      </c>
      <c r="E346" s="262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  <c r="P346" s="262"/>
      <c r="Q346" s="262"/>
      <c r="R346" s="262"/>
      <c r="S346" s="262"/>
      <c r="T346" s="262"/>
      <c r="U346" s="262"/>
      <c r="V346" s="262"/>
      <c r="W346" s="262"/>
      <c r="X346" s="262"/>
      <c r="Y346" s="262"/>
      <c r="Z346" s="262"/>
      <c r="AA346" s="262"/>
      <c r="AB346" s="262"/>
      <c r="AC346" s="262"/>
      <c r="AD346" s="262"/>
      <c r="AE346" s="262"/>
      <c r="AF346" s="262"/>
      <c r="AG346" s="262"/>
      <c r="AH346" s="262"/>
      <c r="AI346" s="262"/>
      <c r="AJ346" s="262"/>
      <c r="AK346" s="262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62"/>
      <c r="BH346" s="262"/>
      <c r="BI346" s="262"/>
      <c r="BJ346" s="262"/>
      <c r="BK346" s="262"/>
      <c r="BL346" s="262"/>
      <c r="BM346" s="262"/>
      <c r="BN346" s="262"/>
      <c r="BO346" s="262"/>
      <c r="BP346" s="262"/>
      <c r="BQ346" s="262"/>
      <c r="BR346" s="262"/>
      <c r="BS346" s="262"/>
      <c r="BT346" s="262"/>
      <c r="BU346" s="262"/>
      <c r="BV346" s="262"/>
      <c r="BW346" s="262"/>
      <c r="BX346" s="262"/>
      <c r="BY346" s="262"/>
      <c r="BZ346" s="262"/>
      <c r="CA346" s="262"/>
      <c r="CB346" s="262"/>
      <c r="CC346" s="262"/>
      <c r="CD346" s="262"/>
      <c r="CE346" s="262"/>
      <c r="CF346" s="262"/>
      <c r="CG346" s="262"/>
      <c r="CH346" s="262"/>
      <c r="CI346" s="262"/>
      <c r="CJ346" s="262"/>
      <c r="CK346" s="262"/>
      <c r="CL346" s="262"/>
      <c r="CM346" s="262"/>
      <c r="CN346" s="262"/>
      <c r="CO346" s="262"/>
      <c r="CP346" s="262"/>
      <c r="CQ346" s="262"/>
      <c r="CR346" s="262"/>
      <c r="CS346" s="262"/>
      <c r="CT346" s="262"/>
      <c r="CU346" s="262"/>
      <c r="CV346" s="262"/>
      <c r="CW346" s="262"/>
      <c r="CX346" s="262"/>
      <c r="CY346" s="262"/>
      <c r="CZ346" s="262"/>
      <c r="DA346" s="262"/>
      <c r="DB346" s="262"/>
      <c r="DC346" s="262"/>
      <c r="DD346" s="262"/>
      <c r="DE346" s="262"/>
      <c r="DF346" s="262"/>
      <c r="DG346" s="262"/>
      <c r="DH346" s="262"/>
      <c r="DI346" s="262"/>
      <c r="DJ346" s="262"/>
      <c r="DK346" s="262"/>
      <c r="DL346" s="262"/>
      <c r="DM346" s="262"/>
      <c r="DN346" s="262"/>
      <c r="DO346" s="262"/>
      <c r="DP346" s="262"/>
      <c r="DQ346" s="262"/>
      <c r="DR346" s="262"/>
      <c r="DS346" s="262"/>
      <c r="DT346" s="262"/>
      <c r="DU346" s="262"/>
      <c r="DV346" s="262"/>
      <c r="DW346" s="262"/>
      <c r="DX346" s="262"/>
      <c r="DY346" s="262"/>
      <c r="DZ346" s="262"/>
      <c r="EA346" s="262"/>
      <c r="EB346" s="262"/>
      <c r="EC346" s="262"/>
      <c r="ED346" s="262"/>
      <c r="EE346" s="262"/>
      <c r="EF346" s="262"/>
      <c r="EG346" s="262"/>
      <c r="EH346" s="262"/>
      <c r="EI346" s="262"/>
      <c r="EJ346" s="262"/>
      <c r="EK346" s="262"/>
      <c r="EL346" s="262"/>
      <c r="EM346" s="262"/>
      <c r="EN346" s="262"/>
      <c r="EO346" s="262"/>
      <c r="EP346" s="262"/>
      <c r="EQ346" s="262"/>
      <c r="ER346" s="262"/>
      <c r="ES346" s="262"/>
      <c r="ET346" s="262"/>
      <c r="EU346" s="262"/>
      <c r="EV346" s="262"/>
      <c r="EW346" s="262"/>
      <c r="EX346" s="262"/>
      <c r="EY346" s="262"/>
      <c r="EZ346" s="262"/>
      <c r="FA346" s="262"/>
      <c r="FB346" s="262"/>
      <c r="FC346" s="262"/>
      <c r="FD346" s="262"/>
      <c r="FE346" s="262"/>
      <c r="FF346" s="262"/>
      <c r="FG346" s="262"/>
      <c r="FH346" s="262"/>
      <c r="FI346" s="262"/>
      <c r="FJ346" s="262"/>
      <c r="FK346" s="262"/>
      <c r="FL346" s="262"/>
      <c r="FM346" s="262"/>
      <c r="FN346" s="262"/>
      <c r="FO346" s="262"/>
      <c r="FP346" s="262"/>
      <c r="FQ346" s="262"/>
      <c r="FR346" s="262"/>
      <c r="FS346" s="262"/>
      <c r="FT346" s="262"/>
      <c r="FU346" s="262"/>
      <c r="FV346" s="262"/>
      <c r="FW346" s="262"/>
      <c r="FX346" s="262"/>
      <c r="FY346" s="262"/>
      <c r="FZ346" s="262"/>
      <c r="GA346" s="262"/>
      <c r="GB346" s="262"/>
      <c r="GC346" s="262"/>
      <c r="GD346" s="262"/>
      <c r="GE346" s="262"/>
      <c r="GF346" s="262"/>
      <c r="GG346" s="262"/>
      <c r="GH346" s="262"/>
      <c r="GI346" s="262"/>
      <c r="GJ346" s="262"/>
      <c r="GK346" s="262"/>
      <c r="GL346" s="262"/>
      <c r="GM346" s="262"/>
      <c r="GN346" s="262"/>
      <c r="GO346" s="262"/>
      <c r="GP346" s="262"/>
      <c r="GQ346" s="262"/>
      <c r="GR346" s="262"/>
      <c r="GS346" s="262"/>
      <c r="GT346" s="262"/>
      <c r="GU346" s="262"/>
      <c r="GV346" s="262"/>
      <c r="GW346" s="262"/>
      <c r="GX346" s="262"/>
      <c r="GY346" s="262"/>
      <c r="GZ346" s="262"/>
      <c r="HA346" s="262"/>
      <c r="HB346" s="262"/>
      <c r="HC346" s="262"/>
      <c r="HD346" s="262"/>
      <c r="HE346" s="262"/>
      <c r="HF346" s="262"/>
      <c r="HG346" s="262"/>
      <c r="HH346" s="262"/>
      <c r="HI346" s="262"/>
      <c r="HJ346" s="262"/>
      <c r="HK346" s="262"/>
      <c r="HL346" s="262"/>
      <c r="HM346" s="262"/>
      <c r="HN346" s="262"/>
      <c r="HO346" s="262"/>
      <c r="HP346" s="262"/>
      <c r="HQ346" s="262"/>
      <c r="HR346" s="262"/>
      <c r="HS346" s="262"/>
      <c r="HT346" s="262"/>
      <c r="HU346" s="262"/>
      <c r="HV346" s="262"/>
      <c r="HW346" s="262"/>
      <c r="HX346" s="262"/>
      <c r="HY346" s="262"/>
      <c r="HZ346" s="262"/>
      <c r="IA346" s="262"/>
      <c r="IB346" s="262"/>
      <c r="IC346" s="262"/>
      <c r="ID346" s="262"/>
      <c r="IE346" s="262"/>
      <c r="IF346" s="262"/>
      <c r="IG346" s="262"/>
      <c r="IH346" s="262"/>
      <c r="II346" s="262"/>
      <c r="IJ346" s="262"/>
      <c r="IK346" s="262"/>
      <c r="IL346" s="262"/>
      <c r="IM346" s="262"/>
      <c r="IN346" s="262"/>
      <c r="IO346" s="262"/>
      <c r="IP346" s="262"/>
      <c r="IQ346" s="262"/>
      <c r="IR346" s="262"/>
      <c r="IS346" s="262"/>
      <c r="IT346" s="262"/>
      <c r="IU346" s="262"/>
    </row>
    <row r="347" s="261" customFormat="1" ht="18" hidden="1" customHeight="1" spans="1:255">
      <c r="A347" s="266" t="s">
        <v>1731</v>
      </c>
      <c r="B347" s="266"/>
      <c r="C347" s="271"/>
      <c r="D347" s="272"/>
      <c r="E347" s="262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  <c r="P347" s="262"/>
      <c r="Q347" s="262"/>
      <c r="R347" s="262"/>
      <c r="S347" s="262"/>
      <c r="T347" s="262"/>
      <c r="U347" s="262"/>
      <c r="V347" s="262"/>
      <c r="W347" s="262"/>
      <c r="X347" s="262"/>
      <c r="Y347" s="262"/>
      <c r="Z347" s="262"/>
      <c r="AA347" s="262"/>
      <c r="AB347" s="262"/>
      <c r="AC347" s="262"/>
      <c r="AD347" s="262"/>
      <c r="AE347" s="262"/>
      <c r="AF347" s="262"/>
      <c r="AG347" s="262"/>
      <c r="AH347" s="262"/>
      <c r="AI347" s="262"/>
      <c r="AJ347" s="262"/>
      <c r="AK347" s="262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62"/>
      <c r="BH347" s="262"/>
      <c r="BI347" s="262"/>
      <c r="BJ347" s="262"/>
      <c r="BK347" s="262"/>
      <c r="BL347" s="262"/>
      <c r="BM347" s="262"/>
      <c r="BN347" s="262"/>
      <c r="BO347" s="262"/>
      <c r="BP347" s="262"/>
      <c r="BQ347" s="262"/>
      <c r="BR347" s="262"/>
      <c r="BS347" s="262"/>
      <c r="BT347" s="262"/>
      <c r="BU347" s="262"/>
      <c r="BV347" s="262"/>
      <c r="BW347" s="262"/>
      <c r="BX347" s="262"/>
      <c r="BY347" s="262"/>
      <c r="BZ347" s="262"/>
      <c r="CA347" s="262"/>
      <c r="CB347" s="262"/>
      <c r="CC347" s="262"/>
      <c r="CD347" s="262"/>
      <c r="CE347" s="262"/>
      <c r="CF347" s="262"/>
      <c r="CG347" s="262"/>
      <c r="CH347" s="262"/>
      <c r="CI347" s="262"/>
      <c r="CJ347" s="262"/>
      <c r="CK347" s="262"/>
      <c r="CL347" s="262"/>
      <c r="CM347" s="262"/>
      <c r="CN347" s="262"/>
      <c r="CO347" s="262"/>
      <c r="CP347" s="262"/>
      <c r="CQ347" s="262"/>
      <c r="CR347" s="262"/>
      <c r="CS347" s="262"/>
      <c r="CT347" s="262"/>
      <c r="CU347" s="262"/>
      <c r="CV347" s="262"/>
      <c r="CW347" s="262"/>
      <c r="CX347" s="262"/>
      <c r="CY347" s="262"/>
      <c r="CZ347" s="262"/>
      <c r="DA347" s="262"/>
      <c r="DB347" s="262"/>
      <c r="DC347" s="262"/>
      <c r="DD347" s="262"/>
      <c r="DE347" s="262"/>
      <c r="DF347" s="262"/>
      <c r="DG347" s="262"/>
      <c r="DH347" s="262"/>
      <c r="DI347" s="262"/>
      <c r="DJ347" s="262"/>
      <c r="DK347" s="262"/>
      <c r="DL347" s="262"/>
      <c r="DM347" s="262"/>
      <c r="DN347" s="262"/>
      <c r="DO347" s="262"/>
      <c r="DP347" s="262"/>
      <c r="DQ347" s="262"/>
      <c r="DR347" s="262"/>
      <c r="DS347" s="262"/>
      <c r="DT347" s="262"/>
      <c r="DU347" s="262"/>
      <c r="DV347" s="262"/>
      <c r="DW347" s="262"/>
      <c r="DX347" s="262"/>
      <c r="DY347" s="262"/>
      <c r="DZ347" s="262"/>
      <c r="EA347" s="262"/>
      <c r="EB347" s="262"/>
      <c r="EC347" s="262"/>
      <c r="ED347" s="262"/>
      <c r="EE347" s="262"/>
      <c r="EF347" s="262"/>
      <c r="EG347" s="262"/>
      <c r="EH347" s="262"/>
      <c r="EI347" s="262"/>
      <c r="EJ347" s="262"/>
      <c r="EK347" s="262"/>
      <c r="EL347" s="262"/>
      <c r="EM347" s="262"/>
      <c r="EN347" s="262"/>
      <c r="EO347" s="262"/>
      <c r="EP347" s="262"/>
      <c r="EQ347" s="262"/>
      <c r="ER347" s="262"/>
      <c r="ES347" s="262"/>
      <c r="ET347" s="262"/>
      <c r="EU347" s="262"/>
      <c r="EV347" s="262"/>
      <c r="EW347" s="262"/>
      <c r="EX347" s="262"/>
      <c r="EY347" s="262"/>
      <c r="EZ347" s="262"/>
      <c r="FA347" s="262"/>
      <c r="FB347" s="262"/>
      <c r="FC347" s="262"/>
      <c r="FD347" s="262"/>
      <c r="FE347" s="262"/>
      <c r="FF347" s="262"/>
      <c r="FG347" s="262"/>
      <c r="FH347" s="262"/>
      <c r="FI347" s="262"/>
      <c r="FJ347" s="262"/>
      <c r="FK347" s="262"/>
      <c r="FL347" s="262"/>
      <c r="FM347" s="262"/>
      <c r="FN347" s="262"/>
      <c r="FO347" s="262"/>
      <c r="FP347" s="262"/>
      <c r="FQ347" s="262"/>
      <c r="FR347" s="262"/>
      <c r="FS347" s="262"/>
      <c r="FT347" s="262"/>
      <c r="FU347" s="262"/>
      <c r="FV347" s="262"/>
      <c r="FW347" s="262"/>
      <c r="FX347" s="262"/>
      <c r="FY347" s="262"/>
      <c r="FZ347" s="262"/>
      <c r="GA347" s="262"/>
      <c r="GB347" s="262"/>
      <c r="GC347" s="262"/>
      <c r="GD347" s="262"/>
      <c r="GE347" s="262"/>
      <c r="GF347" s="262"/>
      <c r="GG347" s="262"/>
      <c r="GH347" s="262"/>
      <c r="GI347" s="262"/>
      <c r="GJ347" s="262"/>
      <c r="GK347" s="262"/>
      <c r="GL347" s="262"/>
      <c r="GM347" s="262"/>
      <c r="GN347" s="262"/>
      <c r="GO347" s="262"/>
      <c r="GP347" s="262"/>
      <c r="GQ347" s="262"/>
      <c r="GR347" s="262"/>
      <c r="GS347" s="262"/>
      <c r="GT347" s="262"/>
      <c r="GU347" s="262"/>
      <c r="GV347" s="262"/>
      <c r="GW347" s="262"/>
      <c r="GX347" s="262"/>
      <c r="GY347" s="262"/>
      <c r="GZ347" s="262"/>
      <c r="HA347" s="262"/>
      <c r="HB347" s="262"/>
      <c r="HC347" s="262"/>
      <c r="HD347" s="262"/>
      <c r="HE347" s="262"/>
      <c r="HF347" s="262"/>
      <c r="HG347" s="262"/>
      <c r="HH347" s="262"/>
      <c r="HI347" s="262"/>
      <c r="HJ347" s="262"/>
      <c r="HK347" s="262"/>
      <c r="HL347" s="262"/>
      <c r="HM347" s="262"/>
      <c r="HN347" s="262"/>
      <c r="HO347" s="262"/>
      <c r="HP347" s="262"/>
      <c r="HQ347" s="262"/>
      <c r="HR347" s="262"/>
      <c r="HS347" s="262"/>
      <c r="HT347" s="262"/>
      <c r="HU347" s="262"/>
      <c r="HV347" s="262"/>
      <c r="HW347" s="262"/>
      <c r="HX347" s="262"/>
      <c r="HY347" s="262"/>
      <c r="HZ347" s="262"/>
      <c r="IA347" s="262"/>
      <c r="IB347" s="262"/>
      <c r="IC347" s="262"/>
      <c r="ID347" s="262"/>
      <c r="IE347" s="262"/>
      <c r="IF347" s="262"/>
      <c r="IG347" s="262"/>
      <c r="IH347" s="262"/>
      <c r="II347" s="262"/>
      <c r="IJ347" s="262"/>
      <c r="IK347" s="262"/>
      <c r="IL347" s="262"/>
      <c r="IM347" s="262"/>
      <c r="IN347" s="262"/>
      <c r="IO347" s="262"/>
      <c r="IP347" s="262"/>
      <c r="IQ347" s="262"/>
      <c r="IR347" s="262"/>
      <c r="IS347" s="262"/>
      <c r="IT347" s="262"/>
      <c r="IU347" s="262"/>
    </row>
    <row r="348" s="261" customFormat="1" ht="18" hidden="1" customHeight="1" spans="1:255">
      <c r="A348" s="267">
        <v>9001</v>
      </c>
      <c r="B348" s="268" t="s">
        <v>1732</v>
      </c>
      <c r="C348" s="225" t="s">
        <v>1380</v>
      </c>
      <c r="D348" s="230">
        <v>56789.8187741536</v>
      </c>
      <c r="E348" s="262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  <c r="P348" s="262"/>
      <c r="Q348" s="262"/>
      <c r="R348" s="262"/>
      <c r="S348" s="262"/>
      <c r="T348" s="262"/>
      <c r="U348" s="262"/>
      <c r="V348" s="262"/>
      <c r="W348" s="262"/>
      <c r="X348" s="262"/>
      <c r="Y348" s="262"/>
      <c r="Z348" s="262"/>
      <c r="AA348" s="262"/>
      <c r="AB348" s="262"/>
      <c r="AC348" s="262"/>
      <c r="AD348" s="262"/>
      <c r="AE348" s="262"/>
      <c r="AF348" s="262"/>
      <c r="AG348" s="262"/>
      <c r="AH348" s="262"/>
      <c r="AI348" s="262"/>
      <c r="AJ348" s="262"/>
      <c r="AK348" s="262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62"/>
      <c r="BH348" s="262"/>
      <c r="BI348" s="262"/>
      <c r="BJ348" s="262"/>
      <c r="BK348" s="262"/>
      <c r="BL348" s="262"/>
      <c r="BM348" s="262"/>
      <c r="BN348" s="262"/>
      <c r="BO348" s="262"/>
      <c r="BP348" s="262"/>
      <c r="BQ348" s="262"/>
      <c r="BR348" s="262"/>
      <c r="BS348" s="262"/>
      <c r="BT348" s="262"/>
      <c r="BU348" s="262"/>
      <c r="BV348" s="262"/>
      <c r="BW348" s="262"/>
      <c r="BX348" s="262"/>
      <c r="BY348" s="262"/>
      <c r="BZ348" s="262"/>
      <c r="CA348" s="262"/>
      <c r="CB348" s="262"/>
      <c r="CC348" s="262"/>
      <c r="CD348" s="262"/>
      <c r="CE348" s="262"/>
      <c r="CF348" s="262"/>
      <c r="CG348" s="262"/>
      <c r="CH348" s="262"/>
      <c r="CI348" s="262"/>
      <c r="CJ348" s="262"/>
      <c r="CK348" s="262"/>
      <c r="CL348" s="262"/>
      <c r="CM348" s="262"/>
      <c r="CN348" s="262"/>
      <c r="CO348" s="262"/>
      <c r="CP348" s="262"/>
      <c r="CQ348" s="262"/>
      <c r="CR348" s="262"/>
      <c r="CS348" s="262"/>
      <c r="CT348" s="262"/>
      <c r="CU348" s="262"/>
      <c r="CV348" s="262"/>
      <c r="CW348" s="262"/>
      <c r="CX348" s="262"/>
      <c r="CY348" s="262"/>
      <c r="CZ348" s="262"/>
      <c r="DA348" s="262"/>
      <c r="DB348" s="262"/>
      <c r="DC348" s="262"/>
      <c r="DD348" s="262"/>
      <c r="DE348" s="262"/>
      <c r="DF348" s="262"/>
      <c r="DG348" s="262"/>
      <c r="DH348" s="262"/>
      <c r="DI348" s="262"/>
      <c r="DJ348" s="262"/>
      <c r="DK348" s="262"/>
      <c r="DL348" s="262"/>
      <c r="DM348" s="262"/>
      <c r="DN348" s="262"/>
      <c r="DO348" s="262"/>
      <c r="DP348" s="262"/>
      <c r="DQ348" s="262"/>
      <c r="DR348" s="262"/>
      <c r="DS348" s="262"/>
      <c r="DT348" s="262"/>
      <c r="DU348" s="262"/>
      <c r="DV348" s="262"/>
      <c r="DW348" s="262"/>
      <c r="DX348" s="262"/>
      <c r="DY348" s="262"/>
      <c r="DZ348" s="262"/>
      <c r="EA348" s="262"/>
      <c r="EB348" s="262"/>
      <c r="EC348" s="262"/>
      <c r="ED348" s="262"/>
      <c r="EE348" s="262"/>
      <c r="EF348" s="262"/>
      <c r="EG348" s="262"/>
      <c r="EH348" s="262"/>
      <c r="EI348" s="262"/>
      <c r="EJ348" s="262"/>
      <c r="EK348" s="262"/>
      <c r="EL348" s="262"/>
      <c r="EM348" s="262"/>
      <c r="EN348" s="262"/>
      <c r="EO348" s="262"/>
      <c r="EP348" s="262"/>
      <c r="EQ348" s="262"/>
      <c r="ER348" s="262"/>
      <c r="ES348" s="262"/>
      <c r="ET348" s="262"/>
      <c r="EU348" s="262"/>
      <c r="EV348" s="262"/>
      <c r="EW348" s="262"/>
      <c r="EX348" s="262"/>
      <c r="EY348" s="262"/>
      <c r="EZ348" s="262"/>
      <c r="FA348" s="262"/>
      <c r="FB348" s="262"/>
      <c r="FC348" s="262"/>
      <c r="FD348" s="262"/>
      <c r="FE348" s="262"/>
      <c r="FF348" s="262"/>
      <c r="FG348" s="262"/>
      <c r="FH348" s="262"/>
      <c r="FI348" s="262"/>
      <c r="FJ348" s="262"/>
      <c r="FK348" s="262"/>
      <c r="FL348" s="262"/>
      <c r="FM348" s="262"/>
      <c r="FN348" s="262"/>
      <c r="FO348" s="262"/>
      <c r="FP348" s="262"/>
      <c r="FQ348" s="262"/>
      <c r="FR348" s="262"/>
      <c r="FS348" s="262"/>
      <c r="FT348" s="262"/>
      <c r="FU348" s="262"/>
      <c r="FV348" s="262"/>
      <c r="FW348" s="262"/>
      <c r="FX348" s="262"/>
      <c r="FY348" s="262"/>
      <c r="FZ348" s="262"/>
      <c r="GA348" s="262"/>
      <c r="GB348" s="262"/>
      <c r="GC348" s="262"/>
      <c r="GD348" s="262"/>
      <c r="GE348" s="262"/>
      <c r="GF348" s="262"/>
      <c r="GG348" s="262"/>
      <c r="GH348" s="262"/>
      <c r="GI348" s="262"/>
      <c r="GJ348" s="262"/>
      <c r="GK348" s="262"/>
      <c r="GL348" s="262"/>
      <c r="GM348" s="262"/>
      <c r="GN348" s="262"/>
      <c r="GO348" s="262"/>
      <c r="GP348" s="262"/>
      <c r="GQ348" s="262"/>
      <c r="GR348" s="262"/>
      <c r="GS348" s="262"/>
      <c r="GT348" s="262"/>
      <c r="GU348" s="262"/>
      <c r="GV348" s="262"/>
      <c r="GW348" s="262"/>
      <c r="GX348" s="262"/>
      <c r="GY348" s="262"/>
      <c r="GZ348" s="262"/>
      <c r="HA348" s="262"/>
      <c r="HB348" s="262"/>
      <c r="HC348" s="262"/>
      <c r="HD348" s="262"/>
      <c r="HE348" s="262"/>
      <c r="HF348" s="262"/>
      <c r="HG348" s="262"/>
      <c r="HH348" s="262"/>
      <c r="HI348" s="262"/>
      <c r="HJ348" s="262"/>
      <c r="HK348" s="262"/>
      <c r="HL348" s="262"/>
      <c r="HM348" s="262"/>
      <c r="HN348" s="262"/>
      <c r="HO348" s="262"/>
      <c r="HP348" s="262"/>
      <c r="HQ348" s="262"/>
      <c r="HR348" s="262"/>
      <c r="HS348" s="262"/>
      <c r="HT348" s="262"/>
      <c r="HU348" s="262"/>
      <c r="HV348" s="262"/>
      <c r="HW348" s="262"/>
      <c r="HX348" s="262"/>
      <c r="HY348" s="262"/>
      <c r="HZ348" s="262"/>
      <c r="IA348" s="262"/>
      <c r="IB348" s="262"/>
      <c r="IC348" s="262"/>
      <c r="ID348" s="262"/>
      <c r="IE348" s="262"/>
      <c r="IF348" s="262"/>
      <c r="IG348" s="262"/>
      <c r="IH348" s="262"/>
      <c r="II348" s="262"/>
      <c r="IJ348" s="262"/>
      <c r="IK348" s="262"/>
      <c r="IL348" s="262"/>
      <c r="IM348" s="262"/>
      <c r="IN348" s="262"/>
      <c r="IO348" s="262"/>
      <c r="IP348" s="262"/>
      <c r="IQ348" s="262"/>
      <c r="IR348" s="262"/>
      <c r="IS348" s="262"/>
      <c r="IT348" s="262"/>
      <c r="IU348" s="262"/>
    </row>
    <row r="349" s="261" customFormat="1" ht="18" hidden="1" customHeight="1" spans="1:255">
      <c r="A349" s="267">
        <v>9002</v>
      </c>
      <c r="B349" s="268" t="s">
        <v>1733</v>
      </c>
      <c r="C349" s="225" t="s">
        <v>1380</v>
      </c>
      <c r="D349" s="230">
        <v>2276.98554972178</v>
      </c>
      <c r="E349" s="262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  <c r="P349" s="262"/>
      <c r="Q349" s="262"/>
      <c r="R349" s="262"/>
      <c r="S349" s="262"/>
      <c r="T349" s="262"/>
      <c r="U349" s="262"/>
      <c r="V349" s="262"/>
      <c r="W349" s="262"/>
      <c r="X349" s="262"/>
      <c r="Y349" s="262"/>
      <c r="Z349" s="262"/>
      <c r="AA349" s="262"/>
      <c r="AB349" s="262"/>
      <c r="AC349" s="262"/>
      <c r="AD349" s="262"/>
      <c r="AE349" s="262"/>
      <c r="AF349" s="262"/>
      <c r="AG349" s="262"/>
      <c r="AH349" s="262"/>
      <c r="AI349" s="262"/>
      <c r="AJ349" s="262"/>
      <c r="AK349" s="262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62"/>
      <c r="BH349" s="262"/>
      <c r="BI349" s="262"/>
      <c r="BJ349" s="262"/>
      <c r="BK349" s="262"/>
      <c r="BL349" s="262"/>
      <c r="BM349" s="262"/>
      <c r="BN349" s="262"/>
      <c r="BO349" s="262"/>
      <c r="BP349" s="262"/>
      <c r="BQ349" s="262"/>
      <c r="BR349" s="262"/>
      <c r="BS349" s="262"/>
      <c r="BT349" s="262"/>
      <c r="BU349" s="262"/>
      <c r="BV349" s="262"/>
      <c r="BW349" s="262"/>
      <c r="BX349" s="262"/>
      <c r="BY349" s="262"/>
      <c r="BZ349" s="262"/>
      <c r="CA349" s="262"/>
      <c r="CB349" s="262"/>
      <c r="CC349" s="262"/>
      <c r="CD349" s="262"/>
      <c r="CE349" s="262"/>
      <c r="CF349" s="262"/>
      <c r="CG349" s="262"/>
      <c r="CH349" s="262"/>
      <c r="CI349" s="262"/>
      <c r="CJ349" s="262"/>
      <c r="CK349" s="262"/>
      <c r="CL349" s="262"/>
      <c r="CM349" s="262"/>
      <c r="CN349" s="262"/>
      <c r="CO349" s="262"/>
      <c r="CP349" s="262"/>
      <c r="CQ349" s="262"/>
      <c r="CR349" s="262"/>
      <c r="CS349" s="262"/>
      <c r="CT349" s="262"/>
      <c r="CU349" s="262"/>
      <c r="CV349" s="262"/>
      <c r="CW349" s="262"/>
      <c r="CX349" s="262"/>
      <c r="CY349" s="262"/>
      <c r="CZ349" s="262"/>
      <c r="DA349" s="262"/>
      <c r="DB349" s="262"/>
      <c r="DC349" s="262"/>
      <c r="DD349" s="262"/>
      <c r="DE349" s="262"/>
      <c r="DF349" s="262"/>
      <c r="DG349" s="262"/>
      <c r="DH349" s="262"/>
      <c r="DI349" s="262"/>
      <c r="DJ349" s="262"/>
      <c r="DK349" s="262"/>
      <c r="DL349" s="262"/>
      <c r="DM349" s="262"/>
      <c r="DN349" s="262"/>
      <c r="DO349" s="262"/>
      <c r="DP349" s="262"/>
      <c r="DQ349" s="262"/>
      <c r="DR349" s="262"/>
      <c r="DS349" s="262"/>
      <c r="DT349" s="262"/>
      <c r="DU349" s="262"/>
      <c r="DV349" s="262"/>
      <c r="DW349" s="262"/>
      <c r="DX349" s="262"/>
      <c r="DY349" s="262"/>
      <c r="DZ349" s="262"/>
      <c r="EA349" s="262"/>
      <c r="EB349" s="262"/>
      <c r="EC349" s="262"/>
      <c r="ED349" s="262"/>
      <c r="EE349" s="262"/>
      <c r="EF349" s="262"/>
      <c r="EG349" s="262"/>
      <c r="EH349" s="262"/>
      <c r="EI349" s="262"/>
      <c r="EJ349" s="262"/>
      <c r="EK349" s="262"/>
      <c r="EL349" s="262"/>
      <c r="EM349" s="262"/>
      <c r="EN349" s="262"/>
      <c r="EO349" s="262"/>
      <c r="EP349" s="262"/>
      <c r="EQ349" s="262"/>
      <c r="ER349" s="262"/>
      <c r="ES349" s="262"/>
      <c r="ET349" s="262"/>
      <c r="EU349" s="262"/>
      <c r="EV349" s="262"/>
      <c r="EW349" s="262"/>
      <c r="EX349" s="262"/>
      <c r="EY349" s="262"/>
      <c r="EZ349" s="262"/>
      <c r="FA349" s="262"/>
      <c r="FB349" s="262"/>
      <c r="FC349" s="262"/>
      <c r="FD349" s="262"/>
      <c r="FE349" s="262"/>
      <c r="FF349" s="262"/>
      <c r="FG349" s="262"/>
      <c r="FH349" s="262"/>
      <c r="FI349" s="262"/>
      <c r="FJ349" s="262"/>
      <c r="FK349" s="262"/>
      <c r="FL349" s="262"/>
      <c r="FM349" s="262"/>
      <c r="FN349" s="262"/>
      <c r="FO349" s="262"/>
      <c r="FP349" s="262"/>
      <c r="FQ349" s="262"/>
      <c r="FR349" s="262"/>
      <c r="FS349" s="262"/>
      <c r="FT349" s="262"/>
      <c r="FU349" s="262"/>
      <c r="FV349" s="262"/>
      <c r="FW349" s="262"/>
      <c r="FX349" s="262"/>
      <c r="FY349" s="262"/>
      <c r="FZ349" s="262"/>
      <c r="GA349" s="262"/>
      <c r="GB349" s="262"/>
      <c r="GC349" s="262"/>
      <c r="GD349" s="262"/>
      <c r="GE349" s="262"/>
      <c r="GF349" s="262"/>
      <c r="GG349" s="262"/>
      <c r="GH349" s="262"/>
      <c r="GI349" s="262"/>
      <c r="GJ349" s="262"/>
      <c r="GK349" s="262"/>
      <c r="GL349" s="262"/>
      <c r="GM349" s="262"/>
      <c r="GN349" s="262"/>
      <c r="GO349" s="262"/>
      <c r="GP349" s="262"/>
      <c r="GQ349" s="262"/>
      <c r="GR349" s="262"/>
      <c r="GS349" s="262"/>
      <c r="GT349" s="262"/>
      <c r="GU349" s="262"/>
      <c r="GV349" s="262"/>
      <c r="GW349" s="262"/>
      <c r="GX349" s="262"/>
      <c r="GY349" s="262"/>
      <c r="GZ349" s="262"/>
      <c r="HA349" s="262"/>
      <c r="HB349" s="262"/>
      <c r="HC349" s="262"/>
      <c r="HD349" s="262"/>
      <c r="HE349" s="262"/>
      <c r="HF349" s="262"/>
      <c r="HG349" s="262"/>
      <c r="HH349" s="262"/>
      <c r="HI349" s="262"/>
      <c r="HJ349" s="262"/>
      <c r="HK349" s="262"/>
      <c r="HL349" s="262"/>
      <c r="HM349" s="262"/>
      <c r="HN349" s="262"/>
      <c r="HO349" s="262"/>
      <c r="HP349" s="262"/>
      <c r="HQ349" s="262"/>
      <c r="HR349" s="262"/>
      <c r="HS349" s="262"/>
      <c r="HT349" s="262"/>
      <c r="HU349" s="262"/>
      <c r="HV349" s="262"/>
      <c r="HW349" s="262"/>
      <c r="HX349" s="262"/>
      <c r="HY349" s="262"/>
      <c r="HZ349" s="262"/>
      <c r="IA349" s="262"/>
      <c r="IB349" s="262"/>
      <c r="IC349" s="262"/>
      <c r="ID349" s="262"/>
      <c r="IE349" s="262"/>
      <c r="IF349" s="262"/>
      <c r="IG349" s="262"/>
      <c r="IH349" s="262"/>
      <c r="II349" s="262"/>
      <c r="IJ349" s="262"/>
      <c r="IK349" s="262"/>
      <c r="IL349" s="262"/>
      <c r="IM349" s="262"/>
      <c r="IN349" s="262"/>
      <c r="IO349" s="262"/>
      <c r="IP349" s="262"/>
      <c r="IQ349" s="262"/>
      <c r="IR349" s="262"/>
      <c r="IS349" s="262"/>
      <c r="IT349" s="262"/>
      <c r="IU349" s="262"/>
    </row>
    <row r="350" s="261" customFormat="1" ht="18" hidden="1" customHeight="1" spans="1:255">
      <c r="A350" s="267">
        <v>9003</v>
      </c>
      <c r="B350" s="268" t="s">
        <v>1734</v>
      </c>
      <c r="C350" s="225" t="s">
        <v>1380</v>
      </c>
      <c r="D350" s="230">
        <v>2326.14435999383</v>
      </c>
      <c r="E350" s="262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  <c r="P350" s="262"/>
      <c r="Q350" s="262"/>
      <c r="R350" s="262"/>
      <c r="S350" s="262"/>
      <c r="T350" s="262"/>
      <c r="U350" s="262"/>
      <c r="V350" s="262"/>
      <c r="W350" s="262"/>
      <c r="X350" s="262"/>
      <c r="Y350" s="262"/>
      <c r="Z350" s="262"/>
      <c r="AA350" s="262"/>
      <c r="AB350" s="262"/>
      <c r="AC350" s="262"/>
      <c r="AD350" s="262"/>
      <c r="AE350" s="262"/>
      <c r="AF350" s="262"/>
      <c r="AG350" s="262"/>
      <c r="AH350" s="262"/>
      <c r="AI350" s="262"/>
      <c r="AJ350" s="262"/>
      <c r="AK350" s="262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62"/>
      <c r="BH350" s="262"/>
      <c r="BI350" s="262"/>
      <c r="BJ350" s="262"/>
      <c r="BK350" s="262"/>
      <c r="BL350" s="262"/>
      <c r="BM350" s="262"/>
      <c r="BN350" s="262"/>
      <c r="BO350" s="262"/>
      <c r="BP350" s="262"/>
      <c r="BQ350" s="262"/>
      <c r="BR350" s="262"/>
      <c r="BS350" s="262"/>
      <c r="BT350" s="262"/>
      <c r="BU350" s="262"/>
      <c r="BV350" s="262"/>
      <c r="BW350" s="262"/>
      <c r="BX350" s="262"/>
      <c r="BY350" s="262"/>
      <c r="BZ350" s="262"/>
      <c r="CA350" s="262"/>
      <c r="CB350" s="262"/>
      <c r="CC350" s="262"/>
      <c r="CD350" s="262"/>
      <c r="CE350" s="262"/>
      <c r="CF350" s="262"/>
      <c r="CG350" s="262"/>
      <c r="CH350" s="262"/>
      <c r="CI350" s="262"/>
      <c r="CJ350" s="262"/>
      <c r="CK350" s="262"/>
      <c r="CL350" s="262"/>
      <c r="CM350" s="262"/>
      <c r="CN350" s="262"/>
      <c r="CO350" s="262"/>
      <c r="CP350" s="262"/>
      <c r="CQ350" s="262"/>
      <c r="CR350" s="262"/>
      <c r="CS350" s="262"/>
      <c r="CT350" s="262"/>
      <c r="CU350" s="262"/>
      <c r="CV350" s="262"/>
      <c r="CW350" s="262"/>
      <c r="CX350" s="262"/>
      <c r="CY350" s="262"/>
      <c r="CZ350" s="262"/>
      <c r="DA350" s="262"/>
      <c r="DB350" s="262"/>
      <c r="DC350" s="262"/>
      <c r="DD350" s="262"/>
      <c r="DE350" s="262"/>
      <c r="DF350" s="262"/>
      <c r="DG350" s="262"/>
      <c r="DH350" s="262"/>
      <c r="DI350" s="262"/>
      <c r="DJ350" s="262"/>
      <c r="DK350" s="262"/>
      <c r="DL350" s="262"/>
      <c r="DM350" s="262"/>
      <c r="DN350" s="262"/>
      <c r="DO350" s="262"/>
      <c r="DP350" s="262"/>
      <c r="DQ350" s="262"/>
      <c r="DR350" s="262"/>
      <c r="DS350" s="262"/>
      <c r="DT350" s="262"/>
      <c r="DU350" s="262"/>
      <c r="DV350" s="262"/>
      <c r="DW350" s="262"/>
      <c r="DX350" s="262"/>
      <c r="DY350" s="262"/>
      <c r="DZ350" s="262"/>
      <c r="EA350" s="262"/>
      <c r="EB350" s="262"/>
      <c r="EC350" s="262"/>
      <c r="ED350" s="262"/>
      <c r="EE350" s="262"/>
      <c r="EF350" s="262"/>
      <c r="EG350" s="262"/>
      <c r="EH350" s="262"/>
      <c r="EI350" s="262"/>
      <c r="EJ350" s="262"/>
      <c r="EK350" s="262"/>
      <c r="EL350" s="262"/>
      <c r="EM350" s="262"/>
      <c r="EN350" s="262"/>
      <c r="EO350" s="262"/>
      <c r="EP350" s="262"/>
      <c r="EQ350" s="262"/>
      <c r="ER350" s="262"/>
      <c r="ES350" s="262"/>
      <c r="ET350" s="262"/>
      <c r="EU350" s="262"/>
      <c r="EV350" s="262"/>
      <c r="EW350" s="262"/>
      <c r="EX350" s="262"/>
      <c r="EY350" s="262"/>
      <c r="EZ350" s="262"/>
      <c r="FA350" s="262"/>
      <c r="FB350" s="262"/>
      <c r="FC350" s="262"/>
      <c r="FD350" s="262"/>
      <c r="FE350" s="262"/>
      <c r="FF350" s="262"/>
      <c r="FG350" s="262"/>
      <c r="FH350" s="262"/>
      <c r="FI350" s="262"/>
      <c r="FJ350" s="262"/>
      <c r="FK350" s="262"/>
      <c r="FL350" s="262"/>
      <c r="FM350" s="262"/>
      <c r="FN350" s="262"/>
      <c r="FO350" s="262"/>
      <c r="FP350" s="262"/>
      <c r="FQ350" s="262"/>
      <c r="FR350" s="262"/>
      <c r="FS350" s="262"/>
      <c r="FT350" s="262"/>
      <c r="FU350" s="262"/>
      <c r="FV350" s="262"/>
      <c r="FW350" s="262"/>
      <c r="FX350" s="262"/>
      <c r="FY350" s="262"/>
      <c r="FZ350" s="262"/>
      <c r="GA350" s="262"/>
      <c r="GB350" s="262"/>
      <c r="GC350" s="262"/>
      <c r="GD350" s="262"/>
      <c r="GE350" s="262"/>
      <c r="GF350" s="262"/>
      <c r="GG350" s="262"/>
      <c r="GH350" s="262"/>
      <c r="GI350" s="262"/>
      <c r="GJ350" s="262"/>
      <c r="GK350" s="262"/>
      <c r="GL350" s="262"/>
      <c r="GM350" s="262"/>
      <c r="GN350" s="262"/>
      <c r="GO350" s="262"/>
      <c r="GP350" s="262"/>
      <c r="GQ350" s="262"/>
      <c r="GR350" s="262"/>
      <c r="GS350" s="262"/>
      <c r="GT350" s="262"/>
      <c r="GU350" s="262"/>
      <c r="GV350" s="262"/>
      <c r="GW350" s="262"/>
      <c r="GX350" s="262"/>
      <c r="GY350" s="262"/>
      <c r="GZ350" s="262"/>
      <c r="HA350" s="262"/>
      <c r="HB350" s="262"/>
      <c r="HC350" s="262"/>
      <c r="HD350" s="262"/>
      <c r="HE350" s="262"/>
      <c r="HF350" s="262"/>
      <c r="HG350" s="262"/>
      <c r="HH350" s="262"/>
      <c r="HI350" s="262"/>
      <c r="HJ350" s="262"/>
      <c r="HK350" s="262"/>
      <c r="HL350" s="262"/>
      <c r="HM350" s="262"/>
      <c r="HN350" s="262"/>
      <c r="HO350" s="262"/>
      <c r="HP350" s="262"/>
      <c r="HQ350" s="262"/>
      <c r="HR350" s="262"/>
      <c r="HS350" s="262"/>
      <c r="HT350" s="262"/>
      <c r="HU350" s="262"/>
      <c r="HV350" s="262"/>
      <c r="HW350" s="262"/>
      <c r="HX350" s="262"/>
      <c r="HY350" s="262"/>
      <c r="HZ350" s="262"/>
      <c r="IA350" s="262"/>
      <c r="IB350" s="262"/>
      <c r="IC350" s="262"/>
      <c r="ID350" s="262"/>
      <c r="IE350" s="262"/>
      <c r="IF350" s="262"/>
      <c r="IG350" s="262"/>
      <c r="IH350" s="262"/>
      <c r="II350" s="262"/>
      <c r="IJ350" s="262"/>
      <c r="IK350" s="262"/>
      <c r="IL350" s="262"/>
      <c r="IM350" s="262"/>
      <c r="IN350" s="262"/>
      <c r="IO350" s="262"/>
      <c r="IP350" s="262"/>
      <c r="IQ350" s="262"/>
      <c r="IR350" s="262"/>
      <c r="IS350" s="262"/>
      <c r="IT350" s="262"/>
      <c r="IU350" s="262"/>
    </row>
    <row r="351" s="261" customFormat="1" ht="18" hidden="1" customHeight="1" spans="1:255">
      <c r="A351" s="267">
        <v>9004</v>
      </c>
      <c r="B351" s="268" t="s">
        <v>1735</v>
      </c>
      <c r="C351" s="225" t="s">
        <v>1380</v>
      </c>
      <c r="D351" s="230">
        <v>2424.136425503</v>
      </c>
      <c r="E351" s="262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  <c r="P351" s="262"/>
      <c r="Q351" s="262"/>
      <c r="R351" s="262"/>
      <c r="S351" s="262"/>
      <c r="T351" s="262"/>
      <c r="U351" s="262"/>
      <c r="V351" s="262"/>
      <c r="W351" s="262"/>
      <c r="X351" s="262"/>
      <c r="Y351" s="262"/>
      <c r="Z351" s="262"/>
      <c r="AA351" s="262"/>
      <c r="AB351" s="262"/>
      <c r="AC351" s="262"/>
      <c r="AD351" s="262"/>
      <c r="AE351" s="262"/>
      <c r="AF351" s="262"/>
      <c r="AG351" s="262"/>
      <c r="AH351" s="262"/>
      <c r="AI351" s="262"/>
      <c r="AJ351" s="262"/>
      <c r="AK351" s="262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62"/>
      <c r="BH351" s="262"/>
      <c r="BI351" s="262"/>
      <c r="BJ351" s="262"/>
      <c r="BK351" s="262"/>
      <c r="BL351" s="262"/>
      <c r="BM351" s="262"/>
      <c r="BN351" s="262"/>
      <c r="BO351" s="262"/>
      <c r="BP351" s="262"/>
      <c r="BQ351" s="262"/>
      <c r="BR351" s="262"/>
      <c r="BS351" s="262"/>
      <c r="BT351" s="262"/>
      <c r="BU351" s="262"/>
      <c r="BV351" s="262"/>
      <c r="BW351" s="262"/>
      <c r="BX351" s="262"/>
      <c r="BY351" s="262"/>
      <c r="BZ351" s="262"/>
      <c r="CA351" s="262"/>
      <c r="CB351" s="262"/>
      <c r="CC351" s="262"/>
      <c r="CD351" s="262"/>
      <c r="CE351" s="262"/>
      <c r="CF351" s="262"/>
      <c r="CG351" s="262"/>
      <c r="CH351" s="262"/>
      <c r="CI351" s="262"/>
      <c r="CJ351" s="262"/>
      <c r="CK351" s="262"/>
      <c r="CL351" s="262"/>
      <c r="CM351" s="262"/>
      <c r="CN351" s="262"/>
      <c r="CO351" s="262"/>
      <c r="CP351" s="262"/>
      <c r="CQ351" s="262"/>
      <c r="CR351" s="262"/>
      <c r="CS351" s="262"/>
      <c r="CT351" s="262"/>
      <c r="CU351" s="262"/>
      <c r="CV351" s="262"/>
      <c r="CW351" s="262"/>
      <c r="CX351" s="262"/>
      <c r="CY351" s="262"/>
      <c r="CZ351" s="262"/>
      <c r="DA351" s="262"/>
      <c r="DB351" s="262"/>
      <c r="DC351" s="262"/>
      <c r="DD351" s="262"/>
      <c r="DE351" s="262"/>
      <c r="DF351" s="262"/>
      <c r="DG351" s="262"/>
      <c r="DH351" s="262"/>
      <c r="DI351" s="262"/>
      <c r="DJ351" s="262"/>
      <c r="DK351" s="262"/>
      <c r="DL351" s="262"/>
      <c r="DM351" s="262"/>
      <c r="DN351" s="262"/>
      <c r="DO351" s="262"/>
      <c r="DP351" s="262"/>
      <c r="DQ351" s="262"/>
      <c r="DR351" s="262"/>
      <c r="DS351" s="262"/>
      <c r="DT351" s="262"/>
      <c r="DU351" s="262"/>
      <c r="DV351" s="262"/>
      <c r="DW351" s="262"/>
      <c r="DX351" s="262"/>
      <c r="DY351" s="262"/>
      <c r="DZ351" s="262"/>
      <c r="EA351" s="262"/>
      <c r="EB351" s="262"/>
      <c r="EC351" s="262"/>
      <c r="ED351" s="262"/>
      <c r="EE351" s="262"/>
      <c r="EF351" s="262"/>
      <c r="EG351" s="262"/>
      <c r="EH351" s="262"/>
      <c r="EI351" s="262"/>
      <c r="EJ351" s="262"/>
      <c r="EK351" s="262"/>
      <c r="EL351" s="262"/>
      <c r="EM351" s="262"/>
      <c r="EN351" s="262"/>
      <c r="EO351" s="262"/>
      <c r="EP351" s="262"/>
      <c r="EQ351" s="262"/>
      <c r="ER351" s="262"/>
      <c r="ES351" s="262"/>
      <c r="ET351" s="262"/>
      <c r="EU351" s="262"/>
      <c r="EV351" s="262"/>
      <c r="EW351" s="262"/>
      <c r="EX351" s="262"/>
      <c r="EY351" s="262"/>
      <c r="EZ351" s="262"/>
      <c r="FA351" s="262"/>
      <c r="FB351" s="262"/>
      <c r="FC351" s="262"/>
      <c r="FD351" s="262"/>
      <c r="FE351" s="262"/>
      <c r="FF351" s="262"/>
      <c r="FG351" s="262"/>
      <c r="FH351" s="262"/>
      <c r="FI351" s="262"/>
      <c r="FJ351" s="262"/>
      <c r="FK351" s="262"/>
      <c r="FL351" s="262"/>
      <c r="FM351" s="262"/>
      <c r="FN351" s="262"/>
      <c r="FO351" s="262"/>
      <c r="FP351" s="262"/>
      <c r="FQ351" s="262"/>
      <c r="FR351" s="262"/>
      <c r="FS351" s="262"/>
      <c r="FT351" s="262"/>
      <c r="FU351" s="262"/>
      <c r="FV351" s="262"/>
      <c r="FW351" s="262"/>
      <c r="FX351" s="262"/>
      <c r="FY351" s="262"/>
      <c r="FZ351" s="262"/>
      <c r="GA351" s="262"/>
      <c r="GB351" s="262"/>
      <c r="GC351" s="262"/>
      <c r="GD351" s="262"/>
      <c r="GE351" s="262"/>
      <c r="GF351" s="262"/>
      <c r="GG351" s="262"/>
      <c r="GH351" s="262"/>
      <c r="GI351" s="262"/>
      <c r="GJ351" s="262"/>
      <c r="GK351" s="262"/>
      <c r="GL351" s="262"/>
      <c r="GM351" s="262"/>
      <c r="GN351" s="262"/>
      <c r="GO351" s="262"/>
      <c r="GP351" s="262"/>
      <c r="GQ351" s="262"/>
      <c r="GR351" s="262"/>
      <c r="GS351" s="262"/>
      <c r="GT351" s="262"/>
      <c r="GU351" s="262"/>
      <c r="GV351" s="262"/>
      <c r="GW351" s="262"/>
      <c r="GX351" s="262"/>
      <c r="GY351" s="262"/>
      <c r="GZ351" s="262"/>
      <c r="HA351" s="262"/>
      <c r="HB351" s="262"/>
      <c r="HC351" s="262"/>
      <c r="HD351" s="262"/>
      <c r="HE351" s="262"/>
      <c r="HF351" s="262"/>
      <c r="HG351" s="262"/>
      <c r="HH351" s="262"/>
      <c r="HI351" s="262"/>
      <c r="HJ351" s="262"/>
      <c r="HK351" s="262"/>
      <c r="HL351" s="262"/>
      <c r="HM351" s="262"/>
      <c r="HN351" s="262"/>
      <c r="HO351" s="262"/>
      <c r="HP351" s="262"/>
      <c r="HQ351" s="262"/>
      <c r="HR351" s="262"/>
      <c r="HS351" s="262"/>
      <c r="HT351" s="262"/>
      <c r="HU351" s="262"/>
      <c r="HV351" s="262"/>
      <c r="HW351" s="262"/>
      <c r="HX351" s="262"/>
      <c r="HY351" s="262"/>
      <c r="HZ351" s="262"/>
      <c r="IA351" s="262"/>
      <c r="IB351" s="262"/>
      <c r="IC351" s="262"/>
      <c r="ID351" s="262"/>
      <c r="IE351" s="262"/>
      <c r="IF351" s="262"/>
      <c r="IG351" s="262"/>
      <c r="IH351" s="262"/>
      <c r="II351" s="262"/>
      <c r="IJ351" s="262"/>
      <c r="IK351" s="262"/>
      <c r="IL351" s="262"/>
      <c r="IM351" s="262"/>
      <c r="IN351" s="262"/>
      <c r="IO351" s="262"/>
      <c r="IP351" s="262"/>
      <c r="IQ351" s="262"/>
      <c r="IR351" s="262"/>
      <c r="IS351" s="262"/>
      <c r="IT351" s="262"/>
      <c r="IU351" s="262"/>
    </row>
    <row r="352" s="261" customFormat="1" ht="18" hidden="1" customHeight="1" spans="1:255">
      <c r="A352" s="267">
        <v>9005</v>
      </c>
      <c r="B352" s="268" t="s">
        <v>1736</v>
      </c>
      <c r="C352" s="225" t="s">
        <v>1380</v>
      </c>
      <c r="D352" s="230">
        <v>2515.61739031389</v>
      </c>
      <c r="E352" s="262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  <c r="P352" s="262"/>
      <c r="Q352" s="262"/>
      <c r="R352" s="262"/>
      <c r="S352" s="262"/>
      <c r="T352" s="262"/>
      <c r="U352" s="262"/>
      <c r="V352" s="262"/>
      <c r="W352" s="262"/>
      <c r="X352" s="262"/>
      <c r="Y352" s="262"/>
      <c r="Z352" s="262"/>
      <c r="AA352" s="262"/>
      <c r="AB352" s="262"/>
      <c r="AC352" s="262"/>
      <c r="AD352" s="262"/>
      <c r="AE352" s="262"/>
      <c r="AF352" s="262"/>
      <c r="AG352" s="262"/>
      <c r="AH352" s="262"/>
      <c r="AI352" s="262"/>
      <c r="AJ352" s="262"/>
      <c r="AK352" s="262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62"/>
      <c r="BH352" s="262"/>
      <c r="BI352" s="262"/>
      <c r="BJ352" s="262"/>
      <c r="BK352" s="262"/>
      <c r="BL352" s="262"/>
      <c r="BM352" s="262"/>
      <c r="BN352" s="262"/>
      <c r="BO352" s="262"/>
      <c r="BP352" s="262"/>
      <c r="BQ352" s="262"/>
      <c r="BR352" s="262"/>
      <c r="BS352" s="262"/>
      <c r="BT352" s="262"/>
      <c r="BU352" s="262"/>
      <c r="BV352" s="262"/>
      <c r="BW352" s="262"/>
      <c r="BX352" s="262"/>
      <c r="BY352" s="262"/>
      <c r="BZ352" s="262"/>
      <c r="CA352" s="262"/>
      <c r="CB352" s="262"/>
      <c r="CC352" s="262"/>
      <c r="CD352" s="262"/>
      <c r="CE352" s="262"/>
      <c r="CF352" s="262"/>
      <c r="CG352" s="262"/>
      <c r="CH352" s="262"/>
      <c r="CI352" s="262"/>
      <c r="CJ352" s="262"/>
      <c r="CK352" s="262"/>
      <c r="CL352" s="262"/>
      <c r="CM352" s="262"/>
      <c r="CN352" s="262"/>
      <c r="CO352" s="262"/>
      <c r="CP352" s="262"/>
      <c r="CQ352" s="262"/>
      <c r="CR352" s="262"/>
      <c r="CS352" s="262"/>
      <c r="CT352" s="262"/>
      <c r="CU352" s="262"/>
      <c r="CV352" s="262"/>
      <c r="CW352" s="262"/>
      <c r="CX352" s="262"/>
      <c r="CY352" s="262"/>
      <c r="CZ352" s="262"/>
      <c r="DA352" s="262"/>
      <c r="DB352" s="262"/>
      <c r="DC352" s="262"/>
      <c r="DD352" s="262"/>
      <c r="DE352" s="262"/>
      <c r="DF352" s="262"/>
      <c r="DG352" s="262"/>
      <c r="DH352" s="262"/>
      <c r="DI352" s="262"/>
      <c r="DJ352" s="262"/>
      <c r="DK352" s="262"/>
      <c r="DL352" s="262"/>
      <c r="DM352" s="262"/>
      <c r="DN352" s="262"/>
      <c r="DO352" s="262"/>
      <c r="DP352" s="262"/>
      <c r="DQ352" s="262"/>
      <c r="DR352" s="262"/>
      <c r="DS352" s="262"/>
      <c r="DT352" s="262"/>
      <c r="DU352" s="262"/>
      <c r="DV352" s="262"/>
      <c r="DW352" s="262"/>
      <c r="DX352" s="262"/>
      <c r="DY352" s="262"/>
      <c r="DZ352" s="262"/>
      <c r="EA352" s="262"/>
      <c r="EB352" s="262"/>
      <c r="EC352" s="262"/>
      <c r="ED352" s="262"/>
      <c r="EE352" s="262"/>
      <c r="EF352" s="262"/>
      <c r="EG352" s="262"/>
      <c r="EH352" s="262"/>
      <c r="EI352" s="262"/>
      <c r="EJ352" s="262"/>
      <c r="EK352" s="262"/>
      <c r="EL352" s="262"/>
      <c r="EM352" s="262"/>
      <c r="EN352" s="262"/>
      <c r="EO352" s="262"/>
      <c r="EP352" s="262"/>
      <c r="EQ352" s="262"/>
      <c r="ER352" s="262"/>
      <c r="ES352" s="262"/>
      <c r="ET352" s="262"/>
      <c r="EU352" s="262"/>
      <c r="EV352" s="262"/>
      <c r="EW352" s="262"/>
      <c r="EX352" s="262"/>
      <c r="EY352" s="262"/>
      <c r="EZ352" s="262"/>
      <c r="FA352" s="262"/>
      <c r="FB352" s="262"/>
      <c r="FC352" s="262"/>
      <c r="FD352" s="262"/>
      <c r="FE352" s="262"/>
      <c r="FF352" s="262"/>
      <c r="FG352" s="262"/>
      <c r="FH352" s="262"/>
      <c r="FI352" s="262"/>
      <c r="FJ352" s="262"/>
      <c r="FK352" s="262"/>
      <c r="FL352" s="262"/>
      <c r="FM352" s="262"/>
      <c r="FN352" s="262"/>
      <c r="FO352" s="262"/>
      <c r="FP352" s="262"/>
      <c r="FQ352" s="262"/>
      <c r="FR352" s="262"/>
      <c r="FS352" s="262"/>
      <c r="FT352" s="262"/>
      <c r="FU352" s="262"/>
      <c r="FV352" s="262"/>
      <c r="FW352" s="262"/>
      <c r="FX352" s="262"/>
      <c r="FY352" s="262"/>
      <c r="FZ352" s="262"/>
      <c r="GA352" s="262"/>
      <c r="GB352" s="262"/>
      <c r="GC352" s="262"/>
      <c r="GD352" s="262"/>
      <c r="GE352" s="262"/>
      <c r="GF352" s="262"/>
      <c r="GG352" s="262"/>
      <c r="GH352" s="262"/>
      <c r="GI352" s="262"/>
      <c r="GJ352" s="262"/>
      <c r="GK352" s="262"/>
      <c r="GL352" s="262"/>
      <c r="GM352" s="262"/>
      <c r="GN352" s="262"/>
      <c r="GO352" s="262"/>
      <c r="GP352" s="262"/>
      <c r="GQ352" s="262"/>
      <c r="GR352" s="262"/>
      <c r="GS352" s="262"/>
      <c r="GT352" s="262"/>
      <c r="GU352" s="262"/>
      <c r="GV352" s="262"/>
      <c r="GW352" s="262"/>
      <c r="GX352" s="262"/>
      <c r="GY352" s="262"/>
      <c r="GZ352" s="262"/>
      <c r="HA352" s="262"/>
      <c r="HB352" s="262"/>
      <c r="HC352" s="262"/>
      <c r="HD352" s="262"/>
      <c r="HE352" s="262"/>
      <c r="HF352" s="262"/>
      <c r="HG352" s="262"/>
      <c r="HH352" s="262"/>
      <c r="HI352" s="262"/>
      <c r="HJ352" s="262"/>
      <c r="HK352" s="262"/>
      <c r="HL352" s="262"/>
      <c r="HM352" s="262"/>
      <c r="HN352" s="262"/>
      <c r="HO352" s="262"/>
      <c r="HP352" s="262"/>
      <c r="HQ352" s="262"/>
      <c r="HR352" s="262"/>
      <c r="HS352" s="262"/>
      <c r="HT352" s="262"/>
      <c r="HU352" s="262"/>
      <c r="HV352" s="262"/>
      <c r="HW352" s="262"/>
      <c r="HX352" s="262"/>
      <c r="HY352" s="262"/>
      <c r="HZ352" s="262"/>
      <c r="IA352" s="262"/>
      <c r="IB352" s="262"/>
      <c r="IC352" s="262"/>
      <c r="ID352" s="262"/>
      <c r="IE352" s="262"/>
      <c r="IF352" s="262"/>
      <c r="IG352" s="262"/>
      <c r="IH352" s="262"/>
      <c r="II352" s="262"/>
      <c r="IJ352" s="262"/>
      <c r="IK352" s="262"/>
      <c r="IL352" s="262"/>
      <c r="IM352" s="262"/>
      <c r="IN352" s="262"/>
      <c r="IO352" s="262"/>
      <c r="IP352" s="262"/>
      <c r="IQ352" s="262"/>
      <c r="IR352" s="262"/>
      <c r="IS352" s="262"/>
      <c r="IT352" s="262"/>
      <c r="IU352" s="262"/>
    </row>
    <row r="353" s="261" customFormat="1" ht="18" hidden="1" customHeight="1" spans="1:255">
      <c r="A353" s="267">
        <v>9006</v>
      </c>
      <c r="B353" s="268" t="s">
        <v>1737</v>
      </c>
      <c r="C353" s="225" t="s">
        <v>1380</v>
      </c>
      <c r="D353" s="230">
        <v>2556.96287974799</v>
      </c>
      <c r="E353" s="262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  <c r="P353" s="262"/>
      <c r="Q353" s="262"/>
      <c r="R353" s="262"/>
      <c r="S353" s="262"/>
      <c r="T353" s="262"/>
      <c r="U353" s="262"/>
      <c r="V353" s="262"/>
      <c r="W353" s="262"/>
      <c r="X353" s="262"/>
      <c r="Y353" s="262"/>
      <c r="Z353" s="262"/>
      <c r="AA353" s="262"/>
      <c r="AB353" s="262"/>
      <c r="AC353" s="262"/>
      <c r="AD353" s="262"/>
      <c r="AE353" s="262"/>
      <c r="AF353" s="262"/>
      <c r="AG353" s="262"/>
      <c r="AH353" s="262"/>
      <c r="AI353" s="262"/>
      <c r="AJ353" s="262"/>
      <c r="AK353" s="262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62"/>
      <c r="BH353" s="262"/>
      <c r="BI353" s="262"/>
      <c r="BJ353" s="262"/>
      <c r="BK353" s="262"/>
      <c r="BL353" s="262"/>
      <c r="BM353" s="262"/>
      <c r="BN353" s="262"/>
      <c r="BO353" s="262"/>
      <c r="BP353" s="262"/>
      <c r="BQ353" s="262"/>
      <c r="BR353" s="262"/>
      <c r="BS353" s="262"/>
      <c r="BT353" s="262"/>
      <c r="BU353" s="262"/>
      <c r="BV353" s="262"/>
      <c r="BW353" s="262"/>
      <c r="BX353" s="262"/>
      <c r="BY353" s="262"/>
      <c r="BZ353" s="262"/>
      <c r="CA353" s="262"/>
      <c r="CB353" s="262"/>
      <c r="CC353" s="262"/>
      <c r="CD353" s="262"/>
      <c r="CE353" s="262"/>
      <c r="CF353" s="262"/>
      <c r="CG353" s="262"/>
      <c r="CH353" s="262"/>
      <c r="CI353" s="262"/>
      <c r="CJ353" s="262"/>
      <c r="CK353" s="262"/>
      <c r="CL353" s="262"/>
      <c r="CM353" s="262"/>
      <c r="CN353" s="262"/>
      <c r="CO353" s="262"/>
      <c r="CP353" s="262"/>
      <c r="CQ353" s="262"/>
      <c r="CR353" s="262"/>
      <c r="CS353" s="262"/>
      <c r="CT353" s="262"/>
      <c r="CU353" s="262"/>
      <c r="CV353" s="262"/>
      <c r="CW353" s="262"/>
      <c r="CX353" s="262"/>
      <c r="CY353" s="262"/>
      <c r="CZ353" s="262"/>
      <c r="DA353" s="262"/>
      <c r="DB353" s="262"/>
      <c r="DC353" s="262"/>
      <c r="DD353" s="262"/>
      <c r="DE353" s="262"/>
      <c r="DF353" s="262"/>
      <c r="DG353" s="262"/>
      <c r="DH353" s="262"/>
      <c r="DI353" s="262"/>
      <c r="DJ353" s="262"/>
      <c r="DK353" s="262"/>
      <c r="DL353" s="262"/>
      <c r="DM353" s="262"/>
      <c r="DN353" s="262"/>
      <c r="DO353" s="262"/>
      <c r="DP353" s="262"/>
      <c r="DQ353" s="262"/>
      <c r="DR353" s="262"/>
      <c r="DS353" s="262"/>
      <c r="DT353" s="262"/>
      <c r="DU353" s="262"/>
      <c r="DV353" s="262"/>
      <c r="DW353" s="262"/>
      <c r="DX353" s="262"/>
      <c r="DY353" s="262"/>
      <c r="DZ353" s="262"/>
      <c r="EA353" s="262"/>
      <c r="EB353" s="262"/>
      <c r="EC353" s="262"/>
      <c r="ED353" s="262"/>
      <c r="EE353" s="262"/>
      <c r="EF353" s="262"/>
      <c r="EG353" s="262"/>
      <c r="EH353" s="262"/>
      <c r="EI353" s="262"/>
      <c r="EJ353" s="262"/>
      <c r="EK353" s="262"/>
      <c r="EL353" s="262"/>
      <c r="EM353" s="262"/>
      <c r="EN353" s="262"/>
      <c r="EO353" s="262"/>
      <c r="EP353" s="262"/>
      <c r="EQ353" s="262"/>
      <c r="ER353" s="262"/>
      <c r="ES353" s="262"/>
      <c r="ET353" s="262"/>
      <c r="EU353" s="262"/>
      <c r="EV353" s="262"/>
      <c r="EW353" s="262"/>
      <c r="EX353" s="262"/>
      <c r="EY353" s="262"/>
      <c r="EZ353" s="262"/>
      <c r="FA353" s="262"/>
      <c r="FB353" s="262"/>
      <c r="FC353" s="262"/>
      <c r="FD353" s="262"/>
      <c r="FE353" s="262"/>
      <c r="FF353" s="262"/>
      <c r="FG353" s="262"/>
      <c r="FH353" s="262"/>
      <c r="FI353" s="262"/>
      <c r="FJ353" s="262"/>
      <c r="FK353" s="262"/>
      <c r="FL353" s="262"/>
      <c r="FM353" s="262"/>
      <c r="FN353" s="262"/>
      <c r="FO353" s="262"/>
      <c r="FP353" s="262"/>
      <c r="FQ353" s="262"/>
      <c r="FR353" s="262"/>
      <c r="FS353" s="262"/>
      <c r="FT353" s="262"/>
      <c r="FU353" s="262"/>
      <c r="FV353" s="262"/>
      <c r="FW353" s="262"/>
      <c r="FX353" s="262"/>
      <c r="FY353" s="262"/>
      <c r="FZ353" s="262"/>
      <c r="GA353" s="262"/>
      <c r="GB353" s="262"/>
      <c r="GC353" s="262"/>
      <c r="GD353" s="262"/>
      <c r="GE353" s="262"/>
      <c r="GF353" s="262"/>
      <c r="GG353" s="262"/>
      <c r="GH353" s="262"/>
      <c r="GI353" s="262"/>
      <c r="GJ353" s="262"/>
      <c r="GK353" s="262"/>
      <c r="GL353" s="262"/>
      <c r="GM353" s="262"/>
      <c r="GN353" s="262"/>
      <c r="GO353" s="262"/>
      <c r="GP353" s="262"/>
      <c r="GQ353" s="262"/>
      <c r="GR353" s="262"/>
      <c r="GS353" s="262"/>
      <c r="GT353" s="262"/>
      <c r="GU353" s="262"/>
      <c r="GV353" s="262"/>
      <c r="GW353" s="262"/>
      <c r="GX353" s="262"/>
      <c r="GY353" s="262"/>
      <c r="GZ353" s="262"/>
      <c r="HA353" s="262"/>
      <c r="HB353" s="262"/>
      <c r="HC353" s="262"/>
      <c r="HD353" s="262"/>
      <c r="HE353" s="262"/>
      <c r="HF353" s="262"/>
      <c r="HG353" s="262"/>
      <c r="HH353" s="262"/>
      <c r="HI353" s="262"/>
      <c r="HJ353" s="262"/>
      <c r="HK353" s="262"/>
      <c r="HL353" s="262"/>
      <c r="HM353" s="262"/>
      <c r="HN353" s="262"/>
      <c r="HO353" s="262"/>
      <c r="HP353" s="262"/>
      <c r="HQ353" s="262"/>
      <c r="HR353" s="262"/>
      <c r="HS353" s="262"/>
      <c r="HT353" s="262"/>
      <c r="HU353" s="262"/>
      <c r="HV353" s="262"/>
      <c r="HW353" s="262"/>
      <c r="HX353" s="262"/>
      <c r="HY353" s="262"/>
      <c r="HZ353" s="262"/>
      <c r="IA353" s="262"/>
      <c r="IB353" s="262"/>
      <c r="IC353" s="262"/>
      <c r="ID353" s="262"/>
      <c r="IE353" s="262"/>
      <c r="IF353" s="262"/>
      <c r="IG353" s="262"/>
      <c r="IH353" s="262"/>
      <c r="II353" s="262"/>
      <c r="IJ353" s="262"/>
      <c r="IK353" s="262"/>
      <c r="IL353" s="262"/>
      <c r="IM353" s="262"/>
      <c r="IN353" s="262"/>
      <c r="IO353" s="262"/>
      <c r="IP353" s="262"/>
      <c r="IQ353" s="262"/>
      <c r="IR353" s="262"/>
      <c r="IS353" s="262"/>
      <c r="IT353" s="262"/>
      <c r="IU353" s="262"/>
    </row>
    <row r="354" ht="18" hidden="1" customHeight="1" spans="1:255">
      <c r="A354" s="267">
        <v>9007</v>
      </c>
      <c r="B354" s="268" t="s">
        <v>1738</v>
      </c>
      <c r="C354" s="225" t="s">
        <v>1380</v>
      </c>
      <c r="D354" s="230">
        <v>2597.98281414718</v>
      </c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262"/>
      <c r="X354" s="262"/>
      <c r="Y354" s="262"/>
      <c r="Z354" s="262"/>
      <c r="AA354" s="262"/>
      <c r="AB354" s="262"/>
      <c r="AC354" s="262"/>
      <c r="AD354" s="262"/>
      <c r="AE354" s="262"/>
      <c r="AF354" s="262"/>
      <c r="AG354" s="262"/>
      <c r="AH354" s="262"/>
      <c r="AI354" s="262"/>
      <c r="AJ354" s="262"/>
      <c r="AK354" s="262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62"/>
      <c r="BH354" s="262"/>
      <c r="BI354" s="262"/>
      <c r="BJ354" s="262"/>
      <c r="BK354" s="262"/>
      <c r="BL354" s="262"/>
      <c r="BM354" s="262"/>
      <c r="BN354" s="262"/>
      <c r="BO354" s="262"/>
      <c r="BP354" s="262"/>
      <c r="BQ354" s="262"/>
      <c r="BR354" s="262"/>
      <c r="BS354" s="262"/>
      <c r="BT354" s="262"/>
      <c r="BU354" s="262"/>
      <c r="BV354" s="262"/>
      <c r="BW354" s="262"/>
      <c r="BX354" s="262"/>
      <c r="BY354" s="262"/>
      <c r="BZ354" s="262"/>
      <c r="CA354" s="262"/>
      <c r="CB354" s="262"/>
      <c r="CC354" s="262"/>
      <c r="CD354" s="262"/>
      <c r="CE354" s="262"/>
      <c r="CF354" s="262"/>
      <c r="CG354" s="262"/>
      <c r="CH354" s="262"/>
      <c r="CI354" s="262"/>
      <c r="CJ354" s="262"/>
      <c r="CK354" s="262"/>
      <c r="CL354" s="262"/>
      <c r="CM354" s="262"/>
      <c r="CN354" s="262"/>
      <c r="CO354" s="262"/>
      <c r="CP354" s="262"/>
      <c r="CQ354" s="262"/>
      <c r="CR354" s="262"/>
      <c r="CS354" s="262"/>
      <c r="CT354" s="262"/>
      <c r="CU354" s="262"/>
      <c r="CV354" s="262"/>
      <c r="CW354" s="262"/>
      <c r="CX354" s="262"/>
      <c r="CY354" s="262"/>
      <c r="CZ354" s="262"/>
      <c r="DA354" s="262"/>
      <c r="DB354" s="262"/>
      <c r="DC354" s="262"/>
      <c r="DD354" s="262"/>
      <c r="DE354" s="262"/>
      <c r="DF354" s="262"/>
      <c r="DG354" s="262"/>
      <c r="DH354" s="262"/>
      <c r="DI354" s="262"/>
      <c r="DJ354" s="262"/>
      <c r="DK354" s="262"/>
      <c r="DL354" s="262"/>
      <c r="DM354" s="262"/>
      <c r="DN354" s="262"/>
      <c r="DO354" s="262"/>
      <c r="DP354" s="262"/>
      <c r="DQ354" s="262"/>
      <c r="DR354" s="262"/>
      <c r="DS354" s="262"/>
      <c r="DT354" s="262"/>
      <c r="DU354" s="262"/>
      <c r="DV354" s="262"/>
      <c r="DW354" s="262"/>
      <c r="DX354" s="262"/>
      <c r="DY354" s="262"/>
      <c r="DZ354" s="262"/>
      <c r="EA354" s="262"/>
      <c r="EB354" s="262"/>
      <c r="EC354" s="262"/>
      <c r="ED354" s="262"/>
      <c r="EE354" s="262"/>
      <c r="EF354" s="262"/>
      <c r="EG354" s="262"/>
      <c r="EH354" s="262"/>
      <c r="EI354" s="262"/>
      <c r="EJ354" s="262"/>
      <c r="EK354" s="262"/>
      <c r="EL354" s="262"/>
      <c r="EM354" s="262"/>
      <c r="EN354" s="262"/>
      <c r="EO354" s="262"/>
      <c r="EP354" s="262"/>
      <c r="EQ354" s="262"/>
      <c r="ER354" s="262"/>
      <c r="ES354" s="262"/>
      <c r="ET354" s="262"/>
      <c r="EU354" s="262"/>
      <c r="EV354" s="262"/>
      <c r="EW354" s="262"/>
      <c r="EX354" s="262"/>
      <c r="EY354" s="262"/>
      <c r="EZ354" s="262"/>
      <c r="FA354" s="262"/>
      <c r="FB354" s="262"/>
      <c r="FC354" s="262"/>
      <c r="FD354" s="262"/>
      <c r="FE354" s="262"/>
      <c r="FF354" s="262"/>
      <c r="FG354" s="262"/>
      <c r="FH354" s="262"/>
      <c r="FI354" s="262"/>
      <c r="FJ354" s="262"/>
      <c r="FK354" s="262"/>
      <c r="FL354" s="262"/>
      <c r="FM354" s="262"/>
      <c r="FN354" s="262"/>
      <c r="FO354" s="262"/>
      <c r="FP354" s="262"/>
      <c r="FQ354" s="262"/>
      <c r="FR354" s="262"/>
      <c r="FS354" s="262"/>
      <c r="FT354" s="262"/>
      <c r="FU354" s="262"/>
      <c r="FV354" s="262"/>
      <c r="FW354" s="262"/>
      <c r="FX354" s="262"/>
      <c r="FY354" s="262"/>
      <c r="FZ354" s="262"/>
      <c r="GA354" s="262"/>
      <c r="GB354" s="262"/>
      <c r="GC354" s="262"/>
      <c r="GD354" s="262"/>
      <c r="GE354" s="262"/>
      <c r="GF354" s="262"/>
      <c r="GG354" s="262"/>
      <c r="GH354" s="262"/>
      <c r="GI354" s="262"/>
      <c r="GJ354" s="262"/>
      <c r="GK354" s="262"/>
      <c r="GL354" s="262"/>
      <c r="GM354" s="262"/>
      <c r="GN354" s="262"/>
      <c r="GO354" s="262"/>
      <c r="GP354" s="262"/>
      <c r="GQ354" s="262"/>
      <c r="GR354" s="262"/>
      <c r="GS354" s="262"/>
      <c r="GT354" s="262"/>
      <c r="GU354" s="262"/>
      <c r="GV354" s="262"/>
      <c r="GW354" s="262"/>
      <c r="GX354" s="262"/>
      <c r="GY354" s="262"/>
      <c r="GZ354" s="262"/>
      <c r="HA354" s="262"/>
      <c r="HB354" s="262"/>
      <c r="HC354" s="262"/>
      <c r="HD354" s="262"/>
      <c r="HE354" s="262"/>
      <c r="HF354" s="262"/>
      <c r="HG354" s="262"/>
      <c r="HH354" s="262"/>
      <c r="HI354" s="262"/>
      <c r="HJ354" s="262"/>
      <c r="HK354" s="262"/>
      <c r="HL354" s="262"/>
      <c r="HM354" s="262"/>
      <c r="HN354" s="262"/>
      <c r="HO354" s="262"/>
      <c r="HP354" s="262"/>
      <c r="HQ354" s="262"/>
      <c r="HR354" s="262"/>
      <c r="HS354" s="262"/>
      <c r="HT354" s="262"/>
      <c r="HU354" s="262"/>
      <c r="HV354" s="262"/>
      <c r="HW354" s="262"/>
      <c r="HX354" s="262"/>
      <c r="HY354" s="262"/>
      <c r="HZ354" s="262"/>
      <c r="IA354" s="262"/>
      <c r="IB354" s="262"/>
      <c r="IC354" s="262"/>
      <c r="ID354" s="262"/>
      <c r="IE354" s="262"/>
      <c r="IF354" s="262"/>
      <c r="IG354" s="262"/>
      <c r="IH354" s="262"/>
      <c r="II354" s="262"/>
      <c r="IJ354" s="262"/>
      <c r="IK354" s="262"/>
      <c r="IL354" s="262"/>
      <c r="IM354" s="262"/>
      <c r="IN354" s="262"/>
      <c r="IO354" s="262"/>
      <c r="IP354" s="262"/>
      <c r="IQ354" s="262"/>
      <c r="IR354" s="262"/>
      <c r="IS354" s="262"/>
      <c r="IT354" s="262"/>
      <c r="IU354" s="262"/>
    </row>
    <row r="355" ht="18" hidden="1" customHeight="1" spans="1:255">
      <c r="A355" s="267">
        <v>9009</v>
      </c>
      <c r="B355" s="268" t="s">
        <v>1739</v>
      </c>
      <c r="C355" s="225" t="s">
        <v>1380</v>
      </c>
      <c r="D355" s="230">
        <v>2302.17318181154</v>
      </c>
      <c r="E355" s="262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  <c r="P355" s="262"/>
      <c r="Q355" s="262"/>
      <c r="R355" s="262"/>
      <c r="S355" s="262"/>
      <c r="T355" s="262"/>
      <c r="U355" s="262"/>
      <c r="V355" s="262"/>
      <c r="W355" s="262"/>
      <c r="X355" s="262"/>
      <c r="Y355" s="262"/>
      <c r="Z355" s="262"/>
      <c r="AA355" s="262"/>
      <c r="AB355" s="262"/>
      <c r="AC355" s="262"/>
      <c r="AD355" s="262"/>
      <c r="AE355" s="262"/>
      <c r="AF355" s="262"/>
      <c r="AG355" s="262"/>
      <c r="AH355" s="262"/>
      <c r="AI355" s="262"/>
      <c r="AJ355" s="262"/>
      <c r="AK355" s="262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62"/>
      <c r="BH355" s="262"/>
      <c r="BI355" s="262"/>
      <c r="BJ355" s="262"/>
      <c r="BK355" s="262"/>
      <c r="BL355" s="262"/>
      <c r="BM355" s="262"/>
      <c r="BN355" s="262"/>
      <c r="BO355" s="262"/>
      <c r="BP355" s="262"/>
      <c r="BQ355" s="262"/>
      <c r="BR355" s="262"/>
      <c r="BS355" s="262"/>
      <c r="BT355" s="262"/>
      <c r="BU355" s="262"/>
      <c r="BV355" s="262"/>
      <c r="BW355" s="262"/>
      <c r="BX355" s="262"/>
      <c r="BY355" s="262"/>
      <c r="BZ355" s="262"/>
      <c r="CA355" s="262"/>
      <c r="CB355" s="262"/>
      <c r="CC355" s="262"/>
      <c r="CD355" s="262"/>
      <c r="CE355" s="262"/>
      <c r="CF355" s="262"/>
      <c r="CG355" s="262"/>
      <c r="CH355" s="262"/>
      <c r="CI355" s="262"/>
      <c r="CJ355" s="262"/>
      <c r="CK355" s="262"/>
      <c r="CL355" s="262"/>
      <c r="CM355" s="262"/>
      <c r="CN355" s="262"/>
      <c r="CO355" s="262"/>
      <c r="CP355" s="262"/>
      <c r="CQ355" s="262"/>
      <c r="CR355" s="262"/>
      <c r="CS355" s="262"/>
      <c r="CT355" s="262"/>
      <c r="CU355" s="262"/>
      <c r="CV355" s="262"/>
      <c r="CW355" s="262"/>
      <c r="CX355" s="262"/>
      <c r="CY355" s="262"/>
      <c r="CZ355" s="262"/>
      <c r="DA355" s="262"/>
      <c r="DB355" s="262"/>
      <c r="DC355" s="262"/>
      <c r="DD355" s="262"/>
      <c r="DE355" s="262"/>
      <c r="DF355" s="262"/>
      <c r="DG355" s="262"/>
      <c r="DH355" s="262"/>
      <c r="DI355" s="262"/>
      <c r="DJ355" s="262"/>
      <c r="DK355" s="262"/>
      <c r="DL355" s="262"/>
      <c r="DM355" s="262"/>
      <c r="DN355" s="262"/>
      <c r="DO355" s="262"/>
      <c r="DP355" s="262"/>
      <c r="DQ355" s="262"/>
      <c r="DR355" s="262"/>
      <c r="DS355" s="262"/>
      <c r="DT355" s="262"/>
      <c r="DU355" s="262"/>
      <c r="DV355" s="262"/>
      <c r="DW355" s="262"/>
      <c r="DX355" s="262"/>
      <c r="DY355" s="262"/>
      <c r="DZ355" s="262"/>
      <c r="EA355" s="262"/>
      <c r="EB355" s="262"/>
      <c r="EC355" s="262"/>
      <c r="ED355" s="262"/>
      <c r="EE355" s="262"/>
      <c r="EF355" s="262"/>
      <c r="EG355" s="262"/>
      <c r="EH355" s="262"/>
      <c r="EI355" s="262"/>
      <c r="EJ355" s="262"/>
      <c r="EK355" s="262"/>
      <c r="EL355" s="262"/>
      <c r="EM355" s="262"/>
      <c r="EN355" s="262"/>
      <c r="EO355" s="262"/>
      <c r="EP355" s="262"/>
      <c r="EQ355" s="262"/>
      <c r="ER355" s="262"/>
      <c r="ES355" s="262"/>
      <c r="ET355" s="262"/>
      <c r="EU355" s="262"/>
      <c r="EV355" s="262"/>
      <c r="EW355" s="262"/>
      <c r="EX355" s="262"/>
      <c r="EY355" s="262"/>
      <c r="EZ355" s="262"/>
      <c r="FA355" s="262"/>
      <c r="FB355" s="262"/>
      <c r="FC355" s="262"/>
      <c r="FD355" s="262"/>
      <c r="FE355" s="262"/>
      <c r="FF355" s="262"/>
      <c r="FG355" s="262"/>
      <c r="FH355" s="262"/>
      <c r="FI355" s="262"/>
      <c r="FJ355" s="262"/>
      <c r="FK355" s="262"/>
      <c r="FL355" s="262"/>
      <c r="FM355" s="262"/>
      <c r="FN355" s="262"/>
      <c r="FO355" s="262"/>
      <c r="FP355" s="262"/>
      <c r="FQ355" s="262"/>
      <c r="FR355" s="262"/>
      <c r="FS355" s="262"/>
      <c r="FT355" s="262"/>
      <c r="FU355" s="262"/>
      <c r="FV355" s="262"/>
      <c r="FW355" s="262"/>
      <c r="FX355" s="262"/>
      <c r="FY355" s="262"/>
      <c r="FZ355" s="262"/>
      <c r="GA355" s="262"/>
      <c r="GB355" s="262"/>
      <c r="GC355" s="262"/>
      <c r="GD355" s="262"/>
      <c r="GE355" s="262"/>
      <c r="GF355" s="262"/>
      <c r="GG355" s="262"/>
      <c r="GH355" s="262"/>
      <c r="GI355" s="262"/>
      <c r="GJ355" s="262"/>
      <c r="GK355" s="262"/>
      <c r="GL355" s="262"/>
      <c r="GM355" s="262"/>
      <c r="GN355" s="262"/>
      <c r="GO355" s="262"/>
      <c r="GP355" s="262"/>
      <c r="GQ355" s="262"/>
      <c r="GR355" s="262"/>
      <c r="GS355" s="262"/>
      <c r="GT355" s="262"/>
      <c r="GU355" s="262"/>
      <c r="GV355" s="262"/>
      <c r="GW355" s="262"/>
      <c r="GX355" s="262"/>
      <c r="GY355" s="262"/>
      <c r="GZ355" s="262"/>
      <c r="HA355" s="262"/>
      <c r="HB355" s="262"/>
      <c r="HC355" s="262"/>
      <c r="HD355" s="262"/>
      <c r="HE355" s="262"/>
      <c r="HF355" s="262"/>
      <c r="HG355" s="262"/>
      <c r="HH355" s="262"/>
      <c r="HI355" s="262"/>
      <c r="HJ355" s="262"/>
      <c r="HK355" s="262"/>
      <c r="HL355" s="262"/>
      <c r="HM355" s="262"/>
      <c r="HN355" s="262"/>
      <c r="HO355" s="262"/>
      <c r="HP355" s="262"/>
      <c r="HQ355" s="262"/>
      <c r="HR355" s="262"/>
      <c r="HS355" s="262"/>
      <c r="HT355" s="262"/>
      <c r="HU355" s="262"/>
      <c r="HV355" s="262"/>
      <c r="HW355" s="262"/>
      <c r="HX355" s="262"/>
      <c r="HY355" s="262"/>
      <c r="HZ355" s="262"/>
      <c r="IA355" s="262"/>
      <c r="IB355" s="262"/>
      <c r="IC355" s="262"/>
      <c r="ID355" s="262"/>
      <c r="IE355" s="262"/>
      <c r="IF355" s="262"/>
      <c r="IG355" s="262"/>
      <c r="IH355" s="262"/>
      <c r="II355" s="262"/>
      <c r="IJ355" s="262"/>
      <c r="IK355" s="262"/>
      <c r="IL355" s="262"/>
      <c r="IM355" s="262"/>
      <c r="IN355" s="262"/>
      <c r="IO355" s="262"/>
      <c r="IP355" s="262"/>
      <c r="IQ355" s="262"/>
      <c r="IR355" s="262"/>
      <c r="IS355" s="262"/>
      <c r="IT355" s="262"/>
      <c r="IU355" s="262"/>
    </row>
    <row r="356" ht="18" hidden="1" customHeight="1" spans="1:255">
      <c r="A356" s="267">
        <v>9010</v>
      </c>
      <c r="B356" s="268" t="s">
        <v>1740</v>
      </c>
      <c r="C356" s="225" t="s">
        <v>1380</v>
      </c>
      <c r="D356" s="230">
        <v>37178.4774914945</v>
      </c>
      <c r="E356" s="262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2"/>
      <c r="T356" s="262"/>
      <c r="U356" s="262"/>
      <c r="V356" s="262"/>
      <c r="W356" s="262"/>
      <c r="X356" s="262"/>
      <c r="Y356" s="262"/>
      <c r="Z356" s="262"/>
      <c r="AA356" s="262"/>
      <c r="AB356" s="262"/>
      <c r="AC356" s="262"/>
      <c r="AD356" s="262"/>
      <c r="AE356" s="262"/>
      <c r="AF356" s="262"/>
      <c r="AG356" s="262"/>
      <c r="AH356" s="262"/>
      <c r="AI356" s="262"/>
      <c r="AJ356" s="262"/>
      <c r="AK356" s="262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62"/>
      <c r="BH356" s="262"/>
      <c r="BI356" s="262"/>
      <c r="BJ356" s="262"/>
      <c r="BK356" s="262"/>
      <c r="BL356" s="262"/>
      <c r="BM356" s="262"/>
      <c r="BN356" s="262"/>
      <c r="BO356" s="262"/>
      <c r="BP356" s="262"/>
      <c r="BQ356" s="262"/>
      <c r="BR356" s="262"/>
      <c r="BS356" s="262"/>
      <c r="BT356" s="262"/>
      <c r="BU356" s="262"/>
      <c r="BV356" s="262"/>
      <c r="BW356" s="262"/>
      <c r="BX356" s="262"/>
      <c r="BY356" s="262"/>
      <c r="BZ356" s="262"/>
      <c r="CA356" s="262"/>
      <c r="CB356" s="262"/>
      <c r="CC356" s="262"/>
      <c r="CD356" s="262"/>
      <c r="CE356" s="262"/>
      <c r="CF356" s="262"/>
      <c r="CG356" s="262"/>
      <c r="CH356" s="262"/>
      <c r="CI356" s="262"/>
      <c r="CJ356" s="262"/>
      <c r="CK356" s="262"/>
      <c r="CL356" s="262"/>
      <c r="CM356" s="262"/>
      <c r="CN356" s="262"/>
      <c r="CO356" s="262"/>
      <c r="CP356" s="262"/>
      <c r="CQ356" s="262"/>
      <c r="CR356" s="262"/>
      <c r="CS356" s="262"/>
      <c r="CT356" s="262"/>
      <c r="CU356" s="262"/>
      <c r="CV356" s="262"/>
      <c r="CW356" s="262"/>
      <c r="CX356" s="262"/>
      <c r="CY356" s="262"/>
      <c r="CZ356" s="262"/>
      <c r="DA356" s="262"/>
      <c r="DB356" s="262"/>
      <c r="DC356" s="262"/>
      <c r="DD356" s="262"/>
      <c r="DE356" s="262"/>
      <c r="DF356" s="262"/>
      <c r="DG356" s="262"/>
      <c r="DH356" s="262"/>
      <c r="DI356" s="262"/>
      <c r="DJ356" s="262"/>
      <c r="DK356" s="262"/>
      <c r="DL356" s="262"/>
      <c r="DM356" s="262"/>
      <c r="DN356" s="262"/>
      <c r="DO356" s="262"/>
      <c r="DP356" s="262"/>
      <c r="DQ356" s="262"/>
      <c r="DR356" s="262"/>
      <c r="DS356" s="262"/>
      <c r="DT356" s="262"/>
      <c r="DU356" s="262"/>
      <c r="DV356" s="262"/>
      <c r="DW356" s="262"/>
      <c r="DX356" s="262"/>
      <c r="DY356" s="262"/>
      <c r="DZ356" s="262"/>
      <c r="EA356" s="262"/>
      <c r="EB356" s="262"/>
      <c r="EC356" s="262"/>
      <c r="ED356" s="262"/>
      <c r="EE356" s="262"/>
      <c r="EF356" s="262"/>
      <c r="EG356" s="262"/>
      <c r="EH356" s="262"/>
      <c r="EI356" s="262"/>
      <c r="EJ356" s="262"/>
      <c r="EK356" s="262"/>
      <c r="EL356" s="262"/>
      <c r="EM356" s="262"/>
      <c r="EN356" s="262"/>
      <c r="EO356" s="262"/>
      <c r="EP356" s="262"/>
      <c r="EQ356" s="262"/>
      <c r="ER356" s="262"/>
      <c r="ES356" s="262"/>
      <c r="ET356" s="262"/>
      <c r="EU356" s="262"/>
      <c r="EV356" s="262"/>
      <c r="EW356" s="262"/>
      <c r="EX356" s="262"/>
      <c r="EY356" s="262"/>
      <c r="EZ356" s="262"/>
      <c r="FA356" s="262"/>
      <c r="FB356" s="262"/>
      <c r="FC356" s="262"/>
      <c r="FD356" s="262"/>
      <c r="FE356" s="262"/>
      <c r="FF356" s="262"/>
      <c r="FG356" s="262"/>
      <c r="FH356" s="262"/>
      <c r="FI356" s="262"/>
      <c r="FJ356" s="262"/>
      <c r="FK356" s="262"/>
      <c r="FL356" s="262"/>
      <c r="FM356" s="262"/>
      <c r="FN356" s="262"/>
      <c r="FO356" s="262"/>
      <c r="FP356" s="262"/>
      <c r="FQ356" s="262"/>
      <c r="FR356" s="262"/>
      <c r="FS356" s="262"/>
      <c r="FT356" s="262"/>
      <c r="FU356" s="262"/>
      <c r="FV356" s="262"/>
      <c r="FW356" s="262"/>
      <c r="FX356" s="262"/>
      <c r="FY356" s="262"/>
      <c r="FZ356" s="262"/>
      <c r="GA356" s="262"/>
      <c r="GB356" s="262"/>
      <c r="GC356" s="262"/>
      <c r="GD356" s="262"/>
      <c r="GE356" s="262"/>
      <c r="GF356" s="262"/>
      <c r="GG356" s="262"/>
      <c r="GH356" s="262"/>
      <c r="GI356" s="262"/>
      <c r="GJ356" s="262"/>
      <c r="GK356" s="262"/>
      <c r="GL356" s="262"/>
      <c r="GM356" s="262"/>
      <c r="GN356" s="262"/>
      <c r="GO356" s="262"/>
      <c r="GP356" s="262"/>
      <c r="GQ356" s="262"/>
      <c r="GR356" s="262"/>
      <c r="GS356" s="262"/>
      <c r="GT356" s="262"/>
      <c r="GU356" s="262"/>
      <c r="GV356" s="262"/>
      <c r="GW356" s="262"/>
      <c r="GX356" s="262"/>
      <c r="GY356" s="262"/>
      <c r="GZ356" s="262"/>
      <c r="HA356" s="262"/>
      <c r="HB356" s="262"/>
      <c r="HC356" s="262"/>
      <c r="HD356" s="262"/>
      <c r="HE356" s="262"/>
      <c r="HF356" s="262"/>
      <c r="HG356" s="262"/>
      <c r="HH356" s="262"/>
      <c r="HI356" s="262"/>
      <c r="HJ356" s="262"/>
      <c r="HK356" s="262"/>
      <c r="HL356" s="262"/>
      <c r="HM356" s="262"/>
      <c r="HN356" s="262"/>
      <c r="HO356" s="262"/>
      <c r="HP356" s="262"/>
      <c r="HQ356" s="262"/>
      <c r="HR356" s="262"/>
      <c r="HS356" s="262"/>
      <c r="HT356" s="262"/>
      <c r="HU356" s="262"/>
      <c r="HV356" s="262"/>
      <c r="HW356" s="262"/>
      <c r="HX356" s="262"/>
      <c r="HY356" s="262"/>
      <c r="HZ356" s="262"/>
      <c r="IA356" s="262"/>
      <c r="IB356" s="262"/>
      <c r="IC356" s="262"/>
      <c r="ID356" s="262"/>
      <c r="IE356" s="262"/>
      <c r="IF356" s="262"/>
      <c r="IG356" s="262"/>
      <c r="IH356" s="262"/>
      <c r="II356" s="262"/>
      <c r="IJ356" s="262"/>
      <c r="IK356" s="262"/>
      <c r="IL356" s="262"/>
      <c r="IM356" s="262"/>
      <c r="IN356" s="262"/>
      <c r="IO356" s="262"/>
      <c r="IP356" s="262"/>
      <c r="IQ356" s="262"/>
      <c r="IR356" s="262"/>
      <c r="IS356" s="262"/>
      <c r="IT356" s="262"/>
      <c r="IU356" s="262"/>
    </row>
    <row r="357" ht="18" hidden="1" customHeight="1" spans="1:255">
      <c r="A357" s="267">
        <v>9010</v>
      </c>
      <c r="B357" s="268" t="s">
        <v>1741</v>
      </c>
      <c r="C357" s="225" t="s">
        <v>1380</v>
      </c>
      <c r="D357" s="230">
        <v>31395.9688032664</v>
      </c>
      <c r="E357" s="262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  <c r="P357" s="262"/>
      <c r="Q357" s="262"/>
      <c r="R357" s="262"/>
      <c r="S357" s="262"/>
      <c r="T357" s="262"/>
      <c r="U357" s="262"/>
      <c r="V357" s="262"/>
      <c r="W357" s="262"/>
      <c r="X357" s="262"/>
      <c r="Y357" s="262"/>
      <c r="Z357" s="262"/>
      <c r="AA357" s="262"/>
      <c r="AB357" s="262"/>
      <c r="AC357" s="262"/>
      <c r="AD357" s="262"/>
      <c r="AE357" s="262"/>
      <c r="AF357" s="262"/>
      <c r="AG357" s="262"/>
      <c r="AH357" s="262"/>
      <c r="AI357" s="262"/>
      <c r="AJ357" s="262"/>
      <c r="AK357" s="262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62"/>
      <c r="BH357" s="262"/>
      <c r="BI357" s="262"/>
      <c r="BJ357" s="262"/>
      <c r="BK357" s="262"/>
      <c r="BL357" s="262"/>
      <c r="BM357" s="262"/>
      <c r="BN357" s="262"/>
      <c r="BO357" s="262"/>
      <c r="BP357" s="262"/>
      <c r="BQ357" s="262"/>
      <c r="BR357" s="262"/>
      <c r="BS357" s="262"/>
      <c r="BT357" s="262"/>
      <c r="BU357" s="262"/>
      <c r="BV357" s="262"/>
      <c r="BW357" s="262"/>
      <c r="BX357" s="262"/>
      <c r="BY357" s="262"/>
      <c r="BZ357" s="262"/>
      <c r="CA357" s="262"/>
      <c r="CB357" s="262"/>
      <c r="CC357" s="262"/>
      <c r="CD357" s="262"/>
      <c r="CE357" s="262"/>
      <c r="CF357" s="262"/>
      <c r="CG357" s="262"/>
      <c r="CH357" s="262"/>
      <c r="CI357" s="262"/>
      <c r="CJ357" s="262"/>
      <c r="CK357" s="262"/>
      <c r="CL357" s="262"/>
      <c r="CM357" s="262"/>
      <c r="CN357" s="262"/>
      <c r="CO357" s="262"/>
      <c r="CP357" s="262"/>
      <c r="CQ357" s="262"/>
      <c r="CR357" s="262"/>
      <c r="CS357" s="262"/>
      <c r="CT357" s="262"/>
      <c r="CU357" s="262"/>
      <c r="CV357" s="262"/>
      <c r="CW357" s="262"/>
      <c r="CX357" s="262"/>
      <c r="CY357" s="262"/>
      <c r="CZ357" s="262"/>
      <c r="DA357" s="262"/>
      <c r="DB357" s="262"/>
      <c r="DC357" s="262"/>
      <c r="DD357" s="262"/>
      <c r="DE357" s="262"/>
      <c r="DF357" s="262"/>
      <c r="DG357" s="262"/>
      <c r="DH357" s="262"/>
      <c r="DI357" s="262"/>
      <c r="DJ357" s="262"/>
      <c r="DK357" s="262"/>
      <c r="DL357" s="262"/>
      <c r="DM357" s="262"/>
      <c r="DN357" s="262"/>
      <c r="DO357" s="262"/>
      <c r="DP357" s="262"/>
      <c r="DQ357" s="262"/>
      <c r="DR357" s="262"/>
      <c r="DS357" s="262"/>
      <c r="DT357" s="262"/>
      <c r="DU357" s="262"/>
      <c r="DV357" s="262"/>
      <c r="DW357" s="262"/>
      <c r="DX357" s="262"/>
      <c r="DY357" s="262"/>
      <c r="DZ357" s="262"/>
      <c r="EA357" s="262"/>
      <c r="EB357" s="262"/>
      <c r="EC357" s="262"/>
      <c r="ED357" s="262"/>
      <c r="EE357" s="262"/>
      <c r="EF357" s="262"/>
      <c r="EG357" s="262"/>
      <c r="EH357" s="262"/>
      <c r="EI357" s="262"/>
      <c r="EJ357" s="262"/>
      <c r="EK357" s="262"/>
      <c r="EL357" s="262"/>
      <c r="EM357" s="262"/>
      <c r="EN357" s="262"/>
      <c r="EO357" s="262"/>
      <c r="EP357" s="262"/>
      <c r="EQ357" s="262"/>
      <c r="ER357" s="262"/>
      <c r="ES357" s="262"/>
      <c r="ET357" s="262"/>
      <c r="EU357" s="262"/>
      <c r="EV357" s="262"/>
      <c r="EW357" s="262"/>
      <c r="EX357" s="262"/>
      <c r="EY357" s="262"/>
      <c r="EZ357" s="262"/>
      <c r="FA357" s="262"/>
      <c r="FB357" s="262"/>
      <c r="FC357" s="262"/>
      <c r="FD357" s="262"/>
      <c r="FE357" s="262"/>
      <c r="FF357" s="262"/>
      <c r="FG357" s="262"/>
      <c r="FH357" s="262"/>
      <c r="FI357" s="262"/>
      <c r="FJ357" s="262"/>
      <c r="FK357" s="262"/>
      <c r="FL357" s="262"/>
      <c r="FM357" s="262"/>
      <c r="FN357" s="262"/>
      <c r="FO357" s="262"/>
      <c r="FP357" s="262"/>
      <c r="FQ357" s="262"/>
      <c r="FR357" s="262"/>
      <c r="FS357" s="262"/>
      <c r="FT357" s="262"/>
      <c r="FU357" s="262"/>
      <c r="FV357" s="262"/>
      <c r="FW357" s="262"/>
      <c r="FX357" s="262"/>
      <c r="FY357" s="262"/>
      <c r="FZ357" s="262"/>
      <c r="GA357" s="262"/>
      <c r="GB357" s="262"/>
      <c r="GC357" s="262"/>
      <c r="GD357" s="262"/>
      <c r="GE357" s="262"/>
      <c r="GF357" s="262"/>
      <c r="GG357" s="262"/>
      <c r="GH357" s="262"/>
      <c r="GI357" s="262"/>
      <c r="GJ357" s="262"/>
      <c r="GK357" s="262"/>
      <c r="GL357" s="262"/>
      <c r="GM357" s="262"/>
      <c r="GN357" s="262"/>
      <c r="GO357" s="262"/>
      <c r="GP357" s="262"/>
      <c r="GQ357" s="262"/>
      <c r="GR357" s="262"/>
      <c r="GS357" s="262"/>
      <c r="GT357" s="262"/>
      <c r="GU357" s="262"/>
      <c r="GV357" s="262"/>
      <c r="GW357" s="262"/>
      <c r="GX357" s="262"/>
      <c r="GY357" s="262"/>
      <c r="GZ357" s="262"/>
      <c r="HA357" s="262"/>
      <c r="HB357" s="262"/>
      <c r="HC357" s="262"/>
      <c r="HD357" s="262"/>
      <c r="HE357" s="262"/>
      <c r="HF357" s="262"/>
      <c r="HG357" s="262"/>
      <c r="HH357" s="262"/>
      <c r="HI357" s="262"/>
      <c r="HJ357" s="262"/>
      <c r="HK357" s="262"/>
      <c r="HL357" s="262"/>
      <c r="HM357" s="262"/>
      <c r="HN357" s="262"/>
      <c r="HO357" s="262"/>
      <c r="HP357" s="262"/>
      <c r="HQ357" s="262"/>
      <c r="HR357" s="262"/>
      <c r="HS357" s="262"/>
      <c r="HT357" s="262"/>
      <c r="HU357" s="262"/>
      <c r="HV357" s="262"/>
      <c r="HW357" s="262"/>
      <c r="HX357" s="262"/>
      <c r="HY357" s="262"/>
      <c r="HZ357" s="262"/>
      <c r="IA357" s="262"/>
      <c r="IB357" s="262"/>
      <c r="IC357" s="262"/>
      <c r="ID357" s="262"/>
      <c r="IE357" s="262"/>
      <c r="IF357" s="262"/>
      <c r="IG357" s="262"/>
      <c r="IH357" s="262"/>
      <c r="II357" s="262"/>
      <c r="IJ357" s="262"/>
      <c r="IK357" s="262"/>
      <c r="IL357" s="262"/>
      <c r="IM357" s="262"/>
      <c r="IN357" s="262"/>
      <c r="IO357" s="262"/>
      <c r="IP357" s="262"/>
      <c r="IQ357" s="262"/>
      <c r="IR357" s="262"/>
      <c r="IS357" s="262"/>
      <c r="IT357" s="262"/>
      <c r="IU357" s="262"/>
    </row>
    <row r="358" ht="18" hidden="1" customHeight="1" spans="1:255">
      <c r="A358" s="267">
        <v>9012</v>
      </c>
      <c r="B358" s="268" t="s">
        <v>1742</v>
      </c>
      <c r="C358" s="225" t="s">
        <v>1380</v>
      </c>
      <c r="D358" s="230">
        <v>24047.7702448575</v>
      </c>
      <c r="E358" s="262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  <c r="P358" s="262"/>
      <c r="Q358" s="262"/>
      <c r="R358" s="262"/>
      <c r="S358" s="262"/>
      <c r="T358" s="262"/>
      <c r="U358" s="262"/>
      <c r="V358" s="262"/>
      <c r="W358" s="262"/>
      <c r="X358" s="262"/>
      <c r="Y358" s="262"/>
      <c r="Z358" s="262"/>
      <c r="AA358" s="262"/>
      <c r="AB358" s="262"/>
      <c r="AC358" s="262"/>
      <c r="AD358" s="262"/>
      <c r="AE358" s="262"/>
      <c r="AF358" s="262"/>
      <c r="AG358" s="262"/>
      <c r="AH358" s="262"/>
      <c r="AI358" s="262"/>
      <c r="AJ358" s="262"/>
      <c r="AK358" s="262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62"/>
      <c r="BH358" s="262"/>
      <c r="BI358" s="262"/>
      <c r="BJ358" s="262"/>
      <c r="BK358" s="262"/>
      <c r="BL358" s="262"/>
      <c r="BM358" s="262"/>
      <c r="BN358" s="262"/>
      <c r="BO358" s="262"/>
      <c r="BP358" s="262"/>
      <c r="BQ358" s="262"/>
      <c r="BR358" s="262"/>
      <c r="BS358" s="262"/>
      <c r="BT358" s="262"/>
      <c r="BU358" s="262"/>
      <c r="BV358" s="262"/>
      <c r="BW358" s="262"/>
      <c r="BX358" s="262"/>
      <c r="BY358" s="262"/>
      <c r="BZ358" s="262"/>
      <c r="CA358" s="262"/>
      <c r="CB358" s="262"/>
      <c r="CC358" s="262"/>
      <c r="CD358" s="262"/>
      <c r="CE358" s="262"/>
      <c r="CF358" s="262"/>
      <c r="CG358" s="262"/>
      <c r="CH358" s="262"/>
      <c r="CI358" s="262"/>
      <c r="CJ358" s="262"/>
      <c r="CK358" s="262"/>
      <c r="CL358" s="262"/>
      <c r="CM358" s="262"/>
      <c r="CN358" s="262"/>
      <c r="CO358" s="262"/>
      <c r="CP358" s="262"/>
      <c r="CQ358" s="262"/>
      <c r="CR358" s="262"/>
      <c r="CS358" s="262"/>
      <c r="CT358" s="262"/>
      <c r="CU358" s="262"/>
      <c r="CV358" s="262"/>
      <c r="CW358" s="262"/>
      <c r="CX358" s="262"/>
      <c r="CY358" s="262"/>
      <c r="CZ358" s="262"/>
      <c r="DA358" s="262"/>
      <c r="DB358" s="262"/>
      <c r="DC358" s="262"/>
      <c r="DD358" s="262"/>
      <c r="DE358" s="262"/>
      <c r="DF358" s="262"/>
      <c r="DG358" s="262"/>
      <c r="DH358" s="262"/>
      <c r="DI358" s="262"/>
      <c r="DJ358" s="262"/>
      <c r="DK358" s="262"/>
      <c r="DL358" s="262"/>
      <c r="DM358" s="262"/>
      <c r="DN358" s="262"/>
      <c r="DO358" s="262"/>
      <c r="DP358" s="262"/>
      <c r="DQ358" s="262"/>
      <c r="DR358" s="262"/>
      <c r="DS358" s="262"/>
      <c r="DT358" s="262"/>
      <c r="DU358" s="262"/>
      <c r="DV358" s="262"/>
      <c r="DW358" s="262"/>
      <c r="DX358" s="262"/>
      <c r="DY358" s="262"/>
      <c r="DZ358" s="262"/>
      <c r="EA358" s="262"/>
      <c r="EB358" s="262"/>
      <c r="EC358" s="262"/>
      <c r="ED358" s="262"/>
      <c r="EE358" s="262"/>
      <c r="EF358" s="262"/>
      <c r="EG358" s="262"/>
      <c r="EH358" s="262"/>
      <c r="EI358" s="262"/>
      <c r="EJ358" s="262"/>
      <c r="EK358" s="262"/>
      <c r="EL358" s="262"/>
      <c r="EM358" s="262"/>
      <c r="EN358" s="262"/>
      <c r="EO358" s="262"/>
      <c r="EP358" s="262"/>
      <c r="EQ358" s="262"/>
      <c r="ER358" s="262"/>
      <c r="ES358" s="262"/>
      <c r="ET358" s="262"/>
      <c r="EU358" s="262"/>
      <c r="EV358" s="262"/>
      <c r="EW358" s="262"/>
      <c r="EX358" s="262"/>
      <c r="EY358" s="262"/>
      <c r="EZ358" s="262"/>
      <c r="FA358" s="262"/>
      <c r="FB358" s="262"/>
      <c r="FC358" s="262"/>
      <c r="FD358" s="262"/>
      <c r="FE358" s="262"/>
      <c r="FF358" s="262"/>
      <c r="FG358" s="262"/>
      <c r="FH358" s="262"/>
      <c r="FI358" s="262"/>
      <c r="FJ358" s="262"/>
      <c r="FK358" s="262"/>
      <c r="FL358" s="262"/>
      <c r="FM358" s="262"/>
      <c r="FN358" s="262"/>
      <c r="FO358" s="262"/>
      <c r="FP358" s="262"/>
      <c r="FQ358" s="262"/>
      <c r="FR358" s="262"/>
      <c r="FS358" s="262"/>
      <c r="FT358" s="262"/>
      <c r="FU358" s="262"/>
      <c r="FV358" s="262"/>
      <c r="FW358" s="262"/>
      <c r="FX358" s="262"/>
      <c r="FY358" s="262"/>
      <c r="FZ358" s="262"/>
      <c r="GA358" s="262"/>
      <c r="GB358" s="262"/>
      <c r="GC358" s="262"/>
      <c r="GD358" s="262"/>
      <c r="GE358" s="262"/>
      <c r="GF358" s="262"/>
      <c r="GG358" s="262"/>
      <c r="GH358" s="262"/>
      <c r="GI358" s="262"/>
      <c r="GJ358" s="262"/>
      <c r="GK358" s="262"/>
      <c r="GL358" s="262"/>
      <c r="GM358" s="262"/>
      <c r="GN358" s="262"/>
      <c r="GO358" s="262"/>
      <c r="GP358" s="262"/>
      <c r="GQ358" s="262"/>
      <c r="GR358" s="262"/>
      <c r="GS358" s="262"/>
      <c r="GT358" s="262"/>
      <c r="GU358" s="262"/>
      <c r="GV358" s="262"/>
      <c r="GW358" s="262"/>
      <c r="GX358" s="262"/>
      <c r="GY358" s="262"/>
      <c r="GZ358" s="262"/>
      <c r="HA358" s="262"/>
      <c r="HB358" s="262"/>
      <c r="HC358" s="262"/>
      <c r="HD358" s="262"/>
      <c r="HE358" s="262"/>
      <c r="HF358" s="262"/>
      <c r="HG358" s="262"/>
      <c r="HH358" s="262"/>
      <c r="HI358" s="262"/>
      <c r="HJ358" s="262"/>
      <c r="HK358" s="262"/>
      <c r="HL358" s="262"/>
      <c r="HM358" s="262"/>
      <c r="HN358" s="262"/>
      <c r="HO358" s="262"/>
      <c r="HP358" s="262"/>
      <c r="HQ358" s="262"/>
      <c r="HR358" s="262"/>
      <c r="HS358" s="262"/>
      <c r="HT358" s="262"/>
      <c r="HU358" s="262"/>
      <c r="HV358" s="262"/>
      <c r="HW358" s="262"/>
      <c r="HX358" s="262"/>
      <c r="HY358" s="262"/>
      <c r="HZ358" s="262"/>
      <c r="IA358" s="262"/>
      <c r="IB358" s="262"/>
      <c r="IC358" s="262"/>
      <c r="ID358" s="262"/>
      <c r="IE358" s="262"/>
      <c r="IF358" s="262"/>
      <c r="IG358" s="262"/>
      <c r="IH358" s="262"/>
      <c r="II358" s="262"/>
      <c r="IJ358" s="262"/>
      <c r="IK358" s="262"/>
      <c r="IL358" s="262"/>
      <c r="IM358" s="262"/>
      <c r="IN358" s="262"/>
      <c r="IO358" s="262"/>
      <c r="IP358" s="262"/>
      <c r="IQ358" s="262"/>
      <c r="IR358" s="262"/>
      <c r="IS358" s="262"/>
      <c r="IT358" s="262"/>
      <c r="IU358" s="262"/>
    </row>
    <row r="359" ht="18" hidden="1" customHeight="1" spans="1:255">
      <c r="A359" s="267">
        <v>9012</v>
      </c>
      <c r="B359" s="268" t="s">
        <v>1743</v>
      </c>
      <c r="C359" s="225" t="s">
        <v>1380</v>
      </c>
      <c r="D359" s="230">
        <v>17505.4712877937</v>
      </c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262"/>
      <c r="X359" s="262"/>
      <c r="Y359" s="262"/>
      <c r="Z359" s="262"/>
      <c r="AA359" s="262"/>
      <c r="AB359" s="262"/>
      <c r="AC359" s="262"/>
      <c r="AD359" s="262"/>
      <c r="AE359" s="262"/>
      <c r="AF359" s="262"/>
      <c r="AG359" s="262"/>
      <c r="AH359" s="262"/>
      <c r="AI359" s="262"/>
      <c r="AJ359" s="262"/>
      <c r="AK359" s="262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62"/>
      <c r="BH359" s="262"/>
      <c r="BI359" s="262"/>
      <c r="BJ359" s="262"/>
      <c r="BK359" s="262"/>
      <c r="BL359" s="262"/>
      <c r="BM359" s="262"/>
      <c r="BN359" s="262"/>
      <c r="BO359" s="262"/>
      <c r="BP359" s="262"/>
      <c r="BQ359" s="262"/>
      <c r="BR359" s="262"/>
      <c r="BS359" s="262"/>
      <c r="BT359" s="262"/>
      <c r="BU359" s="262"/>
      <c r="BV359" s="262"/>
      <c r="BW359" s="262"/>
      <c r="BX359" s="262"/>
      <c r="BY359" s="262"/>
      <c r="BZ359" s="262"/>
      <c r="CA359" s="262"/>
      <c r="CB359" s="262"/>
      <c r="CC359" s="262"/>
      <c r="CD359" s="262"/>
      <c r="CE359" s="262"/>
      <c r="CF359" s="262"/>
      <c r="CG359" s="262"/>
      <c r="CH359" s="262"/>
      <c r="CI359" s="262"/>
      <c r="CJ359" s="262"/>
      <c r="CK359" s="262"/>
      <c r="CL359" s="262"/>
      <c r="CM359" s="262"/>
      <c r="CN359" s="262"/>
      <c r="CO359" s="262"/>
      <c r="CP359" s="262"/>
      <c r="CQ359" s="262"/>
      <c r="CR359" s="262"/>
      <c r="CS359" s="262"/>
      <c r="CT359" s="262"/>
      <c r="CU359" s="262"/>
      <c r="CV359" s="262"/>
      <c r="CW359" s="262"/>
      <c r="CX359" s="262"/>
      <c r="CY359" s="262"/>
      <c r="CZ359" s="262"/>
      <c r="DA359" s="262"/>
      <c r="DB359" s="262"/>
      <c r="DC359" s="262"/>
      <c r="DD359" s="262"/>
      <c r="DE359" s="262"/>
      <c r="DF359" s="262"/>
      <c r="DG359" s="262"/>
      <c r="DH359" s="262"/>
      <c r="DI359" s="262"/>
      <c r="DJ359" s="262"/>
      <c r="DK359" s="262"/>
      <c r="DL359" s="262"/>
      <c r="DM359" s="262"/>
      <c r="DN359" s="262"/>
      <c r="DO359" s="262"/>
      <c r="DP359" s="262"/>
      <c r="DQ359" s="262"/>
      <c r="DR359" s="262"/>
      <c r="DS359" s="262"/>
      <c r="DT359" s="262"/>
      <c r="DU359" s="262"/>
      <c r="DV359" s="262"/>
      <c r="DW359" s="262"/>
      <c r="DX359" s="262"/>
      <c r="DY359" s="262"/>
      <c r="DZ359" s="262"/>
      <c r="EA359" s="262"/>
      <c r="EB359" s="262"/>
      <c r="EC359" s="262"/>
      <c r="ED359" s="262"/>
      <c r="EE359" s="262"/>
      <c r="EF359" s="262"/>
      <c r="EG359" s="262"/>
      <c r="EH359" s="262"/>
      <c r="EI359" s="262"/>
      <c r="EJ359" s="262"/>
      <c r="EK359" s="262"/>
      <c r="EL359" s="262"/>
      <c r="EM359" s="262"/>
      <c r="EN359" s="262"/>
      <c r="EO359" s="262"/>
      <c r="EP359" s="262"/>
      <c r="EQ359" s="262"/>
      <c r="ER359" s="262"/>
      <c r="ES359" s="262"/>
      <c r="ET359" s="262"/>
      <c r="EU359" s="262"/>
      <c r="EV359" s="262"/>
      <c r="EW359" s="262"/>
      <c r="EX359" s="262"/>
      <c r="EY359" s="262"/>
      <c r="EZ359" s="262"/>
      <c r="FA359" s="262"/>
      <c r="FB359" s="262"/>
      <c r="FC359" s="262"/>
      <c r="FD359" s="262"/>
      <c r="FE359" s="262"/>
      <c r="FF359" s="262"/>
      <c r="FG359" s="262"/>
      <c r="FH359" s="262"/>
      <c r="FI359" s="262"/>
      <c r="FJ359" s="262"/>
      <c r="FK359" s="262"/>
      <c r="FL359" s="262"/>
      <c r="FM359" s="262"/>
      <c r="FN359" s="262"/>
      <c r="FO359" s="262"/>
      <c r="FP359" s="262"/>
      <c r="FQ359" s="262"/>
      <c r="FR359" s="262"/>
      <c r="FS359" s="262"/>
      <c r="FT359" s="262"/>
      <c r="FU359" s="262"/>
      <c r="FV359" s="262"/>
      <c r="FW359" s="262"/>
      <c r="FX359" s="262"/>
      <c r="FY359" s="262"/>
      <c r="FZ359" s="262"/>
      <c r="GA359" s="262"/>
      <c r="GB359" s="262"/>
      <c r="GC359" s="262"/>
      <c r="GD359" s="262"/>
      <c r="GE359" s="262"/>
      <c r="GF359" s="262"/>
      <c r="GG359" s="262"/>
      <c r="GH359" s="262"/>
      <c r="GI359" s="262"/>
      <c r="GJ359" s="262"/>
      <c r="GK359" s="262"/>
      <c r="GL359" s="262"/>
      <c r="GM359" s="262"/>
      <c r="GN359" s="262"/>
      <c r="GO359" s="262"/>
      <c r="GP359" s="262"/>
      <c r="GQ359" s="262"/>
      <c r="GR359" s="262"/>
      <c r="GS359" s="262"/>
      <c r="GT359" s="262"/>
      <c r="GU359" s="262"/>
      <c r="GV359" s="262"/>
      <c r="GW359" s="262"/>
      <c r="GX359" s="262"/>
      <c r="GY359" s="262"/>
      <c r="GZ359" s="262"/>
      <c r="HA359" s="262"/>
      <c r="HB359" s="262"/>
      <c r="HC359" s="262"/>
      <c r="HD359" s="262"/>
      <c r="HE359" s="262"/>
      <c r="HF359" s="262"/>
      <c r="HG359" s="262"/>
      <c r="HH359" s="262"/>
      <c r="HI359" s="262"/>
      <c r="HJ359" s="262"/>
      <c r="HK359" s="262"/>
      <c r="HL359" s="262"/>
      <c r="HM359" s="262"/>
      <c r="HN359" s="262"/>
      <c r="HO359" s="262"/>
      <c r="HP359" s="262"/>
      <c r="HQ359" s="262"/>
      <c r="HR359" s="262"/>
      <c r="HS359" s="262"/>
      <c r="HT359" s="262"/>
      <c r="HU359" s="262"/>
      <c r="HV359" s="262"/>
      <c r="HW359" s="262"/>
      <c r="HX359" s="262"/>
      <c r="HY359" s="262"/>
      <c r="HZ359" s="262"/>
      <c r="IA359" s="262"/>
      <c r="IB359" s="262"/>
      <c r="IC359" s="262"/>
      <c r="ID359" s="262"/>
      <c r="IE359" s="262"/>
      <c r="IF359" s="262"/>
      <c r="IG359" s="262"/>
      <c r="IH359" s="262"/>
      <c r="II359" s="262"/>
      <c r="IJ359" s="262"/>
      <c r="IK359" s="262"/>
      <c r="IL359" s="262"/>
      <c r="IM359" s="262"/>
      <c r="IN359" s="262"/>
      <c r="IO359" s="262"/>
      <c r="IP359" s="262"/>
      <c r="IQ359" s="262"/>
      <c r="IR359" s="262"/>
      <c r="IS359" s="262"/>
      <c r="IT359" s="262"/>
      <c r="IU359" s="262"/>
    </row>
    <row r="360" ht="18" hidden="1" customHeight="1" spans="1:255">
      <c r="A360" s="267">
        <v>9012</v>
      </c>
      <c r="B360" s="268" t="s">
        <v>1744</v>
      </c>
      <c r="C360" s="225" t="s">
        <v>1380</v>
      </c>
      <c r="D360" s="230">
        <v>17665.1260888066</v>
      </c>
      <c r="E360" s="262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  <c r="P360" s="262"/>
      <c r="Q360" s="262"/>
      <c r="R360" s="262"/>
      <c r="S360" s="262"/>
      <c r="T360" s="262"/>
      <c r="U360" s="262"/>
      <c r="V360" s="262"/>
      <c r="W360" s="262"/>
      <c r="X360" s="262"/>
      <c r="Y360" s="262"/>
      <c r="Z360" s="262"/>
      <c r="AA360" s="262"/>
      <c r="AB360" s="262"/>
      <c r="AC360" s="262"/>
      <c r="AD360" s="262"/>
      <c r="AE360" s="262"/>
      <c r="AF360" s="262"/>
      <c r="AG360" s="262"/>
      <c r="AH360" s="262"/>
      <c r="AI360" s="262"/>
      <c r="AJ360" s="262"/>
      <c r="AK360" s="262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62"/>
      <c r="BH360" s="262"/>
      <c r="BI360" s="262"/>
      <c r="BJ360" s="262"/>
      <c r="BK360" s="262"/>
      <c r="BL360" s="262"/>
      <c r="BM360" s="262"/>
      <c r="BN360" s="262"/>
      <c r="BO360" s="262"/>
      <c r="BP360" s="262"/>
      <c r="BQ360" s="262"/>
      <c r="BR360" s="262"/>
      <c r="BS360" s="262"/>
      <c r="BT360" s="262"/>
      <c r="BU360" s="262"/>
      <c r="BV360" s="262"/>
      <c r="BW360" s="262"/>
      <c r="BX360" s="262"/>
      <c r="BY360" s="262"/>
      <c r="BZ360" s="262"/>
      <c r="CA360" s="262"/>
      <c r="CB360" s="262"/>
      <c r="CC360" s="262"/>
      <c r="CD360" s="262"/>
      <c r="CE360" s="262"/>
      <c r="CF360" s="262"/>
      <c r="CG360" s="262"/>
      <c r="CH360" s="262"/>
      <c r="CI360" s="262"/>
      <c r="CJ360" s="262"/>
      <c r="CK360" s="262"/>
      <c r="CL360" s="262"/>
      <c r="CM360" s="262"/>
      <c r="CN360" s="262"/>
      <c r="CO360" s="262"/>
      <c r="CP360" s="262"/>
      <c r="CQ360" s="262"/>
      <c r="CR360" s="262"/>
      <c r="CS360" s="262"/>
      <c r="CT360" s="262"/>
      <c r="CU360" s="262"/>
      <c r="CV360" s="262"/>
      <c r="CW360" s="262"/>
      <c r="CX360" s="262"/>
      <c r="CY360" s="262"/>
      <c r="CZ360" s="262"/>
      <c r="DA360" s="262"/>
      <c r="DB360" s="262"/>
      <c r="DC360" s="262"/>
      <c r="DD360" s="262"/>
      <c r="DE360" s="262"/>
      <c r="DF360" s="262"/>
      <c r="DG360" s="262"/>
      <c r="DH360" s="262"/>
      <c r="DI360" s="262"/>
      <c r="DJ360" s="262"/>
      <c r="DK360" s="262"/>
      <c r="DL360" s="262"/>
      <c r="DM360" s="262"/>
      <c r="DN360" s="262"/>
      <c r="DO360" s="262"/>
      <c r="DP360" s="262"/>
      <c r="DQ360" s="262"/>
      <c r="DR360" s="262"/>
      <c r="DS360" s="262"/>
      <c r="DT360" s="262"/>
      <c r="DU360" s="262"/>
      <c r="DV360" s="262"/>
      <c r="DW360" s="262"/>
      <c r="DX360" s="262"/>
      <c r="DY360" s="262"/>
      <c r="DZ360" s="262"/>
      <c r="EA360" s="262"/>
      <c r="EB360" s="262"/>
      <c r="EC360" s="262"/>
      <c r="ED360" s="262"/>
      <c r="EE360" s="262"/>
      <c r="EF360" s="262"/>
      <c r="EG360" s="262"/>
      <c r="EH360" s="262"/>
      <c r="EI360" s="262"/>
      <c r="EJ360" s="262"/>
      <c r="EK360" s="262"/>
      <c r="EL360" s="262"/>
      <c r="EM360" s="262"/>
      <c r="EN360" s="262"/>
      <c r="EO360" s="262"/>
      <c r="EP360" s="262"/>
      <c r="EQ360" s="262"/>
      <c r="ER360" s="262"/>
      <c r="ES360" s="262"/>
      <c r="ET360" s="262"/>
      <c r="EU360" s="262"/>
      <c r="EV360" s="262"/>
      <c r="EW360" s="262"/>
      <c r="EX360" s="262"/>
      <c r="EY360" s="262"/>
      <c r="EZ360" s="262"/>
      <c r="FA360" s="262"/>
      <c r="FB360" s="262"/>
      <c r="FC360" s="262"/>
      <c r="FD360" s="262"/>
      <c r="FE360" s="262"/>
      <c r="FF360" s="262"/>
      <c r="FG360" s="262"/>
      <c r="FH360" s="262"/>
      <c r="FI360" s="262"/>
      <c r="FJ360" s="262"/>
      <c r="FK360" s="262"/>
      <c r="FL360" s="262"/>
      <c r="FM360" s="262"/>
      <c r="FN360" s="262"/>
      <c r="FO360" s="262"/>
      <c r="FP360" s="262"/>
      <c r="FQ360" s="262"/>
      <c r="FR360" s="262"/>
      <c r="FS360" s="262"/>
      <c r="FT360" s="262"/>
      <c r="FU360" s="262"/>
      <c r="FV360" s="262"/>
      <c r="FW360" s="262"/>
      <c r="FX360" s="262"/>
      <c r="FY360" s="262"/>
      <c r="FZ360" s="262"/>
      <c r="GA360" s="262"/>
      <c r="GB360" s="262"/>
      <c r="GC360" s="262"/>
      <c r="GD360" s="262"/>
      <c r="GE360" s="262"/>
      <c r="GF360" s="262"/>
      <c r="GG360" s="262"/>
      <c r="GH360" s="262"/>
      <c r="GI360" s="262"/>
      <c r="GJ360" s="262"/>
      <c r="GK360" s="262"/>
      <c r="GL360" s="262"/>
      <c r="GM360" s="262"/>
      <c r="GN360" s="262"/>
      <c r="GO360" s="262"/>
      <c r="GP360" s="262"/>
      <c r="GQ360" s="262"/>
      <c r="GR360" s="262"/>
      <c r="GS360" s="262"/>
      <c r="GT360" s="262"/>
      <c r="GU360" s="262"/>
      <c r="GV360" s="262"/>
      <c r="GW360" s="262"/>
      <c r="GX360" s="262"/>
      <c r="GY360" s="262"/>
      <c r="GZ360" s="262"/>
      <c r="HA360" s="262"/>
      <c r="HB360" s="262"/>
      <c r="HC360" s="262"/>
      <c r="HD360" s="262"/>
      <c r="HE360" s="262"/>
      <c r="HF360" s="262"/>
      <c r="HG360" s="262"/>
      <c r="HH360" s="262"/>
      <c r="HI360" s="262"/>
      <c r="HJ360" s="262"/>
      <c r="HK360" s="262"/>
      <c r="HL360" s="262"/>
      <c r="HM360" s="262"/>
      <c r="HN360" s="262"/>
      <c r="HO360" s="262"/>
      <c r="HP360" s="262"/>
      <c r="HQ360" s="262"/>
      <c r="HR360" s="262"/>
      <c r="HS360" s="262"/>
      <c r="HT360" s="262"/>
      <c r="HU360" s="262"/>
      <c r="HV360" s="262"/>
      <c r="HW360" s="262"/>
      <c r="HX360" s="262"/>
      <c r="HY360" s="262"/>
      <c r="HZ360" s="262"/>
      <c r="IA360" s="262"/>
      <c r="IB360" s="262"/>
      <c r="IC360" s="262"/>
      <c r="ID360" s="262"/>
      <c r="IE360" s="262"/>
      <c r="IF360" s="262"/>
      <c r="IG360" s="262"/>
      <c r="IH360" s="262"/>
      <c r="II360" s="262"/>
      <c r="IJ360" s="262"/>
      <c r="IK360" s="262"/>
      <c r="IL360" s="262"/>
      <c r="IM360" s="262"/>
      <c r="IN360" s="262"/>
      <c r="IO360" s="262"/>
      <c r="IP360" s="262"/>
      <c r="IQ360" s="262"/>
      <c r="IR360" s="262"/>
      <c r="IS360" s="262"/>
      <c r="IT360" s="262"/>
      <c r="IU360" s="262"/>
    </row>
    <row r="361" ht="18" hidden="1" customHeight="1" spans="1:255">
      <c r="A361" s="267">
        <v>9013</v>
      </c>
      <c r="B361" s="268" t="s">
        <v>1745</v>
      </c>
      <c r="C361" s="225" t="s">
        <v>1380</v>
      </c>
      <c r="D361" s="230">
        <v>23934.0486038768</v>
      </c>
      <c r="E361" s="262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  <c r="P361" s="262"/>
      <c r="Q361" s="262"/>
      <c r="R361" s="262"/>
      <c r="S361" s="262"/>
      <c r="T361" s="262"/>
      <c r="U361" s="262"/>
      <c r="V361" s="262"/>
      <c r="W361" s="262"/>
      <c r="X361" s="262"/>
      <c r="Y361" s="262"/>
      <c r="Z361" s="262"/>
      <c r="AA361" s="262"/>
      <c r="AB361" s="262"/>
      <c r="AC361" s="262"/>
      <c r="AD361" s="262"/>
      <c r="AE361" s="262"/>
      <c r="AF361" s="262"/>
      <c r="AG361" s="262"/>
      <c r="AH361" s="262"/>
      <c r="AI361" s="262"/>
      <c r="AJ361" s="262"/>
      <c r="AK361" s="262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62"/>
      <c r="BH361" s="262"/>
      <c r="BI361" s="262"/>
      <c r="BJ361" s="262"/>
      <c r="BK361" s="262"/>
      <c r="BL361" s="262"/>
      <c r="BM361" s="262"/>
      <c r="BN361" s="262"/>
      <c r="BO361" s="262"/>
      <c r="BP361" s="262"/>
      <c r="BQ361" s="262"/>
      <c r="BR361" s="262"/>
      <c r="BS361" s="262"/>
      <c r="BT361" s="262"/>
      <c r="BU361" s="262"/>
      <c r="BV361" s="262"/>
      <c r="BW361" s="262"/>
      <c r="BX361" s="262"/>
      <c r="BY361" s="262"/>
      <c r="BZ361" s="262"/>
      <c r="CA361" s="262"/>
      <c r="CB361" s="262"/>
      <c r="CC361" s="262"/>
      <c r="CD361" s="262"/>
      <c r="CE361" s="262"/>
      <c r="CF361" s="262"/>
      <c r="CG361" s="262"/>
      <c r="CH361" s="262"/>
      <c r="CI361" s="262"/>
      <c r="CJ361" s="262"/>
      <c r="CK361" s="262"/>
      <c r="CL361" s="262"/>
      <c r="CM361" s="262"/>
      <c r="CN361" s="262"/>
      <c r="CO361" s="262"/>
      <c r="CP361" s="262"/>
      <c r="CQ361" s="262"/>
      <c r="CR361" s="262"/>
      <c r="CS361" s="262"/>
      <c r="CT361" s="262"/>
      <c r="CU361" s="262"/>
      <c r="CV361" s="262"/>
      <c r="CW361" s="262"/>
      <c r="CX361" s="262"/>
      <c r="CY361" s="262"/>
      <c r="CZ361" s="262"/>
      <c r="DA361" s="262"/>
      <c r="DB361" s="262"/>
      <c r="DC361" s="262"/>
      <c r="DD361" s="262"/>
      <c r="DE361" s="262"/>
      <c r="DF361" s="262"/>
      <c r="DG361" s="262"/>
      <c r="DH361" s="262"/>
      <c r="DI361" s="262"/>
      <c r="DJ361" s="262"/>
      <c r="DK361" s="262"/>
      <c r="DL361" s="262"/>
      <c r="DM361" s="262"/>
      <c r="DN361" s="262"/>
      <c r="DO361" s="262"/>
      <c r="DP361" s="262"/>
      <c r="DQ361" s="262"/>
      <c r="DR361" s="262"/>
      <c r="DS361" s="262"/>
      <c r="DT361" s="262"/>
      <c r="DU361" s="262"/>
      <c r="DV361" s="262"/>
      <c r="DW361" s="262"/>
      <c r="DX361" s="262"/>
      <c r="DY361" s="262"/>
      <c r="DZ361" s="262"/>
      <c r="EA361" s="262"/>
      <c r="EB361" s="262"/>
      <c r="EC361" s="262"/>
      <c r="ED361" s="262"/>
      <c r="EE361" s="262"/>
      <c r="EF361" s="262"/>
      <c r="EG361" s="262"/>
      <c r="EH361" s="262"/>
      <c r="EI361" s="262"/>
      <c r="EJ361" s="262"/>
      <c r="EK361" s="262"/>
      <c r="EL361" s="262"/>
      <c r="EM361" s="262"/>
      <c r="EN361" s="262"/>
      <c r="EO361" s="262"/>
      <c r="EP361" s="262"/>
      <c r="EQ361" s="262"/>
      <c r="ER361" s="262"/>
      <c r="ES361" s="262"/>
      <c r="ET361" s="262"/>
      <c r="EU361" s="262"/>
      <c r="EV361" s="262"/>
      <c r="EW361" s="262"/>
      <c r="EX361" s="262"/>
      <c r="EY361" s="262"/>
      <c r="EZ361" s="262"/>
      <c r="FA361" s="262"/>
      <c r="FB361" s="262"/>
      <c r="FC361" s="262"/>
      <c r="FD361" s="262"/>
      <c r="FE361" s="262"/>
      <c r="FF361" s="262"/>
      <c r="FG361" s="262"/>
      <c r="FH361" s="262"/>
      <c r="FI361" s="262"/>
      <c r="FJ361" s="262"/>
      <c r="FK361" s="262"/>
      <c r="FL361" s="262"/>
      <c r="FM361" s="262"/>
      <c r="FN361" s="262"/>
      <c r="FO361" s="262"/>
      <c r="FP361" s="262"/>
      <c r="FQ361" s="262"/>
      <c r="FR361" s="262"/>
      <c r="FS361" s="262"/>
      <c r="FT361" s="262"/>
      <c r="FU361" s="262"/>
      <c r="FV361" s="262"/>
      <c r="FW361" s="262"/>
      <c r="FX361" s="262"/>
      <c r="FY361" s="262"/>
      <c r="FZ361" s="262"/>
      <c r="GA361" s="262"/>
      <c r="GB361" s="262"/>
      <c r="GC361" s="262"/>
      <c r="GD361" s="262"/>
      <c r="GE361" s="262"/>
      <c r="GF361" s="262"/>
      <c r="GG361" s="262"/>
      <c r="GH361" s="262"/>
      <c r="GI361" s="262"/>
      <c r="GJ361" s="262"/>
      <c r="GK361" s="262"/>
      <c r="GL361" s="262"/>
      <c r="GM361" s="262"/>
      <c r="GN361" s="262"/>
      <c r="GO361" s="262"/>
      <c r="GP361" s="262"/>
      <c r="GQ361" s="262"/>
      <c r="GR361" s="262"/>
      <c r="GS361" s="262"/>
      <c r="GT361" s="262"/>
      <c r="GU361" s="262"/>
      <c r="GV361" s="262"/>
      <c r="GW361" s="262"/>
      <c r="GX361" s="262"/>
      <c r="GY361" s="262"/>
      <c r="GZ361" s="262"/>
      <c r="HA361" s="262"/>
      <c r="HB361" s="262"/>
      <c r="HC361" s="262"/>
      <c r="HD361" s="262"/>
      <c r="HE361" s="262"/>
      <c r="HF361" s="262"/>
      <c r="HG361" s="262"/>
      <c r="HH361" s="262"/>
      <c r="HI361" s="262"/>
      <c r="HJ361" s="262"/>
      <c r="HK361" s="262"/>
      <c r="HL361" s="262"/>
      <c r="HM361" s="262"/>
      <c r="HN361" s="262"/>
      <c r="HO361" s="262"/>
      <c r="HP361" s="262"/>
      <c r="HQ361" s="262"/>
      <c r="HR361" s="262"/>
      <c r="HS361" s="262"/>
      <c r="HT361" s="262"/>
      <c r="HU361" s="262"/>
      <c r="HV361" s="262"/>
      <c r="HW361" s="262"/>
      <c r="HX361" s="262"/>
      <c r="HY361" s="262"/>
      <c r="HZ361" s="262"/>
      <c r="IA361" s="262"/>
      <c r="IB361" s="262"/>
      <c r="IC361" s="262"/>
      <c r="ID361" s="262"/>
      <c r="IE361" s="262"/>
      <c r="IF361" s="262"/>
      <c r="IG361" s="262"/>
      <c r="IH361" s="262"/>
      <c r="II361" s="262"/>
      <c r="IJ361" s="262"/>
      <c r="IK361" s="262"/>
      <c r="IL361" s="262"/>
      <c r="IM361" s="262"/>
      <c r="IN361" s="262"/>
      <c r="IO361" s="262"/>
      <c r="IP361" s="262"/>
      <c r="IQ361" s="262"/>
      <c r="IR361" s="262"/>
      <c r="IS361" s="262"/>
      <c r="IT361" s="262"/>
      <c r="IU361" s="262"/>
    </row>
    <row r="362" ht="18" customHeight="1" spans="1:255">
      <c r="A362" s="267">
        <v>9015</v>
      </c>
      <c r="B362" s="268" t="s">
        <v>1746</v>
      </c>
      <c r="C362" s="225" t="s">
        <v>1380</v>
      </c>
      <c r="D362" s="230">
        <v>18830.1521322846</v>
      </c>
      <c r="E362" s="262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  <c r="P362" s="262"/>
      <c r="Q362" s="262"/>
      <c r="R362" s="262"/>
      <c r="S362" s="262"/>
      <c r="T362" s="262"/>
      <c r="U362" s="262"/>
      <c r="V362" s="262"/>
      <c r="W362" s="262"/>
      <c r="X362" s="262"/>
      <c r="Y362" s="262"/>
      <c r="Z362" s="262"/>
      <c r="AA362" s="262"/>
      <c r="AB362" s="262"/>
      <c r="AC362" s="262"/>
      <c r="AD362" s="262"/>
      <c r="AE362" s="262"/>
      <c r="AF362" s="262"/>
      <c r="AG362" s="262"/>
      <c r="AH362" s="262"/>
      <c r="AI362" s="262"/>
      <c r="AJ362" s="262"/>
      <c r="AK362" s="262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62"/>
      <c r="BH362" s="262"/>
      <c r="BI362" s="262"/>
      <c r="BJ362" s="262"/>
      <c r="BK362" s="262"/>
      <c r="BL362" s="262"/>
      <c r="BM362" s="262"/>
      <c r="BN362" s="262"/>
      <c r="BO362" s="262"/>
      <c r="BP362" s="262"/>
      <c r="BQ362" s="262"/>
      <c r="BR362" s="262"/>
      <c r="BS362" s="262"/>
      <c r="BT362" s="262"/>
      <c r="BU362" s="262"/>
      <c r="BV362" s="262"/>
      <c r="BW362" s="262"/>
      <c r="BX362" s="262"/>
      <c r="BY362" s="262"/>
      <c r="BZ362" s="262"/>
      <c r="CA362" s="262"/>
      <c r="CB362" s="262"/>
      <c r="CC362" s="262"/>
      <c r="CD362" s="262"/>
      <c r="CE362" s="262"/>
      <c r="CF362" s="262"/>
      <c r="CG362" s="262"/>
      <c r="CH362" s="262"/>
      <c r="CI362" s="262"/>
      <c r="CJ362" s="262"/>
      <c r="CK362" s="262"/>
      <c r="CL362" s="262"/>
      <c r="CM362" s="262"/>
      <c r="CN362" s="262"/>
      <c r="CO362" s="262"/>
      <c r="CP362" s="262"/>
      <c r="CQ362" s="262"/>
      <c r="CR362" s="262"/>
      <c r="CS362" s="262"/>
      <c r="CT362" s="262"/>
      <c r="CU362" s="262"/>
      <c r="CV362" s="262"/>
      <c r="CW362" s="262"/>
      <c r="CX362" s="262"/>
      <c r="CY362" s="262"/>
      <c r="CZ362" s="262"/>
      <c r="DA362" s="262"/>
      <c r="DB362" s="262"/>
      <c r="DC362" s="262"/>
      <c r="DD362" s="262"/>
      <c r="DE362" s="262"/>
      <c r="DF362" s="262"/>
      <c r="DG362" s="262"/>
      <c r="DH362" s="262"/>
      <c r="DI362" s="262"/>
      <c r="DJ362" s="262"/>
      <c r="DK362" s="262"/>
      <c r="DL362" s="262"/>
      <c r="DM362" s="262"/>
      <c r="DN362" s="262"/>
      <c r="DO362" s="262"/>
      <c r="DP362" s="262"/>
      <c r="DQ362" s="262"/>
      <c r="DR362" s="262"/>
      <c r="DS362" s="262"/>
      <c r="DT362" s="262"/>
      <c r="DU362" s="262"/>
      <c r="DV362" s="262"/>
      <c r="DW362" s="262"/>
      <c r="DX362" s="262"/>
      <c r="DY362" s="262"/>
      <c r="DZ362" s="262"/>
      <c r="EA362" s="262"/>
      <c r="EB362" s="262"/>
      <c r="EC362" s="262"/>
      <c r="ED362" s="262"/>
      <c r="EE362" s="262"/>
      <c r="EF362" s="262"/>
      <c r="EG362" s="262"/>
      <c r="EH362" s="262"/>
      <c r="EI362" s="262"/>
      <c r="EJ362" s="262"/>
      <c r="EK362" s="262"/>
      <c r="EL362" s="262"/>
      <c r="EM362" s="262"/>
      <c r="EN362" s="262"/>
      <c r="EO362" s="262"/>
      <c r="EP362" s="262"/>
      <c r="EQ362" s="262"/>
      <c r="ER362" s="262"/>
      <c r="ES362" s="262"/>
      <c r="ET362" s="262"/>
      <c r="EU362" s="262"/>
      <c r="EV362" s="262"/>
      <c r="EW362" s="262"/>
      <c r="EX362" s="262"/>
      <c r="EY362" s="262"/>
      <c r="EZ362" s="262"/>
      <c r="FA362" s="262"/>
      <c r="FB362" s="262"/>
      <c r="FC362" s="262"/>
      <c r="FD362" s="262"/>
      <c r="FE362" s="262"/>
      <c r="FF362" s="262"/>
      <c r="FG362" s="262"/>
      <c r="FH362" s="262"/>
      <c r="FI362" s="262"/>
      <c r="FJ362" s="262"/>
      <c r="FK362" s="262"/>
      <c r="FL362" s="262"/>
      <c r="FM362" s="262"/>
      <c r="FN362" s="262"/>
      <c r="FO362" s="262"/>
      <c r="FP362" s="262"/>
      <c r="FQ362" s="262"/>
      <c r="FR362" s="262"/>
      <c r="FS362" s="262"/>
      <c r="FT362" s="262"/>
      <c r="FU362" s="262"/>
      <c r="FV362" s="262"/>
      <c r="FW362" s="262"/>
      <c r="FX362" s="262"/>
      <c r="FY362" s="262"/>
      <c r="FZ362" s="262"/>
      <c r="GA362" s="262"/>
      <c r="GB362" s="262"/>
      <c r="GC362" s="262"/>
      <c r="GD362" s="262"/>
      <c r="GE362" s="262"/>
      <c r="GF362" s="262"/>
      <c r="GG362" s="262"/>
      <c r="GH362" s="262"/>
      <c r="GI362" s="262"/>
      <c r="GJ362" s="262"/>
      <c r="GK362" s="262"/>
      <c r="GL362" s="262"/>
      <c r="GM362" s="262"/>
      <c r="GN362" s="262"/>
      <c r="GO362" s="262"/>
      <c r="GP362" s="262"/>
      <c r="GQ362" s="262"/>
      <c r="GR362" s="262"/>
      <c r="GS362" s="262"/>
      <c r="GT362" s="262"/>
      <c r="GU362" s="262"/>
      <c r="GV362" s="262"/>
      <c r="GW362" s="262"/>
      <c r="GX362" s="262"/>
      <c r="GY362" s="262"/>
      <c r="GZ362" s="262"/>
      <c r="HA362" s="262"/>
      <c r="HB362" s="262"/>
      <c r="HC362" s="262"/>
      <c r="HD362" s="262"/>
      <c r="HE362" s="262"/>
      <c r="HF362" s="262"/>
      <c r="HG362" s="262"/>
      <c r="HH362" s="262"/>
      <c r="HI362" s="262"/>
      <c r="HJ362" s="262"/>
      <c r="HK362" s="262"/>
      <c r="HL362" s="262"/>
      <c r="HM362" s="262"/>
      <c r="HN362" s="262"/>
      <c r="HO362" s="262"/>
      <c r="HP362" s="262"/>
      <c r="HQ362" s="262"/>
      <c r="HR362" s="262"/>
      <c r="HS362" s="262"/>
      <c r="HT362" s="262"/>
      <c r="HU362" s="262"/>
      <c r="HV362" s="262"/>
      <c r="HW362" s="262"/>
      <c r="HX362" s="262"/>
      <c r="HY362" s="262"/>
      <c r="HZ362" s="262"/>
      <c r="IA362" s="262"/>
      <c r="IB362" s="262"/>
      <c r="IC362" s="262"/>
      <c r="ID362" s="262"/>
      <c r="IE362" s="262"/>
      <c r="IF362" s="262"/>
      <c r="IG362" s="262"/>
      <c r="IH362" s="262"/>
      <c r="II362" s="262"/>
      <c r="IJ362" s="262"/>
      <c r="IK362" s="262"/>
      <c r="IL362" s="262"/>
      <c r="IM362" s="262"/>
      <c r="IN362" s="262"/>
      <c r="IO362" s="262"/>
      <c r="IP362" s="262"/>
      <c r="IQ362" s="262"/>
      <c r="IR362" s="262"/>
      <c r="IS362" s="262"/>
      <c r="IT362" s="262"/>
      <c r="IU362" s="262"/>
    </row>
    <row r="363" ht="18" customHeight="1" spans="1:255">
      <c r="A363" s="267">
        <v>9017</v>
      </c>
      <c r="B363" s="268" t="s">
        <v>1747</v>
      </c>
      <c r="C363" s="225" t="s">
        <v>1380</v>
      </c>
      <c r="D363" s="230">
        <v>9689.98741496442</v>
      </c>
      <c r="E363" s="262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  <c r="P363" s="262"/>
      <c r="Q363" s="262"/>
      <c r="R363" s="262"/>
      <c r="S363" s="262"/>
      <c r="T363" s="262"/>
      <c r="U363" s="262"/>
      <c r="V363" s="262"/>
      <c r="W363" s="262"/>
      <c r="X363" s="262"/>
      <c r="Y363" s="262"/>
      <c r="Z363" s="262"/>
      <c r="AA363" s="262"/>
      <c r="AB363" s="262"/>
      <c r="AC363" s="262"/>
      <c r="AD363" s="262"/>
      <c r="AE363" s="262"/>
      <c r="AF363" s="262"/>
      <c r="AG363" s="262"/>
      <c r="AH363" s="262"/>
      <c r="AI363" s="262"/>
      <c r="AJ363" s="262"/>
      <c r="AK363" s="262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62"/>
      <c r="BH363" s="262"/>
      <c r="BI363" s="262"/>
      <c r="BJ363" s="262"/>
      <c r="BK363" s="262"/>
      <c r="BL363" s="262"/>
      <c r="BM363" s="262"/>
      <c r="BN363" s="262"/>
      <c r="BO363" s="262"/>
      <c r="BP363" s="262"/>
      <c r="BQ363" s="262"/>
      <c r="BR363" s="262"/>
      <c r="BS363" s="262"/>
      <c r="BT363" s="262"/>
      <c r="BU363" s="262"/>
      <c r="BV363" s="262"/>
      <c r="BW363" s="262"/>
      <c r="BX363" s="262"/>
      <c r="BY363" s="262"/>
      <c r="BZ363" s="262"/>
      <c r="CA363" s="262"/>
      <c r="CB363" s="262"/>
      <c r="CC363" s="262"/>
      <c r="CD363" s="262"/>
      <c r="CE363" s="262"/>
      <c r="CF363" s="262"/>
      <c r="CG363" s="262"/>
      <c r="CH363" s="262"/>
      <c r="CI363" s="262"/>
      <c r="CJ363" s="262"/>
      <c r="CK363" s="262"/>
      <c r="CL363" s="262"/>
      <c r="CM363" s="262"/>
      <c r="CN363" s="262"/>
      <c r="CO363" s="262"/>
      <c r="CP363" s="262"/>
      <c r="CQ363" s="262"/>
      <c r="CR363" s="262"/>
      <c r="CS363" s="262"/>
      <c r="CT363" s="262"/>
      <c r="CU363" s="262"/>
      <c r="CV363" s="262"/>
      <c r="CW363" s="262"/>
      <c r="CX363" s="262"/>
      <c r="CY363" s="262"/>
      <c r="CZ363" s="262"/>
      <c r="DA363" s="262"/>
      <c r="DB363" s="262"/>
      <c r="DC363" s="262"/>
      <c r="DD363" s="262"/>
      <c r="DE363" s="262"/>
      <c r="DF363" s="262"/>
      <c r="DG363" s="262"/>
      <c r="DH363" s="262"/>
      <c r="DI363" s="262"/>
      <c r="DJ363" s="262"/>
      <c r="DK363" s="262"/>
      <c r="DL363" s="262"/>
      <c r="DM363" s="262"/>
      <c r="DN363" s="262"/>
      <c r="DO363" s="262"/>
      <c r="DP363" s="262"/>
      <c r="DQ363" s="262"/>
      <c r="DR363" s="262"/>
      <c r="DS363" s="262"/>
      <c r="DT363" s="262"/>
      <c r="DU363" s="262"/>
      <c r="DV363" s="262"/>
      <c r="DW363" s="262"/>
      <c r="DX363" s="262"/>
      <c r="DY363" s="262"/>
      <c r="DZ363" s="262"/>
      <c r="EA363" s="262"/>
      <c r="EB363" s="262"/>
      <c r="EC363" s="262"/>
      <c r="ED363" s="262"/>
      <c r="EE363" s="262"/>
      <c r="EF363" s="262"/>
      <c r="EG363" s="262"/>
      <c r="EH363" s="262"/>
      <c r="EI363" s="262"/>
      <c r="EJ363" s="262"/>
      <c r="EK363" s="262"/>
      <c r="EL363" s="262"/>
      <c r="EM363" s="262"/>
      <c r="EN363" s="262"/>
      <c r="EO363" s="262"/>
      <c r="EP363" s="262"/>
      <c r="EQ363" s="262"/>
      <c r="ER363" s="262"/>
      <c r="ES363" s="262"/>
      <c r="ET363" s="262"/>
      <c r="EU363" s="262"/>
      <c r="EV363" s="262"/>
      <c r="EW363" s="262"/>
      <c r="EX363" s="262"/>
      <c r="EY363" s="262"/>
      <c r="EZ363" s="262"/>
      <c r="FA363" s="262"/>
      <c r="FB363" s="262"/>
      <c r="FC363" s="262"/>
      <c r="FD363" s="262"/>
      <c r="FE363" s="262"/>
      <c r="FF363" s="262"/>
      <c r="FG363" s="262"/>
      <c r="FH363" s="262"/>
      <c r="FI363" s="262"/>
      <c r="FJ363" s="262"/>
      <c r="FK363" s="262"/>
      <c r="FL363" s="262"/>
      <c r="FM363" s="262"/>
      <c r="FN363" s="262"/>
      <c r="FO363" s="262"/>
      <c r="FP363" s="262"/>
      <c r="FQ363" s="262"/>
      <c r="FR363" s="262"/>
      <c r="FS363" s="262"/>
      <c r="FT363" s="262"/>
      <c r="FU363" s="262"/>
      <c r="FV363" s="262"/>
      <c r="FW363" s="262"/>
      <c r="FX363" s="262"/>
      <c r="FY363" s="262"/>
      <c r="FZ363" s="262"/>
      <c r="GA363" s="262"/>
      <c r="GB363" s="262"/>
      <c r="GC363" s="262"/>
      <c r="GD363" s="262"/>
      <c r="GE363" s="262"/>
      <c r="GF363" s="262"/>
      <c r="GG363" s="262"/>
      <c r="GH363" s="262"/>
      <c r="GI363" s="262"/>
      <c r="GJ363" s="262"/>
      <c r="GK363" s="262"/>
      <c r="GL363" s="262"/>
      <c r="GM363" s="262"/>
      <c r="GN363" s="262"/>
      <c r="GO363" s="262"/>
      <c r="GP363" s="262"/>
      <c r="GQ363" s="262"/>
      <c r="GR363" s="262"/>
      <c r="GS363" s="262"/>
      <c r="GT363" s="262"/>
      <c r="GU363" s="262"/>
      <c r="GV363" s="262"/>
      <c r="GW363" s="262"/>
      <c r="GX363" s="262"/>
      <c r="GY363" s="262"/>
      <c r="GZ363" s="262"/>
      <c r="HA363" s="262"/>
      <c r="HB363" s="262"/>
      <c r="HC363" s="262"/>
      <c r="HD363" s="262"/>
      <c r="HE363" s="262"/>
      <c r="HF363" s="262"/>
      <c r="HG363" s="262"/>
      <c r="HH363" s="262"/>
      <c r="HI363" s="262"/>
      <c r="HJ363" s="262"/>
      <c r="HK363" s="262"/>
      <c r="HL363" s="262"/>
      <c r="HM363" s="262"/>
      <c r="HN363" s="262"/>
      <c r="HO363" s="262"/>
      <c r="HP363" s="262"/>
      <c r="HQ363" s="262"/>
      <c r="HR363" s="262"/>
      <c r="HS363" s="262"/>
      <c r="HT363" s="262"/>
      <c r="HU363" s="262"/>
      <c r="HV363" s="262"/>
      <c r="HW363" s="262"/>
      <c r="HX363" s="262"/>
      <c r="HY363" s="262"/>
      <c r="HZ363" s="262"/>
      <c r="IA363" s="262"/>
      <c r="IB363" s="262"/>
      <c r="IC363" s="262"/>
      <c r="ID363" s="262"/>
      <c r="IE363" s="262"/>
      <c r="IF363" s="262"/>
      <c r="IG363" s="262"/>
      <c r="IH363" s="262"/>
      <c r="II363" s="262"/>
      <c r="IJ363" s="262"/>
      <c r="IK363" s="262"/>
      <c r="IL363" s="262"/>
      <c r="IM363" s="262"/>
      <c r="IN363" s="262"/>
      <c r="IO363" s="262"/>
      <c r="IP363" s="262"/>
      <c r="IQ363" s="262"/>
      <c r="IR363" s="262"/>
      <c r="IS363" s="262"/>
      <c r="IT363" s="262"/>
      <c r="IU363" s="262"/>
    </row>
    <row r="364" s="262" customFormat="1" ht="18" customHeight="1" spans="1:4">
      <c r="A364" s="267">
        <v>9018</v>
      </c>
      <c r="B364" s="268" t="s">
        <v>1748</v>
      </c>
      <c r="C364" s="225" t="s">
        <v>1380</v>
      </c>
      <c r="D364" s="230">
        <v>4224.6853699708</v>
      </c>
    </row>
    <row r="365" s="262" customFormat="1" ht="18" customHeight="1" spans="1:4">
      <c r="A365" s="267">
        <v>9019</v>
      </c>
      <c r="B365" s="268" t="s">
        <v>1749</v>
      </c>
      <c r="C365" s="225" t="s">
        <v>1380</v>
      </c>
      <c r="D365" s="230">
        <v>595.427009324939</v>
      </c>
    </row>
    <row r="366" s="262" customFormat="1" ht="18" customHeight="1" spans="1:4">
      <c r="A366" s="267">
        <v>9020</v>
      </c>
      <c r="B366" s="268" t="s">
        <v>1750</v>
      </c>
      <c r="C366" s="225" t="s">
        <v>1380</v>
      </c>
      <c r="D366" s="230">
        <v>3064.81129923666</v>
      </c>
    </row>
    <row r="367" s="262" customFormat="1" ht="18" customHeight="1" spans="1:4">
      <c r="A367" s="267">
        <v>9021</v>
      </c>
      <c r="B367" s="268" t="s">
        <v>1751</v>
      </c>
      <c r="C367" s="225" t="s">
        <v>1380</v>
      </c>
      <c r="D367" s="230">
        <v>5595.17430705485</v>
      </c>
    </row>
    <row r="368" s="261" customFormat="1" ht="18" customHeight="1" spans="1:4">
      <c r="A368" s="267">
        <v>9025</v>
      </c>
      <c r="B368" s="268" t="s">
        <v>1752</v>
      </c>
      <c r="C368" s="225" t="s">
        <v>1577</v>
      </c>
      <c r="D368" s="230">
        <v>2094.7332664729</v>
      </c>
    </row>
    <row r="369" ht="18" customHeight="1" spans="1:255">
      <c r="A369" s="267">
        <v>9026</v>
      </c>
      <c r="B369" s="268" t="s">
        <v>1753</v>
      </c>
      <c r="C369" s="225" t="s">
        <v>1440</v>
      </c>
      <c r="D369" s="230">
        <v>1526.51739050375</v>
      </c>
      <c r="E369" s="262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  <c r="P369" s="262"/>
      <c r="Q369" s="262"/>
      <c r="R369" s="262"/>
      <c r="S369" s="262"/>
      <c r="T369" s="262"/>
      <c r="U369" s="262"/>
      <c r="V369" s="262"/>
      <c r="W369" s="262"/>
      <c r="X369" s="262"/>
      <c r="Y369" s="262"/>
      <c r="Z369" s="262"/>
      <c r="AA369" s="262"/>
      <c r="AB369" s="262"/>
      <c r="AC369" s="262"/>
      <c r="AD369" s="262"/>
      <c r="AE369" s="262"/>
      <c r="AF369" s="262"/>
      <c r="AG369" s="262"/>
      <c r="AH369" s="262"/>
      <c r="AI369" s="262"/>
      <c r="AJ369" s="262"/>
      <c r="AK369" s="262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62"/>
      <c r="BH369" s="262"/>
      <c r="BI369" s="262"/>
      <c r="BJ369" s="262"/>
      <c r="BK369" s="262"/>
      <c r="BL369" s="262"/>
      <c r="BM369" s="262"/>
      <c r="BN369" s="262"/>
      <c r="BO369" s="262"/>
      <c r="BP369" s="262"/>
      <c r="BQ369" s="262"/>
      <c r="BR369" s="262"/>
      <c r="BS369" s="262"/>
      <c r="BT369" s="262"/>
      <c r="BU369" s="262"/>
      <c r="BV369" s="262"/>
      <c r="BW369" s="262"/>
      <c r="BX369" s="262"/>
      <c r="BY369" s="262"/>
      <c r="BZ369" s="262"/>
      <c r="CA369" s="262"/>
      <c r="CB369" s="262"/>
      <c r="CC369" s="262"/>
      <c r="CD369" s="262"/>
      <c r="CE369" s="262"/>
      <c r="CF369" s="262"/>
      <c r="CG369" s="262"/>
      <c r="CH369" s="262"/>
      <c r="CI369" s="262"/>
      <c r="CJ369" s="262"/>
      <c r="CK369" s="262"/>
      <c r="CL369" s="262"/>
      <c r="CM369" s="262"/>
      <c r="CN369" s="262"/>
      <c r="CO369" s="262"/>
      <c r="CP369" s="262"/>
      <c r="CQ369" s="262"/>
      <c r="CR369" s="262"/>
      <c r="CS369" s="262"/>
      <c r="CT369" s="262"/>
      <c r="CU369" s="262"/>
      <c r="CV369" s="262"/>
      <c r="CW369" s="262"/>
      <c r="CX369" s="262"/>
      <c r="CY369" s="262"/>
      <c r="CZ369" s="262"/>
      <c r="DA369" s="262"/>
      <c r="DB369" s="262"/>
      <c r="DC369" s="262"/>
      <c r="DD369" s="262"/>
      <c r="DE369" s="262"/>
      <c r="DF369" s="262"/>
      <c r="DG369" s="262"/>
      <c r="DH369" s="262"/>
      <c r="DI369" s="262"/>
      <c r="DJ369" s="262"/>
      <c r="DK369" s="262"/>
      <c r="DL369" s="262"/>
      <c r="DM369" s="262"/>
      <c r="DN369" s="262"/>
      <c r="DO369" s="262"/>
      <c r="DP369" s="262"/>
      <c r="DQ369" s="262"/>
      <c r="DR369" s="262"/>
      <c r="DS369" s="262"/>
      <c r="DT369" s="262"/>
      <c r="DU369" s="262"/>
      <c r="DV369" s="262"/>
      <c r="DW369" s="262"/>
      <c r="DX369" s="262"/>
      <c r="DY369" s="262"/>
      <c r="DZ369" s="262"/>
      <c r="EA369" s="262"/>
      <c r="EB369" s="262"/>
      <c r="EC369" s="262"/>
      <c r="ED369" s="262"/>
      <c r="EE369" s="262"/>
      <c r="EF369" s="262"/>
      <c r="EG369" s="262"/>
      <c r="EH369" s="262"/>
      <c r="EI369" s="262"/>
      <c r="EJ369" s="262"/>
      <c r="EK369" s="262"/>
      <c r="EL369" s="262"/>
      <c r="EM369" s="262"/>
      <c r="EN369" s="262"/>
      <c r="EO369" s="262"/>
      <c r="EP369" s="262"/>
      <c r="EQ369" s="262"/>
      <c r="ER369" s="262"/>
      <c r="ES369" s="262"/>
      <c r="ET369" s="262"/>
      <c r="EU369" s="262"/>
      <c r="EV369" s="262"/>
      <c r="EW369" s="262"/>
      <c r="EX369" s="262"/>
      <c r="EY369" s="262"/>
      <c r="EZ369" s="262"/>
      <c r="FA369" s="262"/>
      <c r="FB369" s="262"/>
      <c r="FC369" s="262"/>
      <c r="FD369" s="262"/>
      <c r="FE369" s="262"/>
      <c r="FF369" s="262"/>
      <c r="FG369" s="262"/>
      <c r="FH369" s="262"/>
      <c r="FI369" s="262"/>
      <c r="FJ369" s="262"/>
      <c r="FK369" s="262"/>
      <c r="FL369" s="262"/>
      <c r="FM369" s="262"/>
      <c r="FN369" s="262"/>
      <c r="FO369" s="262"/>
      <c r="FP369" s="262"/>
      <c r="FQ369" s="262"/>
      <c r="FR369" s="262"/>
      <c r="FS369" s="262"/>
      <c r="FT369" s="262"/>
      <c r="FU369" s="262"/>
      <c r="FV369" s="262"/>
      <c r="FW369" s="262"/>
      <c r="FX369" s="262"/>
      <c r="FY369" s="262"/>
      <c r="FZ369" s="262"/>
      <c r="GA369" s="262"/>
      <c r="GB369" s="262"/>
      <c r="GC369" s="262"/>
      <c r="GD369" s="262"/>
      <c r="GE369" s="262"/>
      <c r="GF369" s="262"/>
      <c r="GG369" s="262"/>
      <c r="GH369" s="262"/>
      <c r="GI369" s="262"/>
      <c r="GJ369" s="262"/>
      <c r="GK369" s="262"/>
      <c r="GL369" s="262"/>
      <c r="GM369" s="262"/>
      <c r="GN369" s="262"/>
      <c r="GO369" s="262"/>
      <c r="GP369" s="262"/>
      <c r="GQ369" s="262"/>
      <c r="GR369" s="262"/>
      <c r="GS369" s="262"/>
      <c r="GT369" s="262"/>
      <c r="GU369" s="262"/>
      <c r="GV369" s="262"/>
      <c r="GW369" s="262"/>
      <c r="GX369" s="262"/>
      <c r="GY369" s="262"/>
      <c r="GZ369" s="262"/>
      <c r="HA369" s="262"/>
      <c r="HB369" s="262"/>
      <c r="HC369" s="262"/>
      <c r="HD369" s="262"/>
      <c r="HE369" s="262"/>
      <c r="HF369" s="262"/>
      <c r="HG369" s="262"/>
      <c r="HH369" s="262"/>
      <c r="HI369" s="262"/>
      <c r="HJ369" s="262"/>
      <c r="HK369" s="262"/>
      <c r="HL369" s="262"/>
      <c r="HM369" s="262"/>
      <c r="HN369" s="262"/>
      <c r="HO369" s="262"/>
      <c r="HP369" s="262"/>
      <c r="HQ369" s="262"/>
      <c r="HR369" s="262"/>
      <c r="HS369" s="262"/>
      <c r="HT369" s="262"/>
      <c r="HU369" s="262"/>
      <c r="HV369" s="262"/>
      <c r="HW369" s="262"/>
      <c r="HX369" s="262"/>
      <c r="HY369" s="262"/>
      <c r="HZ369" s="262"/>
      <c r="IA369" s="262"/>
      <c r="IB369" s="262"/>
      <c r="IC369" s="262"/>
      <c r="ID369" s="262"/>
      <c r="IE369" s="262"/>
      <c r="IF369" s="262"/>
      <c r="IG369" s="262"/>
      <c r="IH369" s="262"/>
      <c r="II369" s="262"/>
      <c r="IJ369" s="262"/>
      <c r="IK369" s="262"/>
      <c r="IL369" s="262"/>
      <c r="IM369" s="262"/>
      <c r="IN369" s="262"/>
      <c r="IO369" s="262"/>
      <c r="IP369" s="262"/>
      <c r="IQ369" s="262"/>
      <c r="IR369" s="262"/>
      <c r="IS369" s="262"/>
      <c r="IT369" s="262"/>
      <c r="IU369" s="262"/>
    </row>
    <row r="370" ht="18" customHeight="1" spans="1:255">
      <c r="A370" s="266" t="s">
        <v>1754</v>
      </c>
      <c r="B370" s="266"/>
      <c r="C370" s="271"/>
      <c r="D370" s="272"/>
      <c r="E370" s="262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  <c r="P370" s="262"/>
      <c r="Q370" s="262"/>
      <c r="R370" s="262"/>
      <c r="S370" s="262"/>
      <c r="T370" s="262"/>
      <c r="U370" s="262"/>
      <c r="V370" s="262"/>
      <c r="W370" s="262"/>
      <c r="X370" s="262"/>
      <c r="Y370" s="262"/>
      <c r="Z370" s="262"/>
      <c r="AA370" s="262"/>
      <c r="AB370" s="262"/>
      <c r="AC370" s="262"/>
      <c r="AD370" s="262"/>
      <c r="AE370" s="262"/>
      <c r="AF370" s="262"/>
      <c r="AG370" s="262"/>
      <c r="AH370" s="262"/>
      <c r="AI370" s="262"/>
      <c r="AJ370" s="262"/>
      <c r="AK370" s="262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62"/>
      <c r="BH370" s="262"/>
      <c r="BI370" s="262"/>
      <c r="BJ370" s="262"/>
      <c r="BK370" s="262"/>
      <c r="BL370" s="262"/>
      <c r="BM370" s="262"/>
      <c r="BN370" s="262"/>
      <c r="BO370" s="262"/>
      <c r="BP370" s="262"/>
      <c r="BQ370" s="262"/>
      <c r="BR370" s="262"/>
      <c r="BS370" s="262"/>
      <c r="BT370" s="262"/>
      <c r="BU370" s="262"/>
      <c r="BV370" s="262"/>
      <c r="BW370" s="262"/>
      <c r="BX370" s="262"/>
      <c r="BY370" s="262"/>
      <c r="BZ370" s="262"/>
      <c r="CA370" s="262"/>
      <c r="CB370" s="262"/>
      <c r="CC370" s="262"/>
      <c r="CD370" s="262"/>
      <c r="CE370" s="262"/>
      <c r="CF370" s="262"/>
      <c r="CG370" s="262"/>
      <c r="CH370" s="262"/>
      <c r="CI370" s="262"/>
      <c r="CJ370" s="262"/>
      <c r="CK370" s="262"/>
      <c r="CL370" s="262"/>
      <c r="CM370" s="262"/>
      <c r="CN370" s="262"/>
      <c r="CO370" s="262"/>
      <c r="CP370" s="262"/>
      <c r="CQ370" s="262"/>
      <c r="CR370" s="262"/>
      <c r="CS370" s="262"/>
      <c r="CT370" s="262"/>
      <c r="CU370" s="262"/>
      <c r="CV370" s="262"/>
      <c r="CW370" s="262"/>
      <c r="CX370" s="262"/>
      <c r="CY370" s="262"/>
      <c r="CZ370" s="262"/>
      <c r="DA370" s="262"/>
      <c r="DB370" s="262"/>
      <c r="DC370" s="262"/>
      <c r="DD370" s="262"/>
      <c r="DE370" s="262"/>
      <c r="DF370" s="262"/>
      <c r="DG370" s="262"/>
      <c r="DH370" s="262"/>
      <c r="DI370" s="262"/>
      <c r="DJ370" s="262"/>
      <c r="DK370" s="262"/>
      <c r="DL370" s="262"/>
      <c r="DM370" s="262"/>
      <c r="DN370" s="262"/>
      <c r="DO370" s="262"/>
      <c r="DP370" s="262"/>
      <c r="DQ370" s="262"/>
      <c r="DR370" s="262"/>
      <c r="DS370" s="262"/>
      <c r="DT370" s="262"/>
      <c r="DU370" s="262"/>
      <c r="DV370" s="262"/>
      <c r="DW370" s="262"/>
      <c r="DX370" s="262"/>
      <c r="DY370" s="262"/>
      <c r="DZ370" s="262"/>
      <c r="EA370" s="262"/>
      <c r="EB370" s="262"/>
      <c r="EC370" s="262"/>
      <c r="ED370" s="262"/>
      <c r="EE370" s="262"/>
      <c r="EF370" s="262"/>
      <c r="EG370" s="262"/>
      <c r="EH370" s="262"/>
      <c r="EI370" s="262"/>
      <c r="EJ370" s="262"/>
      <c r="EK370" s="262"/>
      <c r="EL370" s="262"/>
      <c r="EM370" s="262"/>
      <c r="EN370" s="262"/>
      <c r="EO370" s="262"/>
      <c r="EP370" s="262"/>
      <c r="EQ370" s="262"/>
      <c r="ER370" s="262"/>
      <c r="ES370" s="262"/>
      <c r="ET370" s="262"/>
      <c r="EU370" s="262"/>
      <c r="EV370" s="262"/>
      <c r="EW370" s="262"/>
      <c r="EX370" s="262"/>
      <c r="EY370" s="262"/>
      <c r="EZ370" s="262"/>
      <c r="FA370" s="262"/>
      <c r="FB370" s="262"/>
      <c r="FC370" s="262"/>
      <c r="FD370" s="262"/>
      <c r="FE370" s="262"/>
      <c r="FF370" s="262"/>
      <c r="FG370" s="262"/>
      <c r="FH370" s="262"/>
      <c r="FI370" s="262"/>
      <c r="FJ370" s="262"/>
      <c r="FK370" s="262"/>
      <c r="FL370" s="262"/>
      <c r="FM370" s="262"/>
      <c r="FN370" s="262"/>
      <c r="FO370" s="262"/>
      <c r="FP370" s="262"/>
      <c r="FQ370" s="262"/>
      <c r="FR370" s="262"/>
      <c r="FS370" s="262"/>
      <c r="FT370" s="262"/>
      <c r="FU370" s="262"/>
      <c r="FV370" s="262"/>
      <c r="FW370" s="262"/>
      <c r="FX370" s="262"/>
      <c r="FY370" s="262"/>
      <c r="FZ370" s="262"/>
      <c r="GA370" s="262"/>
      <c r="GB370" s="262"/>
      <c r="GC370" s="262"/>
      <c r="GD370" s="262"/>
      <c r="GE370" s="262"/>
      <c r="GF370" s="262"/>
      <c r="GG370" s="262"/>
      <c r="GH370" s="262"/>
      <c r="GI370" s="262"/>
      <c r="GJ370" s="262"/>
      <c r="GK370" s="262"/>
      <c r="GL370" s="262"/>
      <c r="GM370" s="262"/>
      <c r="GN370" s="262"/>
      <c r="GO370" s="262"/>
      <c r="GP370" s="262"/>
      <c r="GQ370" s="262"/>
      <c r="GR370" s="262"/>
      <c r="GS370" s="262"/>
      <c r="GT370" s="262"/>
      <c r="GU370" s="262"/>
      <c r="GV370" s="262"/>
      <c r="GW370" s="262"/>
      <c r="GX370" s="262"/>
      <c r="GY370" s="262"/>
      <c r="GZ370" s="262"/>
      <c r="HA370" s="262"/>
      <c r="HB370" s="262"/>
      <c r="HC370" s="262"/>
      <c r="HD370" s="262"/>
      <c r="HE370" s="262"/>
      <c r="HF370" s="262"/>
      <c r="HG370" s="262"/>
      <c r="HH370" s="262"/>
      <c r="HI370" s="262"/>
      <c r="HJ370" s="262"/>
      <c r="HK370" s="262"/>
      <c r="HL370" s="262"/>
      <c r="HM370" s="262"/>
      <c r="HN370" s="262"/>
      <c r="HO370" s="262"/>
      <c r="HP370" s="262"/>
      <c r="HQ370" s="262"/>
      <c r="HR370" s="262"/>
      <c r="HS370" s="262"/>
      <c r="HT370" s="262"/>
      <c r="HU370" s="262"/>
      <c r="HV370" s="262"/>
      <c r="HW370" s="262"/>
      <c r="HX370" s="262"/>
      <c r="HY370" s="262"/>
      <c r="HZ370" s="262"/>
      <c r="IA370" s="262"/>
      <c r="IB370" s="262"/>
      <c r="IC370" s="262"/>
      <c r="ID370" s="262"/>
      <c r="IE370" s="262"/>
      <c r="IF370" s="262"/>
      <c r="IG370" s="262"/>
      <c r="IH370" s="262"/>
      <c r="II370" s="262"/>
      <c r="IJ370" s="262"/>
      <c r="IK370" s="262"/>
      <c r="IL370" s="262"/>
      <c r="IM370" s="262"/>
      <c r="IN370" s="262"/>
      <c r="IO370" s="262"/>
      <c r="IP370" s="262"/>
      <c r="IQ370" s="262"/>
      <c r="IR370" s="262"/>
      <c r="IS370" s="262"/>
      <c r="IT370" s="262"/>
      <c r="IU370" s="262"/>
    </row>
    <row r="371" ht="18" customHeight="1" spans="1:255">
      <c r="A371" s="267">
        <v>10001</v>
      </c>
      <c r="B371" s="268" t="s">
        <v>1755</v>
      </c>
      <c r="C371" s="225" t="s">
        <v>1380</v>
      </c>
      <c r="D371" s="230">
        <v>1779.83793986588</v>
      </c>
      <c r="E371" s="262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  <c r="P371" s="262"/>
      <c r="Q371" s="262"/>
      <c r="R371" s="262"/>
      <c r="S371" s="262"/>
      <c r="T371" s="262"/>
      <c r="U371" s="262"/>
      <c r="V371" s="262"/>
      <c r="W371" s="262"/>
      <c r="X371" s="262"/>
      <c r="Y371" s="262"/>
      <c r="Z371" s="262"/>
      <c r="AA371" s="262"/>
      <c r="AB371" s="262"/>
      <c r="AC371" s="262"/>
      <c r="AD371" s="262"/>
      <c r="AE371" s="262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62"/>
      <c r="BH371" s="262"/>
      <c r="BI371" s="262"/>
      <c r="BJ371" s="262"/>
      <c r="BK371" s="262"/>
      <c r="BL371" s="262"/>
      <c r="BM371" s="262"/>
      <c r="BN371" s="262"/>
      <c r="BO371" s="262"/>
      <c r="BP371" s="262"/>
      <c r="BQ371" s="262"/>
      <c r="BR371" s="262"/>
      <c r="BS371" s="262"/>
      <c r="BT371" s="262"/>
      <c r="BU371" s="262"/>
      <c r="BV371" s="262"/>
      <c r="BW371" s="262"/>
      <c r="BX371" s="262"/>
      <c r="BY371" s="262"/>
      <c r="BZ371" s="262"/>
      <c r="CA371" s="262"/>
      <c r="CB371" s="262"/>
      <c r="CC371" s="262"/>
      <c r="CD371" s="262"/>
      <c r="CE371" s="262"/>
      <c r="CF371" s="262"/>
      <c r="CG371" s="262"/>
      <c r="CH371" s="262"/>
      <c r="CI371" s="262"/>
      <c r="CJ371" s="262"/>
      <c r="CK371" s="262"/>
      <c r="CL371" s="262"/>
      <c r="CM371" s="262"/>
      <c r="CN371" s="262"/>
      <c r="CO371" s="262"/>
      <c r="CP371" s="262"/>
      <c r="CQ371" s="262"/>
      <c r="CR371" s="262"/>
      <c r="CS371" s="262"/>
      <c r="CT371" s="262"/>
      <c r="CU371" s="262"/>
      <c r="CV371" s="262"/>
      <c r="CW371" s="262"/>
      <c r="CX371" s="262"/>
      <c r="CY371" s="262"/>
      <c r="CZ371" s="262"/>
      <c r="DA371" s="262"/>
      <c r="DB371" s="262"/>
      <c r="DC371" s="262"/>
      <c r="DD371" s="262"/>
      <c r="DE371" s="262"/>
      <c r="DF371" s="262"/>
      <c r="DG371" s="262"/>
      <c r="DH371" s="262"/>
      <c r="DI371" s="262"/>
      <c r="DJ371" s="262"/>
      <c r="DK371" s="262"/>
      <c r="DL371" s="262"/>
      <c r="DM371" s="262"/>
      <c r="DN371" s="262"/>
      <c r="DO371" s="262"/>
      <c r="DP371" s="262"/>
      <c r="DQ371" s="262"/>
      <c r="DR371" s="262"/>
      <c r="DS371" s="262"/>
      <c r="DT371" s="262"/>
      <c r="DU371" s="262"/>
      <c r="DV371" s="262"/>
      <c r="DW371" s="262"/>
      <c r="DX371" s="262"/>
      <c r="DY371" s="262"/>
      <c r="DZ371" s="262"/>
      <c r="EA371" s="262"/>
      <c r="EB371" s="262"/>
      <c r="EC371" s="262"/>
      <c r="ED371" s="262"/>
      <c r="EE371" s="262"/>
      <c r="EF371" s="262"/>
      <c r="EG371" s="262"/>
      <c r="EH371" s="262"/>
      <c r="EI371" s="262"/>
      <c r="EJ371" s="262"/>
      <c r="EK371" s="262"/>
      <c r="EL371" s="262"/>
      <c r="EM371" s="262"/>
      <c r="EN371" s="262"/>
      <c r="EO371" s="262"/>
      <c r="EP371" s="262"/>
      <c r="EQ371" s="262"/>
      <c r="ER371" s="262"/>
      <c r="ES371" s="262"/>
      <c r="ET371" s="262"/>
      <c r="EU371" s="262"/>
      <c r="EV371" s="262"/>
      <c r="EW371" s="262"/>
      <c r="EX371" s="262"/>
      <c r="EY371" s="262"/>
      <c r="EZ371" s="262"/>
      <c r="FA371" s="262"/>
      <c r="FB371" s="262"/>
      <c r="FC371" s="262"/>
      <c r="FD371" s="262"/>
      <c r="FE371" s="262"/>
      <c r="FF371" s="262"/>
      <c r="FG371" s="262"/>
      <c r="FH371" s="262"/>
      <c r="FI371" s="262"/>
      <c r="FJ371" s="262"/>
      <c r="FK371" s="262"/>
      <c r="FL371" s="262"/>
      <c r="FM371" s="262"/>
      <c r="FN371" s="262"/>
      <c r="FO371" s="262"/>
      <c r="FP371" s="262"/>
      <c r="FQ371" s="262"/>
      <c r="FR371" s="262"/>
      <c r="FS371" s="262"/>
      <c r="FT371" s="262"/>
      <c r="FU371" s="262"/>
      <c r="FV371" s="262"/>
      <c r="FW371" s="262"/>
      <c r="FX371" s="262"/>
      <c r="FY371" s="262"/>
      <c r="FZ371" s="262"/>
      <c r="GA371" s="262"/>
      <c r="GB371" s="262"/>
      <c r="GC371" s="262"/>
      <c r="GD371" s="262"/>
      <c r="GE371" s="262"/>
      <c r="GF371" s="262"/>
      <c r="GG371" s="262"/>
      <c r="GH371" s="262"/>
      <c r="GI371" s="262"/>
      <c r="GJ371" s="262"/>
      <c r="GK371" s="262"/>
      <c r="GL371" s="262"/>
      <c r="GM371" s="262"/>
      <c r="GN371" s="262"/>
      <c r="GO371" s="262"/>
      <c r="GP371" s="262"/>
      <c r="GQ371" s="262"/>
      <c r="GR371" s="262"/>
      <c r="GS371" s="262"/>
      <c r="GT371" s="262"/>
      <c r="GU371" s="262"/>
      <c r="GV371" s="262"/>
      <c r="GW371" s="262"/>
      <c r="GX371" s="262"/>
      <c r="GY371" s="262"/>
      <c r="GZ371" s="262"/>
      <c r="HA371" s="262"/>
      <c r="HB371" s="262"/>
      <c r="HC371" s="262"/>
      <c r="HD371" s="262"/>
      <c r="HE371" s="262"/>
      <c r="HF371" s="262"/>
      <c r="HG371" s="262"/>
      <c r="HH371" s="262"/>
      <c r="HI371" s="262"/>
      <c r="HJ371" s="262"/>
      <c r="HK371" s="262"/>
      <c r="HL371" s="262"/>
      <c r="HM371" s="262"/>
      <c r="HN371" s="262"/>
      <c r="HO371" s="262"/>
      <c r="HP371" s="262"/>
      <c r="HQ371" s="262"/>
      <c r="HR371" s="262"/>
      <c r="HS371" s="262"/>
      <c r="HT371" s="262"/>
      <c r="HU371" s="262"/>
      <c r="HV371" s="262"/>
      <c r="HW371" s="262"/>
      <c r="HX371" s="262"/>
      <c r="HY371" s="262"/>
      <c r="HZ371" s="262"/>
      <c r="IA371" s="262"/>
      <c r="IB371" s="262"/>
      <c r="IC371" s="262"/>
      <c r="ID371" s="262"/>
      <c r="IE371" s="262"/>
      <c r="IF371" s="262"/>
      <c r="IG371" s="262"/>
      <c r="IH371" s="262"/>
      <c r="II371" s="262"/>
      <c r="IJ371" s="262"/>
      <c r="IK371" s="262"/>
      <c r="IL371" s="262"/>
      <c r="IM371" s="262"/>
      <c r="IN371" s="262"/>
      <c r="IO371" s="262"/>
      <c r="IP371" s="262"/>
      <c r="IQ371" s="262"/>
      <c r="IR371" s="262"/>
      <c r="IS371" s="262"/>
      <c r="IT371" s="262"/>
      <c r="IU371" s="262"/>
    </row>
    <row r="372" ht="18" hidden="1" customHeight="1" spans="1:255">
      <c r="A372" s="267">
        <v>10004</v>
      </c>
      <c r="B372" s="268" t="s">
        <v>1756</v>
      </c>
      <c r="C372" s="225" t="s">
        <v>1380</v>
      </c>
      <c r="D372" s="230">
        <v>10277.8413401944</v>
      </c>
      <c r="E372" s="262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  <c r="P372" s="262"/>
      <c r="Q372" s="262"/>
      <c r="R372" s="262"/>
      <c r="S372" s="262"/>
      <c r="T372" s="262"/>
      <c r="U372" s="262"/>
      <c r="V372" s="262"/>
      <c r="W372" s="262"/>
      <c r="X372" s="262"/>
      <c r="Y372" s="262"/>
      <c r="Z372" s="262"/>
      <c r="AA372" s="262"/>
      <c r="AB372" s="262"/>
      <c r="AC372" s="262"/>
      <c r="AD372" s="262"/>
      <c r="AE372" s="262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62"/>
      <c r="BH372" s="262"/>
      <c r="BI372" s="262"/>
      <c r="BJ372" s="262"/>
      <c r="BK372" s="262"/>
      <c r="BL372" s="262"/>
      <c r="BM372" s="262"/>
      <c r="BN372" s="262"/>
      <c r="BO372" s="262"/>
      <c r="BP372" s="262"/>
      <c r="BQ372" s="262"/>
      <c r="BR372" s="262"/>
      <c r="BS372" s="262"/>
      <c r="BT372" s="262"/>
      <c r="BU372" s="262"/>
      <c r="BV372" s="262"/>
      <c r="BW372" s="262"/>
      <c r="BX372" s="262"/>
      <c r="BY372" s="262"/>
      <c r="BZ372" s="262"/>
      <c r="CA372" s="262"/>
      <c r="CB372" s="262"/>
      <c r="CC372" s="262"/>
      <c r="CD372" s="262"/>
      <c r="CE372" s="262"/>
      <c r="CF372" s="262"/>
      <c r="CG372" s="262"/>
      <c r="CH372" s="262"/>
      <c r="CI372" s="262"/>
      <c r="CJ372" s="262"/>
      <c r="CK372" s="262"/>
      <c r="CL372" s="262"/>
      <c r="CM372" s="262"/>
      <c r="CN372" s="262"/>
      <c r="CO372" s="262"/>
      <c r="CP372" s="262"/>
      <c r="CQ372" s="262"/>
      <c r="CR372" s="262"/>
      <c r="CS372" s="262"/>
      <c r="CT372" s="262"/>
      <c r="CU372" s="262"/>
      <c r="CV372" s="262"/>
      <c r="CW372" s="262"/>
      <c r="CX372" s="262"/>
      <c r="CY372" s="262"/>
      <c r="CZ372" s="262"/>
      <c r="DA372" s="262"/>
      <c r="DB372" s="262"/>
      <c r="DC372" s="262"/>
      <c r="DD372" s="262"/>
      <c r="DE372" s="262"/>
      <c r="DF372" s="262"/>
      <c r="DG372" s="262"/>
      <c r="DH372" s="262"/>
      <c r="DI372" s="262"/>
      <c r="DJ372" s="262"/>
      <c r="DK372" s="262"/>
      <c r="DL372" s="262"/>
      <c r="DM372" s="262"/>
      <c r="DN372" s="262"/>
      <c r="DO372" s="262"/>
      <c r="DP372" s="262"/>
      <c r="DQ372" s="262"/>
      <c r="DR372" s="262"/>
      <c r="DS372" s="262"/>
      <c r="DT372" s="262"/>
      <c r="DU372" s="262"/>
      <c r="DV372" s="262"/>
      <c r="DW372" s="262"/>
      <c r="DX372" s="262"/>
      <c r="DY372" s="262"/>
      <c r="DZ372" s="262"/>
      <c r="EA372" s="262"/>
      <c r="EB372" s="262"/>
      <c r="EC372" s="262"/>
      <c r="ED372" s="262"/>
      <c r="EE372" s="262"/>
      <c r="EF372" s="262"/>
      <c r="EG372" s="262"/>
      <c r="EH372" s="262"/>
      <c r="EI372" s="262"/>
      <c r="EJ372" s="262"/>
      <c r="EK372" s="262"/>
      <c r="EL372" s="262"/>
      <c r="EM372" s="262"/>
      <c r="EN372" s="262"/>
      <c r="EO372" s="262"/>
      <c r="EP372" s="262"/>
      <c r="EQ372" s="262"/>
      <c r="ER372" s="262"/>
      <c r="ES372" s="262"/>
      <c r="ET372" s="262"/>
      <c r="EU372" s="262"/>
      <c r="EV372" s="262"/>
      <c r="EW372" s="262"/>
      <c r="EX372" s="262"/>
      <c r="EY372" s="262"/>
      <c r="EZ372" s="262"/>
      <c r="FA372" s="262"/>
      <c r="FB372" s="262"/>
      <c r="FC372" s="262"/>
      <c r="FD372" s="262"/>
      <c r="FE372" s="262"/>
      <c r="FF372" s="262"/>
      <c r="FG372" s="262"/>
      <c r="FH372" s="262"/>
      <c r="FI372" s="262"/>
      <c r="FJ372" s="262"/>
      <c r="FK372" s="262"/>
      <c r="FL372" s="262"/>
      <c r="FM372" s="262"/>
      <c r="FN372" s="262"/>
      <c r="FO372" s="262"/>
      <c r="FP372" s="262"/>
      <c r="FQ372" s="262"/>
      <c r="FR372" s="262"/>
      <c r="FS372" s="262"/>
      <c r="FT372" s="262"/>
      <c r="FU372" s="262"/>
      <c r="FV372" s="262"/>
      <c r="FW372" s="262"/>
      <c r="FX372" s="262"/>
      <c r="FY372" s="262"/>
      <c r="FZ372" s="262"/>
      <c r="GA372" s="262"/>
      <c r="GB372" s="262"/>
      <c r="GC372" s="262"/>
      <c r="GD372" s="262"/>
      <c r="GE372" s="262"/>
      <c r="GF372" s="262"/>
      <c r="GG372" s="262"/>
      <c r="GH372" s="262"/>
      <c r="GI372" s="262"/>
      <c r="GJ372" s="262"/>
      <c r="GK372" s="262"/>
      <c r="GL372" s="262"/>
      <c r="GM372" s="262"/>
      <c r="GN372" s="262"/>
      <c r="GO372" s="262"/>
      <c r="GP372" s="262"/>
      <c r="GQ372" s="262"/>
      <c r="GR372" s="262"/>
      <c r="GS372" s="262"/>
      <c r="GT372" s="262"/>
      <c r="GU372" s="262"/>
      <c r="GV372" s="262"/>
      <c r="GW372" s="262"/>
      <c r="GX372" s="262"/>
      <c r="GY372" s="262"/>
      <c r="GZ372" s="262"/>
      <c r="HA372" s="262"/>
      <c r="HB372" s="262"/>
      <c r="HC372" s="262"/>
      <c r="HD372" s="262"/>
      <c r="HE372" s="262"/>
      <c r="HF372" s="262"/>
      <c r="HG372" s="262"/>
      <c r="HH372" s="262"/>
      <c r="HI372" s="262"/>
      <c r="HJ372" s="262"/>
      <c r="HK372" s="262"/>
      <c r="HL372" s="262"/>
      <c r="HM372" s="262"/>
      <c r="HN372" s="262"/>
      <c r="HO372" s="262"/>
      <c r="HP372" s="262"/>
      <c r="HQ372" s="262"/>
      <c r="HR372" s="262"/>
      <c r="HS372" s="262"/>
      <c r="HT372" s="262"/>
      <c r="HU372" s="262"/>
      <c r="HV372" s="262"/>
      <c r="HW372" s="262"/>
      <c r="HX372" s="262"/>
      <c r="HY372" s="262"/>
      <c r="HZ372" s="262"/>
      <c r="IA372" s="262"/>
      <c r="IB372" s="262"/>
      <c r="IC372" s="262"/>
      <c r="ID372" s="262"/>
      <c r="IE372" s="262"/>
      <c r="IF372" s="262"/>
      <c r="IG372" s="262"/>
      <c r="IH372" s="262"/>
      <c r="II372" s="262"/>
      <c r="IJ372" s="262"/>
      <c r="IK372" s="262"/>
      <c r="IL372" s="262"/>
      <c r="IM372" s="262"/>
      <c r="IN372" s="262"/>
      <c r="IO372" s="262"/>
      <c r="IP372" s="262"/>
      <c r="IQ372" s="262"/>
      <c r="IR372" s="262"/>
      <c r="IS372" s="262"/>
      <c r="IT372" s="262"/>
      <c r="IU372" s="262"/>
    </row>
    <row r="373" ht="18" hidden="1" customHeight="1" spans="1:255">
      <c r="A373" s="267">
        <v>10005</v>
      </c>
      <c r="B373" s="268" t="s">
        <v>1757</v>
      </c>
      <c r="C373" s="225" t="s">
        <v>1380</v>
      </c>
      <c r="D373" s="230">
        <v>9868.16847389949</v>
      </c>
      <c r="E373" s="262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  <c r="P373" s="262"/>
      <c r="Q373" s="262"/>
      <c r="R373" s="262"/>
      <c r="S373" s="262"/>
      <c r="T373" s="262"/>
      <c r="U373" s="262"/>
      <c r="V373" s="262"/>
      <c r="W373" s="262"/>
      <c r="X373" s="262"/>
      <c r="Y373" s="262"/>
      <c r="Z373" s="262"/>
      <c r="AA373" s="262"/>
      <c r="AB373" s="262"/>
      <c r="AC373" s="262"/>
      <c r="AD373" s="262"/>
      <c r="AE373" s="262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62"/>
      <c r="BH373" s="262"/>
      <c r="BI373" s="262"/>
      <c r="BJ373" s="262"/>
      <c r="BK373" s="262"/>
      <c r="BL373" s="262"/>
      <c r="BM373" s="262"/>
      <c r="BN373" s="262"/>
      <c r="BO373" s="262"/>
      <c r="BP373" s="262"/>
      <c r="BQ373" s="262"/>
      <c r="BR373" s="262"/>
      <c r="BS373" s="262"/>
      <c r="BT373" s="262"/>
      <c r="BU373" s="262"/>
      <c r="BV373" s="262"/>
      <c r="BW373" s="262"/>
      <c r="BX373" s="262"/>
      <c r="BY373" s="262"/>
      <c r="BZ373" s="262"/>
      <c r="CA373" s="262"/>
      <c r="CB373" s="262"/>
      <c r="CC373" s="262"/>
      <c r="CD373" s="262"/>
      <c r="CE373" s="262"/>
      <c r="CF373" s="262"/>
      <c r="CG373" s="262"/>
      <c r="CH373" s="262"/>
      <c r="CI373" s="262"/>
      <c r="CJ373" s="262"/>
      <c r="CK373" s="262"/>
      <c r="CL373" s="262"/>
      <c r="CM373" s="262"/>
      <c r="CN373" s="262"/>
      <c r="CO373" s="262"/>
      <c r="CP373" s="262"/>
      <c r="CQ373" s="262"/>
      <c r="CR373" s="262"/>
      <c r="CS373" s="262"/>
      <c r="CT373" s="262"/>
      <c r="CU373" s="262"/>
      <c r="CV373" s="262"/>
      <c r="CW373" s="262"/>
      <c r="CX373" s="262"/>
      <c r="CY373" s="262"/>
      <c r="CZ373" s="262"/>
      <c r="DA373" s="262"/>
      <c r="DB373" s="262"/>
      <c r="DC373" s="262"/>
      <c r="DD373" s="262"/>
      <c r="DE373" s="262"/>
      <c r="DF373" s="262"/>
      <c r="DG373" s="262"/>
      <c r="DH373" s="262"/>
      <c r="DI373" s="262"/>
      <c r="DJ373" s="262"/>
      <c r="DK373" s="262"/>
      <c r="DL373" s="262"/>
      <c r="DM373" s="262"/>
      <c r="DN373" s="262"/>
      <c r="DO373" s="262"/>
      <c r="DP373" s="262"/>
      <c r="DQ373" s="262"/>
      <c r="DR373" s="262"/>
      <c r="DS373" s="262"/>
      <c r="DT373" s="262"/>
      <c r="DU373" s="262"/>
      <c r="DV373" s="262"/>
      <c r="DW373" s="262"/>
      <c r="DX373" s="262"/>
      <c r="DY373" s="262"/>
      <c r="DZ373" s="262"/>
      <c r="EA373" s="262"/>
      <c r="EB373" s="262"/>
      <c r="EC373" s="262"/>
      <c r="ED373" s="262"/>
      <c r="EE373" s="262"/>
      <c r="EF373" s="262"/>
      <c r="EG373" s="262"/>
      <c r="EH373" s="262"/>
      <c r="EI373" s="262"/>
      <c r="EJ373" s="262"/>
      <c r="EK373" s="262"/>
      <c r="EL373" s="262"/>
      <c r="EM373" s="262"/>
      <c r="EN373" s="262"/>
      <c r="EO373" s="262"/>
      <c r="EP373" s="262"/>
      <c r="EQ373" s="262"/>
      <c r="ER373" s="262"/>
      <c r="ES373" s="262"/>
      <c r="ET373" s="262"/>
      <c r="EU373" s="262"/>
      <c r="EV373" s="262"/>
      <c r="EW373" s="262"/>
      <c r="EX373" s="262"/>
      <c r="EY373" s="262"/>
      <c r="EZ373" s="262"/>
      <c r="FA373" s="262"/>
      <c r="FB373" s="262"/>
      <c r="FC373" s="262"/>
      <c r="FD373" s="262"/>
      <c r="FE373" s="262"/>
      <c r="FF373" s="262"/>
      <c r="FG373" s="262"/>
      <c r="FH373" s="262"/>
      <c r="FI373" s="262"/>
      <c r="FJ373" s="262"/>
      <c r="FK373" s="262"/>
      <c r="FL373" s="262"/>
      <c r="FM373" s="262"/>
      <c r="FN373" s="262"/>
      <c r="FO373" s="262"/>
      <c r="FP373" s="262"/>
      <c r="FQ373" s="262"/>
      <c r="FR373" s="262"/>
      <c r="FS373" s="262"/>
      <c r="FT373" s="262"/>
      <c r="FU373" s="262"/>
      <c r="FV373" s="262"/>
      <c r="FW373" s="262"/>
      <c r="FX373" s="262"/>
      <c r="FY373" s="262"/>
      <c r="FZ373" s="262"/>
      <c r="GA373" s="262"/>
      <c r="GB373" s="262"/>
      <c r="GC373" s="262"/>
      <c r="GD373" s="262"/>
      <c r="GE373" s="262"/>
      <c r="GF373" s="262"/>
      <c r="GG373" s="262"/>
      <c r="GH373" s="262"/>
      <c r="GI373" s="262"/>
      <c r="GJ373" s="262"/>
      <c r="GK373" s="262"/>
      <c r="GL373" s="262"/>
      <c r="GM373" s="262"/>
      <c r="GN373" s="262"/>
      <c r="GO373" s="262"/>
      <c r="GP373" s="262"/>
      <c r="GQ373" s="262"/>
      <c r="GR373" s="262"/>
      <c r="GS373" s="262"/>
      <c r="GT373" s="262"/>
      <c r="GU373" s="262"/>
      <c r="GV373" s="262"/>
      <c r="GW373" s="262"/>
      <c r="GX373" s="262"/>
      <c r="GY373" s="262"/>
      <c r="GZ373" s="262"/>
      <c r="HA373" s="262"/>
      <c r="HB373" s="262"/>
      <c r="HC373" s="262"/>
      <c r="HD373" s="262"/>
      <c r="HE373" s="262"/>
      <c r="HF373" s="262"/>
      <c r="HG373" s="262"/>
      <c r="HH373" s="262"/>
      <c r="HI373" s="262"/>
      <c r="HJ373" s="262"/>
      <c r="HK373" s="262"/>
      <c r="HL373" s="262"/>
      <c r="HM373" s="262"/>
      <c r="HN373" s="262"/>
      <c r="HO373" s="262"/>
      <c r="HP373" s="262"/>
      <c r="HQ373" s="262"/>
      <c r="HR373" s="262"/>
      <c r="HS373" s="262"/>
      <c r="HT373" s="262"/>
      <c r="HU373" s="262"/>
      <c r="HV373" s="262"/>
      <c r="HW373" s="262"/>
      <c r="HX373" s="262"/>
      <c r="HY373" s="262"/>
      <c r="HZ373" s="262"/>
      <c r="IA373" s="262"/>
      <c r="IB373" s="262"/>
      <c r="IC373" s="262"/>
      <c r="ID373" s="262"/>
      <c r="IE373" s="262"/>
      <c r="IF373" s="262"/>
      <c r="IG373" s="262"/>
      <c r="IH373" s="262"/>
      <c r="II373" s="262"/>
      <c r="IJ373" s="262"/>
      <c r="IK373" s="262"/>
      <c r="IL373" s="262"/>
      <c r="IM373" s="262"/>
      <c r="IN373" s="262"/>
      <c r="IO373" s="262"/>
      <c r="IP373" s="262"/>
      <c r="IQ373" s="262"/>
      <c r="IR373" s="262"/>
      <c r="IS373" s="262"/>
      <c r="IT373" s="262"/>
      <c r="IU373" s="262"/>
    </row>
    <row r="374" ht="18" hidden="1" customHeight="1" spans="1:255">
      <c r="A374" s="267">
        <v>10006</v>
      </c>
      <c r="B374" s="268" t="s">
        <v>1758</v>
      </c>
      <c r="C374" s="225" t="s">
        <v>1380</v>
      </c>
      <c r="D374" s="230">
        <v>13452.150827975</v>
      </c>
      <c r="E374" s="262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  <c r="P374" s="262"/>
      <c r="Q374" s="262"/>
      <c r="R374" s="262"/>
      <c r="S374" s="262"/>
      <c r="T374" s="262"/>
      <c r="U374" s="262"/>
      <c r="V374" s="262"/>
      <c r="W374" s="262"/>
      <c r="X374" s="262"/>
      <c r="Y374" s="262"/>
      <c r="Z374" s="262"/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62"/>
      <c r="BH374" s="262"/>
      <c r="BI374" s="262"/>
      <c r="BJ374" s="262"/>
      <c r="BK374" s="262"/>
      <c r="BL374" s="262"/>
      <c r="BM374" s="262"/>
      <c r="BN374" s="262"/>
      <c r="BO374" s="262"/>
      <c r="BP374" s="262"/>
      <c r="BQ374" s="262"/>
      <c r="BR374" s="262"/>
      <c r="BS374" s="262"/>
      <c r="BT374" s="262"/>
      <c r="BU374" s="262"/>
      <c r="BV374" s="262"/>
      <c r="BW374" s="262"/>
      <c r="BX374" s="262"/>
      <c r="BY374" s="262"/>
      <c r="BZ374" s="262"/>
      <c r="CA374" s="262"/>
      <c r="CB374" s="262"/>
      <c r="CC374" s="262"/>
      <c r="CD374" s="262"/>
      <c r="CE374" s="262"/>
      <c r="CF374" s="262"/>
      <c r="CG374" s="262"/>
      <c r="CH374" s="262"/>
      <c r="CI374" s="262"/>
      <c r="CJ374" s="262"/>
      <c r="CK374" s="262"/>
      <c r="CL374" s="262"/>
      <c r="CM374" s="262"/>
      <c r="CN374" s="262"/>
      <c r="CO374" s="262"/>
      <c r="CP374" s="262"/>
      <c r="CQ374" s="262"/>
      <c r="CR374" s="262"/>
      <c r="CS374" s="262"/>
      <c r="CT374" s="262"/>
      <c r="CU374" s="262"/>
      <c r="CV374" s="262"/>
      <c r="CW374" s="262"/>
      <c r="CX374" s="262"/>
      <c r="CY374" s="262"/>
      <c r="CZ374" s="262"/>
      <c r="DA374" s="262"/>
      <c r="DB374" s="262"/>
      <c r="DC374" s="262"/>
      <c r="DD374" s="262"/>
      <c r="DE374" s="262"/>
      <c r="DF374" s="262"/>
      <c r="DG374" s="262"/>
      <c r="DH374" s="262"/>
      <c r="DI374" s="262"/>
      <c r="DJ374" s="262"/>
      <c r="DK374" s="262"/>
      <c r="DL374" s="262"/>
      <c r="DM374" s="262"/>
      <c r="DN374" s="262"/>
      <c r="DO374" s="262"/>
      <c r="DP374" s="262"/>
      <c r="DQ374" s="262"/>
      <c r="DR374" s="262"/>
      <c r="DS374" s="262"/>
      <c r="DT374" s="262"/>
      <c r="DU374" s="262"/>
      <c r="DV374" s="262"/>
      <c r="DW374" s="262"/>
      <c r="DX374" s="262"/>
      <c r="DY374" s="262"/>
      <c r="DZ374" s="262"/>
      <c r="EA374" s="262"/>
      <c r="EB374" s="262"/>
      <c r="EC374" s="262"/>
      <c r="ED374" s="262"/>
      <c r="EE374" s="262"/>
      <c r="EF374" s="262"/>
      <c r="EG374" s="262"/>
      <c r="EH374" s="262"/>
      <c r="EI374" s="262"/>
      <c r="EJ374" s="262"/>
      <c r="EK374" s="262"/>
      <c r="EL374" s="262"/>
      <c r="EM374" s="262"/>
      <c r="EN374" s="262"/>
      <c r="EO374" s="262"/>
      <c r="EP374" s="262"/>
      <c r="EQ374" s="262"/>
      <c r="ER374" s="262"/>
      <c r="ES374" s="262"/>
      <c r="ET374" s="262"/>
      <c r="EU374" s="262"/>
      <c r="EV374" s="262"/>
      <c r="EW374" s="262"/>
      <c r="EX374" s="262"/>
      <c r="EY374" s="262"/>
      <c r="EZ374" s="262"/>
      <c r="FA374" s="262"/>
      <c r="FB374" s="262"/>
      <c r="FC374" s="262"/>
      <c r="FD374" s="262"/>
      <c r="FE374" s="262"/>
      <c r="FF374" s="262"/>
      <c r="FG374" s="262"/>
      <c r="FH374" s="262"/>
      <c r="FI374" s="262"/>
      <c r="FJ374" s="262"/>
      <c r="FK374" s="262"/>
      <c r="FL374" s="262"/>
      <c r="FM374" s="262"/>
      <c r="FN374" s="262"/>
      <c r="FO374" s="262"/>
      <c r="FP374" s="262"/>
      <c r="FQ374" s="262"/>
      <c r="FR374" s="262"/>
      <c r="FS374" s="262"/>
      <c r="FT374" s="262"/>
      <c r="FU374" s="262"/>
      <c r="FV374" s="262"/>
      <c r="FW374" s="262"/>
      <c r="FX374" s="262"/>
      <c r="FY374" s="262"/>
      <c r="FZ374" s="262"/>
      <c r="GA374" s="262"/>
      <c r="GB374" s="262"/>
      <c r="GC374" s="262"/>
      <c r="GD374" s="262"/>
      <c r="GE374" s="262"/>
      <c r="GF374" s="262"/>
      <c r="GG374" s="262"/>
      <c r="GH374" s="262"/>
      <c r="GI374" s="262"/>
      <c r="GJ374" s="262"/>
      <c r="GK374" s="262"/>
      <c r="GL374" s="262"/>
      <c r="GM374" s="262"/>
      <c r="GN374" s="262"/>
      <c r="GO374" s="262"/>
      <c r="GP374" s="262"/>
      <c r="GQ374" s="262"/>
      <c r="GR374" s="262"/>
      <c r="GS374" s="262"/>
      <c r="GT374" s="262"/>
      <c r="GU374" s="262"/>
      <c r="GV374" s="262"/>
      <c r="GW374" s="262"/>
      <c r="GX374" s="262"/>
      <c r="GY374" s="262"/>
      <c r="GZ374" s="262"/>
      <c r="HA374" s="262"/>
      <c r="HB374" s="262"/>
      <c r="HC374" s="262"/>
      <c r="HD374" s="262"/>
      <c r="HE374" s="262"/>
      <c r="HF374" s="262"/>
      <c r="HG374" s="262"/>
      <c r="HH374" s="262"/>
      <c r="HI374" s="262"/>
      <c r="HJ374" s="262"/>
      <c r="HK374" s="262"/>
      <c r="HL374" s="262"/>
      <c r="HM374" s="262"/>
      <c r="HN374" s="262"/>
      <c r="HO374" s="262"/>
      <c r="HP374" s="262"/>
      <c r="HQ374" s="262"/>
      <c r="HR374" s="262"/>
      <c r="HS374" s="262"/>
      <c r="HT374" s="262"/>
      <c r="HU374" s="262"/>
      <c r="HV374" s="262"/>
      <c r="HW374" s="262"/>
      <c r="HX374" s="262"/>
      <c r="HY374" s="262"/>
      <c r="HZ374" s="262"/>
      <c r="IA374" s="262"/>
      <c r="IB374" s="262"/>
      <c r="IC374" s="262"/>
      <c r="ID374" s="262"/>
      <c r="IE374" s="262"/>
      <c r="IF374" s="262"/>
      <c r="IG374" s="262"/>
      <c r="IH374" s="262"/>
      <c r="II374" s="262"/>
      <c r="IJ374" s="262"/>
      <c r="IK374" s="262"/>
      <c r="IL374" s="262"/>
      <c r="IM374" s="262"/>
      <c r="IN374" s="262"/>
      <c r="IO374" s="262"/>
      <c r="IP374" s="262"/>
      <c r="IQ374" s="262"/>
      <c r="IR374" s="262"/>
      <c r="IS374" s="262"/>
      <c r="IT374" s="262"/>
      <c r="IU374" s="262"/>
    </row>
    <row r="375" ht="18" customHeight="1" spans="1:255">
      <c r="A375" s="267">
        <v>10015</v>
      </c>
      <c r="B375" s="268" t="s">
        <v>1759</v>
      </c>
      <c r="C375" s="225" t="s">
        <v>1760</v>
      </c>
      <c r="D375" s="230">
        <v>13416.4186514721</v>
      </c>
      <c r="E375" s="262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  <c r="P375" s="262"/>
      <c r="Q375" s="262"/>
      <c r="R375" s="262"/>
      <c r="S375" s="262"/>
      <c r="T375" s="262"/>
      <c r="U375" s="262"/>
      <c r="V375" s="262"/>
      <c r="W375" s="262"/>
      <c r="X375" s="262"/>
      <c r="Y375" s="262"/>
      <c r="Z375" s="262"/>
      <c r="AA375" s="262"/>
      <c r="AB375" s="262"/>
      <c r="AC375" s="262"/>
      <c r="AD375" s="262"/>
      <c r="AE375" s="262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62"/>
      <c r="BH375" s="262"/>
      <c r="BI375" s="262"/>
      <c r="BJ375" s="262"/>
      <c r="BK375" s="262"/>
      <c r="BL375" s="262"/>
      <c r="BM375" s="262"/>
      <c r="BN375" s="262"/>
      <c r="BO375" s="262"/>
      <c r="BP375" s="262"/>
      <c r="BQ375" s="262"/>
      <c r="BR375" s="262"/>
      <c r="BS375" s="262"/>
      <c r="BT375" s="262"/>
      <c r="BU375" s="262"/>
      <c r="BV375" s="262"/>
      <c r="BW375" s="262"/>
      <c r="BX375" s="262"/>
      <c r="BY375" s="262"/>
      <c r="BZ375" s="262"/>
      <c r="CA375" s="262"/>
      <c r="CB375" s="262"/>
      <c r="CC375" s="262"/>
      <c r="CD375" s="262"/>
      <c r="CE375" s="262"/>
      <c r="CF375" s="262"/>
      <c r="CG375" s="262"/>
      <c r="CH375" s="262"/>
      <c r="CI375" s="262"/>
      <c r="CJ375" s="262"/>
      <c r="CK375" s="262"/>
      <c r="CL375" s="262"/>
      <c r="CM375" s="262"/>
      <c r="CN375" s="262"/>
      <c r="CO375" s="262"/>
      <c r="CP375" s="262"/>
      <c r="CQ375" s="262"/>
      <c r="CR375" s="262"/>
      <c r="CS375" s="262"/>
      <c r="CT375" s="262"/>
      <c r="CU375" s="262"/>
      <c r="CV375" s="262"/>
      <c r="CW375" s="262"/>
      <c r="CX375" s="262"/>
      <c r="CY375" s="262"/>
      <c r="CZ375" s="262"/>
      <c r="DA375" s="262"/>
      <c r="DB375" s="262"/>
      <c r="DC375" s="262"/>
      <c r="DD375" s="262"/>
      <c r="DE375" s="262"/>
      <c r="DF375" s="262"/>
      <c r="DG375" s="262"/>
      <c r="DH375" s="262"/>
      <c r="DI375" s="262"/>
      <c r="DJ375" s="262"/>
      <c r="DK375" s="262"/>
      <c r="DL375" s="262"/>
      <c r="DM375" s="262"/>
      <c r="DN375" s="262"/>
      <c r="DO375" s="262"/>
      <c r="DP375" s="262"/>
      <c r="DQ375" s="262"/>
      <c r="DR375" s="262"/>
      <c r="DS375" s="262"/>
      <c r="DT375" s="262"/>
      <c r="DU375" s="262"/>
      <c r="DV375" s="262"/>
      <c r="DW375" s="262"/>
      <c r="DX375" s="262"/>
      <c r="DY375" s="262"/>
      <c r="DZ375" s="262"/>
      <c r="EA375" s="262"/>
      <c r="EB375" s="262"/>
      <c r="EC375" s="262"/>
      <c r="ED375" s="262"/>
      <c r="EE375" s="262"/>
      <c r="EF375" s="262"/>
      <c r="EG375" s="262"/>
      <c r="EH375" s="262"/>
      <c r="EI375" s="262"/>
      <c r="EJ375" s="262"/>
      <c r="EK375" s="262"/>
      <c r="EL375" s="262"/>
      <c r="EM375" s="262"/>
      <c r="EN375" s="262"/>
      <c r="EO375" s="262"/>
      <c r="EP375" s="262"/>
      <c r="EQ375" s="262"/>
      <c r="ER375" s="262"/>
      <c r="ES375" s="262"/>
      <c r="ET375" s="262"/>
      <c r="EU375" s="262"/>
      <c r="EV375" s="262"/>
      <c r="EW375" s="262"/>
      <c r="EX375" s="262"/>
      <c r="EY375" s="262"/>
      <c r="EZ375" s="262"/>
      <c r="FA375" s="262"/>
      <c r="FB375" s="262"/>
      <c r="FC375" s="262"/>
      <c r="FD375" s="262"/>
      <c r="FE375" s="262"/>
      <c r="FF375" s="262"/>
      <c r="FG375" s="262"/>
      <c r="FH375" s="262"/>
      <c r="FI375" s="262"/>
      <c r="FJ375" s="262"/>
      <c r="FK375" s="262"/>
      <c r="FL375" s="262"/>
      <c r="FM375" s="262"/>
      <c r="FN375" s="262"/>
      <c r="FO375" s="262"/>
      <c r="FP375" s="262"/>
      <c r="FQ375" s="262"/>
      <c r="FR375" s="262"/>
      <c r="FS375" s="262"/>
      <c r="FT375" s="262"/>
      <c r="FU375" s="262"/>
      <c r="FV375" s="262"/>
      <c r="FW375" s="262"/>
      <c r="FX375" s="262"/>
      <c r="FY375" s="262"/>
      <c r="FZ375" s="262"/>
      <c r="GA375" s="262"/>
      <c r="GB375" s="262"/>
      <c r="GC375" s="262"/>
      <c r="GD375" s="262"/>
      <c r="GE375" s="262"/>
      <c r="GF375" s="262"/>
      <c r="GG375" s="262"/>
      <c r="GH375" s="262"/>
      <c r="GI375" s="262"/>
      <c r="GJ375" s="262"/>
      <c r="GK375" s="262"/>
      <c r="GL375" s="262"/>
      <c r="GM375" s="262"/>
      <c r="GN375" s="262"/>
      <c r="GO375" s="262"/>
      <c r="GP375" s="262"/>
      <c r="GQ375" s="262"/>
      <c r="GR375" s="262"/>
      <c r="GS375" s="262"/>
      <c r="GT375" s="262"/>
      <c r="GU375" s="262"/>
      <c r="GV375" s="262"/>
      <c r="GW375" s="262"/>
      <c r="GX375" s="262"/>
      <c r="GY375" s="262"/>
      <c r="GZ375" s="262"/>
      <c r="HA375" s="262"/>
      <c r="HB375" s="262"/>
      <c r="HC375" s="262"/>
      <c r="HD375" s="262"/>
      <c r="HE375" s="262"/>
      <c r="HF375" s="262"/>
      <c r="HG375" s="262"/>
      <c r="HH375" s="262"/>
      <c r="HI375" s="262"/>
      <c r="HJ375" s="262"/>
      <c r="HK375" s="262"/>
      <c r="HL375" s="262"/>
      <c r="HM375" s="262"/>
      <c r="HN375" s="262"/>
      <c r="HO375" s="262"/>
      <c r="HP375" s="262"/>
      <c r="HQ375" s="262"/>
      <c r="HR375" s="262"/>
      <c r="HS375" s="262"/>
      <c r="HT375" s="262"/>
      <c r="HU375" s="262"/>
      <c r="HV375" s="262"/>
      <c r="HW375" s="262"/>
      <c r="HX375" s="262"/>
      <c r="HY375" s="262"/>
      <c r="HZ375" s="262"/>
      <c r="IA375" s="262"/>
      <c r="IB375" s="262"/>
      <c r="IC375" s="262"/>
      <c r="ID375" s="262"/>
      <c r="IE375" s="262"/>
      <c r="IF375" s="262"/>
      <c r="IG375" s="262"/>
      <c r="IH375" s="262"/>
      <c r="II375" s="262"/>
      <c r="IJ375" s="262"/>
      <c r="IK375" s="262"/>
      <c r="IL375" s="262"/>
      <c r="IM375" s="262"/>
      <c r="IN375" s="262"/>
      <c r="IO375" s="262"/>
      <c r="IP375" s="262"/>
      <c r="IQ375" s="262"/>
      <c r="IR375" s="262"/>
      <c r="IS375" s="262"/>
      <c r="IT375" s="262"/>
      <c r="IU375" s="262"/>
    </row>
    <row r="376" s="262" customFormat="1" ht="15" customHeight="1" spans="1:256">
      <c r="A376" s="267">
        <v>10015</v>
      </c>
      <c r="B376" s="268" t="s">
        <v>1761</v>
      </c>
      <c r="C376" s="225" t="s">
        <v>1760</v>
      </c>
      <c r="D376" s="230">
        <v>24359.3261911778</v>
      </c>
      <c r="IV376" s="263"/>
    </row>
    <row r="377" ht="18" customHeight="1" spans="1:255">
      <c r="A377" s="267">
        <v>10015</v>
      </c>
      <c r="B377" s="268" t="s">
        <v>1762</v>
      </c>
      <c r="C377" s="225" t="s">
        <v>1760</v>
      </c>
      <c r="D377" s="230">
        <v>25879.2489859387</v>
      </c>
      <c r="E377" s="262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  <c r="P377" s="262"/>
      <c r="Q377" s="262"/>
      <c r="R377" s="262"/>
      <c r="S377" s="262"/>
      <c r="T377" s="262"/>
      <c r="U377" s="262"/>
      <c r="V377" s="262"/>
      <c r="W377" s="262"/>
      <c r="X377" s="262"/>
      <c r="Y377" s="262"/>
      <c r="Z377" s="262"/>
      <c r="AA377" s="262"/>
      <c r="AB377" s="262"/>
      <c r="AC377" s="262"/>
      <c r="AD377" s="262"/>
      <c r="AE377" s="262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62"/>
      <c r="BH377" s="262"/>
      <c r="BI377" s="262"/>
      <c r="BJ377" s="262"/>
      <c r="BK377" s="262"/>
      <c r="BL377" s="262"/>
      <c r="BM377" s="262"/>
      <c r="BN377" s="262"/>
      <c r="BO377" s="262"/>
      <c r="BP377" s="262"/>
      <c r="BQ377" s="262"/>
      <c r="BR377" s="262"/>
      <c r="BS377" s="262"/>
      <c r="BT377" s="262"/>
      <c r="BU377" s="262"/>
      <c r="BV377" s="262"/>
      <c r="BW377" s="262"/>
      <c r="BX377" s="262"/>
      <c r="BY377" s="262"/>
      <c r="BZ377" s="262"/>
      <c r="CA377" s="262"/>
      <c r="CB377" s="262"/>
      <c r="CC377" s="262"/>
      <c r="CD377" s="262"/>
      <c r="CE377" s="262"/>
      <c r="CF377" s="262"/>
      <c r="CG377" s="262"/>
      <c r="CH377" s="262"/>
      <c r="CI377" s="262"/>
      <c r="CJ377" s="262"/>
      <c r="CK377" s="262"/>
      <c r="CL377" s="262"/>
      <c r="CM377" s="262"/>
      <c r="CN377" s="262"/>
      <c r="CO377" s="262"/>
      <c r="CP377" s="262"/>
      <c r="CQ377" s="262"/>
      <c r="CR377" s="262"/>
      <c r="CS377" s="262"/>
      <c r="CT377" s="262"/>
      <c r="CU377" s="262"/>
      <c r="CV377" s="262"/>
      <c r="CW377" s="262"/>
      <c r="CX377" s="262"/>
      <c r="CY377" s="262"/>
      <c r="CZ377" s="262"/>
      <c r="DA377" s="262"/>
      <c r="DB377" s="262"/>
      <c r="DC377" s="262"/>
      <c r="DD377" s="262"/>
      <c r="DE377" s="262"/>
      <c r="DF377" s="262"/>
      <c r="DG377" s="262"/>
      <c r="DH377" s="262"/>
      <c r="DI377" s="262"/>
      <c r="DJ377" s="262"/>
      <c r="DK377" s="262"/>
      <c r="DL377" s="262"/>
      <c r="DM377" s="262"/>
      <c r="DN377" s="262"/>
      <c r="DO377" s="262"/>
      <c r="DP377" s="262"/>
      <c r="DQ377" s="262"/>
      <c r="DR377" s="262"/>
      <c r="DS377" s="262"/>
      <c r="DT377" s="262"/>
      <c r="DU377" s="262"/>
      <c r="DV377" s="262"/>
      <c r="DW377" s="262"/>
      <c r="DX377" s="262"/>
      <c r="DY377" s="262"/>
      <c r="DZ377" s="262"/>
      <c r="EA377" s="262"/>
      <c r="EB377" s="262"/>
      <c r="EC377" s="262"/>
      <c r="ED377" s="262"/>
      <c r="EE377" s="262"/>
      <c r="EF377" s="262"/>
      <c r="EG377" s="262"/>
      <c r="EH377" s="262"/>
      <c r="EI377" s="262"/>
      <c r="EJ377" s="262"/>
      <c r="EK377" s="262"/>
      <c r="EL377" s="262"/>
      <c r="EM377" s="262"/>
      <c r="EN377" s="262"/>
      <c r="EO377" s="262"/>
      <c r="EP377" s="262"/>
      <c r="EQ377" s="262"/>
      <c r="ER377" s="262"/>
      <c r="ES377" s="262"/>
      <c r="ET377" s="262"/>
      <c r="EU377" s="262"/>
      <c r="EV377" s="262"/>
      <c r="EW377" s="262"/>
      <c r="EX377" s="262"/>
      <c r="EY377" s="262"/>
      <c r="EZ377" s="262"/>
      <c r="FA377" s="262"/>
      <c r="FB377" s="262"/>
      <c r="FC377" s="262"/>
      <c r="FD377" s="262"/>
      <c r="FE377" s="262"/>
      <c r="FF377" s="262"/>
      <c r="FG377" s="262"/>
      <c r="FH377" s="262"/>
      <c r="FI377" s="262"/>
      <c r="FJ377" s="262"/>
      <c r="FK377" s="262"/>
      <c r="FL377" s="262"/>
      <c r="FM377" s="262"/>
      <c r="FN377" s="262"/>
      <c r="FO377" s="262"/>
      <c r="FP377" s="262"/>
      <c r="FQ377" s="262"/>
      <c r="FR377" s="262"/>
      <c r="FS377" s="262"/>
      <c r="FT377" s="262"/>
      <c r="FU377" s="262"/>
      <c r="FV377" s="262"/>
      <c r="FW377" s="262"/>
      <c r="FX377" s="262"/>
      <c r="FY377" s="262"/>
      <c r="FZ377" s="262"/>
      <c r="GA377" s="262"/>
      <c r="GB377" s="262"/>
      <c r="GC377" s="262"/>
      <c r="GD377" s="262"/>
      <c r="GE377" s="262"/>
      <c r="GF377" s="262"/>
      <c r="GG377" s="262"/>
      <c r="GH377" s="262"/>
      <c r="GI377" s="262"/>
      <c r="GJ377" s="262"/>
      <c r="GK377" s="262"/>
      <c r="GL377" s="262"/>
      <c r="GM377" s="262"/>
      <c r="GN377" s="262"/>
      <c r="GO377" s="262"/>
      <c r="GP377" s="262"/>
      <c r="GQ377" s="262"/>
      <c r="GR377" s="262"/>
      <c r="GS377" s="262"/>
      <c r="GT377" s="262"/>
      <c r="GU377" s="262"/>
      <c r="GV377" s="262"/>
      <c r="GW377" s="262"/>
      <c r="GX377" s="262"/>
      <c r="GY377" s="262"/>
      <c r="GZ377" s="262"/>
      <c r="HA377" s="262"/>
      <c r="HB377" s="262"/>
      <c r="HC377" s="262"/>
      <c r="HD377" s="262"/>
      <c r="HE377" s="262"/>
      <c r="HF377" s="262"/>
      <c r="HG377" s="262"/>
      <c r="HH377" s="262"/>
      <c r="HI377" s="262"/>
      <c r="HJ377" s="262"/>
      <c r="HK377" s="262"/>
      <c r="HL377" s="262"/>
      <c r="HM377" s="262"/>
      <c r="HN377" s="262"/>
      <c r="HO377" s="262"/>
      <c r="HP377" s="262"/>
      <c r="HQ377" s="262"/>
      <c r="HR377" s="262"/>
      <c r="HS377" s="262"/>
      <c r="HT377" s="262"/>
      <c r="HU377" s="262"/>
      <c r="HV377" s="262"/>
      <c r="HW377" s="262"/>
      <c r="HX377" s="262"/>
      <c r="HY377" s="262"/>
      <c r="HZ377" s="262"/>
      <c r="IA377" s="262"/>
      <c r="IB377" s="262"/>
      <c r="IC377" s="262"/>
      <c r="ID377" s="262"/>
      <c r="IE377" s="262"/>
      <c r="IF377" s="262"/>
      <c r="IG377" s="262"/>
      <c r="IH377" s="262"/>
      <c r="II377" s="262"/>
      <c r="IJ377" s="262"/>
      <c r="IK377" s="262"/>
      <c r="IL377" s="262"/>
      <c r="IM377" s="262"/>
      <c r="IN377" s="262"/>
      <c r="IO377" s="262"/>
      <c r="IP377" s="262"/>
      <c r="IQ377" s="262"/>
      <c r="IR377" s="262"/>
      <c r="IS377" s="262"/>
      <c r="IT377" s="262"/>
      <c r="IU377" s="262"/>
    </row>
    <row r="378" ht="18" hidden="1" customHeight="1" spans="1:255">
      <c r="A378" s="267">
        <v>10016</v>
      </c>
      <c r="B378" s="268" t="s">
        <v>1763</v>
      </c>
      <c r="C378" s="225" t="s">
        <v>1760</v>
      </c>
      <c r="D378" s="230">
        <v>21129.63863949</v>
      </c>
      <c r="E378" s="262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  <c r="P378" s="262"/>
      <c r="Q378" s="262"/>
      <c r="R378" s="262"/>
      <c r="S378" s="262"/>
      <c r="T378" s="262"/>
      <c r="U378" s="262"/>
      <c r="V378" s="262"/>
      <c r="W378" s="262"/>
      <c r="X378" s="262"/>
      <c r="Y378" s="262"/>
      <c r="Z378" s="262"/>
      <c r="AA378" s="262"/>
      <c r="AB378" s="262"/>
      <c r="AC378" s="262"/>
      <c r="AD378" s="262"/>
      <c r="AE378" s="262"/>
      <c r="AF378" s="262"/>
      <c r="AG378" s="262"/>
      <c r="AH378" s="262"/>
      <c r="AI378" s="262"/>
      <c r="AJ378" s="262"/>
      <c r="AK378" s="262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62"/>
      <c r="BH378" s="262"/>
      <c r="BI378" s="262"/>
      <c r="BJ378" s="262"/>
      <c r="BK378" s="262"/>
      <c r="BL378" s="262"/>
      <c r="BM378" s="262"/>
      <c r="BN378" s="262"/>
      <c r="BO378" s="262"/>
      <c r="BP378" s="262"/>
      <c r="BQ378" s="262"/>
      <c r="BR378" s="262"/>
      <c r="BS378" s="262"/>
      <c r="BT378" s="262"/>
      <c r="BU378" s="262"/>
      <c r="BV378" s="262"/>
      <c r="BW378" s="262"/>
      <c r="BX378" s="262"/>
      <c r="BY378" s="262"/>
      <c r="BZ378" s="262"/>
      <c r="CA378" s="262"/>
      <c r="CB378" s="262"/>
      <c r="CC378" s="262"/>
      <c r="CD378" s="262"/>
      <c r="CE378" s="262"/>
      <c r="CF378" s="262"/>
      <c r="CG378" s="262"/>
      <c r="CH378" s="262"/>
      <c r="CI378" s="262"/>
      <c r="CJ378" s="262"/>
      <c r="CK378" s="262"/>
      <c r="CL378" s="262"/>
      <c r="CM378" s="262"/>
      <c r="CN378" s="262"/>
      <c r="CO378" s="262"/>
      <c r="CP378" s="262"/>
      <c r="CQ378" s="262"/>
      <c r="CR378" s="262"/>
      <c r="CS378" s="262"/>
      <c r="CT378" s="262"/>
      <c r="CU378" s="262"/>
      <c r="CV378" s="262"/>
      <c r="CW378" s="262"/>
      <c r="CX378" s="262"/>
      <c r="CY378" s="262"/>
      <c r="CZ378" s="262"/>
      <c r="DA378" s="262"/>
      <c r="DB378" s="262"/>
      <c r="DC378" s="262"/>
      <c r="DD378" s="262"/>
      <c r="DE378" s="262"/>
      <c r="DF378" s="262"/>
      <c r="DG378" s="262"/>
      <c r="DH378" s="262"/>
      <c r="DI378" s="262"/>
      <c r="DJ378" s="262"/>
      <c r="DK378" s="262"/>
      <c r="DL378" s="262"/>
      <c r="DM378" s="262"/>
      <c r="DN378" s="262"/>
      <c r="DO378" s="262"/>
      <c r="DP378" s="262"/>
      <c r="DQ378" s="262"/>
      <c r="DR378" s="262"/>
      <c r="DS378" s="262"/>
      <c r="DT378" s="262"/>
      <c r="DU378" s="262"/>
      <c r="DV378" s="262"/>
      <c r="DW378" s="262"/>
      <c r="DX378" s="262"/>
      <c r="DY378" s="262"/>
      <c r="DZ378" s="262"/>
      <c r="EA378" s="262"/>
      <c r="EB378" s="262"/>
      <c r="EC378" s="262"/>
      <c r="ED378" s="262"/>
      <c r="EE378" s="262"/>
      <c r="EF378" s="262"/>
      <c r="EG378" s="262"/>
      <c r="EH378" s="262"/>
      <c r="EI378" s="262"/>
      <c r="EJ378" s="262"/>
      <c r="EK378" s="262"/>
      <c r="EL378" s="262"/>
      <c r="EM378" s="262"/>
      <c r="EN378" s="262"/>
      <c r="EO378" s="262"/>
      <c r="EP378" s="262"/>
      <c r="EQ378" s="262"/>
      <c r="ER378" s="262"/>
      <c r="ES378" s="262"/>
      <c r="ET378" s="262"/>
      <c r="EU378" s="262"/>
      <c r="EV378" s="262"/>
      <c r="EW378" s="262"/>
      <c r="EX378" s="262"/>
      <c r="EY378" s="262"/>
      <c r="EZ378" s="262"/>
      <c r="FA378" s="262"/>
      <c r="FB378" s="262"/>
      <c r="FC378" s="262"/>
      <c r="FD378" s="262"/>
      <c r="FE378" s="262"/>
      <c r="FF378" s="262"/>
      <c r="FG378" s="262"/>
      <c r="FH378" s="262"/>
      <c r="FI378" s="262"/>
      <c r="FJ378" s="262"/>
      <c r="FK378" s="262"/>
      <c r="FL378" s="262"/>
      <c r="FM378" s="262"/>
      <c r="FN378" s="262"/>
      <c r="FO378" s="262"/>
      <c r="FP378" s="262"/>
      <c r="FQ378" s="262"/>
      <c r="FR378" s="262"/>
      <c r="FS378" s="262"/>
      <c r="FT378" s="262"/>
      <c r="FU378" s="262"/>
      <c r="FV378" s="262"/>
      <c r="FW378" s="262"/>
      <c r="FX378" s="262"/>
      <c r="FY378" s="262"/>
      <c r="FZ378" s="262"/>
      <c r="GA378" s="262"/>
      <c r="GB378" s="262"/>
      <c r="GC378" s="262"/>
      <c r="GD378" s="262"/>
      <c r="GE378" s="262"/>
      <c r="GF378" s="262"/>
      <c r="GG378" s="262"/>
      <c r="GH378" s="262"/>
      <c r="GI378" s="262"/>
      <c r="GJ378" s="262"/>
      <c r="GK378" s="262"/>
      <c r="GL378" s="262"/>
      <c r="GM378" s="262"/>
      <c r="GN378" s="262"/>
      <c r="GO378" s="262"/>
      <c r="GP378" s="262"/>
      <c r="GQ378" s="262"/>
      <c r="GR378" s="262"/>
      <c r="GS378" s="262"/>
      <c r="GT378" s="262"/>
      <c r="GU378" s="262"/>
      <c r="GV378" s="262"/>
      <c r="GW378" s="262"/>
      <c r="GX378" s="262"/>
      <c r="GY378" s="262"/>
      <c r="GZ378" s="262"/>
      <c r="HA378" s="262"/>
      <c r="HB378" s="262"/>
      <c r="HC378" s="262"/>
      <c r="HD378" s="262"/>
      <c r="HE378" s="262"/>
      <c r="HF378" s="262"/>
      <c r="HG378" s="262"/>
      <c r="HH378" s="262"/>
      <c r="HI378" s="262"/>
      <c r="HJ378" s="262"/>
      <c r="HK378" s="262"/>
      <c r="HL378" s="262"/>
      <c r="HM378" s="262"/>
      <c r="HN378" s="262"/>
      <c r="HO378" s="262"/>
      <c r="HP378" s="262"/>
      <c r="HQ378" s="262"/>
      <c r="HR378" s="262"/>
      <c r="HS378" s="262"/>
      <c r="HT378" s="262"/>
      <c r="HU378" s="262"/>
      <c r="HV378" s="262"/>
      <c r="HW378" s="262"/>
      <c r="HX378" s="262"/>
      <c r="HY378" s="262"/>
      <c r="HZ378" s="262"/>
      <c r="IA378" s="262"/>
      <c r="IB378" s="262"/>
      <c r="IC378" s="262"/>
      <c r="ID378" s="262"/>
      <c r="IE378" s="262"/>
      <c r="IF378" s="262"/>
      <c r="IG378" s="262"/>
      <c r="IH378" s="262"/>
      <c r="II378" s="262"/>
      <c r="IJ378" s="262"/>
      <c r="IK378" s="262"/>
      <c r="IL378" s="262"/>
      <c r="IM378" s="262"/>
      <c r="IN378" s="262"/>
      <c r="IO378" s="262"/>
      <c r="IP378" s="262"/>
      <c r="IQ378" s="262"/>
      <c r="IR378" s="262"/>
      <c r="IS378" s="262"/>
      <c r="IT378" s="262"/>
      <c r="IU378" s="262"/>
    </row>
    <row r="379" ht="18" customHeight="1" spans="1:255">
      <c r="A379" s="267">
        <v>10016</v>
      </c>
      <c r="B379" s="268" t="s">
        <v>1764</v>
      </c>
      <c r="C379" s="225" t="s">
        <v>1760</v>
      </c>
      <c r="D379" s="230">
        <v>28924.0391632649</v>
      </c>
      <c r="E379" s="262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  <c r="P379" s="262"/>
      <c r="Q379" s="262"/>
      <c r="R379" s="262"/>
      <c r="S379" s="262"/>
      <c r="T379" s="262"/>
      <c r="U379" s="262"/>
      <c r="V379" s="262"/>
      <c r="W379" s="262"/>
      <c r="X379" s="262"/>
      <c r="Y379" s="262"/>
      <c r="Z379" s="262"/>
      <c r="AA379" s="262"/>
      <c r="AB379" s="262"/>
      <c r="AC379" s="262"/>
      <c r="AD379" s="262"/>
      <c r="AE379" s="262"/>
      <c r="AF379" s="262"/>
      <c r="AG379" s="262"/>
      <c r="AH379" s="262"/>
      <c r="AI379" s="262"/>
      <c r="AJ379" s="262"/>
      <c r="AK379" s="262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62"/>
      <c r="BH379" s="262"/>
      <c r="BI379" s="262"/>
      <c r="BJ379" s="262"/>
      <c r="BK379" s="262"/>
      <c r="BL379" s="262"/>
      <c r="BM379" s="262"/>
      <c r="BN379" s="262"/>
      <c r="BO379" s="262"/>
      <c r="BP379" s="262"/>
      <c r="BQ379" s="262"/>
      <c r="BR379" s="262"/>
      <c r="BS379" s="262"/>
      <c r="BT379" s="262"/>
      <c r="BU379" s="262"/>
      <c r="BV379" s="262"/>
      <c r="BW379" s="262"/>
      <c r="BX379" s="262"/>
      <c r="BY379" s="262"/>
      <c r="BZ379" s="262"/>
      <c r="CA379" s="262"/>
      <c r="CB379" s="262"/>
      <c r="CC379" s="262"/>
      <c r="CD379" s="262"/>
      <c r="CE379" s="262"/>
      <c r="CF379" s="262"/>
      <c r="CG379" s="262"/>
      <c r="CH379" s="262"/>
      <c r="CI379" s="262"/>
      <c r="CJ379" s="262"/>
      <c r="CK379" s="262"/>
      <c r="CL379" s="262"/>
      <c r="CM379" s="262"/>
      <c r="CN379" s="262"/>
      <c r="CO379" s="262"/>
      <c r="CP379" s="262"/>
      <c r="CQ379" s="262"/>
      <c r="CR379" s="262"/>
      <c r="CS379" s="262"/>
      <c r="CT379" s="262"/>
      <c r="CU379" s="262"/>
      <c r="CV379" s="262"/>
      <c r="CW379" s="262"/>
      <c r="CX379" s="262"/>
      <c r="CY379" s="262"/>
      <c r="CZ379" s="262"/>
      <c r="DA379" s="262"/>
      <c r="DB379" s="262"/>
      <c r="DC379" s="262"/>
      <c r="DD379" s="262"/>
      <c r="DE379" s="262"/>
      <c r="DF379" s="262"/>
      <c r="DG379" s="262"/>
      <c r="DH379" s="262"/>
      <c r="DI379" s="262"/>
      <c r="DJ379" s="262"/>
      <c r="DK379" s="262"/>
      <c r="DL379" s="262"/>
      <c r="DM379" s="262"/>
      <c r="DN379" s="262"/>
      <c r="DO379" s="262"/>
      <c r="DP379" s="262"/>
      <c r="DQ379" s="262"/>
      <c r="DR379" s="262"/>
      <c r="DS379" s="262"/>
      <c r="DT379" s="262"/>
      <c r="DU379" s="262"/>
      <c r="DV379" s="262"/>
      <c r="DW379" s="262"/>
      <c r="DX379" s="262"/>
      <c r="DY379" s="262"/>
      <c r="DZ379" s="262"/>
      <c r="EA379" s="262"/>
      <c r="EB379" s="262"/>
      <c r="EC379" s="262"/>
      <c r="ED379" s="262"/>
      <c r="EE379" s="262"/>
      <c r="EF379" s="262"/>
      <c r="EG379" s="262"/>
      <c r="EH379" s="262"/>
      <c r="EI379" s="262"/>
      <c r="EJ379" s="262"/>
      <c r="EK379" s="262"/>
      <c r="EL379" s="262"/>
      <c r="EM379" s="262"/>
      <c r="EN379" s="262"/>
      <c r="EO379" s="262"/>
      <c r="EP379" s="262"/>
      <c r="EQ379" s="262"/>
      <c r="ER379" s="262"/>
      <c r="ES379" s="262"/>
      <c r="ET379" s="262"/>
      <c r="EU379" s="262"/>
      <c r="EV379" s="262"/>
      <c r="EW379" s="262"/>
      <c r="EX379" s="262"/>
      <c r="EY379" s="262"/>
      <c r="EZ379" s="262"/>
      <c r="FA379" s="262"/>
      <c r="FB379" s="262"/>
      <c r="FC379" s="262"/>
      <c r="FD379" s="262"/>
      <c r="FE379" s="262"/>
      <c r="FF379" s="262"/>
      <c r="FG379" s="262"/>
      <c r="FH379" s="262"/>
      <c r="FI379" s="262"/>
      <c r="FJ379" s="262"/>
      <c r="FK379" s="262"/>
      <c r="FL379" s="262"/>
      <c r="FM379" s="262"/>
      <c r="FN379" s="262"/>
      <c r="FO379" s="262"/>
      <c r="FP379" s="262"/>
      <c r="FQ379" s="262"/>
      <c r="FR379" s="262"/>
      <c r="FS379" s="262"/>
      <c r="FT379" s="262"/>
      <c r="FU379" s="262"/>
      <c r="FV379" s="262"/>
      <c r="FW379" s="262"/>
      <c r="FX379" s="262"/>
      <c r="FY379" s="262"/>
      <c r="FZ379" s="262"/>
      <c r="GA379" s="262"/>
      <c r="GB379" s="262"/>
      <c r="GC379" s="262"/>
      <c r="GD379" s="262"/>
      <c r="GE379" s="262"/>
      <c r="GF379" s="262"/>
      <c r="GG379" s="262"/>
      <c r="GH379" s="262"/>
      <c r="GI379" s="262"/>
      <c r="GJ379" s="262"/>
      <c r="GK379" s="262"/>
      <c r="GL379" s="262"/>
      <c r="GM379" s="262"/>
      <c r="GN379" s="262"/>
      <c r="GO379" s="262"/>
      <c r="GP379" s="262"/>
      <c r="GQ379" s="262"/>
      <c r="GR379" s="262"/>
      <c r="GS379" s="262"/>
      <c r="GT379" s="262"/>
      <c r="GU379" s="262"/>
      <c r="GV379" s="262"/>
      <c r="GW379" s="262"/>
      <c r="GX379" s="262"/>
      <c r="GY379" s="262"/>
      <c r="GZ379" s="262"/>
      <c r="HA379" s="262"/>
      <c r="HB379" s="262"/>
      <c r="HC379" s="262"/>
      <c r="HD379" s="262"/>
      <c r="HE379" s="262"/>
      <c r="HF379" s="262"/>
      <c r="HG379" s="262"/>
      <c r="HH379" s="262"/>
      <c r="HI379" s="262"/>
      <c r="HJ379" s="262"/>
      <c r="HK379" s="262"/>
      <c r="HL379" s="262"/>
      <c r="HM379" s="262"/>
      <c r="HN379" s="262"/>
      <c r="HO379" s="262"/>
      <c r="HP379" s="262"/>
      <c r="HQ379" s="262"/>
      <c r="HR379" s="262"/>
      <c r="HS379" s="262"/>
      <c r="HT379" s="262"/>
      <c r="HU379" s="262"/>
      <c r="HV379" s="262"/>
      <c r="HW379" s="262"/>
      <c r="HX379" s="262"/>
      <c r="HY379" s="262"/>
      <c r="HZ379" s="262"/>
      <c r="IA379" s="262"/>
      <c r="IB379" s="262"/>
      <c r="IC379" s="262"/>
      <c r="ID379" s="262"/>
      <c r="IE379" s="262"/>
      <c r="IF379" s="262"/>
      <c r="IG379" s="262"/>
      <c r="IH379" s="262"/>
      <c r="II379" s="262"/>
      <c r="IJ379" s="262"/>
      <c r="IK379" s="262"/>
      <c r="IL379" s="262"/>
      <c r="IM379" s="262"/>
      <c r="IN379" s="262"/>
      <c r="IO379" s="262"/>
      <c r="IP379" s="262"/>
      <c r="IQ379" s="262"/>
      <c r="IR379" s="262"/>
      <c r="IS379" s="262"/>
      <c r="IT379" s="262"/>
      <c r="IU379" s="262"/>
    </row>
    <row r="380" s="262" customFormat="1" ht="18" customHeight="1" spans="1:256">
      <c r="A380" s="267">
        <v>10017</v>
      </c>
      <c r="B380" s="268" t="s">
        <v>1765</v>
      </c>
      <c r="C380" s="225" t="s">
        <v>1760</v>
      </c>
      <c r="D380" s="230">
        <v>17381.4019390528</v>
      </c>
      <c r="IV380" s="263"/>
    </row>
    <row r="381" s="262" customFormat="1" ht="18" customHeight="1" spans="1:256">
      <c r="A381" s="267">
        <v>10017</v>
      </c>
      <c r="B381" s="268" t="s">
        <v>1766</v>
      </c>
      <c r="C381" s="225" t="s">
        <v>1760</v>
      </c>
      <c r="D381" s="230">
        <v>5018.40453236874</v>
      </c>
      <c r="IV381" s="263"/>
    </row>
    <row r="382" ht="18" customHeight="1" spans="1:255">
      <c r="A382" s="267">
        <v>10019</v>
      </c>
      <c r="B382" s="268" t="s">
        <v>1767</v>
      </c>
      <c r="C382" s="225" t="s">
        <v>1760</v>
      </c>
      <c r="D382" s="230">
        <v>68116.287529636</v>
      </c>
      <c r="E382" s="262"/>
      <c r="F382" s="262"/>
      <c r="G382" s="262"/>
      <c r="H382" s="262"/>
      <c r="I382" s="262"/>
      <c r="J382" s="262"/>
      <c r="K382" s="262"/>
      <c r="L382" s="262"/>
      <c r="M382" s="262"/>
      <c r="N382" s="262"/>
      <c r="O382" s="262"/>
      <c r="P382" s="262"/>
      <c r="Q382" s="262"/>
      <c r="R382" s="262"/>
      <c r="S382" s="262"/>
      <c r="T382" s="262"/>
      <c r="U382" s="262"/>
      <c r="V382" s="262"/>
      <c r="W382" s="262"/>
      <c r="X382" s="262"/>
      <c r="Y382" s="262"/>
      <c r="Z382" s="262"/>
      <c r="AA382" s="262"/>
      <c r="AB382" s="262"/>
      <c r="AC382" s="262"/>
      <c r="AD382" s="262"/>
      <c r="AE382" s="262"/>
      <c r="AF382" s="262"/>
      <c r="AG382" s="262"/>
      <c r="AH382" s="262"/>
      <c r="AI382" s="262"/>
      <c r="AJ382" s="262"/>
      <c r="AK382" s="262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62"/>
      <c r="BH382" s="262"/>
      <c r="BI382" s="262"/>
      <c r="BJ382" s="262"/>
      <c r="BK382" s="262"/>
      <c r="BL382" s="262"/>
      <c r="BM382" s="262"/>
      <c r="BN382" s="262"/>
      <c r="BO382" s="262"/>
      <c r="BP382" s="262"/>
      <c r="BQ382" s="262"/>
      <c r="BR382" s="262"/>
      <c r="BS382" s="262"/>
      <c r="BT382" s="262"/>
      <c r="BU382" s="262"/>
      <c r="BV382" s="262"/>
      <c r="BW382" s="262"/>
      <c r="BX382" s="262"/>
      <c r="BY382" s="262"/>
      <c r="BZ382" s="262"/>
      <c r="CA382" s="262"/>
      <c r="CB382" s="262"/>
      <c r="CC382" s="262"/>
      <c r="CD382" s="262"/>
      <c r="CE382" s="262"/>
      <c r="CF382" s="262"/>
      <c r="CG382" s="262"/>
      <c r="CH382" s="262"/>
      <c r="CI382" s="262"/>
      <c r="CJ382" s="262"/>
      <c r="CK382" s="262"/>
      <c r="CL382" s="262"/>
      <c r="CM382" s="262"/>
      <c r="CN382" s="262"/>
      <c r="CO382" s="262"/>
      <c r="CP382" s="262"/>
      <c r="CQ382" s="262"/>
      <c r="CR382" s="262"/>
      <c r="CS382" s="262"/>
      <c r="CT382" s="262"/>
      <c r="CU382" s="262"/>
      <c r="CV382" s="262"/>
      <c r="CW382" s="262"/>
      <c r="CX382" s="262"/>
      <c r="CY382" s="262"/>
      <c r="CZ382" s="262"/>
      <c r="DA382" s="262"/>
      <c r="DB382" s="262"/>
      <c r="DC382" s="262"/>
      <c r="DD382" s="262"/>
      <c r="DE382" s="262"/>
      <c r="DF382" s="262"/>
      <c r="DG382" s="262"/>
      <c r="DH382" s="262"/>
      <c r="DI382" s="262"/>
      <c r="DJ382" s="262"/>
      <c r="DK382" s="262"/>
      <c r="DL382" s="262"/>
      <c r="DM382" s="262"/>
      <c r="DN382" s="262"/>
      <c r="DO382" s="262"/>
      <c r="DP382" s="262"/>
      <c r="DQ382" s="262"/>
      <c r="DR382" s="262"/>
      <c r="DS382" s="262"/>
      <c r="DT382" s="262"/>
      <c r="DU382" s="262"/>
      <c r="DV382" s="262"/>
      <c r="DW382" s="262"/>
      <c r="DX382" s="262"/>
      <c r="DY382" s="262"/>
      <c r="DZ382" s="262"/>
      <c r="EA382" s="262"/>
      <c r="EB382" s="262"/>
      <c r="EC382" s="262"/>
      <c r="ED382" s="262"/>
      <c r="EE382" s="262"/>
      <c r="EF382" s="262"/>
      <c r="EG382" s="262"/>
      <c r="EH382" s="262"/>
      <c r="EI382" s="262"/>
      <c r="EJ382" s="262"/>
      <c r="EK382" s="262"/>
      <c r="EL382" s="262"/>
      <c r="EM382" s="262"/>
      <c r="EN382" s="262"/>
      <c r="EO382" s="262"/>
      <c r="EP382" s="262"/>
      <c r="EQ382" s="262"/>
      <c r="ER382" s="262"/>
      <c r="ES382" s="262"/>
      <c r="ET382" s="262"/>
      <c r="EU382" s="262"/>
      <c r="EV382" s="262"/>
      <c r="EW382" s="262"/>
      <c r="EX382" s="262"/>
      <c r="EY382" s="262"/>
      <c r="EZ382" s="262"/>
      <c r="FA382" s="262"/>
      <c r="FB382" s="262"/>
      <c r="FC382" s="262"/>
      <c r="FD382" s="262"/>
      <c r="FE382" s="262"/>
      <c r="FF382" s="262"/>
      <c r="FG382" s="262"/>
      <c r="FH382" s="262"/>
      <c r="FI382" s="262"/>
      <c r="FJ382" s="262"/>
      <c r="FK382" s="262"/>
      <c r="FL382" s="262"/>
      <c r="FM382" s="262"/>
      <c r="FN382" s="262"/>
      <c r="FO382" s="262"/>
      <c r="FP382" s="262"/>
      <c r="FQ382" s="262"/>
      <c r="FR382" s="262"/>
      <c r="FS382" s="262"/>
      <c r="FT382" s="262"/>
      <c r="FU382" s="262"/>
      <c r="FV382" s="262"/>
      <c r="FW382" s="262"/>
      <c r="FX382" s="262"/>
      <c r="FY382" s="262"/>
      <c r="FZ382" s="262"/>
      <c r="GA382" s="262"/>
      <c r="GB382" s="262"/>
      <c r="GC382" s="262"/>
      <c r="GD382" s="262"/>
      <c r="GE382" s="262"/>
      <c r="GF382" s="262"/>
      <c r="GG382" s="262"/>
      <c r="GH382" s="262"/>
      <c r="GI382" s="262"/>
      <c r="GJ382" s="262"/>
      <c r="GK382" s="262"/>
      <c r="GL382" s="262"/>
      <c r="GM382" s="262"/>
      <c r="GN382" s="262"/>
      <c r="GO382" s="262"/>
      <c r="GP382" s="262"/>
      <c r="GQ382" s="262"/>
      <c r="GR382" s="262"/>
      <c r="GS382" s="262"/>
      <c r="GT382" s="262"/>
      <c r="GU382" s="262"/>
      <c r="GV382" s="262"/>
      <c r="GW382" s="262"/>
      <c r="GX382" s="262"/>
      <c r="GY382" s="262"/>
      <c r="GZ382" s="262"/>
      <c r="HA382" s="262"/>
      <c r="HB382" s="262"/>
      <c r="HC382" s="262"/>
      <c r="HD382" s="262"/>
      <c r="HE382" s="262"/>
      <c r="HF382" s="262"/>
      <c r="HG382" s="262"/>
      <c r="HH382" s="262"/>
      <c r="HI382" s="262"/>
      <c r="HJ382" s="262"/>
      <c r="HK382" s="262"/>
      <c r="HL382" s="262"/>
      <c r="HM382" s="262"/>
      <c r="HN382" s="262"/>
      <c r="HO382" s="262"/>
      <c r="HP382" s="262"/>
      <c r="HQ382" s="262"/>
      <c r="HR382" s="262"/>
      <c r="HS382" s="262"/>
      <c r="HT382" s="262"/>
      <c r="HU382" s="262"/>
      <c r="HV382" s="262"/>
      <c r="HW382" s="262"/>
      <c r="HX382" s="262"/>
      <c r="HY382" s="262"/>
      <c r="HZ382" s="262"/>
      <c r="IA382" s="262"/>
      <c r="IB382" s="262"/>
      <c r="IC382" s="262"/>
      <c r="ID382" s="262"/>
      <c r="IE382" s="262"/>
      <c r="IF382" s="262"/>
      <c r="IG382" s="262"/>
      <c r="IH382" s="262"/>
      <c r="II382" s="262"/>
      <c r="IJ382" s="262"/>
      <c r="IK382" s="262"/>
      <c r="IL382" s="262"/>
      <c r="IM382" s="262"/>
      <c r="IN382" s="262"/>
      <c r="IO382" s="262"/>
      <c r="IP382" s="262"/>
      <c r="IQ382" s="262"/>
      <c r="IR382" s="262"/>
      <c r="IS382" s="262"/>
      <c r="IT382" s="262"/>
      <c r="IU382" s="262"/>
    </row>
    <row r="383" s="262" customFormat="1" ht="18" customHeight="1" spans="1:256">
      <c r="A383" s="267">
        <v>10019</v>
      </c>
      <c r="B383" s="268" t="s">
        <v>1768</v>
      </c>
      <c r="C383" s="225" t="s">
        <v>1760</v>
      </c>
      <c r="D383" s="230">
        <v>80936.4299011706</v>
      </c>
      <c r="IV383" s="263"/>
    </row>
    <row r="384" s="262" customFormat="1" ht="18" customHeight="1" spans="1:256">
      <c r="A384" s="267">
        <v>10019</v>
      </c>
      <c r="B384" s="268" t="s">
        <v>1769</v>
      </c>
      <c r="C384" s="225" t="s">
        <v>1760</v>
      </c>
      <c r="D384" s="230">
        <v>89483.1914821935</v>
      </c>
      <c r="IV384" s="263"/>
    </row>
    <row r="385" ht="18" hidden="1" customHeight="1" spans="1:255">
      <c r="A385" s="267">
        <v>10019</v>
      </c>
      <c r="B385" s="268" t="s">
        <v>1770</v>
      </c>
      <c r="C385" s="225" t="s">
        <v>1760</v>
      </c>
      <c r="D385" s="230">
        <v>39385.4618566072</v>
      </c>
      <c r="E385" s="262"/>
      <c r="F385" s="262"/>
      <c r="G385" s="262"/>
      <c r="H385" s="262"/>
      <c r="I385" s="262"/>
      <c r="J385" s="262"/>
      <c r="K385" s="262"/>
      <c r="L385" s="262"/>
      <c r="M385" s="262"/>
      <c r="N385" s="262"/>
      <c r="O385" s="262"/>
      <c r="P385" s="262"/>
      <c r="Q385" s="262"/>
      <c r="R385" s="262"/>
      <c r="S385" s="262"/>
      <c r="T385" s="262"/>
      <c r="U385" s="262"/>
      <c r="V385" s="262"/>
      <c r="W385" s="262"/>
      <c r="X385" s="262"/>
      <c r="Y385" s="262"/>
      <c r="Z385" s="262"/>
      <c r="AA385" s="262"/>
      <c r="AB385" s="262"/>
      <c r="AC385" s="262"/>
      <c r="AD385" s="262"/>
      <c r="AE385" s="262"/>
      <c r="AF385" s="262"/>
      <c r="AG385" s="262"/>
      <c r="AH385" s="262"/>
      <c r="AI385" s="262"/>
      <c r="AJ385" s="262"/>
      <c r="AK385" s="262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62"/>
      <c r="BH385" s="262"/>
      <c r="BI385" s="262"/>
      <c r="BJ385" s="262"/>
      <c r="BK385" s="262"/>
      <c r="BL385" s="262"/>
      <c r="BM385" s="262"/>
      <c r="BN385" s="262"/>
      <c r="BO385" s="262"/>
      <c r="BP385" s="262"/>
      <c r="BQ385" s="262"/>
      <c r="BR385" s="262"/>
      <c r="BS385" s="262"/>
      <c r="BT385" s="262"/>
      <c r="BU385" s="262"/>
      <c r="BV385" s="262"/>
      <c r="BW385" s="262"/>
      <c r="BX385" s="262"/>
      <c r="BY385" s="262"/>
      <c r="BZ385" s="262"/>
      <c r="CA385" s="262"/>
      <c r="CB385" s="262"/>
      <c r="CC385" s="262"/>
      <c r="CD385" s="262"/>
      <c r="CE385" s="262"/>
      <c r="CF385" s="262"/>
      <c r="CG385" s="262"/>
      <c r="CH385" s="262"/>
      <c r="CI385" s="262"/>
      <c r="CJ385" s="262"/>
      <c r="CK385" s="262"/>
      <c r="CL385" s="262"/>
      <c r="CM385" s="262"/>
      <c r="CN385" s="262"/>
      <c r="CO385" s="262"/>
      <c r="CP385" s="262"/>
      <c r="CQ385" s="262"/>
      <c r="CR385" s="262"/>
      <c r="CS385" s="262"/>
      <c r="CT385" s="262"/>
      <c r="CU385" s="262"/>
      <c r="CV385" s="262"/>
      <c r="CW385" s="262"/>
      <c r="CX385" s="262"/>
      <c r="CY385" s="262"/>
      <c r="CZ385" s="262"/>
      <c r="DA385" s="262"/>
      <c r="DB385" s="262"/>
      <c r="DC385" s="262"/>
      <c r="DD385" s="262"/>
      <c r="DE385" s="262"/>
      <c r="DF385" s="262"/>
      <c r="DG385" s="262"/>
      <c r="DH385" s="262"/>
      <c r="DI385" s="262"/>
      <c r="DJ385" s="262"/>
      <c r="DK385" s="262"/>
      <c r="DL385" s="262"/>
      <c r="DM385" s="262"/>
      <c r="DN385" s="262"/>
      <c r="DO385" s="262"/>
      <c r="DP385" s="262"/>
      <c r="DQ385" s="262"/>
      <c r="DR385" s="262"/>
      <c r="DS385" s="262"/>
      <c r="DT385" s="262"/>
      <c r="DU385" s="262"/>
      <c r="DV385" s="262"/>
      <c r="DW385" s="262"/>
      <c r="DX385" s="262"/>
      <c r="DY385" s="262"/>
      <c r="DZ385" s="262"/>
      <c r="EA385" s="262"/>
      <c r="EB385" s="262"/>
      <c r="EC385" s="262"/>
      <c r="ED385" s="262"/>
      <c r="EE385" s="262"/>
      <c r="EF385" s="262"/>
      <c r="EG385" s="262"/>
      <c r="EH385" s="262"/>
      <c r="EI385" s="262"/>
      <c r="EJ385" s="262"/>
      <c r="EK385" s="262"/>
      <c r="EL385" s="262"/>
      <c r="EM385" s="262"/>
      <c r="EN385" s="262"/>
      <c r="EO385" s="262"/>
      <c r="EP385" s="262"/>
      <c r="EQ385" s="262"/>
      <c r="ER385" s="262"/>
      <c r="ES385" s="262"/>
      <c r="ET385" s="262"/>
      <c r="EU385" s="262"/>
      <c r="EV385" s="262"/>
      <c r="EW385" s="262"/>
      <c r="EX385" s="262"/>
      <c r="EY385" s="262"/>
      <c r="EZ385" s="262"/>
      <c r="FA385" s="262"/>
      <c r="FB385" s="262"/>
      <c r="FC385" s="262"/>
      <c r="FD385" s="262"/>
      <c r="FE385" s="262"/>
      <c r="FF385" s="262"/>
      <c r="FG385" s="262"/>
      <c r="FH385" s="262"/>
      <c r="FI385" s="262"/>
      <c r="FJ385" s="262"/>
      <c r="FK385" s="262"/>
      <c r="FL385" s="262"/>
      <c r="FM385" s="262"/>
      <c r="FN385" s="262"/>
      <c r="FO385" s="262"/>
      <c r="FP385" s="262"/>
      <c r="FQ385" s="262"/>
      <c r="FR385" s="262"/>
      <c r="FS385" s="262"/>
      <c r="FT385" s="262"/>
      <c r="FU385" s="262"/>
      <c r="FV385" s="262"/>
      <c r="FW385" s="262"/>
      <c r="FX385" s="262"/>
      <c r="FY385" s="262"/>
      <c r="FZ385" s="262"/>
      <c r="GA385" s="262"/>
      <c r="GB385" s="262"/>
      <c r="GC385" s="262"/>
      <c r="GD385" s="262"/>
      <c r="GE385" s="262"/>
      <c r="GF385" s="262"/>
      <c r="GG385" s="262"/>
      <c r="GH385" s="262"/>
      <c r="GI385" s="262"/>
      <c r="GJ385" s="262"/>
      <c r="GK385" s="262"/>
      <c r="GL385" s="262"/>
      <c r="GM385" s="262"/>
      <c r="GN385" s="262"/>
      <c r="GO385" s="262"/>
      <c r="GP385" s="262"/>
      <c r="GQ385" s="262"/>
      <c r="GR385" s="262"/>
      <c r="GS385" s="262"/>
      <c r="GT385" s="262"/>
      <c r="GU385" s="262"/>
      <c r="GV385" s="262"/>
      <c r="GW385" s="262"/>
      <c r="GX385" s="262"/>
      <c r="GY385" s="262"/>
      <c r="GZ385" s="262"/>
      <c r="HA385" s="262"/>
      <c r="HB385" s="262"/>
      <c r="HC385" s="262"/>
      <c r="HD385" s="262"/>
      <c r="HE385" s="262"/>
      <c r="HF385" s="262"/>
      <c r="HG385" s="262"/>
      <c r="HH385" s="262"/>
      <c r="HI385" s="262"/>
      <c r="HJ385" s="262"/>
      <c r="HK385" s="262"/>
      <c r="HL385" s="262"/>
      <c r="HM385" s="262"/>
      <c r="HN385" s="262"/>
      <c r="HO385" s="262"/>
      <c r="HP385" s="262"/>
      <c r="HQ385" s="262"/>
      <c r="HR385" s="262"/>
      <c r="HS385" s="262"/>
      <c r="HT385" s="262"/>
      <c r="HU385" s="262"/>
      <c r="HV385" s="262"/>
      <c r="HW385" s="262"/>
      <c r="HX385" s="262"/>
      <c r="HY385" s="262"/>
      <c r="HZ385" s="262"/>
      <c r="IA385" s="262"/>
      <c r="IB385" s="262"/>
      <c r="IC385" s="262"/>
      <c r="ID385" s="262"/>
      <c r="IE385" s="262"/>
      <c r="IF385" s="262"/>
      <c r="IG385" s="262"/>
      <c r="IH385" s="262"/>
      <c r="II385" s="262"/>
      <c r="IJ385" s="262"/>
      <c r="IK385" s="262"/>
      <c r="IL385" s="262"/>
      <c r="IM385" s="262"/>
      <c r="IN385" s="262"/>
      <c r="IO385" s="262"/>
      <c r="IP385" s="262"/>
      <c r="IQ385" s="262"/>
      <c r="IR385" s="262"/>
      <c r="IS385" s="262"/>
      <c r="IT385" s="262"/>
      <c r="IU385" s="262"/>
    </row>
    <row r="386" ht="18" customHeight="1" spans="1:255">
      <c r="A386" s="267">
        <v>10071</v>
      </c>
      <c r="B386" s="268" t="s">
        <v>1771</v>
      </c>
      <c r="C386" s="225" t="s">
        <v>1772</v>
      </c>
      <c r="D386" s="230">
        <v>373.766116703845</v>
      </c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262"/>
      <c r="X386" s="262"/>
      <c r="Y386" s="262"/>
      <c r="Z386" s="262"/>
      <c r="AA386" s="262"/>
      <c r="AB386" s="262"/>
      <c r="AC386" s="262"/>
      <c r="AD386" s="262"/>
      <c r="AE386" s="262"/>
      <c r="AF386" s="262"/>
      <c r="AG386" s="262"/>
      <c r="AH386" s="262"/>
      <c r="AI386" s="262"/>
      <c r="AJ386" s="262"/>
      <c r="AK386" s="262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62"/>
      <c r="BH386" s="262"/>
      <c r="BI386" s="262"/>
      <c r="BJ386" s="262"/>
      <c r="BK386" s="262"/>
      <c r="BL386" s="262"/>
      <c r="BM386" s="262"/>
      <c r="BN386" s="262"/>
      <c r="BO386" s="262"/>
      <c r="BP386" s="262"/>
      <c r="BQ386" s="262"/>
      <c r="BR386" s="262"/>
      <c r="BS386" s="262"/>
      <c r="BT386" s="262"/>
      <c r="BU386" s="262"/>
      <c r="BV386" s="262"/>
      <c r="BW386" s="262"/>
      <c r="BX386" s="262"/>
      <c r="BY386" s="262"/>
      <c r="BZ386" s="262"/>
      <c r="CA386" s="262"/>
      <c r="CB386" s="262"/>
      <c r="CC386" s="262"/>
      <c r="CD386" s="262"/>
      <c r="CE386" s="262"/>
      <c r="CF386" s="262"/>
      <c r="CG386" s="262"/>
      <c r="CH386" s="262"/>
      <c r="CI386" s="262"/>
      <c r="CJ386" s="262"/>
      <c r="CK386" s="262"/>
      <c r="CL386" s="262"/>
      <c r="CM386" s="262"/>
      <c r="CN386" s="262"/>
      <c r="CO386" s="262"/>
      <c r="CP386" s="262"/>
      <c r="CQ386" s="262"/>
      <c r="CR386" s="262"/>
      <c r="CS386" s="262"/>
      <c r="CT386" s="262"/>
      <c r="CU386" s="262"/>
      <c r="CV386" s="262"/>
      <c r="CW386" s="262"/>
      <c r="CX386" s="262"/>
      <c r="CY386" s="262"/>
      <c r="CZ386" s="262"/>
      <c r="DA386" s="262"/>
      <c r="DB386" s="262"/>
      <c r="DC386" s="262"/>
      <c r="DD386" s="262"/>
      <c r="DE386" s="262"/>
      <c r="DF386" s="262"/>
      <c r="DG386" s="262"/>
      <c r="DH386" s="262"/>
      <c r="DI386" s="262"/>
      <c r="DJ386" s="262"/>
      <c r="DK386" s="262"/>
      <c r="DL386" s="262"/>
      <c r="DM386" s="262"/>
      <c r="DN386" s="262"/>
      <c r="DO386" s="262"/>
      <c r="DP386" s="262"/>
      <c r="DQ386" s="262"/>
      <c r="DR386" s="262"/>
      <c r="DS386" s="262"/>
      <c r="DT386" s="262"/>
      <c r="DU386" s="262"/>
      <c r="DV386" s="262"/>
      <c r="DW386" s="262"/>
      <c r="DX386" s="262"/>
      <c r="DY386" s="262"/>
      <c r="DZ386" s="262"/>
      <c r="EA386" s="262"/>
      <c r="EB386" s="262"/>
      <c r="EC386" s="262"/>
      <c r="ED386" s="262"/>
      <c r="EE386" s="262"/>
      <c r="EF386" s="262"/>
      <c r="EG386" s="262"/>
      <c r="EH386" s="262"/>
      <c r="EI386" s="262"/>
      <c r="EJ386" s="262"/>
      <c r="EK386" s="262"/>
      <c r="EL386" s="262"/>
      <c r="EM386" s="262"/>
      <c r="EN386" s="262"/>
      <c r="EO386" s="262"/>
      <c r="EP386" s="262"/>
      <c r="EQ386" s="262"/>
      <c r="ER386" s="262"/>
      <c r="ES386" s="262"/>
      <c r="ET386" s="262"/>
      <c r="EU386" s="262"/>
      <c r="EV386" s="262"/>
      <c r="EW386" s="262"/>
      <c r="EX386" s="262"/>
      <c r="EY386" s="262"/>
      <c r="EZ386" s="262"/>
      <c r="FA386" s="262"/>
      <c r="FB386" s="262"/>
      <c r="FC386" s="262"/>
      <c r="FD386" s="262"/>
      <c r="FE386" s="262"/>
      <c r="FF386" s="262"/>
      <c r="FG386" s="262"/>
      <c r="FH386" s="262"/>
      <c r="FI386" s="262"/>
      <c r="FJ386" s="262"/>
      <c r="FK386" s="262"/>
      <c r="FL386" s="262"/>
      <c r="FM386" s="262"/>
      <c r="FN386" s="262"/>
      <c r="FO386" s="262"/>
      <c r="FP386" s="262"/>
      <c r="FQ386" s="262"/>
      <c r="FR386" s="262"/>
      <c r="FS386" s="262"/>
      <c r="FT386" s="262"/>
      <c r="FU386" s="262"/>
      <c r="FV386" s="262"/>
      <c r="FW386" s="262"/>
      <c r="FX386" s="262"/>
      <c r="FY386" s="262"/>
      <c r="FZ386" s="262"/>
      <c r="GA386" s="262"/>
      <c r="GB386" s="262"/>
      <c r="GC386" s="262"/>
      <c r="GD386" s="262"/>
      <c r="GE386" s="262"/>
      <c r="GF386" s="262"/>
      <c r="GG386" s="262"/>
      <c r="GH386" s="262"/>
      <c r="GI386" s="262"/>
      <c r="GJ386" s="262"/>
      <c r="GK386" s="262"/>
      <c r="GL386" s="262"/>
      <c r="GM386" s="262"/>
      <c r="GN386" s="262"/>
      <c r="GO386" s="262"/>
      <c r="GP386" s="262"/>
      <c r="GQ386" s="262"/>
      <c r="GR386" s="262"/>
      <c r="GS386" s="262"/>
      <c r="GT386" s="262"/>
      <c r="GU386" s="262"/>
      <c r="GV386" s="262"/>
      <c r="GW386" s="262"/>
      <c r="GX386" s="262"/>
      <c r="GY386" s="262"/>
      <c r="GZ386" s="262"/>
      <c r="HA386" s="262"/>
      <c r="HB386" s="262"/>
      <c r="HC386" s="262"/>
      <c r="HD386" s="262"/>
      <c r="HE386" s="262"/>
      <c r="HF386" s="262"/>
      <c r="HG386" s="262"/>
      <c r="HH386" s="262"/>
      <c r="HI386" s="262"/>
      <c r="HJ386" s="262"/>
      <c r="HK386" s="262"/>
      <c r="HL386" s="262"/>
      <c r="HM386" s="262"/>
      <c r="HN386" s="262"/>
      <c r="HO386" s="262"/>
      <c r="HP386" s="262"/>
      <c r="HQ386" s="262"/>
      <c r="HR386" s="262"/>
      <c r="HS386" s="262"/>
      <c r="HT386" s="262"/>
      <c r="HU386" s="262"/>
      <c r="HV386" s="262"/>
      <c r="HW386" s="262"/>
      <c r="HX386" s="262"/>
      <c r="HY386" s="262"/>
      <c r="HZ386" s="262"/>
      <c r="IA386" s="262"/>
      <c r="IB386" s="262"/>
      <c r="IC386" s="262"/>
      <c r="ID386" s="262"/>
      <c r="IE386" s="262"/>
      <c r="IF386" s="262"/>
      <c r="IG386" s="262"/>
      <c r="IH386" s="262"/>
      <c r="II386" s="262"/>
      <c r="IJ386" s="262"/>
      <c r="IK386" s="262"/>
      <c r="IL386" s="262"/>
      <c r="IM386" s="262"/>
      <c r="IN386" s="262"/>
      <c r="IO386" s="262"/>
      <c r="IP386" s="262"/>
      <c r="IQ386" s="262"/>
      <c r="IR386" s="262"/>
      <c r="IS386" s="262"/>
      <c r="IT386" s="262"/>
      <c r="IU386" s="262"/>
    </row>
    <row r="387" ht="18" customHeight="1" spans="1:255">
      <c r="A387" s="267">
        <v>10181</v>
      </c>
      <c r="B387" s="268" t="e">
        <f>#REF!</f>
        <v>#REF!</v>
      </c>
      <c r="C387" s="225" t="s">
        <v>1380</v>
      </c>
      <c r="D387" s="230">
        <v>6408.89179417767</v>
      </c>
      <c r="E387" s="262"/>
      <c r="F387" s="262"/>
      <c r="G387" s="262"/>
      <c r="H387" s="262"/>
      <c r="I387" s="262"/>
      <c r="J387" s="262"/>
      <c r="K387" s="262"/>
      <c r="L387" s="262"/>
      <c r="M387" s="262"/>
      <c r="N387" s="262"/>
      <c r="O387" s="262"/>
      <c r="P387" s="262"/>
      <c r="Q387" s="262"/>
      <c r="R387" s="262"/>
      <c r="S387" s="262"/>
      <c r="T387" s="262"/>
      <c r="U387" s="262"/>
      <c r="V387" s="262"/>
      <c r="W387" s="262"/>
      <c r="X387" s="262"/>
      <c r="Y387" s="262"/>
      <c r="Z387" s="262"/>
      <c r="AA387" s="262"/>
      <c r="AB387" s="262"/>
      <c r="AC387" s="262"/>
      <c r="AD387" s="262"/>
      <c r="AE387" s="262"/>
      <c r="AF387" s="262"/>
      <c r="AG387" s="262"/>
      <c r="AH387" s="262"/>
      <c r="AI387" s="262"/>
      <c r="AJ387" s="262"/>
      <c r="AK387" s="262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62"/>
      <c r="BH387" s="262"/>
      <c r="BI387" s="262"/>
      <c r="BJ387" s="262"/>
      <c r="BK387" s="262"/>
      <c r="BL387" s="262"/>
      <c r="BM387" s="262"/>
      <c r="BN387" s="262"/>
      <c r="BO387" s="262"/>
      <c r="BP387" s="262"/>
      <c r="BQ387" s="262"/>
      <c r="BR387" s="262"/>
      <c r="BS387" s="262"/>
      <c r="BT387" s="262"/>
      <c r="BU387" s="262"/>
      <c r="BV387" s="262"/>
      <c r="BW387" s="262"/>
      <c r="BX387" s="262"/>
      <c r="BY387" s="262"/>
      <c r="BZ387" s="262"/>
      <c r="CA387" s="262"/>
      <c r="CB387" s="262"/>
      <c r="CC387" s="262"/>
      <c r="CD387" s="262"/>
      <c r="CE387" s="262"/>
      <c r="CF387" s="262"/>
      <c r="CG387" s="262"/>
      <c r="CH387" s="262"/>
      <c r="CI387" s="262"/>
      <c r="CJ387" s="262"/>
      <c r="CK387" s="262"/>
      <c r="CL387" s="262"/>
      <c r="CM387" s="262"/>
      <c r="CN387" s="262"/>
      <c r="CO387" s="262"/>
      <c r="CP387" s="262"/>
      <c r="CQ387" s="262"/>
      <c r="CR387" s="262"/>
      <c r="CS387" s="262"/>
      <c r="CT387" s="262"/>
      <c r="CU387" s="262"/>
      <c r="CV387" s="262"/>
      <c r="CW387" s="262"/>
      <c r="CX387" s="262"/>
      <c r="CY387" s="262"/>
      <c r="CZ387" s="262"/>
      <c r="DA387" s="262"/>
      <c r="DB387" s="262"/>
      <c r="DC387" s="262"/>
      <c r="DD387" s="262"/>
      <c r="DE387" s="262"/>
      <c r="DF387" s="262"/>
      <c r="DG387" s="262"/>
      <c r="DH387" s="262"/>
      <c r="DI387" s="262"/>
      <c r="DJ387" s="262"/>
      <c r="DK387" s="262"/>
      <c r="DL387" s="262"/>
      <c r="DM387" s="262"/>
      <c r="DN387" s="262"/>
      <c r="DO387" s="262"/>
      <c r="DP387" s="262"/>
      <c r="DQ387" s="262"/>
      <c r="DR387" s="262"/>
      <c r="DS387" s="262"/>
      <c r="DT387" s="262"/>
      <c r="DU387" s="262"/>
      <c r="DV387" s="262"/>
      <c r="DW387" s="262"/>
      <c r="DX387" s="262"/>
      <c r="DY387" s="262"/>
      <c r="DZ387" s="262"/>
      <c r="EA387" s="262"/>
      <c r="EB387" s="262"/>
      <c r="EC387" s="262"/>
      <c r="ED387" s="262"/>
      <c r="EE387" s="262"/>
      <c r="EF387" s="262"/>
      <c r="EG387" s="262"/>
      <c r="EH387" s="262"/>
      <c r="EI387" s="262"/>
      <c r="EJ387" s="262"/>
      <c r="EK387" s="262"/>
      <c r="EL387" s="262"/>
      <c r="EM387" s="262"/>
      <c r="EN387" s="262"/>
      <c r="EO387" s="262"/>
      <c r="EP387" s="262"/>
      <c r="EQ387" s="262"/>
      <c r="ER387" s="262"/>
      <c r="ES387" s="262"/>
      <c r="ET387" s="262"/>
      <c r="EU387" s="262"/>
      <c r="EV387" s="262"/>
      <c r="EW387" s="262"/>
      <c r="EX387" s="262"/>
      <c r="EY387" s="262"/>
      <c r="EZ387" s="262"/>
      <c r="FA387" s="262"/>
      <c r="FB387" s="262"/>
      <c r="FC387" s="262"/>
      <c r="FD387" s="262"/>
      <c r="FE387" s="262"/>
      <c r="FF387" s="262"/>
      <c r="FG387" s="262"/>
      <c r="FH387" s="262"/>
      <c r="FI387" s="262"/>
      <c r="FJ387" s="262"/>
      <c r="FK387" s="262"/>
      <c r="FL387" s="262"/>
      <c r="FM387" s="262"/>
      <c r="FN387" s="262"/>
      <c r="FO387" s="262"/>
      <c r="FP387" s="262"/>
      <c r="FQ387" s="262"/>
      <c r="FR387" s="262"/>
      <c r="FS387" s="262"/>
      <c r="FT387" s="262"/>
      <c r="FU387" s="262"/>
      <c r="FV387" s="262"/>
      <c r="FW387" s="262"/>
      <c r="FX387" s="262"/>
      <c r="FY387" s="262"/>
      <c r="FZ387" s="262"/>
      <c r="GA387" s="262"/>
      <c r="GB387" s="262"/>
      <c r="GC387" s="262"/>
      <c r="GD387" s="262"/>
      <c r="GE387" s="262"/>
      <c r="GF387" s="262"/>
      <c r="GG387" s="262"/>
      <c r="GH387" s="262"/>
      <c r="GI387" s="262"/>
      <c r="GJ387" s="262"/>
      <c r="GK387" s="262"/>
      <c r="GL387" s="262"/>
      <c r="GM387" s="262"/>
      <c r="GN387" s="262"/>
      <c r="GO387" s="262"/>
      <c r="GP387" s="262"/>
      <c r="GQ387" s="262"/>
      <c r="GR387" s="262"/>
      <c r="GS387" s="262"/>
      <c r="GT387" s="262"/>
      <c r="GU387" s="262"/>
      <c r="GV387" s="262"/>
      <c r="GW387" s="262"/>
      <c r="GX387" s="262"/>
      <c r="GY387" s="262"/>
      <c r="GZ387" s="262"/>
      <c r="HA387" s="262"/>
      <c r="HB387" s="262"/>
      <c r="HC387" s="262"/>
      <c r="HD387" s="262"/>
      <c r="HE387" s="262"/>
      <c r="HF387" s="262"/>
      <c r="HG387" s="262"/>
      <c r="HH387" s="262"/>
      <c r="HI387" s="262"/>
      <c r="HJ387" s="262"/>
      <c r="HK387" s="262"/>
      <c r="HL387" s="262"/>
      <c r="HM387" s="262"/>
      <c r="HN387" s="262"/>
      <c r="HO387" s="262"/>
      <c r="HP387" s="262"/>
      <c r="HQ387" s="262"/>
      <c r="HR387" s="262"/>
      <c r="HS387" s="262"/>
      <c r="HT387" s="262"/>
      <c r="HU387" s="262"/>
      <c r="HV387" s="262"/>
      <c r="HW387" s="262"/>
      <c r="HX387" s="262"/>
      <c r="HY387" s="262"/>
      <c r="HZ387" s="262"/>
      <c r="IA387" s="262"/>
      <c r="IB387" s="262"/>
      <c r="IC387" s="262"/>
      <c r="ID387" s="262"/>
      <c r="IE387" s="262"/>
      <c r="IF387" s="262"/>
      <c r="IG387" s="262"/>
      <c r="IH387" s="262"/>
      <c r="II387" s="262"/>
      <c r="IJ387" s="262"/>
      <c r="IK387" s="262"/>
      <c r="IL387" s="262"/>
      <c r="IM387" s="262"/>
      <c r="IN387" s="262"/>
      <c r="IO387" s="262"/>
      <c r="IP387" s="262"/>
      <c r="IQ387" s="262"/>
      <c r="IR387" s="262"/>
      <c r="IS387" s="262"/>
      <c r="IT387" s="262"/>
      <c r="IU387" s="262"/>
    </row>
    <row r="388" s="262" customFormat="1" ht="18" customHeight="1" spans="1:256">
      <c r="A388" s="267">
        <v>10184</v>
      </c>
      <c r="B388" s="268" t="s">
        <v>1773</v>
      </c>
      <c r="C388" s="225" t="s">
        <v>1380</v>
      </c>
      <c r="D388" s="230">
        <v>1892.71791948891</v>
      </c>
      <c r="IV388" s="263"/>
    </row>
    <row r="389" s="262" customFormat="1" ht="18" customHeight="1" spans="1:256">
      <c r="A389" s="267">
        <v>10188</v>
      </c>
      <c r="B389" s="268" t="s">
        <v>1774</v>
      </c>
      <c r="C389" s="225" t="s">
        <v>1380</v>
      </c>
      <c r="D389" s="230">
        <v>6403.6601999425</v>
      </c>
      <c r="IV389" s="263"/>
    </row>
    <row r="390" s="262" customFormat="1" ht="18" customHeight="1" spans="1:256">
      <c r="A390" s="267">
        <v>10201</v>
      </c>
      <c r="B390" s="268" t="s">
        <v>1775</v>
      </c>
      <c r="C390" s="225" t="s">
        <v>1440</v>
      </c>
      <c r="D390" s="230">
        <v>1812.74846203776</v>
      </c>
      <c r="IV390" s="263"/>
    </row>
    <row r="391" s="262" customFormat="1" ht="18" customHeight="1" spans="1:256">
      <c r="A391" s="267">
        <v>10205</v>
      </c>
      <c r="B391" s="268" t="s">
        <v>1776</v>
      </c>
      <c r="C391" s="225" t="s">
        <v>1440</v>
      </c>
      <c r="D391" s="230">
        <v>1873.58955844695</v>
      </c>
      <c r="IV391" s="263"/>
    </row>
    <row r="392" s="262" customFormat="1" ht="18" customHeight="1" spans="1:256">
      <c r="A392" s="267">
        <v>10201</v>
      </c>
      <c r="B392" s="268" t="s">
        <v>1777</v>
      </c>
      <c r="C392" s="225" t="s">
        <v>1440</v>
      </c>
      <c r="D392" s="230">
        <v>2124.43781380446</v>
      </c>
      <c r="IV392" s="263"/>
    </row>
    <row r="393" s="262" customFormat="1" ht="18" customHeight="1" spans="1:256">
      <c r="A393" s="267">
        <v>10205</v>
      </c>
      <c r="B393" s="268" t="s">
        <v>1778</v>
      </c>
      <c r="C393" s="225" t="s">
        <v>1440</v>
      </c>
      <c r="D393" s="230">
        <v>2185.27891021365</v>
      </c>
      <c r="IV393" s="263"/>
    </row>
    <row r="394" ht="18" customHeight="1" spans="1:255">
      <c r="A394" s="267">
        <v>10224</v>
      </c>
      <c r="B394" s="269" t="s">
        <v>1779</v>
      </c>
      <c r="C394" s="225" t="s">
        <v>1440</v>
      </c>
      <c r="D394" s="230">
        <v>1730.61109295193</v>
      </c>
      <c r="E394" s="262"/>
      <c r="F394" s="262"/>
      <c r="G394" s="262"/>
      <c r="H394" s="262"/>
      <c r="I394" s="262"/>
      <c r="J394" s="262"/>
      <c r="K394" s="262"/>
      <c r="L394" s="262"/>
      <c r="M394" s="262"/>
      <c r="N394" s="262"/>
      <c r="O394" s="262"/>
      <c r="P394" s="262"/>
      <c r="Q394" s="262"/>
      <c r="R394" s="262"/>
      <c r="S394" s="262"/>
      <c r="T394" s="262"/>
      <c r="U394" s="262"/>
      <c r="V394" s="262"/>
      <c r="W394" s="262"/>
      <c r="X394" s="262"/>
      <c r="Y394" s="262"/>
      <c r="Z394" s="262"/>
      <c r="AA394" s="262"/>
      <c r="AB394" s="262"/>
      <c r="AC394" s="262"/>
      <c r="AD394" s="262"/>
      <c r="AE394" s="262"/>
      <c r="AF394" s="262"/>
      <c r="AG394" s="262"/>
      <c r="AH394" s="262"/>
      <c r="AI394" s="262"/>
      <c r="AJ394" s="262"/>
      <c r="AK394" s="262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62"/>
      <c r="BH394" s="262"/>
      <c r="BI394" s="262"/>
      <c r="BJ394" s="262"/>
      <c r="BK394" s="262"/>
      <c r="BL394" s="262"/>
      <c r="BM394" s="262"/>
      <c r="BN394" s="262"/>
      <c r="BO394" s="262"/>
      <c r="BP394" s="262"/>
      <c r="BQ394" s="262"/>
      <c r="BR394" s="262"/>
      <c r="BS394" s="262"/>
      <c r="BT394" s="262"/>
      <c r="BU394" s="262"/>
      <c r="BV394" s="262"/>
      <c r="BW394" s="262"/>
      <c r="BX394" s="262"/>
      <c r="BY394" s="262"/>
      <c r="BZ394" s="262"/>
      <c r="CA394" s="262"/>
      <c r="CB394" s="262"/>
      <c r="CC394" s="262"/>
      <c r="CD394" s="262"/>
      <c r="CE394" s="262"/>
      <c r="CF394" s="262"/>
      <c r="CG394" s="262"/>
      <c r="CH394" s="262"/>
      <c r="CI394" s="262"/>
      <c r="CJ394" s="262"/>
      <c r="CK394" s="262"/>
      <c r="CL394" s="262"/>
      <c r="CM394" s="262"/>
      <c r="CN394" s="262"/>
      <c r="CO394" s="262"/>
      <c r="CP394" s="262"/>
      <c r="CQ394" s="262"/>
      <c r="CR394" s="262"/>
      <c r="CS394" s="262"/>
      <c r="CT394" s="262"/>
      <c r="CU394" s="262"/>
      <c r="CV394" s="262"/>
      <c r="CW394" s="262"/>
      <c r="CX394" s="262"/>
      <c r="CY394" s="262"/>
      <c r="CZ394" s="262"/>
      <c r="DA394" s="262"/>
      <c r="DB394" s="262"/>
      <c r="DC394" s="262"/>
      <c r="DD394" s="262"/>
      <c r="DE394" s="262"/>
      <c r="DF394" s="262"/>
      <c r="DG394" s="262"/>
      <c r="DH394" s="262"/>
      <c r="DI394" s="262"/>
      <c r="DJ394" s="262"/>
      <c r="DK394" s="262"/>
      <c r="DL394" s="262"/>
      <c r="DM394" s="262"/>
      <c r="DN394" s="262"/>
      <c r="DO394" s="262"/>
      <c r="DP394" s="262"/>
      <c r="DQ394" s="262"/>
      <c r="DR394" s="262"/>
      <c r="DS394" s="262"/>
      <c r="DT394" s="262"/>
      <c r="DU394" s="262"/>
      <c r="DV394" s="262"/>
      <c r="DW394" s="262"/>
      <c r="DX394" s="262"/>
      <c r="DY394" s="262"/>
      <c r="DZ394" s="262"/>
      <c r="EA394" s="262"/>
      <c r="EB394" s="262"/>
      <c r="EC394" s="262"/>
      <c r="ED394" s="262"/>
      <c r="EE394" s="262"/>
      <c r="EF394" s="262"/>
      <c r="EG394" s="262"/>
      <c r="EH394" s="262"/>
      <c r="EI394" s="262"/>
      <c r="EJ394" s="262"/>
      <c r="EK394" s="262"/>
      <c r="EL394" s="262"/>
      <c r="EM394" s="262"/>
      <c r="EN394" s="262"/>
      <c r="EO394" s="262"/>
      <c r="EP394" s="262"/>
      <c r="EQ394" s="262"/>
      <c r="ER394" s="262"/>
      <c r="ES394" s="262"/>
      <c r="ET394" s="262"/>
      <c r="EU394" s="262"/>
      <c r="EV394" s="262"/>
      <c r="EW394" s="262"/>
      <c r="EX394" s="262"/>
      <c r="EY394" s="262"/>
      <c r="EZ394" s="262"/>
      <c r="FA394" s="262"/>
      <c r="FB394" s="262"/>
      <c r="FC394" s="262"/>
      <c r="FD394" s="262"/>
      <c r="FE394" s="262"/>
      <c r="FF394" s="262"/>
      <c r="FG394" s="262"/>
      <c r="FH394" s="262"/>
      <c r="FI394" s="262"/>
      <c r="FJ394" s="262"/>
      <c r="FK394" s="262"/>
      <c r="FL394" s="262"/>
      <c r="FM394" s="262"/>
      <c r="FN394" s="262"/>
      <c r="FO394" s="262"/>
      <c r="FP394" s="262"/>
      <c r="FQ394" s="262"/>
      <c r="FR394" s="262"/>
      <c r="FS394" s="262"/>
      <c r="FT394" s="262"/>
      <c r="FU394" s="262"/>
      <c r="FV394" s="262"/>
      <c r="FW394" s="262"/>
      <c r="FX394" s="262"/>
      <c r="FY394" s="262"/>
      <c r="FZ394" s="262"/>
      <c r="GA394" s="262"/>
      <c r="GB394" s="262"/>
      <c r="GC394" s="262"/>
      <c r="GD394" s="262"/>
      <c r="GE394" s="262"/>
      <c r="GF394" s="262"/>
      <c r="GG394" s="262"/>
      <c r="GH394" s="262"/>
      <c r="GI394" s="262"/>
      <c r="GJ394" s="262"/>
      <c r="GK394" s="262"/>
      <c r="GL394" s="262"/>
      <c r="GM394" s="262"/>
      <c r="GN394" s="262"/>
      <c r="GO394" s="262"/>
      <c r="GP394" s="262"/>
      <c r="GQ394" s="262"/>
      <c r="GR394" s="262"/>
      <c r="GS394" s="262"/>
      <c r="GT394" s="262"/>
      <c r="GU394" s="262"/>
      <c r="GV394" s="262"/>
      <c r="GW394" s="262"/>
      <c r="GX394" s="262"/>
      <c r="GY394" s="262"/>
      <c r="GZ394" s="262"/>
      <c r="HA394" s="262"/>
      <c r="HB394" s="262"/>
      <c r="HC394" s="262"/>
      <c r="HD394" s="262"/>
      <c r="HE394" s="262"/>
      <c r="HF394" s="262"/>
      <c r="HG394" s="262"/>
      <c r="HH394" s="262"/>
      <c r="HI394" s="262"/>
      <c r="HJ394" s="262"/>
      <c r="HK394" s="262"/>
      <c r="HL394" s="262"/>
      <c r="HM394" s="262"/>
      <c r="HN394" s="262"/>
      <c r="HO394" s="262"/>
      <c r="HP394" s="262"/>
      <c r="HQ394" s="262"/>
      <c r="HR394" s="262"/>
      <c r="HS394" s="262"/>
      <c r="HT394" s="262"/>
      <c r="HU394" s="262"/>
      <c r="HV394" s="262"/>
      <c r="HW394" s="262"/>
      <c r="HX394" s="262"/>
      <c r="HY394" s="262"/>
      <c r="HZ394" s="262"/>
      <c r="IA394" s="262"/>
      <c r="IB394" s="262"/>
      <c r="IC394" s="262"/>
      <c r="ID394" s="262"/>
      <c r="IE394" s="262"/>
      <c r="IF394" s="262"/>
      <c r="IG394" s="262"/>
      <c r="IH394" s="262"/>
      <c r="II394" s="262"/>
      <c r="IJ394" s="262"/>
      <c r="IK394" s="262"/>
      <c r="IL394" s="262"/>
      <c r="IM394" s="262"/>
      <c r="IN394" s="262"/>
      <c r="IO394" s="262"/>
      <c r="IP394" s="262"/>
      <c r="IQ394" s="262"/>
      <c r="IR394" s="262"/>
      <c r="IS394" s="262"/>
      <c r="IT394" s="262"/>
      <c r="IU394" s="262"/>
    </row>
    <row r="395" spans="1:4">
      <c r="A395" s="267">
        <v>10224</v>
      </c>
      <c r="B395" s="269" t="s">
        <v>1780</v>
      </c>
      <c r="C395" s="225" t="s">
        <v>1440</v>
      </c>
      <c r="D395" s="230">
        <v>1792.50218390829</v>
      </c>
    </row>
    <row r="396" s="262" customFormat="1" spans="1:256">
      <c r="A396" s="267">
        <v>10224</v>
      </c>
      <c r="B396" s="269" t="s">
        <v>1781</v>
      </c>
      <c r="C396" s="225" t="s">
        <v>1440</v>
      </c>
      <c r="D396" s="230">
        <v>5855.93345487981</v>
      </c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263"/>
      <c r="AG396" s="263"/>
      <c r="AH396" s="263"/>
      <c r="AI396" s="263"/>
      <c r="AJ396" s="263"/>
      <c r="AK396" s="263"/>
      <c r="AL396" s="263"/>
      <c r="AM396" s="263"/>
      <c r="AN396" s="263"/>
      <c r="AO396" s="263"/>
      <c r="AP396" s="263"/>
      <c r="AQ396" s="263"/>
      <c r="AR396" s="263"/>
      <c r="AS396" s="263"/>
      <c r="AT396" s="263"/>
      <c r="AU396" s="263"/>
      <c r="AV396" s="263"/>
      <c r="AW396" s="263"/>
      <c r="AX396" s="263"/>
      <c r="AY396" s="263"/>
      <c r="AZ396" s="263"/>
      <c r="BA396" s="263"/>
      <c r="BB396" s="263"/>
      <c r="BC396" s="263"/>
      <c r="BD396" s="263"/>
      <c r="BE396" s="263"/>
      <c r="BF396" s="263"/>
      <c r="BG396" s="263"/>
      <c r="BH396" s="263"/>
      <c r="BI396" s="263"/>
      <c r="BJ396" s="263"/>
      <c r="BK396" s="263"/>
      <c r="BL396" s="263"/>
      <c r="BM396" s="263"/>
      <c r="BN396" s="263"/>
      <c r="BO396" s="263"/>
      <c r="BP396" s="263"/>
      <c r="BQ396" s="263"/>
      <c r="BR396" s="263"/>
      <c r="BS396" s="263"/>
      <c r="BT396" s="263"/>
      <c r="BU396" s="263"/>
      <c r="BV396" s="263"/>
      <c r="BW396" s="263"/>
      <c r="BX396" s="263"/>
      <c r="BY396" s="263"/>
      <c r="BZ396" s="263"/>
      <c r="CA396" s="263"/>
      <c r="CB396" s="263"/>
      <c r="CC396" s="263"/>
      <c r="CD396" s="263"/>
      <c r="CE396" s="263"/>
      <c r="CF396" s="263"/>
      <c r="CG396" s="263"/>
      <c r="CH396" s="263"/>
      <c r="CI396" s="263"/>
      <c r="CJ396" s="263"/>
      <c r="CK396" s="263"/>
      <c r="CL396" s="263"/>
      <c r="CM396" s="263"/>
      <c r="CN396" s="263"/>
      <c r="CO396" s="263"/>
      <c r="CP396" s="263"/>
      <c r="CQ396" s="263"/>
      <c r="CR396" s="263"/>
      <c r="CS396" s="263"/>
      <c r="CT396" s="263"/>
      <c r="CU396" s="263"/>
      <c r="CV396" s="263"/>
      <c r="CW396" s="263"/>
      <c r="CX396" s="263"/>
      <c r="CY396" s="263"/>
      <c r="CZ396" s="263"/>
      <c r="DA396" s="263"/>
      <c r="DB396" s="263"/>
      <c r="DC396" s="263"/>
      <c r="DD396" s="263"/>
      <c r="DE396" s="263"/>
      <c r="DF396" s="263"/>
      <c r="DG396" s="263"/>
      <c r="DH396" s="263"/>
      <c r="DI396" s="263"/>
      <c r="DJ396" s="263"/>
      <c r="DK396" s="263"/>
      <c r="DL396" s="263"/>
      <c r="DM396" s="263"/>
      <c r="DN396" s="263"/>
      <c r="DO396" s="263"/>
      <c r="DP396" s="263"/>
      <c r="DQ396" s="263"/>
      <c r="DR396" s="263"/>
      <c r="DS396" s="263"/>
      <c r="DT396" s="263"/>
      <c r="DU396" s="263"/>
      <c r="DV396" s="263"/>
      <c r="DW396" s="263"/>
      <c r="DX396" s="263"/>
      <c r="DY396" s="263"/>
      <c r="DZ396" s="263"/>
      <c r="EA396" s="263"/>
      <c r="EB396" s="263"/>
      <c r="EC396" s="263"/>
      <c r="ED396" s="263"/>
      <c r="EE396" s="263"/>
      <c r="EF396" s="263"/>
      <c r="EG396" s="263"/>
      <c r="EH396" s="263"/>
      <c r="EI396" s="263"/>
      <c r="EJ396" s="263"/>
      <c r="EK396" s="263"/>
      <c r="EL396" s="263"/>
      <c r="EM396" s="263"/>
      <c r="EN396" s="263"/>
      <c r="EO396" s="263"/>
      <c r="EP396" s="263"/>
      <c r="EQ396" s="263"/>
      <c r="ER396" s="263"/>
      <c r="ES396" s="263"/>
      <c r="ET396" s="263"/>
      <c r="EU396" s="263"/>
      <c r="EV396" s="263"/>
      <c r="EW396" s="263"/>
      <c r="EX396" s="263"/>
      <c r="EY396" s="263"/>
      <c r="EZ396" s="263"/>
      <c r="FA396" s="263"/>
      <c r="FB396" s="263"/>
      <c r="FC396" s="263"/>
      <c r="FD396" s="263"/>
      <c r="FE396" s="263"/>
      <c r="FF396" s="263"/>
      <c r="FG396" s="263"/>
      <c r="FH396" s="263"/>
      <c r="FI396" s="263"/>
      <c r="FJ396" s="263"/>
      <c r="FK396" s="263"/>
      <c r="FL396" s="263"/>
      <c r="FM396" s="263"/>
      <c r="FN396" s="263"/>
      <c r="FO396" s="263"/>
      <c r="FP396" s="263"/>
      <c r="FQ396" s="263"/>
      <c r="FR396" s="263"/>
      <c r="FS396" s="263"/>
      <c r="FT396" s="263"/>
      <c r="FU396" s="263"/>
      <c r="FV396" s="263"/>
      <c r="FW396" s="263"/>
      <c r="FX396" s="263"/>
      <c r="FY396" s="263"/>
      <c r="FZ396" s="263"/>
      <c r="GA396" s="263"/>
      <c r="GB396" s="263"/>
      <c r="GC396" s="263"/>
      <c r="GD396" s="263"/>
      <c r="GE396" s="263"/>
      <c r="GF396" s="263"/>
      <c r="GG396" s="263"/>
      <c r="GH396" s="263"/>
      <c r="GI396" s="263"/>
      <c r="GJ396" s="263"/>
      <c r="GK396" s="263"/>
      <c r="GL396" s="263"/>
      <c r="GM396" s="263"/>
      <c r="GN396" s="263"/>
      <c r="GO396" s="263"/>
      <c r="GP396" s="263"/>
      <c r="GQ396" s="263"/>
      <c r="GR396" s="263"/>
      <c r="GS396" s="263"/>
      <c r="GT396" s="263"/>
      <c r="GU396" s="263"/>
      <c r="GV396" s="263"/>
      <c r="GW396" s="263"/>
      <c r="GX396" s="263"/>
      <c r="GY396" s="263"/>
      <c r="GZ396" s="263"/>
      <c r="HA396" s="263"/>
      <c r="HB396" s="263"/>
      <c r="HC396" s="263"/>
      <c r="HD396" s="263"/>
      <c r="HE396" s="263"/>
      <c r="HF396" s="263"/>
      <c r="HG396" s="263"/>
      <c r="HH396" s="263"/>
      <c r="HI396" s="263"/>
      <c r="HJ396" s="263"/>
      <c r="HK396" s="263"/>
      <c r="HL396" s="263"/>
      <c r="HM396" s="263"/>
      <c r="HN396" s="263"/>
      <c r="HO396" s="263"/>
      <c r="HP396" s="263"/>
      <c r="HQ396" s="263"/>
      <c r="HR396" s="263"/>
      <c r="HS396" s="263"/>
      <c r="HT396" s="263"/>
      <c r="HU396" s="263"/>
      <c r="HV396" s="263"/>
      <c r="HW396" s="263"/>
      <c r="HX396" s="263"/>
      <c r="HY396" s="263"/>
      <c r="HZ396" s="263"/>
      <c r="IA396" s="263"/>
      <c r="IB396" s="263"/>
      <c r="IC396" s="263"/>
      <c r="ID396" s="263"/>
      <c r="IE396" s="263"/>
      <c r="IF396" s="263"/>
      <c r="IG396" s="263"/>
      <c r="IH396" s="263"/>
      <c r="II396" s="263"/>
      <c r="IJ396" s="263"/>
      <c r="IK396" s="263"/>
      <c r="IL396" s="263"/>
      <c r="IM396" s="263"/>
      <c r="IN396" s="263"/>
      <c r="IO396" s="263"/>
      <c r="IP396" s="263"/>
      <c r="IQ396" s="263"/>
      <c r="IR396" s="263"/>
      <c r="IS396" s="263"/>
      <c r="IT396" s="263"/>
      <c r="IU396" s="263"/>
      <c r="IV396" s="263"/>
    </row>
    <row r="397" s="262" customFormat="1" spans="1:256">
      <c r="A397" s="267" t="e">
        <f>#REF!</f>
        <v>#REF!</v>
      </c>
      <c r="B397" s="269" t="e">
        <f>#REF!</f>
        <v>#REF!</v>
      </c>
      <c r="C397" s="225" t="s">
        <v>1380</v>
      </c>
      <c r="D397" s="230">
        <v>15297.6488754055</v>
      </c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263"/>
      <c r="AG397" s="263"/>
      <c r="AH397" s="263"/>
      <c r="AI397" s="263"/>
      <c r="AJ397" s="263"/>
      <c r="AK397" s="263"/>
      <c r="AL397" s="263"/>
      <c r="AM397" s="263"/>
      <c r="AN397" s="263"/>
      <c r="AO397" s="263"/>
      <c r="AP397" s="263"/>
      <c r="AQ397" s="263"/>
      <c r="AR397" s="263"/>
      <c r="AS397" s="263"/>
      <c r="AT397" s="263"/>
      <c r="AU397" s="263"/>
      <c r="AV397" s="263"/>
      <c r="AW397" s="263"/>
      <c r="AX397" s="263"/>
      <c r="AY397" s="263"/>
      <c r="AZ397" s="263"/>
      <c r="BA397" s="263"/>
      <c r="BB397" s="263"/>
      <c r="BC397" s="263"/>
      <c r="BD397" s="263"/>
      <c r="BE397" s="263"/>
      <c r="BF397" s="263"/>
      <c r="BG397" s="263"/>
      <c r="BH397" s="263"/>
      <c r="BI397" s="263"/>
      <c r="BJ397" s="263"/>
      <c r="BK397" s="263"/>
      <c r="BL397" s="263"/>
      <c r="BM397" s="263"/>
      <c r="BN397" s="263"/>
      <c r="BO397" s="263"/>
      <c r="BP397" s="263"/>
      <c r="BQ397" s="263"/>
      <c r="BR397" s="263"/>
      <c r="BS397" s="263"/>
      <c r="BT397" s="263"/>
      <c r="BU397" s="263"/>
      <c r="BV397" s="263"/>
      <c r="BW397" s="263"/>
      <c r="BX397" s="263"/>
      <c r="BY397" s="263"/>
      <c r="BZ397" s="263"/>
      <c r="CA397" s="263"/>
      <c r="CB397" s="263"/>
      <c r="CC397" s="263"/>
      <c r="CD397" s="263"/>
      <c r="CE397" s="263"/>
      <c r="CF397" s="263"/>
      <c r="CG397" s="263"/>
      <c r="CH397" s="263"/>
      <c r="CI397" s="263"/>
      <c r="CJ397" s="263"/>
      <c r="CK397" s="263"/>
      <c r="CL397" s="263"/>
      <c r="CM397" s="263"/>
      <c r="CN397" s="263"/>
      <c r="CO397" s="263"/>
      <c r="CP397" s="263"/>
      <c r="CQ397" s="263"/>
      <c r="CR397" s="263"/>
      <c r="CS397" s="263"/>
      <c r="CT397" s="263"/>
      <c r="CU397" s="263"/>
      <c r="CV397" s="263"/>
      <c r="CW397" s="263"/>
      <c r="CX397" s="263"/>
      <c r="CY397" s="263"/>
      <c r="CZ397" s="263"/>
      <c r="DA397" s="263"/>
      <c r="DB397" s="263"/>
      <c r="DC397" s="263"/>
      <c r="DD397" s="263"/>
      <c r="DE397" s="263"/>
      <c r="DF397" s="263"/>
      <c r="DG397" s="263"/>
      <c r="DH397" s="263"/>
      <c r="DI397" s="263"/>
      <c r="DJ397" s="263"/>
      <c r="DK397" s="263"/>
      <c r="DL397" s="263"/>
      <c r="DM397" s="263"/>
      <c r="DN397" s="263"/>
      <c r="DO397" s="263"/>
      <c r="DP397" s="263"/>
      <c r="DQ397" s="263"/>
      <c r="DR397" s="263"/>
      <c r="DS397" s="263"/>
      <c r="DT397" s="263"/>
      <c r="DU397" s="263"/>
      <c r="DV397" s="263"/>
      <c r="DW397" s="263"/>
      <c r="DX397" s="263"/>
      <c r="DY397" s="263"/>
      <c r="DZ397" s="263"/>
      <c r="EA397" s="263"/>
      <c r="EB397" s="263"/>
      <c r="EC397" s="263"/>
      <c r="ED397" s="263"/>
      <c r="EE397" s="263"/>
      <c r="EF397" s="263"/>
      <c r="EG397" s="263"/>
      <c r="EH397" s="263"/>
      <c r="EI397" s="263"/>
      <c r="EJ397" s="263"/>
      <c r="EK397" s="263"/>
      <c r="EL397" s="263"/>
      <c r="EM397" s="263"/>
      <c r="EN397" s="263"/>
      <c r="EO397" s="263"/>
      <c r="EP397" s="263"/>
      <c r="EQ397" s="263"/>
      <c r="ER397" s="263"/>
      <c r="ES397" s="263"/>
      <c r="ET397" s="263"/>
      <c r="EU397" s="263"/>
      <c r="EV397" s="263"/>
      <c r="EW397" s="263"/>
      <c r="EX397" s="263"/>
      <c r="EY397" s="263"/>
      <c r="EZ397" s="263"/>
      <c r="FA397" s="263"/>
      <c r="FB397" s="263"/>
      <c r="FC397" s="263"/>
      <c r="FD397" s="263"/>
      <c r="FE397" s="263"/>
      <c r="FF397" s="263"/>
      <c r="FG397" s="263"/>
      <c r="FH397" s="263"/>
      <c r="FI397" s="263"/>
      <c r="FJ397" s="263"/>
      <c r="FK397" s="263"/>
      <c r="FL397" s="263"/>
      <c r="FM397" s="263"/>
      <c r="FN397" s="263"/>
      <c r="FO397" s="263"/>
      <c r="FP397" s="263"/>
      <c r="FQ397" s="263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  <c r="GD397" s="263"/>
      <c r="GE397" s="263"/>
      <c r="GF397" s="263"/>
      <c r="GG397" s="263"/>
      <c r="GH397" s="263"/>
      <c r="GI397" s="263"/>
      <c r="GJ397" s="263"/>
      <c r="GK397" s="263"/>
      <c r="GL397" s="263"/>
      <c r="GM397" s="263"/>
      <c r="GN397" s="263"/>
      <c r="GO397" s="263"/>
      <c r="GP397" s="263"/>
      <c r="GQ397" s="263"/>
      <c r="GR397" s="263"/>
      <c r="GS397" s="263"/>
      <c r="GT397" s="263"/>
      <c r="GU397" s="263"/>
      <c r="GV397" s="263"/>
      <c r="GW397" s="263"/>
      <c r="GX397" s="263"/>
      <c r="GY397" s="263"/>
      <c r="GZ397" s="263"/>
      <c r="HA397" s="263"/>
      <c r="HB397" s="263"/>
      <c r="HC397" s="263"/>
      <c r="HD397" s="263"/>
      <c r="HE397" s="263"/>
      <c r="HF397" s="263"/>
      <c r="HG397" s="263"/>
      <c r="HH397" s="263"/>
      <c r="HI397" s="263"/>
      <c r="HJ397" s="263"/>
      <c r="HK397" s="263"/>
      <c r="HL397" s="263"/>
      <c r="HM397" s="263"/>
      <c r="HN397" s="263"/>
      <c r="HO397" s="263"/>
      <c r="HP397" s="263"/>
      <c r="HQ397" s="263"/>
      <c r="HR397" s="263"/>
      <c r="HS397" s="263"/>
      <c r="HT397" s="263"/>
      <c r="HU397" s="263"/>
      <c r="HV397" s="263"/>
      <c r="HW397" s="263"/>
      <c r="HX397" s="263"/>
      <c r="HY397" s="263"/>
      <c r="HZ397" s="263"/>
      <c r="IA397" s="263"/>
      <c r="IB397" s="263"/>
      <c r="IC397" s="263"/>
      <c r="ID397" s="263"/>
      <c r="IE397" s="263"/>
      <c r="IF397" s="263"/>
      <c r="IG397" s="263"/>
      <c r="IH397" s="263"/>
      <c r="II397" s="263"/>
      <c r="IJ397" s="263"/>
      <c r="IK397" s="263"/>
      <c r="IL397" s="263"/>
      <c r="IM397" s="263"/>
      <c r="IN397" s="263"/>
      <c r="IO397" s="263"/>
      <c r="IP397" s="263"/>
      <c r="IQ397" s="263"/>
      <c r="IR397" s="263"/>
      <c r="IS397" s="263"/>
      <c r="IT397" s="263"/>
      <c r="IU397" s="263"/>
      <c r="IV397" s="263"/>
    </row>
    <row r="398" s="262" customFormat="1" spans="1:256">
      <c r="A398" s="267">
        <v>10227</v>
      </c>
      <c r="B398" s="269" t="s">
        <v>1782</v>
      </c>
      <c r="C398" s="225" t="s">
        <v>1380</v>
      </c>
      <c r="D398" s="230">
        <v>17618.074442836</v>
      </c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263"/>
      <c r="AG398" s="263"/>
      <c r="AH398" s="263"/>
      <c r="AI398" s="263"/>
      <c r="AJ398" s="263"/>
      <c r="AK398" s="263"/>
      <c r="AL398" s="263"/>
      <c r="AM398" s="263"/>
      <c r="AN398" s="263"/>
      <c r="AO398" s="263"/>
      <c r="AP398" s="263"/>
      <c r="AQ398" s="263"/>
      <c r="AR398" s="263"/>
      <c r="AS398" s="263"/>
      <c r="AT398" s="263"/>
      <c r="AU398" s="263"/>
      <c r="AV398" s="263"/>
      <c r="AW398" s="263"/>
      <c r="AX398" s="263"/>
      <c r="AY398" s="263"/>
      <c r="AZ398" s="263"/>
      <c r="BA398" s="263"/>
      <c r="BB398" s="263"/>
      <c r="BC398" s="263"/>
      <c r="BD398" s="263"/>
      <c r="BE398" s="263"/>
      <c r="BF398" s="263"/>
      <c r="BG398" s="263"/>
      <c r="BH398" s="263"/>
      <c r="BI398" s="263"/>
      <c r="BJ398" s="263"/>
      <c r="BK398" s="263"/>
      <c r="BL398" s="263"/>
      <c r="BM398" s="263"/>
      <c r="BN398" s="263"/>
      <c r="BO398" s="263"/>
      <c r="BP398" s="263"/>
      <c r="BQ398" s="263"/>
      <c r="BR398" s="263"/>
      <c r="BS398" s="263"/>
      <c r="BT398" s="263"/>
      <c r="BU398" s="263"/>
      <c r="BV398" s="263"/>
      <c r="BW398" s="263"/>
      <c r="BX398" s="263"/>
      <c r="BY398" s="263"/>
      <c r="BZ398" s="263"/>
      <c r="CA398" s="263"/>
      <c r="CB398" s="263"/>
      <c r="CC398" s="263"/>
      <c r="CD398" s="263"/>
      <c r="CE398" s="263"/>
      <c r="CF398" s="263"/>
      <c r="CG398" s="263"/>
      <c r="CH398" s="263"/>
      <c r="CI398" s="263"/>
      <c r="CJ398" s="263"/>
      <c r="CK398" s="263"/>
      <c r="CL398" s="263"/>
      <c r="CM398" s="263"/>
      <c r="CN398" s="263"/>
      <c r="CO398" s="263"/>
      <c r="CP398" s="263"/>
      <c r="CQ398" s="263"/>
      <c r="CR398" s="263"/>
      <c r="CS398" s="263"/>
      <c r="CT398" s="263"/>
      <c r="CU398" s="263"/>
      <c r="CV398" s="263"/>
      <c r="CW398" s="263"/>
      <c r="CX398" s="263"/>
      <c r="CY398" s="263"/>
      <c r="CZ398" s="263"/>
      <c r="DA398" s="263"/>
      <c r="DB398" s="263"/>
      <c r="DC398" s="263"/>
      <c r="DD398" s="263"/>
      <c r="DE398" s="263"/>
      <c r="DF398" s="263"/>
      <c r="DG398" s="263"/>
      <c r="DH398" s="263"/>
      <c r="DI398" s="263"/>
      <c r="DJ398" s="263"/>
      <c r="DK398" s="263"/>
      <c r="DL398" s="263"/>
      <c r="DM398" s="263"/>
      <c r="DN398" s="263"/>
      <c r="DO398" s="263"/>
      <c r="DP398" s="263"/>
      <c r="DQ398" s="263"/>
      <c r="DR398" s="263"/>
      <c r="DS398" s="263"/>
      <c r="DT398" s="263"/>
      <c r="DU398" s="263"/>
      <c r="DV398" s="263"/>
      <c r="DW398" s="263"/>
      <c r="DX398" s="263"/>
      <c r="DY398" s="263"/>
      <c r="DZ398" s="263"/>
      <c r="EA398" s="263"/>
      <c r="EB398" s="263"/>
      <c r="EC398" s="263"/>
      <c r="ED398" s="263"/>
      <c r="EE398" s="263"/>
      <c r="EF398" s="263"/>
      <c r="EG398" s="263"/>
      <c r="EH398" s="263"/>
      <c r="EI398" s="263"/>
      <c r="EJ398" s="263"/>
      <c r="EK398" s="263"/>
      <c r="EL398" s="263"/>
      <c r="EM398" s="263"/>
      <c r="EN398" s="263"/>
      <c r="EO398" s="263"/>
      <c r="EP398" s="263"/>
      <c r="EQ398" s="263"/>
      <c r="ER398" s="263"/>
      <c r="ES398" s="263"/>
      <c r="ET398" s="263"/>
      <c r="EU398" s="263"/>
      <c r="EV398" s="263"/>
      <c r="EW398" s="263"/>
      <c r="EX398" s="263"/>
      <c r="EY398" s="263"/>
      <c r="EZ398" s="263"/>
      <c r="FA398" s="263"/>
      <c r="FB398" s="263"/>
      <c r="FC398" s="263"/>
      <c r="FD398" s="263"/>
      <c r="FE398" s="263"/>
      <c r="FF398" s="263"/>
      <c r="FG398" s="263"/>
      <c r="FH398" s="263"/>
      <c r="FI398" s="263"/>
      <c r="FJ398" s="263"/>
      <c r="FK398" s="263"/>
      <c r="FL398" s="263"/>
      <c r="FM398" s="263"/>
      <c r="FN398" s="263"/>
      <c r="FO398" s="263"/>
      <c r="FP398" s="263"/>
      <c r="FQ398" s="263"/>
      <c r="FR398" s="263"/>
      <c r="FS398" s="263"/>
      <c r="FT398" s="263"/>
      <c r="FU398" s="263"/>
      <c r="FV398" s="263"/>
      <c r="FW398" s="263"/>
      <c r="FX398" s="263"/>
      <c r="FY398" s="263"/>
      <c r="FZ398" s="263"/>
      <c r="GA398" s="263"/>
      <c r="GB398" s="263"/>
      <c r="GC398" s="263"/>
      <c r="GD398" s="263"/>
      <c r="GE398" s="263"/>
      <c r="GF398" s="263"/>
      <c r="GG398" s="263"/>
      <c r="GH398" s="263"/>
      <c r="GI398" s="263"/>
      <c r="GJ398" s="263"/>
      <c r="GK398" s="263"/>
      <c r="GL398" s="263"/>
      <c r="GM398" s="263"/>
      <c r="GN398" s="263"/>
      <c r="GO398" s="263"/>
      <c r="GP398" s="263"/>
      <c r="GQ398" s="263"/>
      <c r="GR398" s="263"/>
      <c r="GS398" s="263"/>
      <c r="GT398" s="263"/>
      <c r="GU398" s="263"/>
      <c r="GV398" s="263"/>
      <c r="GW398" s="263"/>
      <c r="GX398" s="263"/>
      <c r="GY398" s="263"/>
      <c r="GZ398" s="263"/>
      <c r="HA398" s="263"/>
      <c r="HB398" s="263"/>
      <c r="HC398" s="263"/>
      <c r="HD398" s="263"/>
      <c r="HE398" s="263"/>
      <c r="HF398" s="263"/>
      <c r="HG398" s="263"/>
      <c r="HH398" s="263"/>
      <c r="HI398" s="263"/>
      <c r="HJ398" s="263"/>
      <c r="HK398" s="263"/>
      <c r="HL398" s="263"/>
      <c r="HM398" s="263"/>
      <c r="HN398" s="263"/>
      <c r="HO398" s="263"/>
      <c r="HP398" s="263"/>
      <c r="HQ398" s="263"/>
      <c r="HR398" s="263"/>
      <c r="HS398" s="263"/>
      <c r="HT398" s="263"/>
      <c r="HU398" s="263"/>
      <c r="HV398" s="263"/>
      <c r="HW398" s="263"/>
      <c r="HX398" s="263"/>
      <c r="HY398" s="263"/>
      <c r="HZ398" s="263"/>
      <c r="IA398" s="263"/>
      <c r="IB398" s="263"/>
      <c r="IC398" s="263"/>
      <c r="ID398" s="263"/>
      <c r="IE398" s="263"/>
      <c r="IF398" s="263"/>
      <c r="IG398" s="263"/>
      <c r="IH398" s="263"/>
      <c r="II398" s="263"/>
      <c r="IJ398" s="263"/>
      <c r="IK398" s="263"/>
      <c r="IL398" s="263"/>
      <c r="IM398" s="263"/>
      <c r="IN398" s="263"/>
      <c r="IO398" s="263"/>
      <c r="IP398" s="263"/>
      <c r="IQ398" s="263"/>
      <c r="IR398" s="263"/>
      <c r="IS398" s="263"/>
      <c r="IT398" s="263"/>
      <c r="IU398" s="263"/>
      <c r="IV398" s="263"/>
    </row>
    <row r="399" hidden="1" spans="1:4">
      <c r="A399" s="225" t="e">
        <f>#REF!</f>
        <v>#REF!</v>
      </c>
      <c r="B399" s="269" t="e">
        <f>#REF!</f>
        <v>#REF!</v>
      </c>
      <c r="C399" s="225" t="s">
        <v>1440</v>
      </c>
      <c r="D399" s="225">
        <v>24047.7702448575</v>
      </c>
    </row>
    <row r="400" hidden="1" spans="1:4">
      <c r="A400" s="225" t="e">
        <f>#REF!</f>
        <v>#REF!</v>
      </c>
      <c r="B400" s="269" t="e">
        <f>#REF!</f>
        <v>#REF!</v>
      </c>
      <c r="C400" s="225" t="s">
        <v>1380</v>
      </c>
      <c r="D400" s="225">
        <v>17505.4712877937</v>
      </c>
    </row>
    <row r="401" hidden="1" spans="1:4">
      <c r="A401" s="225" t="e">
        <f>#REF!</f>
        <v>#REF!</v>
      </c>
      <c r="B401" s="269" t="e">
        <f>#REF!</f>
        <v>#REF!</v>
      </c>
      <c r="C401" s="225" t="s">
        <v>1380</v>
      </c>
      <c r="D401" s="225">
        <v>37178.4774914945</v>
      </c>
    </row>
    <row r="402" s="262" customFormat="1" spans="1:256">
      <c r="A402" s="225"/>
      <c r="B402" s="268" t="s">
        <v>1783</v>
      </c>
      <c r="C402" s="225" t="s">
        <v>1380</v>
      </c>
      <c r="D402" s="230">
        <v>11377.6254338233</v>
      </c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263"/>
      <c r="AG402" s="263"/>
      <c r="AH402" s="263"/>
      <c r="AI402" s="263"/>
      <c r="AJ402" s="263"/>
      <c r="AK402" s="263"/>
      <c r="AL402" s="263"/>
      <c r="AM402" s="263"/>
      <c r="AN402" s="263"/>
      <c r="AO402" s="263"/>
      <c r="AP402" s="263"/>
      <c r="AQ402" s="263"/>
      <c r="AR402" s="263"/>
      <c r="AS402" s="263"/>
      <c r="AT402" s="263"/>
      <c r="AU402" s="263"/>
      <c r="AV402" s="263"/>
      <c r="AW402" s="263"/>
      <c r="AX402" s="263"/>
      <c r="AY402" s="263"/>
      <c r="AZ402" s="263"/>
      <c r="BA402" s="263"/>
      <c r="BB402" s="263"/>
      <c r="BC402" s="263"/>
      <c r="BD402" s="263"/>
      <c r="BE402" s="263"/>
      <c r="BF402" s="263"/>
      <c r="BG402" s="263"/>
      <c r="BH402" s="263"/>
      <c r="BI402" s="263"/>
      <c r="BJ402" s="263"/>
      <c r="BK402" s="263"/>
      <c r="BL402" s="263"/>
      <c r="BM402" s="263"/>
      <c r="BN402" s="263"/>
      <c r="BO402" s="263"/>
      <c r="BP402" s="263"/>
      <c r="BQ402" s="263"/>
      <c r="BR402" s="263"/>
      <c r="BS402" s="263"/>
      <c r="BT402" s="263"/>
      <c r="BU402" s="263"/>
      <c r="BV402" s="263"/>
      <c r="BW402" s="263"/>
      <c r="BX402" s="263"/>
      <c r="BY402" s="263"/>
      <c r="BZ402" s="263"/>
      <c r="CA402" s="263"/>
      <c r="CB402" s="263"/>
      <c r="CC402" s="263"/>
      <c r="CD402" s="263"/>
      <c r="CE402" s="263"/>
      <c r="CF402" s="263"/>
      <c r="CG402" s="263"/>
      <c r="CH402" s="263"/>
      <c r="CI402" s="263"/>
      <c r="CJ402" s="263"/>
      <c r="CK402" s="263"/>
      <c r="CL402" s="263"/>
      <c r="CM402" s="263"/>
      <c r="CN402" s="263"/>
      <c r="CO402" s="263"/>
      <c r="CP402" s="263"/>
      <c r="CQ402" s="263"/>
      <c r="CR402" s="263"/>
      <c r="CS402" s="263"/>
      <c r="CT402" s="263"/>
      <c r="CU402" s="263"/>
      <c r="CV402" s="263"/>
      <c r="CW402" s="263"/>
      <c r="CX402" s="263"/>
      <c r="CY402" s="263"/>
      <c r="CZ402" s="263"/>
      <c r="DA402" s="263"/>
      <c r="DB402" s="263"/>
      <c r="DC402" s="263"/>
      <c r="DD402" s="263"/>
      <c r="DE402" s="263"/>
      <c r="DF402" s="263"/>
      <c r="DG402" s="263"/>
      <c r="DH402" s="263"/>
      <c r="DI402" s="263"/>
      <c r="DJ402" s="263"/>
      <c r="DK402" s="263"/>
      <c r="DL402" s="263"/>
      <c r="DM402" s="263"/>
      <c r="DN402" s="263"/>
      <c r="DO402" s="263"/>
      <c r="DP402" s="263"/>
      <c r="DQ402" s="263"/>
      <c r="DR402" s="263"/>
      <c r="DS402" s="263"/>
      <c r="DT402" s="263"/>
      <c r="DU402" s="263"/>
      <c r="DV402" s="263"/>
      <c r="DW402" s="263"/>
      <c r="DX402" s="263"/>
      <c r="DY402" s="263"/>
      <c r="DZ402" s="263"/>
      <c r="EA402" s="263"/>
      <c r="EB402" s="263"/>
      <c r="EC402" s="263"/>
      <c r="ED402" s="263"/>
      <c r="EE402" s="263"/>
      <c r="EF402" s="263"/>
      <c r="EG402" s="263"/>
      <c r="EH402" s="263"/>
      <c r="EI402" s="263"/>
      <c r="EJ402" s="263"/>
      <c r="EK402" s="263"/>
      <c r="EL402" s="263"/>
      <c r="EM402" s="263"/>
      <c r="EN402" s="263"/>
      <c r="EO402" s="263"/>
      <c r="EP402" s="263"/>
      <c r="EQ402" s="263"/>
      <c r="ER402" s="263"/>
      <c r="ES402" s="263"/>
      <c r="ET402" s="263"/>
      <c r="EU402" s="263"/>
      <c r="EV402" s="263"/>
      <c r="EW402" s="263"/>
      <c r="EX402" s="263"/>
      <c r="EY402" s="263"/>
      <c r="EZ402" s="263"/>
      <c r="FA402" s="263"/>
      <c r="FB402" s="263"/>
      <c r="FC402" s="263"/>
      <c r="FD402" s="263"/>
      <c r="FE402" s="263"/>
      <c r="FF402" s="263"/>
      <c r="FG402" s="263"/>
      <c r="FH402" s="263"/>
      <c r="FI402" s="263"/>
      <c r="FJ402" s="263"/>
      <c r="FK402" s="263"/>
      <c r="FL402" s="263"/>
      <c r="FM402" s="263"/>
      <c r="FN402" s="263"/>
      <c r="FO402" s="263"/>
      <c r="FP402" s="263"/>
      <c r="FQ402" s="263"/>
      <c r="FR402" s="263"/>
      <c r="FS402" s="263"/>
      <c r="FT402" s="263"/>
      <c r="FU402" s="263"/>
      <c r="FV402" s="263"/>
      <c r="FW402" s="263"/>
      <c r="FX402" s="263"/>
      <c r="FY402" s="263"/>
      <c r="FZ402" s="263"/>
      <c r="GA402" s="263"/>
      <c r="GB402" s="263"/>
      <c r="GC402" s="263"/>
      <c r="GD402" s="263"/>
      <c r="GE402" s="263"/>
      <c r="GF402" s="263"/>
      <c r="GG402" s="263"/>
      <c r="GH402" s="263"/>
      <c r="GI402" s="263"/>
      <c r="GJ402" s="263"/>
      <c r="GK402" s="263"/>
      <c r="GL402" s="263"/>
      <c r="GM402" s="263"/>
      <c r="GN402" s="263"/>
      <c r="GO402" s="263"/>
      <c r="GP402" s="263"/>
      <c r="GQ402" s="263"/>
      <c r="GR402" s="263"/>
      <c r="GS402" s="263"/>
      <c r="GT402" s="263"/>
      <c r="GU402" s="263"/>
      <c r="GV402" s="263"/>
      <c r="GW402" s="263"/>
      <c r="GX402" s="263"/>
      <c r="GY402" s="263"/>
      <c r="GZ402" s="263"/>
      <c r="HA402" s="263"/>
      <c r="HB402" s="263"/>
      <c r="HC402" s="263"/>
      <c r="HD402" s="263"/>
      <c r="HE402" s="263"/>
      <c r="HF402" s="263"/>
      <c r="HG402" s="263"/>
      <c r="HH402" s="263"/>
      <c r="HI402" s="263"/>
      <c r="HJ402" s="263"/>
      <c r="HK402" s="263"/>
      <c r="HL402" s="263"/>
      <c r="HM402" s="263"/>
      <c r="HN402" s="263"/>
      <c r="HO402" s="263"/>
      <c r="HP402" s="263"/>
      <c r="HQ402" s="263"/>
      <c r="HR402" s="263"/>
      <c r="HS402" s="263"/>
      <c r="HT402" s="263"/>
      <c r="HU402" s="263"/>
      <c r="HV402" s="263"/>
      <c r="HW402" s="263"/>
      <c r="HX402" s="263"/>
      <c r="HY402" s="263"/>
      <c r="HZ402" s="263"/>
      <c r="IA402" s="263"/>
      <c r="IB402" s="263"/>
      <c r="IC402" s="263"/>
      <c r="ID402" s="263"/>
      <c r="IE402" s="263"/>
      <c r="IF402" s="263"/>
      <c r="IG402" s="263"/>
      <c r="IH402" s="263"/>
      <c r="II402" s="263"/>
      <c r="IJ402" s="263"/>
      <c r="IK402" s="263"/>
      <c r="IL402" s="263"/>
      <c r="IM402" s="263"/>
      <c r="IN402" s="263"/>
      <c r="IO402" s="263"/>
      <c r="IP402" s="263"/>
      <c r="IQ402" s="263"/>
      <c r="IR402" s="263"/>
      <c r="IS402" s="263"/>
      <c r="IT402" s="263"/>
      <c r="IU402" s="263"/>
      <c r="IV402" s="263"/>
    </row>
    <row r="403" spans="1:4">
      <c r="A403" s="225"/>
      <c r="B403" s="225"/>
      <c r="C403" s="225"/>
      <c r="D403" s="225"/>
    </row>
  </sheetData>
  <mergeCells count="10">
    <mergeCell ref="A1:D1"/>
    <mergeCell ref="A3:B3"/>
    <mergeCell ref="A74:B74"/>
    <mergeCell ref="A79:B79"/>
    <mergeCell ref="A124:B124"/>
    <mergeCell ref="A207:B207"/>
    <mergeCell ref="A214:B214"/>
    <mergeCell ref="A246:B246"/>
    <mergeCell ref="A347:B347"/>
    <mergeCell ref="A370:B370"/>
  </mergeCells>
  <hyperlinks>
    <hyperlink ref="A394" location="单价分析!$F$3651" display="10224"/>
    <hyperlink ref="A391" location="单价分析!$F$3600" display="10205"/>
    <hyperlink ref="A390" location="单价分析!$F$3578" display="10201"/>
    <hyperlink ref="A389" location="单价分析!$F$3557" display="10188"/>
    <hyperlink ref="A388" location="单价分析!$F$3533" display="10184"/>
    <hyperlink ref="A386" location="单价分析!$F$3510" display="10071"/>
    <hyperlink ref="A385" location="单价分析!$X$3491" display="10019"/>
    <hyperlink ref="A384" location="单价分析!$L$3491" display="10019"/>
    <hyperlink ref="A383" location="单价分析!$R$3491" display="10019"/>
    <hyperlink ref="A382" location="单价分析!$F$3491" display="10019"/>
    <hyperlink ref="A381" location="单价分析!$F$3458" display="10017"/>
    <hyperlink ref="A380" location="单价分析!$L$3458" display="10017"/>
    <hyperlink ref="A379" location="单价分析!$L$3425" display="10016"/>
    <hyperlink ref="A378" location="单价分析!$F$3425" display="10016"/>
    <hyperlink ref="A377" location="单价分析!$F$3398" display="10015"/>
    <hyperlink ref="A375" location="单价分析!$L$3398" display="10015"/>
    <hyperlink ref="A374" location="单价分析!$R$3371" display="10006"/>
    <hyperlink ref="A373" location="单价分析!$L$3371" display="10005"/>
    <hyperlink ref="A372" location="单价分析!$F$3371" display="10004"/>
    <hyperlink ref="A371" location="单价分析!$F$3347" display="10001"/>
    <hyperlink ref="A365" location="单价分析!$F$3234" display="9019"/>
    <hyperlink ref="A364" location="单价分析!$F$3211" display="9018"/>
    <hyperlink ref="A363" location="单价分析!$F$3189" display="9017"/>
    <hyperlink ref="A362" location="单价分析!$F$3165" display="9015"/>
    <hyperlink ref="A361" location="单价分析!$F$3140" display="9013"/>
    <hyperlink ref="A360" location="单价分析!$R$3115" display="9012"/>
    <hyperlink ref="A359" location="单价分析!$L$3115" display="9012"/>
    <hyperlink ref="A358" location="单价分析!$F$3115" display="9012"/>
    <hyperlink ref="A357" location="单价分析!$L$3089" display="9010"/>
    <hyperlink ref="A356" location="单价分析!$F$3089" display="9010"/>
    <hyperlink ref="A355" location="单价分析!$F$3063" display="9009"/>
    <hyperlink ref="A354" location="单价分析!$AJ$3036" display="9007"/>
    <hyperlink ref="A353" location="单价分析!$AD$3036" display="9006"/>
    <hyperlink ref="A352" location="单价分析!$X$3036" display="9005"/>
    <hyperlink ref="A351" location="单价分析!$R$3036" display="9004"/>
    <hyperlink ref="A350" location="单价分析!$L$3036" display="9003"/>
    <hyperlink ref="A349" location="单价分析!$F$3036" display="9002"/>
    <hyperlink ref="A348" location="单价分析!$F$3009" display="9001"/>
    <hyperlink ref="A256" location="单价分析!$AD$2968" display="8010"/>
    <hyperlink ref="A255" location="单价分析!X2968" display="8009"/>
    <hyperlink ref="A254" location="单价分析!$R$2968" display="8008"/>
    <hyperlink ref="A253" location="单价分析!$L$2968" display="8007"/>
    <hyperlink ref="A252" location="单价分析!$F$2968" display="8006"/>
    <hyperlink ref="A251" location="单价分析!$AD$2935" display="8005"/>
    <hyperlink ref="A250" location="单价分析!$X$2935" display="8004"/>
    <hyperlink ref="A249" location="单价分析!$R$2935" display="8003"/>
    <hyperlink ref="A248" location="单价分析!$L$2935" display="8002"/>
    <hyperlink ref="A247" location="单价分析!$F$2935" display="8001"/>
    <hyperlink ref="A234" location="单价分析!$AJ$2856" display="6105"/>
    <hyperlink ref="A233" location="单价分析!$AD$2856" display="6104"/>
    <hyperlink ref="A232" location="单价分析!$X$2856" display="6103"/>
    <hyperlink ref="A231" location="单价分析!$R$2856" display="6102"/>
    <hyperlink ref="A230" location="单价分析!$L$2856" display="6101"/>
    <hyperlink ref="A229" location="单价分析!$F$2856" display="6100"/>
    <hyperlink ref="A228" location="单价分析!$L$2815" display="6096"/>
    <hyperlink ref="A227" location="单价分析!$F$2815" display="6095"/>
    <hyperlink ref="A226" location="单价分析!$AP$2770" display="6093"/>
    <hyperlink ref="A225" location="单价分析!$AJ$2770" display="6092"/>
    <hyperlink ref="A224" location="单价分析!$AD$2770" display="6091"/>
    <hyperlink ref="A223" location="单价分析!$X$2770" display="6090"/>
    <hyperlink ref="A222" location="单价分析!$R$2770" display="6089"/>
    <hyperlink ref="A221" location="单价分析!$L$2770" display="6088"/>
    <hyperlink ref="A220" location="单价分析!$F$2770" display="6087"/>
    <hyperlink ref="A219" location="单价分析!$AD$2727" display="6086"/>
    <hyperlink ref="A218" location="单价分析!$X$2727" display="6085"/>
    <hyperlink ref="A217" location="单价分析!$R$2727" display="6084"/>
    <hyperlink ref="A216" location="单价分析!$L$2727" display="6083"/>
    <hyperlink ref="A215" location="单价分析!$F$2727" display="6082"/>
    <hyperlink ref="A196" location="单价分析!F1619" display="4267"/>
    <hyperlink ref="A195" location="单价分析!F1582" display="4255"/>
    <hyperlink ref="A194" location="单价分析!F1558" display="4253"/>
    <hyperlink ref="A193" location="单价分析!F1539" display="4244"/>
    <hyperlink ref="A192" location="单价分析!F1539" display="4244"/>
    <hyperlink ref="A191" location="单价分析!R1515" display="4224"/>
    <hyperlink ref="A190" location="单价分析!L1515" display="4224"/>
    <hyperlink ref="A189" location="单价分析!F1515" display="4224"/>
    <hyperlink ref="A188" location="单价分析!F1486" display="4220"/>
    <hyperlink ref="A187" location="单价分析!F1463" display="4213"/>
    <hyperlink ref="A186" location="单价分析!F1426" display="4205"/>
    <hyperlink ref="A173" location="单价分析!F1398" display="4182"/>
    <hyperlink ref="A172" location="单价分析!L2643" display="4176"/>
    <hyperlink ref="A171" location="单价分析!F2643" display="4175"/>
    <hyperlink ref="A170" location="单价分析!F2598" display="4174"/>
    <hyperlink ref="A169" location="单价分析!F2026" display="4163"/>
    <hyperlink ref="A168" location="单价分析!L2553" display="4153"/>
    <hyperlink ref="A167" location="单价分析!F2553" display="4152"/>
    <hyperlink ref="A166" location="单价分析!AJ2510" display="4151"/>
    <hyperlink ref="A165" location="单价分析!AD2510" display="4150"/>
    <hyperlink ref="A164" location="单价分析!X2510" display="4149"/>
    <hyperlink ref="A163" location="单价分析!R2510" display="4148"/>
    <hyperlink ref="A162" location="单价分析!L2510" display="4147"/>
    <hyperlink ref="A161" r:id="rId2" display="4142"/>
    <hyperlink ref="A160" location="单价分析!F2510" display="4145"/>
    <hyperlink ref="A159" location="单价分析!F1322" display="4142"/>
    <hyperlink ref="A158" location="单价分析!L1322" display="4138"/>
    <hyperlink ref="A157" location="单价分析!L1362" display="4134"/>
    <hyperlink ref="A156" location="单价分析!R1362" display="4133"/>
    <hyperlink ref="A155" location="单价分析!F1362" display="4132"/>
    <hyperlink ref="A154" location="单价分析!L1825" display="4131"/>
    <hyperlink ref="A153" location="单价分析!F1825" display="4130"/>
    <hyperlink ref="A152" location="单价分析!L1661" display="4124"/>
    <hyperlink ref="A151" location="单价分析!F1661" display="4124"/>
    <hyperlink ref="A150" location="单价分析!F1787" display="4108"/>
    <hyperlink ref="A149" location="单价分析!L1747" display="4101"/>
    <hyperlink ref="A148" location="单价分析!F1747" display="4100"/>
    <hyperlink ref="A146" location="单价分析!$F$2069" display="4094"/>
    <hyperlink ref="A144" location="单价分析!$F$1990" display="4089"/>
    <hyperlink ref="A143" location="单价分析!$F$2470" display="4084"/>
    <hyperlink ref="A142" location="单价分析!$F$2424" display="4083"/>
    <hyperlink ref="A141" location="单价分析!$L$1944" display="4082"/>
    <hyperlink ref="A140" location="单价分析!$F$1944" display="4082"/>
    <hyperlink ref="A139" location="单价分析!$F$2383" display="4069"/>
    <hyperlink ref="A138" location="单价分析!$F$2339" display="4068"/>
    <hyperlink ref="A137" location="单价分析!$F$1869" display="4067"/>
    <hyperlink ref="A136" location="单价分析!$L$1869" display="4066"/>
    <hyperlink ref="A135" location="单价分析!$F$2294" display="4065"/>
    <hyperlink ref="A134" location="单价分析!$F$1911" display="4059"/>
    <hyperlink ref="A133" location="单价分析!$F$2248" display="4053"/>
    <hyperlink ref="A132" location="单价分析!$L$2203" display="4052"/>
    <hyperlink ref="A131" location="单价分析!$F$2203" display="4051"/>
    <hyperlink ref="A130" location="单价分析!$F$2160" display="4049"/>
    <hyperlink ref="A129" location="单价分析!$L$2115" display="4048"/>
    <hyperlink ref="A128" location="单价分析!$L$2115" display="4048"/>
    <hyperlink ref="A127" location="单价分析!$F$2115" display="4047"/>
    <hyperlink ref="A126" location="单价分析!$L$1705" display="4043"/>
    <hyperlink ref="A125" location="单价分析!$F$1705" display="4042"/>
    <hyperlink ref="A123" location="单价分析!F1285" display="3074"/>
    <hyperlink ref="A122" location="单价分析!R1259" display="3070"/>
    <hyperlink ref="A121" location="单价分析!L1259" display="3068"/>
    <hyperlink ref="A120" location="单价分析!F1259" display="3067"/>
    <hyperlink ref="A119" location="单价分析!F1230" display="3063"/>
    <hyperlink ref="A118" location="单价分析!F1230" display="3062"/>
    <hyperlink ref="A117" location="单价分析!F1230" display="3061"/>
    <hyperlink ref="A116" location="单价分析!L1203" display="3056"/>
    <hyperlink ref="A115" location="单价分析!F1203" display="3056"/>
    <hyperlink ref="A114" location="单价分析!L1174" display="3055"/>
    <hyperlink ref="A113" location="单价分析!F1174" display="3055"/>
    <hyperlink ref="A112" location="单价分析!L1145" display="3054"/>
    <hyperlink ref="A111" location="单价分析!F1145" display="3054"/>
    <hyperlink ref="A110" location="单价分析!L1116" display="3053"/>
    <hyperlink ref="A109" location="单价分析!F1116" display="3053"/>
    <hyperlink ref="A108" location="单价分析!L1087" display="3052"/>
    <hyperlink ref="A107" location="单价分析!F1087" display="3052"/>
    <hyperlink ref="A106" location="单价分析!R1057" display="3051"/>
    <hyperlink ref="A105" location="单价分析!L1057" display="3050"/>
    <hyperlink ref="A104" location="单价分析!F1057" display="3049"/>
    <hyperlink ref="A103" location="单价分析!BB1028" display="3025"/>
    <hyperlink ref="A102" location="单价分析!BB999" display="3025"/>
    <hyperlink ref="A101" location="单价分析!AV1028" display="3024"/>
    <hyperlink ref="A100" location="单价分析!AV999" display="3024"/>
    <hyperlink ref="A99" location="单价分析!AP1028" display="3023"/>
    <hyperlink ref="A98" location="单价分析!AP999" display="3023"/>
    <hyperlink ref="A97" location="单价分析!AJ1028" display="3022"/>
    <hyperlink ref="A96" location="单价分析!AJ999" display="3022"/>
    <hyperlink ref="A95" location="单价分析!AD1028" display="3021"/>
    <hyperlink ref="A94" location="单价分析!AD999" display="3021"/>
    <hyperlink ref="A93" location="单价分析!X1028" display="3020"/>
    <hyperlink ref="A92" location="单价分析!X999" display="3020"/>
    <hyperlink ref="A91" location="单价分析!R1028" display="3019"/>
    <hyperlink ref="A90" location="单价分析!R999" display="3019"/>
    <hyperlink ref="A89" location="单价分析!L1028" display="3018"/>
    <hyperlink ref="A88" location="单价分析!L999" display="3018"/>
    <hyperlink ref="A87" location="单价分析!F1028" display="3017"/>
    <hyperlink ref="A86" location="单价分析!F999" display="3017"/>
    <hyperlink ref="A85" location="单价分析!R970" display="3012"/>
    <hyperlink ref="A84" location="单价分析!L970" display="3011"/>
    <hyperlink ref="A83" location="单价分析!F970" display="3009"/>
    <hyperlink ref="A82" location="单价分析!X945" display="3008"/>
    <hyperlink ref="A81" location="单价分析!R945" display="3008"/>
    <hyperlink ref="A80" location="单价分析!F945" display="3007"/>
    <hyperlink ref="A78" location="单价分析!F894" display="2440"/>
    <hyperlink ref="A77" location="单价分析!F920" display="2432"/>
    <hyperlink ref="A76" location="单价分析!F868" display="2398"/>
    <hyperlink ref="A75" location="单价分析!F845" display="2395"/>
    <hyperlink ref="A73" location="单价分析!L774" display="1284"/>
    <hyperlink ref="A72" location="单价分析!F774" display="1277"/>
    <hyperlink ref="A71" location="单价分析!L755" display="1275"/>
    <hyperlink ref="A70" location="单价分析!F755" display="1273"/>
    <hyperlink ref="A69" location="单价分析!L733" display="1262"/>
    <hyperlink ref="A68" location="单价分析!F733" display="1259"/>
    <hyperlink ref="A67" location="单价分析!L822" display="1255"/>
    <hyperlink ref="A66" location="单价分析!F822" display="1254"/>
    <hyperlink ref="A65" location="单价分析!X798" display="1252"/>
    <hyperlink ref="A64" location="单价分析!R798" display="1251"/>
    <hyperlink ref="A63" location="单价分析!L798" display="1250"/>
    <hyperlink ref="A62" location="单价分析!F798" display="1249"/>
    <hyperlink ref="A60" location="单价分析!L695" display="1238"/>
    <hyperlink ref="A59" location="单价分析!F695" display="1237"/>
    <hyperlink ref="A58" location="单价分析!R675" display="1230"/>
    <hyperlink ref="A57" location="单价分析!L675" display="1229"/>
    <hyperlink ref="A56" location="单价分析!F675" display="1226"/>
    <hyperlink ref="A55" location="单价分析!F714" display="1215"/>
    <hyperlink ref="A50" location="单价分析!R648" display="1163"/>
    <hyperlink ref="A46" location="单价分析!L648" display="1162"/>
    <hyperlink ref="A45" location="单价分析!F648" display="1151"/>
    <hyperlink ref="A43" location="单价分析!F624" display="1144"/>
    <hyperlink ref="A41" location="单价分析!F602" display="1130"/>
    <hyperlink ref="A39" location="单价分析!F580" display="1078"/>
    <hyperlink ref="A38" location="单价分析!F560" display="1067"/>
    <hyperlink ref="A37" location="单价分析!R522" display="1065"/>
    <hyperlink ref="A36" location="单价分析!L522" display="1064"/>
    <hyperlink ref="A35" location="单价分析!F522" display="1063"/>
    <hyperlink ref="A34" location="单价分析!F500" display="1057"/>
    <hyperlink ref="A33" location="单价分析!F541" display="1056"/>
    <hyperlink ref="A32" location="单价分析!L460" display="1043"/>
    <hyperlink ref="A31" location="单价分析!F481" display="1042"/>
    <hyperlink ref="A30" location="单价分析!F460" display="1042"/>
    <hyperlink ref="A29" location="单价分析!L441" display="1038"/>
    <hyperlink ref="A28" location="单价分析!F441" display="1037"/>
    <hyperlink ref="A27" location="单价分析!F422" display="1036"/>
    <hyperlink ref="A26" location="单价分析!F404" display="1035"/>
    <hyperlink ref="A25" location="单价分析!F386" display="1034"/>
    <hyperlink ref="A24" location="单价分析!F368" display="1033"/>
    <hyperlink ref="A23" location="单价分析!F350" display="1032"/>
    <hyperlink ref="A22" location="单价分析!F332" display="1031"/>
    <hyperlink ref="A21" location="单价分析!F314" display="1030"/>
    <hyperlink ref="A20" location="单价分析!F294" display="1021"/>
    <hyperlink ref="A19" location="单价分析!F276" display="1020"/>
    <hyperlink ref="A18" location="单价分析!F258" display="1019"/>
    <hyperlink ref="A17" location="单价分析!F240" display="1018"/>
    <hyperlink ref="A16" location="单价分析!F222" display="1017"/>
    <hyperlink ref="A15" location="单价分析!F204" display="1016"/>
    <hyperlink ref="A14" location="单价分析!F162" display="1012"/>
    <hyperlink ref="A13" location="单价分析!$F$144" display="1011"/>
    <hyperlink ref="A12" location="单价分析!$F$126" display="1010"/>
    <hyperlink ref="A11" location="单价分析!$F$108" display="1009"/>
    <hyperlink ref="A10" location="单价分析!$F$90" display="1008"/>
    <hyperlink ref="A9" location="单价分析!$R$71" display="1006"/>
    <hyperlink ref="A8" location="单价分析!$L$71" display="1005"/>
    <hyperlink ref="A7" location="单价分析!$F$71" display="1004"/>
    <hyperlink ref="A6" location="单价分析!$R$51" display="1003"/>
    <hyperlink ref="A5" location="单价分析!$L$51" display="1002"/>
    <hyperlink ref="A4" location="单价分析!$F$51" display="1001"/>
    <hyperlink ref="A369" location="单价分析!$F$3325" display="9026"/>
    <hyperlink ref="A368" location="单价分析!$F$3304" display="9025"/>
    <hyperlink ref="A367" location="单价分析!$F$3278" display="9021"/>
    <hyperlink ref="A366" location="单价分析!$F$3257" display="9020"/>
    <hyperlink ref="A398" location="单价分析!$F$3624" display="10227"/>
    <hyperlink ref="A49" location="单价分析!L648" display="1162"/>
    <hyperlink ref="A346" location="单价分析!$F$3325" display="9026"/>
    <hyperlink ref="A345" location="单价分析!$F$3304" display="9025"/>
    <hyperlink ref="A44" location="单价分析!F624" display="1145"/>
    <hyperlink ref="A42" location="单价分析!F602" display="1130"/>
    <hyperlink ref="A393" location="单价分析!$F$3600" display="10205"/>
    <hyperlink ref="A392" location="单价分析!$F$3578" display="10201"/>
  </hyperlinks>
  <pageMargins left="0.61875" right="0.379166666666667" top="0.829861111111111" bottom="0.55" header="0.329166666666667" footer="0.3"/>
  <pageSetup paperSize="9" orientation="portrait"/>
  <headerFooter alignWithMargins="0" scaleWithDoc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62"/>
  <sheetViews>
    <sheetView workbookViewId="0">
      <selection activeCell="F9" sqref="F9"/>
    </sheetView>
  </sheetViews>
  <sheetFormatPr defaultColWidth="8.875" defaultRowHeight="21.95" customHeight="1"/>
  <cols>
    <col min="1" max="1" width="25.25" style="215" customWidth="1"/>
    <col min="2" max="2" width="14.875" style="215" customWidth="1"/>
    <col min="3" max="3" width="5.5" style="215" customWidth="1"/>
    <col min="4" max="4" width="8.875" style="212" customWidth="1"/>
    <col min="5" max="5" width="8.75" style="215" customWidth="1"/>
    <col min="6" max="6" width="6.5" style="212" customWidth="1"/>
    <col min="7" max="7" width="8.75" style="215" customWidth="1"/>
    <col min="8" max="8" width="7.375" style="212" customWidth="1"/>
    <col min="9" max="10" width="7" style="215" customWidth="1"/>
    <col min="11" max="11" width="6.5" style="215" customWidth="1"/>
    <col min="12" max="12" width="9.75" style="215" customWidth="1"/>
    <col min="13" max="13" width="7.875" style="215" customWidth="1"/>
    <col min="14" max="14" width="8.5" style="215" customWidth="1"/>
    <col min="15" max="15" width="8.875" style="215"/>
    <col min="16" max="21" width="12.875" style="215" customWidth="1"/>
    <col min="22" max="16384" width="8.875" style="215"/>
  </cols>
  <sheetData>
    <row r="1" ht="24.95" customHeight="1" spans="1:21">
      <c r="A1" s="216" t="s">
        <v>1784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P1" s="235" t="s">
        <v>1785</v>
      </c>
      <c r="Q1" s="235"/>
      <c r="R1" s="235"/>
      <c r="S1" s="249"/>
      <c r="T1" s="249"/>
      <c r="U1" s="249"/>
    </row>
    <row r="2" s="212" customFormat="1" ht="15.95" customHeight="1" spans="1:21">
      <c r="A2" s="217" t="s">
        <v>1786</v>
      </c>
      <c r="B2" s="217"/>
      <c r="C2" s="217"/>
      <c r="D2" s="217"/>
      <c r="E2" s="217"/>
      <c r="F2" s="218" t="s">
        <v>1787</v>
      </c>
      <c r="G2" s="218"/>
      <c r="H2" s="218"/>
      <c r="I2" s="218"/>
      <c r="J2" s="218"/>
      <c r="K2" s="218"/>
      <c r="L2" s="218"/>
      <c r="M2" s="218" t="s">
        <v>1788</v>
      </c>
      <c r="N2" s="218"/>
      <c r="P2" s="236" t="s">
        <v>1789</v>
      </c>
      <c r="Q2" s="250" t="s">
        <v>1790</v>
      </c>
      <c r="R2" s="250"/>
      <c r="S2" s="214"/>
      <c r="T2" s="214"/>
      <c r="U2" s="214"/>
    </row>
    <row r="3" s="213" customFormat="1" customHeight="1" spans="1:21">
      <c r="A3" s="219" t="s">
        <v>292</v>
      </c>
      <c r="B3" s="219" t="s">
        <v>1791</v>
      </c>
      <c r="C3" s="219" t="s">
        <v>55</v>
      </c>
      <c r="D3" s="219" t="s">
        <v>1792</v>
      </c>
      <c r="E3" s="219" t="s">
        <v>1793</v>
      </c>
      <c r="F3" s="219" t="s">
        <v>1794</v>
      </c>
      <c r="G3" s="219" t="s">
        <v>1795</v>
      </c>
      <c r="H3" s="219" t="s">
        <v>1796</v>
      </c>
      <c r="I3" s="219" t="s">
        <v>1797</v>
      </c>
      <c r="J3" s="219" t="s">
        <v>1798</v>
      </c>
      <c r="K3" s="219" t="s">
        <v>1799</v>
      </c>
      <c r="L3" s="219" t="s">
        <v>1800</v>
      </c>
      <c r="M3" s="219" t="s">
        <v>1801</v>
      </c>
      <c r="N3" s="219" t="s">
        <v>1802</v>
      </c>
      <c r="O3" s="237"/>
      <c r="P3" s="238" t="s">
        <v>1803</v>
      </c>
      <c r="Q3" s="240" t="s">
        <v>1804</v>
      </c>
      <c r="R3" s="240" t="s">
        <v>1805</v>
      </c>
      <c r="S3" s="251" t="s">
        <v>1806</v>
      </c>
      <c r="T3" s="251" t="s">
        <v>55</v>
      </c>
      <c r="U3" s="251" t="s">
        <v>1807</v>
      </c>
    </row>
    <row r="4" s="214" customFormat="1" ht="15.95" customHeight="1" spans="1:21">
      <c r="A4" s="220" t="s">
        <v>1808</v>
      </c>
      <c r="B4" s="221"/>
      <c r="C4" s="222"/>
      <c r="D4" s="223"/>
      <c r="E4" s="224"/>
      <c r="F4" s="222"/>
      <c r="G4" s="224"/>
      <c r="H4" s="224"/>
      <c r="I4" s="224"/>
      <c r="J4" s="222"/>
      <c r="K4" s="222"/>
      <c r="L4" s="222"/>
      <c r="M4" s="222"/>
      <c r="N4" s="239"/>
      <c r="P4" s="240">
        <v>5</v>
      </c>
      <c r="Q4" s="252">
        <v>1.09</v>
      </c>
      <c r="R4" s="252">
        <v>1.2</v>
      </c>
      <c r="S4" s="253" t="s">
        <v>1809</v>
      </c>
      <c r="T4" s="253" t="s">
        <v>558</v>
      </c>
      <c r="U4" s="253">
        <v>1</v>
      </c>
    </row>
    <row r="5" s="214" customFormat="1" ht="15.95" customHeight="1" spans="1:21">
      <c r="A5" s="222" t="s">
        <v>1810</v>
      </c>
      <c r="B5" s="222" t="s">
        <v>1811</v>
      </c>
      <c r="C5" s="222" t="s">
        <v>580</v>
      </c>
      <c r="D5" s="225">
        <v>380.53</v>
      </c>
      <c r="E5" s="226" t="s">
        <v>1812</v>
      </c>
      <c r="F5" s="227">
        <v>15</v>
      </c>
      <c r="G5" s="207">
        <f>IF(F5&lt;26,LOOKUP(F5,$P$4:$P$28,$R$4:$R$28),$R$29)*$U$4</f>
        <v>0.69</v>
      </c>
      <c r="H5" s="207">
        <f t="shared" ref="H5:H12" si="0">F5*G5</f>
        <v>10.35</v>
      </c>
      <c r="I5" s="207">
        <f>(3.5+2)*1</f>
        <v>5.5</v>
      </c>
      <c r="J5" s="241">
        <f t="shared" ref="J5:J11" si="1">(D5+H5+I5)*3%*1.1</f>
        <v>13.08054</v>
      </c>
      <c r="K5" s="241"/>
      <c r="L5" s="241">
        <f>J5+I5+H5+D5</f>
        <v>409.46054</v>
      </c>
      <c r="M5" s="227">
        <v>255</v>
      </c>
      <c r="N5" s="242">
        <f>IF(L5-M5&gt;0,L5-M5,0)</f>
        <v>154.46054</v>
      </c>
      <c r="P5" s="240">
        <v>6</v>
      </c>
      <c r="Q5" s="252">
        <v>0.99</v>
      </c>
      <c r="R5" s="252">
        <v>1.09</v>
      </c>
      <c r="S5" s="253" t="s">
        <v>1813</v>
      </c>
      <c r="T5" s="253" t="s">
        <v>632</v>
      </c>
      <c r="U5" s="253">
        <v>1.56</v>
      </c>
    </row>
    <row r="6" s="214" customFormat="1" ht="15.95" customHeight="1" spans="1:21">
      <c r="A6" s="222" t="s">
        <v>1814</v>
      </c>
      <c r="B6" s="222" t="s">
        <v>1815</v>
      </c>
      <c r="C6" s="222" t="s">
        <v>580</v>
      </c>
      <c r="D6" s="225">
        <v>460.18</v>
      </c>
      <c r="E6" s="226" t="s">
        <v>1812</v>
      </c>
      <c r="F6" s="227">
        <v>15</v>
      </c>
      <c r="G6" s="207">
        <f>IF(F6&lt;26,LOOKUP(F6,$P$4:$P$28,$R$4:$R$28),$R$29)*$U$4</f>
        <v>0.69</v>
      </c>
      <c r="H6" s="207">
        <f t="shared" si="0"/>
        <v>10.35</v>
      </c>
      <c r="I6" s="207">
        <f>(3.5+2)*1</f>
        <v>5.5</v>
      </c>
      <c r="J6" s="241">
        <f t="shared" si="1"/>
        <v>15.70899</v>
      </c>
      <c r="K6" s="241"/>
      <c r="L6" s="241">
        <f>J6+I6+H6+D6</f>
        <v>491.73899</v>
      </c>
      <c r="M6" s="227">
        <v>255</v>
      </c>
      <c r="N6" s="242">
        <f t="shared" ref="N6:N11" si="2">IF(L6-M6&gt;0,L6-M6,0)</f>
        <v>236.73899</v>
      </c>
      <c r="P6" s="240">
        <v>7</v>
      </c>
      <c r="Q6" s="252">
        <v>0.92</v>
      </c>
      <c r="R6" s="252">
        <v>1.01</v>
      </c>
      <c r="S6" s="253" t="s">
        <v>1816</v>
      </c>
      <c r="T6" s="253" t="s">
        <v>632</v>
      </c>
      <c r="U6" s="253">
        <v>1.55</v>
      </c>
    </row>
    <row r="7" s="214" customFormat="1" ht="15.95" customHeight="1" spans="1:21">
      <c r="A7" s="224" t="s">
        <v>1817</v>
      </c>
      <c r="B7" s="222" t="s">
        <v>1818</v>
      </c>
      <c r="C7" s="222" t="s">
        <v>632</v>
      </c>
      <c r="D7" s="225">
        <f>67.96</f>
        <v>67.96</v>
      </c>
      <c r="E7" s="226" t="s">
        <v>1812</v>
      </c>
      <c r="F7" s="227">
        <v>30</v>
      </c>
      <c r="G7" s="207">
        <f>0.54*1.56</f>
        <v>0.8424</v>
      </c>
      <c r="H7" s="226">
        <f t="shared" si="0"/>
        <v>25.272</v>
      </c>
      <c r="I7" s="226">
        <f>2*1.56</f>
        <v>3.12</v>
      </c>
      <c r="J7" s="241">
        <f t="shared" si="1"/>
        <v>3.179616</v>
      </c>
      <c r="K7" s="241"/>
      <c r="L7" s="241">
        <f t="shared" ref="L7:L11" si="3">J7+I7+H7+D7+K7</f>
        <v>99.531616</v>
      </c>
      <c r="M7" s="227">
        <v>70</v>
      </c>
      <c r="N7" s="242">
        <f t="shared" si="2"/>
        <v>29.531616</v>
      </c>
      <c r="P7" s="240">
        <v>8</v>
      </c>
      <c r="Q7" s="252">
        <v>0.86</v>
      </c>
      <c r="R7" s="252">
        <v>0.95</v>
      </c>
      <c r="S7" s="253" t="s">
        <v>1819</v>
      </c>
      <c r="T7" s="253" t="s">
        <v>632</v>
      </c>
      <c r="U7" s="253">
        <v>1.8</v>
      </c>
    </row>
    <row r="8" s="214" customFormat="1" ht="15.95" customHeight="1" spans="1:21">
      <c r="A8" s="224" t="s">
        <v>1820</v>
      </c>
      <c r="B8" s="222" t="s">
        <v>1818</v>
      </c>
      <c r="C8" s="222" t="s">
        <v>632</v>
      </c>
      <c r="D8" s="225">
        <f>48.37</f>
        <v>48.37</v>
      </c>
      <c r="E8" s="226" t="s">
        <v>1812</v>
      </c>
      <c r="F8" s="227">
        <v>10</v>
      </c>
      <c r="G8" s="207">
        <f>IF(F8&lt;26,LOOKUP(F8,$P$4:$P$28,$Q$4:$Q$28),$Q$29)*$U$6</f>
        <v>1.1935</v>
      </c>
      <c r="H8" s="226">
        <f t="shared" si="0"/>
        <v>11.935</v>
      </c>
      <c r="I8" s="226">
        <f>2*1.55</f>
        <v>3.1</v>
      </c>
      <c r="J8" s="241">
        <f t="shared" si="1"/>
        <v>2.092365</v>
      </c>
      <c r="K8" s="241"/>
      <c r="L8" s="241">
        <f t="shared" si="3"/>
        <v>65.497365</v>
      </c>
      <c r="M8" s="227">
        <v>70</v>
      </c>
      <c r="N8" s="242">
        <f t="shared" si="2"/>
        <v>0</v>
      </c>
      <c r="P8" s="240">
        <v>9</v>
      </c>
      <c r="Q8" s="252">
        <v>0.81</v>
      </c>
      <c r="R8" s="252">
        <v>0.89</v>
      </c>
      <c r="S8" s="253" t="s">
        <v>1390</v>
      </c>
      <c r="T8" s="253" t="s">
        <v>558</v>
      </c>
      <c r="U8" s="253">
        <v>1</v>
      </c>
    </row>
    <row r="9" s="214" customFormat="1" ht="15.95" customHeight="1" spans="1:21">
      <c r="A9" s="222" t="s">
        <v>1819</v>
      </c>
      <c r="B9" s="222" t="s">
        <v>1821</v>
      </c>
      <c r="C9" s="222" t="s">
        <v>632</v>
      </c>
      <c r="D9" s="225">
        <f>78.64</f>
        <v>78.64</v>
      </c>
      <c r="E9" s="226" t="s">
        <v>1812</v>
      </c>
      <c r="F9" s="227">
        <v>10</v>
      </c>
      <c r="G9" s="207">
        <f>IF(F9&lt;26,LOOKUP(F9,$P$4:$P$28,$R$4:$R$28),$R$29)*$U$7</f>
        <v>1.53</v>
      </c>
      <c r="H9" s="226">
        <f t="shared" si="0"/>
        <v>15.3</v>
      </c>
      <c r="I9" s="226">
        <f t="shared" ref="I9:I11" si="4">2*1.8</f>
        <v>3.6</v>
      </c>
      <c r="J9" s="241">
        <f t="shared" si="1"/>
        <v>3.21882</v>
      </c>
      <c r="K9" s="241"/>
      <c r="L9" s="241">
        <f t="shared" si="3"/>
        <v>100.75882</v>
      </c>
      <c r="M9" s="227">
        <v>70</v>
      </c>
      <c r="N9" s="242">
        <f t="shared" si="2"/>
        <v>30.75882</v>
      </c>
      <c r="O9" s="243"/>
      <c r="P9" s="240">
        <v>10</v>
      </c>
      <c r="Q9" s="252">
        <v>0.77</v>
      </c>
      <c r="R9" s="252">
        <v>0.85</v>
      </c>
      <c r="S9" s="253" t="s">
        <v>1822</v>
      </c>
      <c r="T9" s="253" t="s">
        <v>550</v>
      </c>
      <c r="U9" s="253"/>
    </row>
    <row r="10" s="214" customFormat="1" ht="15.95" customHeight="1" spans="1:21">
      <c r="A10" s="222" t="s">
        <v>1823</v>
      </c>
      <c r="B10" s="222" t="s">
        <v>1824</v>
      </c>
      <c r="C10" s="222" t="s">
        <v>632</v>
      </c>
      <c r="D10" s="228">
        <v>22</v>
      </c>
      <c r="E10" s="226" t="s">
        <v>1812</v>
      </c>
      <c r="F10" s="227">
        <v>10</v>
      </c>
      <c r="G10" s="207">
        <f>IF(F10&lt;26,LOOKUP(F10,$P$4:$P$28,$Q$4:$Q$28),$Q$29)*$U$6</f>
        <v>1.1935</v>
      </c>
      <c r="H10" s="226">
        <f t="shared" si="0"/>
        <v>11.935</v>
      </c>
      <c r="I10" s="226">
        <f t="shared" si="4"/>
        <v>3.6</v>
      </c>
      <c r="J10" s="241">
        <f t="shared" si="1"/>
        <v>1.238655</v>
      </c>
      <c r="K10" s="241"/>
      <c r="L10" s="241">
        <f t="shared" si="3"/>
        <v>38.773655</v>
      </c>
      <c r="M10" s="227">
        <v>70</v>
      </c>
      <c r="N10" s="242">
        <f t="shared" si="2"/>
        <v>0</v>
      </c>
      <c r="O10" s="243"/>
      <c r="P10" s="240">
        <v>11</v>
      </c>
      <c r="Q10" s="252">
        <v>0.73</v>
      </c>
      <c r="R10" s="252">
        <v>0.8</v>
      </c>
      <c r="S10" s="253" t="s">
        <v>1825</v>
      </c>
      <c r="T10" s="253" t="s">
        <v>550</v>
      </c>
      <c r="U10" s="253"/>
    </row>
    <row r="11" s="214" customFormat="1" ht="15.95" customHeight="1" spans="1:21">
      <c r="A11" s="222" t="s">
        <v>1826</v>
      </c>
      <c r="B11" s="222" t="s">
        <v>1827</v>
      </c>
      <c r="C11" s="222" t="s">
        <v>632</v>
      </c>
      <c r="D11" s="228">
        <v>12</v>
      </c>
      <c r="E11" s="226" t="s">
        <v>1812</v>
      </c>
      <c r="F11" s="227">
        <v>120</v>
      </c>
      <c r="G11" s="207">
        <f>Q29</f>
        <v>0.48</v>
      </c>
      <c r="H11" s="226">
        <f t="shared" si="0"/>
        <v>57.6</v>
      </c>
      <c r="I11" s="226">
        <f t="shared" si="4"/>
        <v>3.6</v>
      </c>
      <c r="J11" s="241">
        <f t="shared" si="1"/>
        <v>2.4156</v>
      </c>
      <c r="K11" s="241"/>
      <c r="L11" s="241">
        <f t="shared" si="3"/>
        <v>75.6156</v>
      </c>
      <c r="M11" s="227">
        <v>70</v>
      </c>
      <c r="N11" s="242">
        <v>0</v>
      </c>
      <c r="O11" s="243"/>
      <c r="P11" s="240"/>
      <c r="Q11" s="252"/>
      <c r="R11" s="252"/>
      <c r="S11" s="253"/>
      <c r="T11" s="253"/>
      <c r="U11" s="253"/>
    </row>
    <row r="12" s="214" customFormat="1" ht="15.95" customHeight="1" spans="1:21">
      <c r="A12" s="224" t="s">
        <v>1390</v>
      </c>
      <c r="B12" s="222" t="s">
        <v>1828</v>
      </c>
      <c r="C12" s="224" t="s">
        <v>580</v>
      </c>
      <c r="D12" s="225">
        <v>4154.79</v>
      </c>
      <c r="E12" s="226" t="s">
        <v>1812</v>
      </c>
      <c r="F12" s="227">
        <v>15</v>
      </c>
      <c r="G12" s="207">
        <f>IF(F12&lt;26,LOOKUP(F12,$P$4:$P$28,$R$4:$R$28),$R$29)*$U$4</f>
        <v>0.69</v>
      </c>
      <c r="H12" s="226">
        <f t="shared" si="0"/>
        <v>10.35</v>
      </c>
      <c r="I12" s="226">
        <f>(3.5+2)*1</f>
        <v>5.5</v>
      </c>
      <c r="J12" s="241">
        <f>(D12+H12+I12)*2%*1.1</f>
        <v>91.75408</v>
      </c>
      <c r="K12" s="241"/>
      <c r="L12" s="241">
        <f t="shared" ref="L12:L20" si="5">J12+I12+H12+D12+K12</f>
        <v>4262.39408</v>
      </c>
      <c r="M12" s="227">
        <v>2560</v>
      </c>
      <c r="N12" s="242">
        <f>IF(L12-M12&gt;0,L12-M12,0)</f>
        <v>1702.39408</v>
      </c>
      <c r="O12" s="243"/>
      <c r="P12" s="240">
        <v>12</v>
      </c>
      <c r="Q12" s="252">
        <v>0.7</v>
      </c>
      <c r="R12" s="252">
        <v>0.77</v>
      </c>
      <c r="S12" s="253" t="s">
        <v>1829</v>
      </c>
      <c r="T12" s="253" t="s">
        <v>632</v>
      </c>
      <c r="U12" s="253">
        <v>2.4</v>
      </c>
    </row>
    <row r="13" s="214" customFormat="1" ht="15.95" customHeight="1" spans="1:21">
      <c r="A13" s="222" t="s">
        <v>1822</v>
      </c>
      <c r="B13" s="222" t="s">
        <v>1830</v>
      </c>
      <c r="C13" s="222" t="s">
        <v>550</v>
      </c>
      <c r="D13" s="225">
        <v>8.79</v>
      </c>
      <c r="E13" s="207" t="s">
        <v>1831</v>
      </c>
      <c r="F13" s="227"/>
      <c r="G13" s="207"/>
      <c r="H13" s="226"/>
      <c r="I13" s="207"/>
      <c r="J13" s="241"/>
      <c r="K13" s="241"/>
      <c r="L13" s="241">
        <f t="shared" si="5"/>
        <v>8.79</v>
      </c>
      <c r="M13" s="227">
        <v>2.99</v>
      </c>
      <c r="N13" s="242">
        <f>IF(L13-M13&gt;0,L13-M13,0)</f>
        <v>5.8</v>
      </c>
      <c r="O13" s="243"/>
      <c r="P13" s="240">
        <v>13</v>
      </c>
      <c r="Q13" s="252">
        <v>0.68</v>
      </c>
      <c r="R13" s="252">
        <v>0.75</v>
      </c>
      <c r="S13" s="254"/>
      <c r="T13" s="254"/>
      <c r="U13" s="254"/>
    </row>
    <row r="14" s="214" customFormat="1" ht="15.95" customHeight="1" spans="1:21">
      <c r="A14" s="222" t="s">
        <v>1825</v>
      </c>
      <c r="B14" s="222" t="s">
        <v>1830</v>
      </c>
      <c r="C14" s="222" t="s">
        <v>550</v>
      </c>
      <c r="D14" s="229">
        <v>10.34</v>
      </c>
      <c r="E14" s="207" t="s">
        <v>1831</v>
      </c>
      <c r="F14" s="227"/>
      <c r="G14" s="207"/>
      <c r="H14" s="226"/>
      <c r="I14" s="207"/>
      <c r="J14" s="241"/>
      <c r="K14" s="241"/>
      <c r="L14" s="241">
        <f t="shared" si="5"/>
        <v>10.34</v>
      </c>
      <c r="M14" s="227">
        <v>3.075</v>
      </c>
      <c r="N14" s="242">
        <f>IF(L14-M14&gt;0,L14-M14,0)</f>
        <v>7.265</v>
      </c>
      <c r="O14" s="243"/>
      <c r="P14" s="240">
        <v>14</v>
      </c>
      <c r="Q14" s="252">
        <v>0.65</v>
      </c>
      <c r="R14" s="252">
        <v>0.71</v>
      </c>
      <c r="S14" s="254"/>
      <c r="T14" s="254"/>
      <c r="U14" s="254"/>
    </row>
    <row r="15" s="214" customFormat="1" ht="15.95" customHeight="1" spans="1:21">
      <c r="A15" s="222" t="s">
        <v>1832</v>
      </c>
      <c r="B15" s="222" t="s">
        <v>1830</v>
      </c>
      <c r="C15" s="222" t="s">
        <v>632</v>
      </c>
      <c r="D15" s="230">
        <f>4/1.03</f>
        <v>3.88349514563107</v>
      </c>
      <c r="E15" s="207" t="s">
        <v>1831</v>
      </c>
      <c r="F15" s="227"/>
      <c r="G15" s="207"/>
      <c r="H15" s="226"/>
      <c r="I15" s="207"/>
      <c r="J15" s="241"/>
      <c r="K15" s="241"/>
      <c r="L15" s="241">
        <f t="shared" si="5"/>
        <v>3.88349514563107</v>
      </c>
      <c r="M15" s="227"/>
      <c r="N15" s="244"/>
      <c r="O15" s="243"/>
      <c r="P15" s="240">
        <v>15</v>
      </c>
      <c r="Q15" s="252">
        <v>0.63</v>
      </c>
      <c r="R15" s="252">
        <v>0.69</v>
      </c>
      <c r="S15" s="254"/>
      <c r="T15" s="254"/>
      <c r="U15" s="254"/>
    </row>
    <row r="16" s="214" customFormat="1" ht="15.95" customHeight="1" spans="1:21">
      <c r="A16" s="222" t="s">
        <v>1833</v>
      </c>
      <c r="B16" s="222" t="s">
        <v>1830</v>
      </c>
      <c r="C16" s="222" t="s">
        <v>1834</v>
      </c>
      <c r="D16" s="225">
        <v>0.48</v>
      </c>
      <c r="E16" s="207" t="s">
        <v>1831</v>
      </c>
      <c r="F16" s="227"/>
      <c r="G16" s="207"/>
      <c r="H16" s="226"/>
      <c r="I16" s="207"/>
      <c r="J16" s="241"/>
      <c r="K16" s="241"/>
      <c r="L16" s="241">
        <f t="shared" si="5"/>
        <v>0.48</v>
      </c>
      <c r="M16" s="207"/>
      <c r="N16" s="244"/>
      <c r="O16" s="243"/>
      <c r="P16" s="240">
        <v>16</v>
      </c>
      <c r="Q16" s="252">
        <v>0.61</v>
      </c>
      <c r="R16" s="252">
        <v>0.68</v>
      </c>
      <c r="S16" s="254"/>
      <c r="T16" s="254"/>
      <c r="U16" s="254"/>
    </row>
    <row r="17" s="214" customFormat="1" ht="15.95" customHeight="1" spans="1:21">
      <c r="A17" s="222" t="s">
        <v>1835</v>
      </c>
      <c r="B17" s="222" t="str">
        <f>B5</f>
        <v>大武口工业园</v>
      </c>
      <c r="C17" s="222" t="s">
        <v>580</v>
      </c>
      <c r="D17" s="225">
        <v>4333.53</v>
      </c>
      <c r="E17" s="226" t="s">
        <v>1812</v>
      </c>
      <c r="F17" s="227">
        <v>15</v>
      </c>
      <c r="G17" s="207">
        <f>0.85*1</f>
        <v>0.85</v>
      </c>
      <c r="H17" s="226">
        <f t="shared" ref="H17:H22" si="6">F17*G17</f>
        <v>12.75</v>
      </c>
      <c r="I17" s="226">
        <f>(3.5+2)*1</f>
        <v>5.5</v>
      </c>
      <c r="J17" s="241">
        <f>(D17+H17+I17)*2%*1.1</f>
        <v>95.73916</v>
      </c>
      <c r="K17" s="241"/>
      <c r="L17" s="241">
        <f t="shared" si="5"/>
        <v>4447.51916</v>
      </c>
      <c r="M17" s="207"/>
      <c r="N17" s="244"/>
      <c r="O17" s="243"/>
      <c r="P17" s="240">
        <v>17</v>
      </c>
      <c r="Q17" s="252">
        <v>0.59</v>
      </c>
      <c r="R17" s="252">
        <v>0.65</v>
      </c>
      <c r="S17" s="254"/>
      <c r="T17" s="254"/>
      <c r="U17" s="254"/>
    </row>
    <row r="18" s="214" customFormat="1" ht="15.95" customHeight="1" spans="1:21">
      <c r="A18" s="222" t="s">
        <v>1836</v>
      </c>
      <c r="B18" s="222" t="str">
        <f>B17</f>
        <v>大武口工业园</v>
      </c>
      <c r="C18" s="222" t="s">
        <v>580</v>
      </c>
      <c r="D18" s="225">
        <v>6085.62</v>
      </c>
      <c r="E18" s="226" t="s">
        <v>1812</v>
      </c>
      <c r="F18" s="227">
        <f>F17</f>
        <v>15</v>
      </c>
      <c r="G18" s="207">
        <f>G17*1</f>
        <v>0.85</v>
      </c>
      <c r="H18" s="226">
        <f t="shared" si="6"/>
        <v>12.75</v>
      </c>
      <c r="I18" s="226">
        <f>(3.5+2)*1</f>
        <v>5.5</v>
      </c>
      <c r="J18" s="241">
        <f>(D18+H18+I18)*2%*1.1</f>
        <v>134.28514</v>
      </c>
      <c r="K18" s="241"/>
      <c r="L18" s="241">
        <f t="shared" si="5"/>
        <v>6238.15514</v>
      </c>
      <c r="M18" s="207"/>
      <c r="N18" s="244"/>
      <c r="O18" s="243"/>
      <c r="P18" s="240">
        <v>18</v>
      </c>
      <c r="Q18" s="252">
        <v>0.58</v>
      </c>
      <c r="R18" s="252">
        <v>0.63</v>
      </c>
      <c r="S18" s="254"/>
      <c r="T18" s="254"/>
      <c r="U18" s="254"/>
    </row>
    <row r="19" s="214" customFormat="1" ht="15.95" customHeight="1" spans="1:21">
      <c r="A19" s="222" t="s">
        <v>1837</v>
      </c>
      <c r="B19" s="222" t="str">
        <f>B18</f>
        <v>大武口工业园</v>
      </c>
      <c r="C19" s="222" t="s">
        <v>580</v>
      </c>
      <c r="D19" s="225">
        <v>5871.31</v>
      </c>
      <c r="E19" s="226" t="s">
        <v>1812</v>
      </c>
      <c r="F19" s="227">
        <f>F18</f>
        <v>15</v>
      </c>
      <c r="G19" s="207">
        <f>G18*1</f>
        <v>0.85</v>
      </c>
      <c r="H19" s="226">
        <f t="shared" si="6"/>
        <v>12.75</v>
      </c>
      <c r="I19" s="226">
        <f>(3.5+2)*1</f>
        <v>5.5</v>
      </c>
      <c r="J19" s="241">
        <f>(D19+H19+I19)*2%*1.1</f>
        <v>129.57032</v>
      </c>
      <c r="K19" s="241"/>
      <c r="L19" s="241">
        <f t="shared" si="5"/>
        <v>6019.13032</v>
      </c>
      <c r="M19" s="207"/>
      <c r="N19" s="244"/>
      <c r="O19" s="243"/>
      <c r="P19" s="240">
        <v>19</v>
      </c>
      <c r="Q19" s="252">
        <v>0.56</v>
      </c>
      <c r="R19" s="252">
        <v>0.61</v>
      </c>
      <c r="S19" s="254"/>
      <c r="T19" s="254"/>
      <c r="U19" s="254"/>
    </row>
    <row r="20" s="214" customFormat="1" ht="15.95" customHeight="1" spans="1:21">
      <c r="A20" s="222" t="s">
        <v>1838</v>
      </c>
      <c r="B20" s="222" t="str">
        <f>B19</f>
        <v>大武口工业园</v>
      </c>
      <c r="C20" s="222" t="s">
        <v>580</v>
      </c>
      <c r="D20" s="225">
        <v>6286.42</v>
      </c>
      <c r="E20" s="226" t="s">
        <v>1812</v>
      </c>
      <c r="F20" s="227">
        <f>F19</f>
        <v>15</v>
      </c>
      <c r="G20" s="207">
        <f>G19*1</f>
        <v>0.85</v>
      </c>
      <c r="H20" s="226">
        <f t="shared" si="6"/>
        <v>12.75</v>
      </c>
      <c r="I20" s="226">
        <f>(3.5+2)*1</f>
        <v>5.5</v>
      </c>
      <c r="J20" s="241">
        <f>(D20+H20+I20)*2%*1.1</f>
        <v>138.70274</v>
      </c>
      <c r="K20" s="241"/>
      <c r="L20" s="241">
        <f t="shared" si="5"/>
        <v>6443.37274</v>
      </c>
      <c r="M20" s="207"/>
      <c r="N20" s="244"/>
      <c r="O20" s="243"/>
      <c r="P20" s="240">
        <v>20</v>
      </c>
      <c r="Q20" s="252">
        <v>0.54</v>
      </c>
      <c r="R20" s="252">
        <v>0.6</v>
      </c>
      <c r="S20" s="254"/>
      <c r="T20" s="254"/>
      <c r="U20" s="254"/>
    </row>
    <row r="21" s="214" customFormat="1" ht="15.95" customHeight="1" spans="1:21">
      <c r="A21" s="222" t="s">
        <v>1839</v>
      </c>
      <c r="B21" s="222" t="s">
        <v>1830</v>
      </c>
      <c r="C21" s="222" t="s">
        <v>632</v>
      </c>
      <c r="D21" s="230">
        <f>35/1.03</f>
        <v>33.9805825242718</v>
      </c>
      <c r="E21" s="226" t="s">
        <v>1812</v>
      </c>
      <c r="F21" s="227">
        <v>20</v>
      </c>
      <c r="G21" s="226">
        <f>0.54*1.65</f>
        <v>0.891</v>
      </c>
      <c r="H21" s="226">
        <f t="shared" si="6"/>
        <v>17.82</v>
      </c>
      <c r="I21" s="226">
        <f>2*1.65</f>
        <v>3.3</v>
      </c>
      <c r="J21" s="241">
        <f>(D21+H21+I21)*3%*1.1</f>
        <v>1.81831922330097</v>
      </c>
      <c r="K21" s="241"/>
      <c r="L21" s="241">
        <f>J21+I21+H21+D21</f>
        <v>56.9189017475728</v>
      </c>
      <c r="M21" s="207"/>
      <c r="N21" s="244"/>
      <c r="O21" s="243"/>
      <c r="P21" s="240">
        <v>21</v>
      </c>
      <c r="Q21" s="252">
        <v>0.53</v>
      </c>
      <c r="R21" s="252">
        <v>0.59</v>
      </c>
      <c r="S21" s="254"/>
      <c r="T21" s="254"/>
      <c r="U21" s="254"/>
    </row>
    <row r="22" s="214" customFormat="1" ht="15.95" customHeight="1" spans="1:21">
      <c r="A22" s="231" t="s">
        <v>1840</v>
      </c>
      <c r="B22" s="232"/>
      <c r="C22" s="222" t="s">
        <v>632</v>
      </c>
      <c r="D22" s="230"/>
      <c r="E22" s="226" t="s">
        <v>1812</v>
      </c>
      <c r="F22" s="227">
        <v>10</v>
      </c>
      <c r="G22" s="207">
        <f>IF(F22&lt;26,LOOKUP(F22,$P$4:$P$28,$Q$4:$Q$28),$Q$29)*$U$6</f>
        <v>1.1935</v>
      </c>
      <c r="H22" s="226">
        <f t="shared" si="6"/>
        <v>11.935</v>
      </c>
      <c r="I22" s="226">
        <f>2*1.56</f>
        <v>3.12</v>
      </c>
      <c r="J22" s="241">
        <f>(D22+H22+I22)*3%*1.1</f>
        <v>0.496815</v>
      </c>
      <c r="K22" s="241"/>
      <c r="L22" s="241">
        <f>J22+I22+H22+D22</f>
        <v>15.551815</v>
      </c>
      <c r="M22" s="207"/>
      <c r="N22" s="244"/>
      <c r="P22" s="240"/>
      <c r="Q22" s="252"/>
      <c r="R22" s="252"/>
      <c r="S22" s="254"/>
      <c r="T22" s="254"/>
      <c r="U22" s="254"/>
    </row>
    <row r="23" s="214" customFormat="1" ht="15.95" customHeight="1" spans="1:21">
      <c r="A23" s="220" t="s">
        <v>1841</v>
      </c>
      <c r="B23" s="221"/>
      <c r="C23" s="222"/>
      <c r="D23" s="223"/>
      <c r="E23" s="224"/>
      <c r="F23" s="222"/>
      <c r="G23" s="224"/>
      <c r="H23" s="224"/>
      <c r="I23" s="224"/>
      <c r="J23" s="222"/>
      <c r="K23" s="222"/>
      <c r="L23" s="222"/>
      <c r="M23" s="222"/>
      <c r="N23" s="239"/>
      <c r="P23" s="240">
        <v>22</v>
      </c>
      <c r="Q23" s="252">
        <v>0.52</v>
      </c>
      <c r="R23" s="252">
        <v>0.58</v>
      </c>
      <c r="S23" s="254"/>
      <c r="T23" s="254"/>
      <c r="U23" s="254"/>
    </row>
    <row r="24" s="214" customFormat="1" ht="15.95" customHeight="1" spans="1:21">
      <c r="A24" s="231"/>
      <c r="B24" s="232"/>
      <c r="C24" s="222"/>
      <c r="D24" s="222"/>
      <c r="E24" s="224"/>
      <c r="F24" s="222"/>
      <c r="G24" s="222"/>
      <c r="H24" s="222"/>
      <c r="I24" s="222"/>
      <c r="J24" s="222"/>
      <c r="K24" s="222"/>
      <c r="L24" s="222"/>
      <c r="M24" s="239"/>
      <c r="N24" s="239"/>
      <c r="P24" s="240"/>
      <c r="Q24" s="252"/>
      <c r="R24" s="252"/>
      <c r="S24" s="254"/>
      <c r="T24" s="254"/>
      <c r="U24" s="254"/>
    </row>
    <row r="25" s="214" customFormat="1" ht="15.95" customHeight="1" spans="1:21">
      <c r="A25" s="231"/>
      <c r="B25" s="232"/>
      <c r="C25" s="222"/>
      <c r="D25" s="222"/>
      <c r="E25" s="224"/>
      <c r="F25" s="222"/>
      <c r="G25" s="222"/>
      <c r="H25" s="222"/>
      <c r="I25" s="222"/>
      <c r="J25" s="222"/>
      <c r="K25" s="222"/>
      <c r="L25" s="222"/>
      <c r="M25" s="239"/>
      <c r="N25" s="239"/>
      <c r="P25" s="240"/>
      <c r="Q25" s="252"/>
      <c r="R25" s="252"/>
      <c r="S25" s="254"/>
      <c r="T25" s="254"/>
      <c r="U25" s="254"/>
    </row>
    <row r="26" s="214" customFormat="1" ht="15.95" customHeight="1" spans="1:21">
      <c r="A26" s="222" t="s">
        <v>1842</v>
      </c>
      <c r="B26" s="222" t="s">
        <v>1843</v>
      </c>
      <c r="C26" s="222" t="s">
        <v>552</v>
      </c>
      <c r="D26" s="222">
        <f>825/1.11</f>
        <v>743.243243243243</v>
      </c>
      <c r="E26" s="224" t="s">
        <v>1844</v>
      </c>
      <c r="F26" s="222"/>
      <c r="G26" s="222"/>
      <c r="H26" s="222">
        <f>D26*0.05</f>
        <v>37.1621621621622</v>
      </c>
      <c r="I26" s="222"/>
      <c r="J26" s="222"/>
      <c r="K26" s="222"/>
      <c r="L26" s="222">
        <f>SUM(D26:K26)</f>
        <v>780.405405405405</v>
      </c>
      <c r="M26" s="239"/>
      <c r="N26" s="239"/>
      <c r="P26" s="240">
        <v>23</v>
      </c>
      <c r="Q26" s="252">
        <v>0.51</v>
      </c>
      <c r="R26" s="252">
        <v>0.56</v>
      </c>
      <c r="S26" s="254"/>
      <c r="T26" s="254"/>
      <c r="U26" s="254"/>
    </row>
    <row r="27" s="214" customFormat="1" ht="15.95" customHeight="1" spans="1:21">
      <c r="A27" s="222" t="s">
        <v>1845</v>
      </c>
      <c r="B27" s="222" t="s">
        <v>1843</v>
      </c>
      <c r="C27" s="222" t="s">
        <v>552</v>
      </c>
      <c r="D27" s="222">
        <f>1320/1.11</f>
        <v>1189.18918918919</v>
      </c>
      <c r="E27" s="224" t="s">
        <v>1844</v>
      </c>
      <c r="F27" s="222"/>
      <c r="G27" s="222"/>
      <c r="H27" s="222">
        <f t="shared" ref="H27:H37" si="7">D27*0.05</f>
        <v>59.4594594594595</v>
      </c>
      <c r="I27" s="222"/>
      <c r="J27" s="222"/>
      <c r="K27" s="222"/>
      <c r="L27" s="222">
        <f t="shared" ref="L27:L37" si="8">SUM(D27:K27)</f>
        <v>1248.64864864865</v>
      </c>
      <c r="M27" s="239"/>
      <c r="N27" s="239"/>
      <c r="P27" s="240">
        <v>24</v>
      </c>
      <c r="Q27" s="252">
        <v>0.5</v>
      </c>
      <c r="R27" s="252">
        <v>0.55</v>
      </c>
      <c r="S27" s="245"/>
      <c r="T27" s="245"/>
      <c r="U27" s="245"/>
    </row>
    <row r="28" s="214" customFormat="1" ht="15.95" customHeight="1" spans="1:21">
      <c r="A28" s="222" t="s">
        <v>1846</v>
      </c>
      <c r="B28" s="222" t="s">
        <v>1843</v>
      </c>
      <c r="C28" s="222" t="s">
        <v>552</v>
      </c>
      <c r="D28" s="222">
        <f>1650/1.11</f>
        <v>1486.48648648649</v>
      </c>
      <c r="E28" s="224" t="s">
        <v>1844</v>
      </c>
      <c r="F28" s="222"/>
      <c r="G28" s="222"/>
      <c r="H28" s="222">
        <f t="shared" si="7"/>
        <v>74.3243243243243</v>
      </c>
      <c r="I28" s="222"/>
      <c r="J28" s="222"/>
      <c r="K28" s="222"/>
      <c r="L28" s="222">
        <f t="shared" si="8"/>
        <v>1560.81081081081</v>
      </c>
      <c r="M28" s="239"/>
      <c r="N28" s="239"/>
      <c r="P28" s="240">
        <v>25</v>
      </c>
      <c r="Q28" s="252">
        <v>0.49</v>
      </c>
      <c r="R28" s="252">
        <v>0.53</v>
      </c>
      <c r="S28" s="245"/>
      <c r="T28" s="245"/>
      <c r="U28" s="245"/>
    </row>
    <row r="29" s="214" customFormat="1" ht="15.95" customHeight="1" spans="1:21">
      <c r="A29" s="222" t="s">
        <v>1847</v>
      </c>
      <c r="B29" s="222" t="s">
        <v>1843</v>
      </c>
      <c r="C29" s="222" t="s">
        <v>552</v>
      </c>
      <c r="D29" s="222">
        <f>1980/1.11</f>
        <v>1783.78378378378</v>
      </c>
      <c r="E29" s="224" t="s">
        <v>1844</v>
      </c>
      <c r="F29" s="222" t="s">
        <v>676</v>
      </c>
      <c r="G29" s="222"/>
      <c r="H29" s="222">
        <f t="shared" si="7"/>
        <v>89.1891891891892</v>
      </c>
      <c r="I29" s="222"/>
      <c r="J29" s="222"/>
      <c r="K29" s="222"/>
      <c r="L29" s="222">
        <f t="shared" si="8"/>
        <v>1872.97297297297</v>
      </c>
      <c r="M29" s="239"/>
      <c r="N29" s="239"/>
      <c r="P29" s="240" t="s">
        <v>1848</v>
      </c>
      <c r="Q29" s="252">
        <v>0.48</v>
      </c>
      <c r="R29" s="252">
        <v>0.52</v>
      </c>
      <c r="S29" s="245"/>
      <c r="T29" s="245"/>
      <c r="U29" s="245"/>
    </row>
    <row r="30" s="214" customFormat="1" ht="15.95" customHeight="1" spans="1:21">
      <c r="A30" s="222" t="s">
        <v>1849</v>
      </c>
      <c r="B30" s="222" t="s">
        <v>1843</v>
      </c>
      <c r="C30" s="222" t="s">
        <v>552</v>
      </c>
      <c r="D30" s="222">
        <f>2310/1.11</f>
        <v>2081.08108108108</v>
      </c>
      <c r="E30" s="224" t="s">
        <v>1844</v>
      </c>
      <c r="F30" s="222"/>
      <c r="G30" s="222"/>
      <c r="H30" s="222">
        <f t="shared" si="7"/>
        <v>104.054054054054</v>
      </c>
      <c r="I30" s="222"/>
      <c r="J30" s="222"/>
      <c r="K30" s="222"/>
      <c r="L30" s="222">
        <f t="shared" si="8"/>
        <v>2185.13513513513</v>
      </c>
      <c r="M30" s="239"/>
      <c r="N30" s="239"/>
      <c r="P30" s="245"/>
      <c r="Q30" s="245"/>
      <c r="R30" s="245"/>
      <c r="S30" s="245"/>
      <c r="T30" s="245"/>
      <c r="U30" s="245"/>
    </row>
    <row r="31" s="214" customFormat="1" ht="15.95" customHeight="1" spans="1:21">
      <c r="A31" s="222" t="s">
        <v>1850</v>
      </c>
      <c r="B31" s="222" t="s">
        <v>1843</v>
      </c>
      <c r="C31" s="222" t="s">
        <v>552</v>
      </c>
      <c r="D31" s="222">
        <f>2750/1.11</f>
        <v>2477.47747747748</v>
      </c>
      <c r="E31" s="224" t="s">
        <v>1844</v>
      </c>
      <c r="F31" s="222"/>
      <c r="G31" s="222"/>
      <c r="H31" s="222">
        <f t="shared" si="7"/>
        <v>123.873873873874</v>
      </c>
      <c r="I31" s="222"/>
      <c r="J31" s="222"/>
      <c r="K31" s="222"/>
      <c r="L31" s="222">
        <f t="shared" si="8"/>
        <v>2601.35135135135</v>
      </c>
      <c r="M31" s="239"/>
      <c r="N31" s="239"/>
      <c r="P31" s="213" t="s">
        <v>1851</v>
      </c>
      <c r="Q31" s="213"/>
      <c r="R31" s="213"/>
      <c r="S31" s="213"/>
      <c r="T31" s="245"/>
      <c r="U31" s="245"/>
    </row>
    <row r="32" s="214" customFormat="1" ht="15.95" customHeight="1" spans="1:21">
      <c r="A32" s="222" t="s">
        <v>1852</v>
      </c>
      <c r="B32" s="222" t="s">
        <v>1843</v>
      </c>
      <c r="C32" s="222" t="s">
        <v>552</v>
      </c>
      <c r="D32" s="222">
        <f>3410/1.11</f>
        <v>3072.07207207207</v>
      </c>
      <c r="E32" s="224" t="s">
        <v>1844</v>
      </c>
      <c r="F32" s="222"/>
      <c r="G32" s="222"/>
      <c r="H32" s="222">
        <f t="shared" si="7"/>
        <v>153.603603603604</v>
      </c>
      <c r="I32" s="222"/>
      <c r="J32" s="222"/>
      <c r="K32" s="222"/>
      <c r="L32" s="222">
        <f t="shared" si="8"/>
        <v>3225.67567567568</v>
      </c>
      <c r="M32" s="239"/>
      <c r="N32" s="239"/>
      <c r="P32" s="245"/>
      <c r="Q32" s="245"/>
      <c r="R32" s="245"/>
      <c r="S32" s="255" t="s">
        <v>1853</v>
      </c>
      <c r="T32" s="245"/>
      <c r="U32" s="245"/>
    </row>
    <row r="33" s="214" customFormat="1" ht="15.95" customHeight="1" spans="1:21">
      <c r="A33" s="222" t="s">
        <v>1854</v>
      </c>
      <c r="B33" s="222" t="s">
        <v>1843</v>
      </c>
      <c r="C33" s="222" t="s">
        <v>552</v>
      </c>
      <c r="D33" s="222">
        <f>4620/1.11</f>
        <v>4162.16216216216</v>
      </c>
      <c r="E33" s="224" t="s">
        <v>1844</v>
      </c>
      <c r="F33" s="222"/>
      <c r="G33" s="222"/>
      <c r="H33" s="222">
        <f t="shared" si="7"/>
        <v>208.108108108108</v>
      </c>
      <c r="I33" s="222"/>
      <c r="J33" s="222"/>
      <c r="K33" s="222"/>
      <c r="L33" s="222">
        <f t="shared" si="8"/>
        <v>4370.27027027027</v>
      </c>
      <c r="M33" s="239"/>
      <c r="N33" s="239"/>
      <c r="P33" s="239" t="s">
        <v>1855</v>
      </c>
      <c r="Q33" s="239"/>
      <c r="R33" s="239" t="s">
        <v>1856</v>
      </c>
      <c r="S33" s="239"/>
      <c r="T33" s="245"/>
      <c r="U33" s="245"/>
    </row>
    <row r="34" s="214" customFormat="1" ht="15.95" customHeight="1" spans="1:21">
      <c r="A34" s="222" t="s">
        <v>1857</v>
      </c>
      <c r="B34" s="222" t="s">
        <v>1843</v>
      </c>
      <c r="C34" s="222" t="s">
        <v>552</v>
      </c>
      <c r="D34" s="222">
        <f>6490/1.11</f>
        <v>5846.84684684685</v>
      </c>
      <c r="E34" s="224" t="s">
        <v>1844</v>
      </c>
      <c r="F34" s="222"/>
      <c r="G34" s="222"/>
      <c r="H34" s="222">
        <f t="shared" si="7"/>
        <v>292.342342342342</v>
      </c>
      <c r="I34" s="222"/>
      <c r="J34" s="222"/>
      <c r="K34" s="222"/>
      <c r="L34" s="222">
        <f t="shared" si="8"/>
        <v>6139.18918918919</v>
      </c>
      <c r="M34" s="239"/>
      <c r="N34" s="239"/>
      <c r="P34" s="239" t="s">
        <v>1858</v>
      </c>
      <c r="Q34" s="239" t="s">
        <v>1859</v>
      </c>
      <c r="R34" s="239" t="s">
        <v>1858</v>
      </c>
      <c r="S34" s="239" t="s">
        <v>1859</v>
      </c>
      <c r="T34" s="245"/>
      <c r="U34" s="245"/>
    </row>
    <row r="35" s="214" customFormat="1" ht="15.95" customHeight="1" spans="1:21">
      <c r="A35" s="222" t="s">
        <v>1860</v>
      </c>
      <c r="B35" s="222" t="s">
        <v>1843</v>
      </c>
      <c r="C35" s="222" t="s">
        <v>552</v>
      </c>
      <c r="D35" s="222">
        <f>13750/1.11</f>
        <v>12387.3873873874</v>
      </c>
      <c r="E35" s="224" t="s">
        <v>1844</v>
      </c>
      <c r="F35" s="222"/>
      <c r="G35" s="222"/>
      <c r="H35" s="222">
        <f t="shared" si="7"/>
        <v>619.369369369369</v>
      </c>
      <c r="I35" s="222"/>
      <c r="J35" s="222"/>
      <c r="K35" s="222"/>
      <c r="L35" s="222">
        <f t="shared" si="8"/>
        <v>13006.7567567568</v>
      </c>
      <c r="M35" s="239"/>
      <c r="N35" s="239"/>
      <c r="P35" s="239">
        <v>2</v>
      </c>
      <c r="Q35" s="239">
        <v>0</v>
      </c>
      <c r="R35" s="239">
        <v>3.5</v>
      </c>
      <c r="S35" s="239">
        <v>2</v>
      </c>
      <c r="T35" s="245"/>
      <c r="U35" s="245"/>
    </row>
    <row r="36" s="214" customFormat="1" ht="15.95" customHeight="1" spans="1:21">
      <c r="A36" s="222" t="s">
        <v>1861</v>
      </c>
      <c r="B36" s="222" t="s">
        <v>1843</v>
      </c>
      <c r="C36" s="222" t="s">
        <v>552</v>
      </c>
      <c r="D36" s="222">
        <f>21120/1.11</f>
        <v>19027.027027027</v>
      </c>
      <c r="E36" s="224" t="s">
        <v>1844</v>
      </c>
      <c r="F36" s="222"/>
      <c r="G36" s="222"/>
      <c r="H36" s="222">
        <f t="shared" si="7"/>
        <v>951.351351351351</v>
      </c>
      <c r="I36" s="222"/>
      <c r="J36" s="222"/>
      <c r="K36" s="222"/>
      <c r="L36" s="222">
        <f t="shared" si="8"/>
        <v>19978.3783783784</v>
      </c>
      <c r="M36" s="239"/>
      <c r="N36" s="239"/>
      <c r="P36" s="246" t="s">
        <v>1862</v>
      </c>
      <c r="Q36" s="246"/>
      <c r="R36" s="246" t="s">
        <v>1863</v>
      </c>
      <c r="S36" s="246"/>
      <c r="T36" s="245"/>
      <c r="U36" s="245"/>
    </row>
    <row r="37" s="214" customFormat="1" ht="15.95" customHeight="1" spans="1:21">
      <c r="A37" s="222" t="s">
        <v>1864</v>
      </c>
      <c r="B37" s="222" t="s">
        <v>1843</v>
      </c>
      <c r="C37" s="222" t="s">
        <v>552</v>
      </c>
      <c r="D37" s="222">
        <f>32670/1.11</f>
        <v>29432.4324324324</v>
      </c>
      <c r="E37" s="224" t="s">
        <v>1844</v>
      </c>
      <c r="F37" s="222"/>
      <c r="G37" s="222"/>
      <c r="H37" s="222">
        <f t="shared" si="7"/>
        <v>1471.62162162162</v>
      </c>
      <c r="I37" s="222"/>
      <c r="J37" s="222"/>
      <c r="K37" s="222"/>
      <c r="L37" s="222">
        <f t="shared" si="8"/>
        <v>30904.0540540541</v>
      </c>
      <c r="M37" s="239"/>
      <c r="N37" s="239"/>
      <c r="P37" s="246"/>
      <c r="Q37" s="246"/>
      <c r="R37" s="246"/>
      <c r="S37" s="246"/>
      <c r="T37" s="245"/>
      <c r="U37" s="245"/>
    </row>
    <row r="38" s="214" customFormat="1" ht="15.95" customHeight="1" spans="1:21">
      <c r="A38" s="222" t="s">
        <v>1865</v>
      </c>
      <c r="B38" s="222" t="s">
        <v>1843</v>
      </c>
      <c r="C38" s="222" t="s">
        <v>552</v>
      </c>
      <c r="D38" s="222">
        <f>825/1.11</f>
        <v>743.243243243243</v>
      </c>
      <c r="E38" s="224" t="s">
        <v>1844</v>
      </c>
      <c r="F38" s="222"/>
      <c r="G38" s="222"/>
      <c r="H38" s="222">
        <f t="shared" ref="H38:H44" si="9">D38*0.05</f>
        <v>37.1621621621622</v>
      </c>
      <c r="I38" s="222"/>
      <c r="J38" s="222"/>
      <c r="K38" s="222"/>
      <c r="L38" s="222">
        <f t="shared" ref="L38:L44" si="10">SUM(D38:K38)</f>
        <v>780.405405405405</v>
      </c>
      <c r="M38" s="239"/>
      <c r="N38" s="239"/>
      <c r="P38" s="245"/>
      <c r="Q38" s="245"/>
      <c r="R38" s="245"/>
      <c r="S38" s="245"/>
      <c r="T38" s="245"/>
      <c r="U38" s="245"/>
    </row>
    <row r="39" s="214" customFormat="1" ht="15.95" customHeight="1" spans="1:21">
      <c r="A39" s="222" t="s">
        <v>1866</v>
      </c>
      <c r="B39" s="222" t="s">
        <v>1843</v>
      </c>
      <c r="C39" s="222" t="s">
        <v>552</v>
      </c>
      <c r="D39" s="222">
        <f>1155/1.11</f>
        <v>1040.54054054054</v>
      </c>
      <c r="E39" s="224" t="s">
        <v>1844</v>
      </c>
      <c r="F39" s="222"/>
      <c r="G39" s="222"/>
      <c r="H39" s="222">
        <f t="shared" si="9"/>
        <v>52.027027027027</v>
      </c>
      <c r="I39" s="222"/>
      <c r="J39" s="222"/>
      <c r="K39" s="222"/>
      <c r="L39" s="222">
        <f t="shared" si="10"/>
        <v>1092.56756756757</v>
      </c>
      <c r="M39" s="239"/>
      <c r="N39" s="239"/>
      <c r="P39" s="245"/>
      <c r="Q39" s="245"/>
      <c r="R39" s="245"/>
      <c r="S39" s="245"/>
      <c r="T39" s="245"/>
      <c r="U39" s="245"/>
    </row>
    <row r="40" s="214" customFormat="1" ht="15.95" customHeight="1" spans="1:21">
      <c r="A40" s="222" t="s">
        <v>1867</v>
      </c>
      <c r="B40" s="222" t="s">
        <v>1843</v>
      </c>
      <c r="C40" s="222" t="s">
        <v>552</v>
      </c>
      <c r="D40" s="222">
        <f>1760/1.11</f>
        <v>1585.58558558559</v>
      </c>
      <c r="E40" s="224" t="s">
        <v>1844</v>
      </c>
      <c r="F40" s="222"/>
      <c r="G40" s="222"/>
      <c r="H40" s="222">
        <f t="shared" si="9"/>
        <v>79.2792792792793</v>
      </c>
      <c r="I40" s="222"/>
      <c r="J40" s="222"/>
      <c r="K40" s="222"/>
      <c r="L40" s="222">
        <f t="shared" si="10"/>
        <v>1664.86486486486</v>
      </c>
      <c r="M40" s="239"/>
      <c r="N40" s="239"/>
      <c r="P40" s="247" t="s">
        <v>1868</v>
      </c>
      <c r="Q40" s="247"/>
      <c r="R40" s="247"/>
      <c r="S40" s="247"/>
      <c r="T40" s="247"/>
      <c r="U40" s="247"/>
    </row>
    <row r="41" s="214" customFormat="1" ht="15.95" customHeight="1" spans="1:21">
      <c r="A41" s="222" t="s">
        <v>1869</v>
      </c>
      <c r="B41" s="222" t="s">
        <v>1843</v>
      </c>
      <c r="C41" s="222" t="s">
        <v>552</v>
      </c>
      <c r="D41" s="222">
        <f>2090/1.11</f>
        <v>1882.88288288288</v>
      </c>
      <c r="E41" s="224" t="s">
        <v>1844</v>
      </c>
      <c r="F41" s="222"/>
      <c r="G41" s="222"/>
      <c r="H41" s="222">
        <f t="shared" si="9"/>
        <v>94.1441441441441</v>
      </c>
      <c r="I41" s="222"/>
      <c r="J41" s="222"/>
      <c r="K41" s="222"/>
      <c r="L41" s="222">
        <f t="shared" si="10"/>
        <v>1977.02702702703</v>
      </c>
      <c r="M41" s="239"/>
      <c r="N41" s="239"/>
      <c r="P41" s="248" t="s">
        <v>1870</v>
      </c>
      <c r="Q41" s="248" t="s">
        <v>1871</v>
      </c>
      <c r="R41" s="248" t="s">
        <v>1872</v>
      </c>
      <c r="S41" s="248" t="s">
        <v>1873</v>
      </c>
      <c r="T41" s="248" t="s">
        <v>1874</v>
      </c>
      <c r="U41" s="248" t="s">
        <v>1875</v>
      </c>
    </row>
    <row r="42" s="214" customFormat="1" ht="15.95" customHeight="1" spans="1:21">
      <c r="A42" s="222" t="s">
        <v>1876</v>
      </c>
      <c r="B42" s="222" t="s">
        <v>1843</v>
      </c>
      <c r="C42" s="222" t="s">
        <v>552</v>
      </c>
      <c r="D42" s="222">
        <f>3410/1.11</f>
        <v>3072.07207207207</v>
      </c>
      <c r="E42" s="224" t="s">
        <v>1844</v>
      </c>
      <c r="F42" s="222"/>
      <c r="G42" s="222"/>
      <c r="H42" s="222">
        <f t="shared" si="9"/>
        <v>153.603603603604</v>
      </c>
      <c r="I42" s="222"/>
      <c r="J42" s="222"/>
      <c r="K42" s="222"/>
      <c r="L42" s="222">
        <f t="shared" si="10"/>
        <v>3225.67567567568</v>
      </c>
      <c r="M42" s="239"/>
      <c r="N42" s="239"/>
      <c r="P42" s="248"/>
      <c r="Q42" s="248"/>
      <c r="R42" s="248"/>
      <c r="S42" s="248"/>
      <c r="T42" s="248"/>
      <c r="U42" s="248"/>
    </row>
    <row r="43" s="214" customFormat="1" ht="15.95" customHeight="1" spans="1:21">
      <c r="A43" s="222" t="s">
        <v>1877</v>
      </c>
      <c r="B43" s="222" t="s">
        <v>1843</v>
      </c>
      <c r="C43" s="222" t="s">
        <v>552</v>
      </c>
      <c r="D43" s="222">
        <f>4620/1.11</f>
        <v>4162.16216216216</v>
      </c>
      <c r="E43" s="224" t="s">
        <v>1844</v>
      </c>
      <c r="F43" s="222"/>
      <c r="G43" s="222"/>
      <c r="H43" s="222">
        <f t="shared" si="9"/>
        <v>208.108108108108</v>
      </c>
      <c r="I43" s="222"/>
      <c r="J43" s="222"/>
      <c r="K43" s="222"/>
      <c r="L43" s="222">
        <f t="shared" si="10"/>
        <v>4370.27027027027</v>
      </c>
      <c r="M43" s="239"/>
      <c r="N43" s="239"/>
      <c r="P43" s="248">
        <v>6</v>
      </c>
      <c r="Q43" s="248">
        <v>325</v>
      </c>
      <c r="R43" s="248">
        <f>Q43-2*P43</f>
        <v>313</v>
      </c>
      <c r="S43" s="248">
        <f t="shared" ref="S43:S53" si="11">3.14*7.85*(Q43-P43)*P43/1000</f>
        <v>47.178186</v>
      </c>
      <c r="T43" s="248">
        <f>S43*$L$19/1000</f>
        <v>283.9716497952</v>
      </c>
      <c r="U43" s="248">
        <f>T43*1.1</f>
        <v>312.36881477472</v>
      </c>
    </row>
    <row r="44" s="214" customFormat="1" ht="15.95" customHeight="1" spans="1:21">
      <c r="A44" s="222" t="s">
        <v>1878</v>
      </c>
      <c r="B44" s="222" t="s">
        <v>1843</v>
      </c>
      <c r="C44" s="222" t="s">
        <v>552</v>
      </c>
      <c r="D44" s="222">
        <f>5995/1.11</f>
        <v>5400.9009009009</v>
      </c>
      <c r="E44" s="224" t="s">
        <v>1844</v>
      </c>
      <c r="F44" s="222"/>
      <c r="G44" s="222"/>
      <c r="H44" s="222">
        <f t="shared" si="9"/>
        <v>270.045045045045</v>
      </c>
      <c r="I44" s="222"/>
      <c r="J44" s="222"/>
      <c r="K44" s="222"/>
      <c r="L44" s="222">
        <f t="shared" si="10"/>
        <v>5670.94594594595</v>
      </c>
      <c r="M44" s="239"/>
      <c r="N44" s="239"/>
      <c r="P44" s="248">
        <v>6</v>
      </c>
      <c r="Q44" s="248">
        <v>356</v>
      </c>
      <c r="R44" s="248">
        <f>Q44-2*P44</f>
        <v>344</v>
      </c>
      <c r="S44" s="248">
        <f t="shared" si="11"/>
        <v>51.7629</v>
      </c>
      <c r="T44" s="248">
        <f>S44*$L$19/1000</f>
        <v>311.567640841128</v>
      </c>
      <c r="U44" s="248">
        <f>T44*1.1</f>
        <v>342.724404925241</v>
      </c>
    </row>
    <row r="45" s="214" customFormat="1" ht="15.95" customHeight="1" spans="1:21">
      <c r="A45" s="233" t="s">
        <v>1879</v>
      </c>
      <c r="B45" s="234"/>
      <c r="C45" s="222"/>
      <c r="D45" s="222"/>
      <c r="E45" s="224"/>
      <c r="F45" s="222"/>
      <c r="G45" s="222"/>
      <c r="H45" s="222"/>
      <c r="I45" s="222"/>
      <c r="J45" s="222"/>
      <c r="K45" s="222"/>
      <c r="L45" s="222"/>
      <c r="M45" s="239"/>
      <c r="N45" s="239"/>
      <c r="P45" s="248">
        <v>6</v>
      </c>
      <c r="Q45" s="248">
        <v>406</v>
      </c>
      <c r="R45" s="248">
        <f>Q45-2*P45</f>
        <v>394</v>
      </c>
      <c r="S45" s="248">
        <f t="shared" si="11"/>
        <v>59.1576</v>
      </c>
      <c r="T45" s="248">
        <f>S45*$L$19/1000</f>
        <v>356.077303818432</v>
      </c>
      <c r="U45" s="248">
        <f>T45*1.1</f>
        <v>391.685034200275</v>
      </c>
    </row>
    <row r="46" s="214" customFormat="1" ht="15.95" customHeight="1" spans="1:21">
      <c r="A46" s="222" t="s">
        <v>1880</v>
      </c>
      <c r="B46" s="222" t="s">
        <v>1843</v>
      </c>
      <c r="C46" s="222" t="s">
        <v>329</v>
      </c>
      <c r="D46" s="222">
        <f>660/1.11</f>
        <v>594.594594594595</v>
      </c>
      <c r="E46" s="224" t="s">
        <v>1844</v>
      </c>
      <c r="F46" s="222"/>
      <c r="G46" s="222"/>
      <c r="H46" s="222">
        <f>D46*0.05</f>
        <v>29.7297297297297</v>
      </c>
      <c r="I46" s="222"/>
      <c r="J46" s="222"/>
      <c r="K46" s="222"/>
      <c r="L46" s="222">
        <f t="shared" ref="L46:L62" si="12">SUM(D46:K46)</f>
        <v>624.324324324324</v>
      </c>
      <c r="M46" s="239"/>
      <c r="N46" s="239"/>
      <c r="P46" s="248">
        <v>6</v>
      </c>
      <c r="Q46" s="248">
        <v>457</v>
      </c>
      <c r="R46" s="248">
        <f t="shared" ref="R46:R53" si="13">Q46-2*P46</f>
        <v>445</v>
      </c>
      <c r="S46" s="248">
        <f t="shared" si="11"/>
        <v>66.700194</v>
      </c>
      <c r="T46" s="248">
        <f t="shared" ref="T46:T52" si="14">S46*$L$19/1000</f>
        <v>401.477160055282</v>
      </c>
      <c r="U46" s="248">
        <f t="shared" ref="U46:U53" si="15">T46*1.1</f>
        <v>441.62487606081</v>
      </c>
    </row>
    <row r="47" s="214" customFormat="1" ht="15.95" customHeight="1" spans="1:21">
      <c r="A47" s="222" t="s">
        <v>1881</v>
      </c>
      <c r="B47" s="222" t="s">
        <v>1843</v>
      </c>
      <c r="C47" s="222" t="s">
        <v>329</v>
      </c>
      <c r="D47" s="222">
        <f>990/1.11</f>
        <v>891.891891891892</v>
      </c>
      <c r="E47" s="224" t="s">
        <v>1844</v>
      </c>
      <c r="F47" s="222"/>
      <c r="G47" s="222"/>
      <c r="H47" s="222">
        <f t="shared" ref="H47:H62" si="16">D47*0.05</f>
        <v>44.5945945945946</v>
      </c>
      <c r="I47" s="222"/>
      <c r="J47" s="222"/>
      <c r="K47" s="222"/>
      <c r="L47" s="222">
        <f t="shared" si="12"/>
        <v>936.486486486486</v>
      </c>
      <c r="M47" s="239"/>
      <c r="N47" s="239"/>
      <c r="P47" s="248">
        <v>6</v>
      </c>
      <c r="Q47" s="248">
        <v>508</v>
      </c>
      <c r="R47" s="248">
        <f t="shared" si="13"/>
        <v>496</v>
      </c>
      <c r="S47" s="248">
        <f t="shared" si="11"/>
        <v>74.242788</v>
      </c>
      <c r="T47" s="248">
        <f t="shared" si="14"/>
        <v>446.877016292132</v>
      </c>
      <c r="U47" s="248">
        <f t="shared" si="15"/>
        <v>491.564717921346</v>
      </c>
    </row>
    <row r="48" s="214" customFormat="1" ht="15.95" customHeight="1" spans="1:21">
      <c r="A48" s="222" t="s">
        <v>1882</v>
      </c>
      <c r="B48" s="222" t="s">
        <v>1843</v>
      </c>
      <c r="C48" s="222" t="s">
        <v>329</v>
      </c>
      <c r="D48" s="222">
        <f>1320/1.11</f>
        <v>1189.18918918919</v>
      </c>
      <c r="E48" s="224" t="s">
        <v>1844</v>
      </c>
      <c r="F48" s="222"/>
      <c r="G48" s="222"/>
      <c r="H48" s="222">
        <f t="shared" si="16"/>
        <v>59.4594594594595</v>
      </c>
      <c r="I48" s="222"/>
      <c r="J48" s="222"/>
      <c r="K48" s="222"/>
      <c r="L48" s="222">
        <f t="shared" si="12"/>
        <v>1248.64864864865</v>
      </c>
      <c r="M48" s="239"/>
      <c r="N48" s="239"/>
      <c r="P48" s="248">
        <v>6</v>
      </c>
      <c r="Q48" s="248">
        <v>610</v>
      </c>
      <c r="R48" s="248">
        <f t="shared" si="13"/>
        <v>598</v>
      </c>
      <c r="S48" s="248">
        <f t="shared" si="11"/>
        <v>89.327976</v>
      </c>
      <c r="T48" s="248">
        <f t="shared" si="14"/>
        <v>537.676728765832</v>
      </c>
      <c r="U48" s="248">
        <f t="shared" si="15"/>
        <v>591.444401642416</v>
      </c>
    </row>
    <row r="49" s="214" customFormat="1" ht="15.95" customHeight="1" spans="1:21">
      <c r="A49" s="222" t="s">
        <v>1883</v>
      </c>
      <c r="B49" s="222" t="s">
        <v>1843</v>
      </c>
      <c r="C49" s="222" t="s">
        <v>329</v>
      </c>
      <c r="D49" s="222">
        <f>3850/1.11</f>
        <v>3468.46846846847</v>
      </c>
      <c r="E49" s="224" t="s">
        <v>1844</v>
      </c>
      <c r="F49" s="222"/>
      <c r="G49" s="222"/>
      <c r="H49" s="222">
        <f t="shared" si="16"/>
        <v>173.423423423423</v>
      </c>
      <c r="I49" s="222"/>
      <c r="J49" s="222"/>
      <c r="K49" s="222"/>
      <c r="L49" s="222">
        <f t="shared" si="12"/>
        <v>3641.89189189189</v>
      </c>
      <c r="M49" s="239"/>
      <c r="N49" s="239"/>
      <c r="P49" s="248">
        <v>6</v>
      </c>
      <c r="Q49" s="248">
        <v>711</v>
      </c>
      <c r="R49" s="248">
        <f t="shared" si="13"/>
        <v>699</v>
      </c>
      <c r="S49" s="248">
        <f t="shared" si="11"/>
        <v>104.26527</v>
      </c>
      <c r="T49" s="248">
        <f t="shared" si="14"/>
        <v>627.586247979987</v>
      </c>
      <c r="U49" s="248">
        <f t="shared" si="15"/>
        <v>690.344872777985</v>
      </c>
    </row>
    <row r="50" s="214" customFormat="1" ht="15.95" customHeight="1" spans="1:21">
      <c r="A50" s="222" t="s">
        <v>1884</v>
      </c>
      <c r="B50" s="222" t="s">
        <v>1843</v>
      </c>
      <c r="C50" s="222" t="s">
        <v>329</v>
      </c>
      <c r="D50" s="222">
        <f>1650/1.11</f>
        <v>1486.48648648649</v>
      </c>
      <c r="E50" s="224" t="s">
        <v>1844</v>
      </c>
      <c r="F50" s="222"/>
      <c r="G50" s="222"/>
      <c r="H50" s="222">
        <f t="shared" si="16"/>
        <v>74.3243243243243</v>
      </c>
      <c r="I50" s="222"/>
      <c r="J50" s="222"/>
      <c r="K50" s="222"/>
      <c r="L50" s="222">
        <f t="shared" si="12"/>
        <v>1560.81081081081</v>
      </c>
      <c r="M50" s="239"/>
      <c r="N50" s="239"/>
      <c r="P50" s="248">
        <v>6</v>
      </c>
      <c r="Q50" s="248">
        <v>813</v>
      </c>
      <c r="R50" s="248">
        <f t="shared" si="13"/>
        <v>801</v>
      </c>
      <c r="S50" s="248">
        <f t="shared" si="11"/>
        <v>119.350458</v>
      </c>
      <c r="T50" s="248">
        <f t="shared" si="14"/>
        <v>718.385960453687</v>
      </c>
      <c r="U50" s="248">
        <f t="shared" si="15"/>
        <v>790.224556499055</v>
      </c>
    </row>
    <row r="51" s="214" customFormat="1" ht="15.95" customHeight="1" spans="1:21">
      <c r="A51" s="222" t="s">
        <v>1885</v>
      </c>
      <c r="B51" s="222" t="s">
        <v>1843</v>
      </c>
      <c r="C51" s="222" t="s">
        <v>329</v>
      </c>
      <c r="D51" s="222">
        <f>2640/1.11</f>
        <v>2378.37837837838</v>
      </c>
      <c r="E51" s="224" t="s">
        <v>1844</v>
      </c>
      <c r="F51" s="222"/>
      <c r="G51" s="222"/>
      <c r="H51" s="222">
        <f t="shared" si="16"/>
        <v>118.918918918919</v>
      </c>
      <c r="I51" s="222"/>
      <c r="J51" s="222"/>
      <c r="K51" s="222"/>
      <c r="L51" s="222">
        <f t="shared" si="12"/>
        <v>2497.2972972973</v>
      </c>
      <c r="M51" s="239"/>
      <c r="N51" s="239"/>
      <c r="P51" s="248">
        <v>6</v>
      </c>
      <c r="Q51" s="248">
        <v>914</v>
      </c>
      <c r="R51" s="248">
        <f t="shared" si="13"/>
        <v>902</v>
      </c>
      <c r="S51" s="248">
        <f t="shared" si="11"/>
        <v>134.287752</v>
      </c>
      <c r="T51" s="248">
        <f t="shared" si="14"/>
        <v>808.295479667841</v>
      </c>
      <c r="U51" s="248">
        <f t="shared" si="15"/>
        <v>889.125027634625</v>
      </c>
    </row>
    <row r="52" s="214" customFormat="1" ht="15.95" customHeight="1" spans="1:21">
      <c r="A52" s="222" t="s">
        <v>1886</v>
      </c>
      <c r="B52" s="222" t="s">
        <v>1843</v>
      </c>
      <c r="C52" s="222" t="s">
        <v>329</v>
      </c>
      <c r="D52" s="222">
        <f>4620/1.11</f>
        <v>4162.16216216216</v>
      </c>
      <c r="E52" s="224" t="s">
        <v>1844</v>
      </c>
      <c r="F52" s="222"/>
      <c r="G52" s="222"/>
      <c r="H52" s="222">
        <f t="shared" si="16"/>
        <v>208.108108108108</v>
      </c>
      <c r="I52" s="222"/>
      <c r="J52" s="222"/>
      <c r="K52" s="222"/>
      <c r="L52" s="222">
        <f t="shared" si="12"/>
        <v>4370.27027027027</v>
      </c>
      <c r="M52" s="239"/>
      <c r="N52" s="239"/>
      <c r="P52" s="248">
        <v>6</v>
      </c>
      <c r="Q52" s="248">
        <v>1016</v>
      </c>
      <c r="R52" s="248">
        <f t="shared" si="13"/>
        <v>1004</v>
      </c>
      <c r="S52" s="248">
        <f t="shared" si="11"/>
        <v>149.37294</v>
      </c>
      <c r="T52" s="248">
        <f t="shared" si="14"/>
        <v>899.095192141541</v>
      </c>
      <c r="U52" s="248">
        <f t="shared" si="15"/>
        <v>989.004711355695</v>
      </c>
    </row>
    <row r="53" s="214" customFormat="1" ht="15.95" customHeight="1" spans="1:21">
      <c r="A53" s="222" t="s">
        <v>1887</v>
      </c>
      <c r="B53" s="222" t="s">
        <v>1843</v>
      </c>
      <c r="C53" s="222" t="s">
        <v>329</v>
      </c>
      <c r="D53" s="222">
        <f>8250/1.11</f>
        <v>7432.43243243243</v>
      </c>
      <c r="E53" s="224" t="s">
        <v>1844</v>
      </c>
      <c r="F53" s="222"/>
      <c r="G53" s="222"/>
      <c r="H53" s="222">
        <f t="shared" si="16"/>
        <v>371.621621621622</v>
      </c>
      <c r="I53" s="222"/>
      <c r="J53" s="222"/>
      <c r="K53" s="222"/>
      <c r="L53" s="222">
        <f t="shared" si="12"/>
        <v>7804.05405405405</v>
      </c>
      <c r="M53" s="239"/>
      <c r="N53" s="239"/>
      <c r="P53" s="248">
        <v>3</v>
      </c>
      <c r="Q53" s="248">
        <v>76</v>
      </c>
      <c r="R53" s="248">
        <f t="shared" si="13"/>
        <v>70</v>
      </c>
      <c r="S53" s="248">
        <f t="shared" si="11"/>
        <v>5.398131</v>
      </c>
      <c r="T53" s="248">
        <f>S53*$L$18/1000</f>
        <v>33.6743786440433</v>
      </c>
      <c r="U53" s="248">
        <f t="shared" si="15"/>
        <v>37.0418165084477</v>
      </c>
    </row>
    <row r="54" s="214" customFormat="1" ht="15.95" customHeight="1" spans="1:14">
      <c r="A54" s="222" t="s">
        <v>1888</v>
      </c>
      <c r="B54" s="222" t="s">
        <v>1843</v>
      </c>
      <c r="C54" s="222" t="s">
        <v>329</v>
      </c>
      <c r="D54" s="222">
        <f>12800/1.11</f>
        <v>11531.5315315315</v>
      </c>
      <c r="E54" s="224" t="s">
        <v>1844</v>
      </c>
      <c r="F54" s="222"/>
      <c r="G54" s="222"/>
      <c r="H54" s="222">
        <f t="shared" si="16"/>
        <v>576.576576576577</v>
      </c>
      <c r="I54" s="222"/>
      <c r="J54" s="222"/>
      <c r="K54" s="222"/>
      <c r="L54" s="222">
        <f t="shared" si="12"/>
        <v>12108.1081081081</v>
      </c>
      <c r="M54" s="239"/>
      <c r="N54" s="239"/>
    </row>
    <row r="55" s="214" customFormat="1" ht="15.95" customHeight="1" spans="1:14">
      <c r="A55" s="222" t="s">
        <v>1889</v>
      </c>
      <c r="B55" s="222" t="s">
        <v>1843</v>
      </c>
      <c r="C55" s="222" t="s">
        <v>329</v>
      </c>
      <c r="D55" s="222">
        <f>17420/1.11</f>
        <v>15693.6936936937</v>
      </c>
      <c r="E55" s="224" t="s">
        <v>1844</v>
      </c>
      <c r="F55" s="222"/>
      <c r="G55" s="222"/>
      <c r="H55" s="222">
        <f t="shared" si="16"/>
        <v>784.684684684685</v>
      </c>
      <c r="I55" s="222"/>
      <c r="J55" s="222"/>
      <c r="K55" s="222"/>
      <c r="L55" s="222">
        <f t="shared" si="12"/>
        <v>16478.3783783784</v>
      </c>
      <c r="M55" s="239"/>
      <c r="N55" s="239"/>
    </row>
    <row r="56" s="214" customFormat="1" ht="15.95" customHeight="1" spans="1:14">
      <c r="A56" s="222" t="s">
        <v>1890</v>
      </c>
      <c r="B56" s="222" t="s">
        <v>1843</v>
      </c>
      <c r="C56" s="222" t="s">
        <v>329</v>
      </c>
      <c r="D56" s="222">
        <f>14200/1.11</f>
        <v>12792.7927927928</v>
      </c>
      <c r="E56" s="224" t="s">
        <v>1844</v>
      </c>
      <c r="F56" s="222"/>
      <c r="G56" s="222"/>
      <c r="H56" s="222">
        <f t="shared" si="16"/>
        <v>639.63963963964</v>
      </c>
      <c r="I56" s="222"/>
      <c r="J56" s="222"/>
      <c r="K56" s="222"/>
      <c r="L56" s="222">
        <f t="shared" si="12"/>
        <v>13432.4324324324</v>
      </c>
      <c r="M56" s="239"/>
      <c r="N56" s="239"/>
    </row>
    <row r="57" s="214" customFormat="1" ht="15.95" customHeight="1" spans="1:14">
      <c r="A57" s="222" t="s">
        <v>1891</v>
      </c>
      <c r="B57" s="222" t="s">
        <v>1843</v>
      </c>
      <c r="C57" s="222" t="s">
        <v>329</v>
      </c>
      <c r="D57" s="222">
        <f>23800/1.11</f>
        <v>21441.4414414414</v>
      </c>
      <c r="E57" s="224" t="s">
        <v>1844</v>
      </c>
      <c r="F57" s="222"/>
      <c r="G57" s="222"/>
      <c r="H57" s="222">
        <f t="shared" si="16"/>
        <v>1072.07207207207</v>
      </c>
      <c r="I57" s="222"/>
      <c r="J57" s="222"/>
      <c r="K57" s="222"/>
      <c r="L57" s="222">
        <f t="shared" si="12"/>
        <v>22513.5135135135</v>
      </c>
      <c r="M57" s="239"/>
      <c r="N57" s="239"/>
    </row>
    <row r="58" s="214" customFormat="1" ht="15.95" customHeight="1" spans="1:14">
      <c r="A58" s="222" t="s">
        <v>1892</v>
      </c>
      <c r="B58" s="222" t="s">
        <v>1843</v>
      </c>
      <c r="C58" s="222" t="s">
        <v>329</v>
      </c>
      <c r="D58" s="222">
        <f>27600/1.11</f>
        <v>24864.8648648649</v>
      </c>
      <c r="E58" s="224" t="s">
        <v>1844</v>
      </c>
      <c r="F58" s="222"/>
      <c r="G58" s="222"/>
      <c r="H58" s="222">
        <f t="shared" si="16"/>
        <v>1243.24324324324</v>
      </c>
      <c r="I58" s="222"/>
      <c r="J58" s="222"/>
      <c r="K58" s="222"/>
      <c r="L58" s="222">
        <f t="shared" si="12"/>
        <v>26108.1081081081</v>
      </c>
      <c r="M58" s="239"/>
      <c r="N58" s="239"/>
    </row>
    <row r="59" s="214" customFormat="1" ht="15.95" customHeight="1" spans="1:14">
      <c r="A59" s="222" t="s">
        <v>1893</v>
      </c>
      <c r="B59" s="222" t="s">
        <v>1843</v>
      </c>
      <c r="C59" s="222" t="s">
        <v>329</v>
      </c>
      <c r="D59" s="222">
        <f>31900/1.11</f>
        <v>28738.7387387387</v>
      </c>
      <c r="E59" s="224" t="s">
        <v>1844</v>
      </c>
      <c r="F59" s="222"/>
      <c r="G59" s="222"/>
      <c r="H59" s="222">
        <f t="shared" si="16"/>
        <v>1436.93693693694</v>
      </c>
      <c r="I59" s="222"/>
      <c r="J59" s="222"/>
      <c r="K59" s="222"/>
      <c r="L59" s="222">
        <f t="shared" si="12"/>
        <v>30175.6756756757</v>
      </c>
      <c r="M59" s="239"/>
      <c r="N59" s="239"/>
    </row>
    <row r="60" s="214" customFormat="1" ht="15.95" customHeight="1" spans="1:14">
      <c r="A60" s="222" t="s">
        <v>1894</v>
      </c>
      <c r="B60" s="222" t="s">
        <v>1843</v>
      </c>
      <c r="C60" s="222" t="s">
        <v>329</v>
      </c>
      <c r="D60" s="222">
        <f>36300/1.11</f>
        <v>32702.7027027027</v>
      </c>
      <c r="E60" s="224" t="s">
        <v>1844</v>
      </c>
      <c r="F60" s="222"/>
      <c r="G60" s="222"/>
      <c r="H60" s="222">
        <f t="shared" si="16"/>
        <v>1635.13513513513</v>
      </c>
      <c r="I60" s="222"/>
      <c r="J60" s="222"/>
      <c r="K60" s="222"/>
      <c r="L60" s="222">
        <f t="shared" si="12"/>
        <v>34337.8378378378</v>
      </c>
      <c r="M60" s="239"/>
      <c r="N60" s="239"/>
    </row>
    <row r="61" s="214" customFormat="1" ht="15.95" customHeight="1" spans="1:14">
      <c r="A61" s="222" t="s">
        <v>1895</v>
      </c>
      <c r="B61" s="222" t="s">
        <v>1843</v>
      </c>
      <c r="C61" s="222" t="s">
        <v>329</v>
      </c>
      <c r="D61" s="222">
        <f>34500/1.11</f>
        <v>31081.0810810811</v>
      </c>
      <c r="E61" s="224" t="s">
        <v>1844</v>
      </c>
      <c r="F61" s="222"/>
      <c r="G61" s="222"/>
      <c r="H61" s="222">
        <f t="shared" si="16"/>
        <v>1554.05405405405</v>
      </c>
      <c r="I61" s="222"/>
      <c r="J61" s="222"/>
      <c r="K61" s="222"/>
      <c r="L61" s="222">
        <f t="shared" si="12"/>
        <v>32635.1351351351</v>
      </c>
      <c r="M61" s="239"/>
      <c r="N61" s="239"/>
    </row>
    <row r="62" s="214" customFormat="1" ht="15.95" customHeight="1" spans="1:14">
      <c r="A62" s="222" t="s">
        <v>1896</v>
      </c>
      <c r="B62" s="222" t="s">
        <v>1843</v>
      </c>
      <c r="C62" s="222" t="s">
        <v>329</v>
      </c>
      <c r="D62" s="222">
        <f>57430/1.11</f>
        <v>51738.7387387387</v>
      </c>
      <c r="E62" s="224" t="s">
        <v>1844</v>
      </c>
      <c r="F62" s="222"/>
      <c r="G62" s="222"/>
      <c r="H62" s="222">
        <f t="shared" si="16"/>
        <v>2586.93693693694</v>
      </c>
      <c r="I62" s="222"/>
      <c r="J62" s="222"/>
      <c r="K62" s="222"/>
      <c r="L62" s="222">
        <f t="shared" si="12"/>
        <v>54325.6756756757</v>
      </c>
      <c r="M62" s="239"/>
      <c r="N62" s="239"/>
    </row>
    <row r="63" s="214" customFormat="1" ht="15.95" customHeight="1" spans="1:14">
      <c r="A63" s="233" t="s">
        <v>1897</v>
      </c>
      <c r="B63" s="234"/>
      <c r="C63" s="222"/>
      <c r="D63" s="222"/>
      <c r="E63" s="224"/>
      <c r="F63" s="222"/>
      <c r="G63" s="222"/>
      <c r="H63" s="222"/>
      <c r="I63" s="222"/>
      <c r="J63" s="222"/>
      <c r="K63" s="222"/>
      <c r="L63" s="222"/>
      <c r="M63" s="239"/>
      <c r="N63" s="239"/>
    </row>
    <row r="64" s="214" customFormat="1" ht="15.95" customHeight="1" spans="1:14">
      <c r="A64" s="222" t="s">
        <v>1898</v>
      </c>
      <c r="B64" s="222" t="s">
        <v>1843</v>
      </c>
      <c r="C64" s="222" t="s">
        <v>146</v>
      </c>
      <c r="D64" s="222">
        <v>332.48</v>
      </c>
      <c r="E64" s="224" t="s">
        <v>1844</v>
      </c>
      <c r="F64" s="222"/>
      <c r="G64" s="222"/>
      <c r="H64" s="222">
        <f>D64*0.08</f>
        <v>26.5984</v>
      </c>
      <c r="I64" s="222"/>
      <c r="J64" s="222"/>
      <c r="K64" s="222"/>
      <c r="L64" s="222">
        <f t="shared" ref="L64:L106" si="17">SUM(D64:K64)</f>
        <v>359.0784</v>
      </c>
      <c r="M64" s="239"/>
      <c r="N64" s="239"/>
    </row>
    <row r="65" s="214" customFormat="1" ht="15.95" customHeight="1" spans="1:14">
      <c r="A65" s="222" t="s">
        <v>1899</v>
      </c>
      <c r="B65" s="222" t="s">
        <v>1843</v>
      </c>
      <c r="C65" s="222" t="s">
        <v>146</v>
      </c>
      <c r="D65" s="222">
        <v>394.87</v>
      </c>
      <c r="E65" s="224" t="s">
        <v>1844</v>
      </c>
      <c r="F65" s="222"/>
      <c r="G65" s="222"/>
      <c r="H65" s="222">
        <f t="shared" ref="H65:H106" si="18">D65*0.08</f>
        <v>31.5896</v>
      </c>
      <c r="I65" s="222"/>
      <c r="J65" s="222"/>
      <c r="K65" s="222"/>
      <c r="L65" s="222">
        <f t="shared" si="17"/>
        <v>426.4596</v>
      </c>
      <c r="M65" s="239"/>
      <c r="N65" s="239"/>
    </row>
    <row r="66" s="214" customFormat="1" ht="15.95" customHeight="1" spans="1:14">
      <c r="A66" s="222" t="s">
        <v>1900</v>
      </c>
      <c r="B66" s="222" t="s">
        <v>1843</v>
      </c>
      <c r="C66" s="222" t="s">
        <v>146</v>
      </c>
      <c r="D66" s="222">
        <v>444.44</v>
      </c>
      <c r="E66" s="224" t="s">
        <v>1844</v>
      </c>
      <c r="F66" s="222"/>
      <c r="G66" s="222"/>
      <c r="H66" s="222">
        <f t="shared" si="18"/>
        <v>35.5552</v>
      </c>
      <c r="I66" s="222"/>
      <c r="J66" s="222"/>
      <c r="K66" s="222"/>
      <c r="L66" s="222">
        <f t="shared" si="17"/>
        <v>479.9952</v>
      </c>
      <c r="M66" s="239"/>
      <c r="N66" s="239"/>
    </row>
    <row r="67" s="214" customFormat="1" ht="15.95" customHeight="1" spans="1:14">
      <c r="A67" s="222" t="s">
        <v>1901</v>
      </c>
      <c r="B67" s="222" t="s">
        <v>1843</v>
      </c>
      <c r="C67" s="222" t="s">
        <v>146</v>
      </c>
      <c r="D67" s="222">
        <v>673.5</v>
      </c>
      <c r="E67" s="224" t="s">
        <v>1844</v>
      </c>
      <c r="F67" s="222"/>
      <c r="G67" s="222"/>
      <c r="H67" s="222">
        <f t="shared" si="18"/>
        <v>53.88</v>
      </c>
      <c r="I67" s="222"/>
      <c r="J67" s="222"/>
      <c r="K67" s="222"/>
      <c r="L67" s="222">
        <f t="shared" si="17"/>
        <v>727.38</v>
      </c>
      <c r="M67" s="239"/>
      <c r="N67" s="239"/>
    </row>
    <row r="68" s="214" customFormat="1" ht="15.95" customHeight="1" spans="1:14">
      <c r="A68" s="222" t="s">
        <v>1902</v>
      </c>
      <c r="B68" s="222" t="s">
        <v>1843</v>
      </c>
      <c r="C68" s="222" t="s">
        <v>146</v>
      </c>
      <c r="D68" s="222">
        <v>951.28</v>
      </c>
      <c r="E68" s="224" t="s">
        <v>1844</v>
      </c>
      <c r="F68" s="222"/>
      <c r="G68" s="222"/>
      <c r="H68" s="222">
        <f t="shared" si="18"/>
        <v>76.1024</v>
      </c>
      <c r="I68" s="222"/>
      <c r="J68" s="222"/>
      <c r="K68" s="222"/>
      <c r="L68" s="222">
        <f t="shared" si="17"/>
        <v>1027.3824</v>
      </c>
      <c r="M68" s="239"/>
      <c r="N68" s="239"/>
    </row>
    <row r="69" s="214" customFormat="1" ht="15.95" customHeight="1" spans="1:14">
      <c r="A69" s="222" t="s">
        <v>1903</v>
      </c>
      <c r="B69" s="222" t="s">
        <v>1843</v>
      </c>
      <c r="C69" s="222" t="s">
        <v>146</v>
      </c>
      <c r="D69" s="222">
        <v>1328.21</v>
      </c>
      <c r="E69" s="224" t="s">
        <v>1844</v>
      </c>
      <c r="F69" s="222"/>
      <c r="G69" s="222"/>
      <c r="H69" s="222">
        <f t="shared" si="18"/>
        <v>106.2568</v>
      </c>
      <c r="I69" s="222"/>
      <c r="J69" s="222"/>
      <c r="K69" s="222"/>
      <c r="L69" s="222">
        <f t="shared" si="17"/>
        <v>1434.4668</v>
      </c>
      <c r="M69" s="239"/>
      <c r="N69" s="239"/>
    </row>
    <row r="70" s="214" customFormat="1" ht="15.95" customHeight="1" spans="1:14">
      <c r="A70" s="222" t="s">
        <v>1904</v>
      </c>
      <c r="B70" s="222" t="s">
        <v>1843</v>
      </c>
      <c r="C70" s="222" t="s">
        <v>146</v>
      </c>
      <c r="D70" s="222">
        <v>1758.97</v>
      </c>
      <c r="E70" s="224" t="s">
        <v>1844</v>
      </c>
      <c r="F70" s="222"/>
      <c r="G70" s="222"/>
      <c r="H70" s="222">
        <f t="shared" si="18"/>
        <v>140.7176</v>
      </c>
      <c r="I70" s="222"/>
      <c r="J70" s="222"/>
      <c r="K70" s="222"/>
      <c r="L70" s="222">
        <f t="shared" si="17"/>
        <v>1899.6876</v>
      </c>
      <c r="M70" s="239"/>
      <c r="N70" s="239"/>
    </row>
    <row r="71" s="214" customFormat="1" ht="15.95" customHeight="1" spans="1:14">
      <c r="A71" s="222" t="s">
        <v>1905</v>
      </c>
      <c r="B71" s="222" t="s">
        <v>1843</v>
      </c>
      <c r="C71" s="222" t="s">
        <v>146</v>
      </c>
      <c r="D71" s="222">
        <v>2199.15</v>
      </c>
      <c r="E71" s="224" t="s">
        <v>1844</v>
      </c>
      <c r="F71" s="222"/>
      <c r="G71" s="222"/>
      <c r="H71" s="222">
        <f t="shared" si="18"/>
        <v>175.932</v>
      </c>
      <c r="I71" s="222"/>
      <c r="J71" s="222"/>
      <c r="K71" s="222"/>
      <c r="L71" s="222">
        <f t="shared" si="17"/>
        <v>2375.082</v>
      </c>
      <c r="M71" s="239"/>
      <c r="N71" s="239"/>
    </row>
    <row r="72" s="214" customFormat="1" ht="15.95" customHeight="1" spans="1:14">
      <c r="A72" s="222" t="s">
        <v>1906</v>
      </c>
      <c r="B72" s="222" t="s">
        <v>1843</v>
      </c>
      <c r="C72" s="222" t="s">
        <v>146</v>
      </c>
      <c r="D72" s="222">
        <v>3589.74</v>
      </c>
      <c r="E72" s="224" t="s">
        <v>1844</v>
      </c>
      <c r="F72" s="222"/>
      <c r="G72" s="222"/>
      <c r="H72" s="222">
        <f t="shared" si="18"/>
        <v>287.1792</v>
      </c>
      <c r="I72" s="222"/>
      <c r="J72" s="222"/>
      <c r="K72" s="222"/>
      <c r="L72" s="222">
        <f t="shared" si="17"/>
        <v>3876.9192</v>
      </c>
      <c r="M72" s="239"/>
      <c r="N72" s="239"/>
    </row>
    <row r="73" s="214" customFormat="1" ht="15.95" customHeight="1" spans="1:14">
      <c r="A73" s="222" t="s">
        <v>1907</v>
      </c>
      <c r="B73" s="222" t="s">
        <v>1843</v>
      </c>
      <c r="C73" s="222" t="s">
        <v>146</v>
      </c>
      <c r="D73" s="222">
        <v>4038.46</v>
      </c>
      <c r="E73" s="224" t="s">
        <v>1844</v>
      </c>
      <c r="F73" s="222"/>
      <c r="G73" s="222"/>
      <c r="H73" s="222">
        <f t="shared" si="18"/>
        <v>323.0768</v>
      </c>
      <c r="I73" s="222"/>
      <c r="J73" s="222"/>
      <c r="K73" s="222"/>
      <c r="L73" s="222">
        <f t="shared" si="17"/>
        <v>4361.5368</v>
      </c>
      <c r="M73" s="239"/>
      <c r="N73" s="239"/>
    </row>
    <row r="74" s="214" customFormat="1" ht="15.95" customHeight="1" spans="1:14">
      <c r="A74" s="222" t="s">
        <v>1908</v>
      </c>
      <c r="B74" s="222" t="s">
        <v>1843</v>
      </c>
      <c r="C74" s="222" t="s">
        <v>146</v>
      </c>
      <c r="D74" s="222">
        <v>111.11</v>
      </c>
      <c r="E74" s="224" t="s">
        <v>1844</v>
      </c>
      <c r="F74" s="222"/>
      <c r="G74" s="222"/>
      <c r="H74" s="222">
        <f t="shared" si="18"/>
        <v>8.8888</v>
      </c>
      <c r="I74" s="222"/>
      <c r="J74" s="222"/>
      <c r="K74" s="222"/>
      <c r="L74" s="222">
        <f t="shared" si="17"/>
        <v>119.9988</v>
      </c>
      <c r="M74" s="239"/>
      <c r="N74" s="239"/>
    </row>
    <row r="75" s="214" customFormat="1" ht="15.95" customHeight="1" spans="1:14">
      <c r="A75" s="222" t="s">
        <v>1909</v>
      </c>
      <c r="B75" s="222" t="s">
        <v>1843</v>
      </c>
      <c r="C75" s="222" t="s">
        <v>146</v>
      </c>
      <c r="D75" s="222">
        <v>132.48</v>
      </c>
      <c r="E75" s="224" t="s">
        <v>1844</v>
      </c>
      <c r="F75" s="222"/>
      <c r="G75" s="222"/>
      <c r="H75" s="222">
        <f t="shared" si="18"/>
        <v>10.5984</v>
      </c>
      <c r="I75" s="222"/>
      <c r="J75" s="222"/>
      <c r="K75" s="222"/>
      <c r="L75" s="222">
        <f t="shared" si="17"/>
        <v>143.0784</v>
      </c>
      <c r="M75" s="239"/>
      <c r="N75" s="239"/>
    </row>
    <row r="76" s="214" customFormat="1" ht="15.95" customHeight="1" spans="1:14">
      <c r="A76" s="222" t="s">
        <v>1910</v>
      </c>
      <c r="B76" s="222" t="s">
        <v>1843</v>
      </c>
      <c r="C76" s="222" t="s">
        <v>146</v>
      </c>
      <c r="D76" s="222">
        <v>170.94</v>
      </c>
      <c r="E76" s="224" t="s">
        <v>1844</v>
      </c>
      <c r="F76" s="222"/>
      <c r="G76" s="222"/>
      <c r="H76" s="222">
        <f t="shared" si="18"/>
        <v>13.6752</v>
      </c>
      <c r="I76" s="222"/>
      <c r="J76" s="222"/>
      <c r="K76" s="222"/>
      <c r="L76" s="222">
        <f t="shared" si="17"/>
        <v>184.6152</v>
      </c>
      <c r="M76" s="239"/>
      <c r="N76" s="239"/>
    </row>
    <row r="77" s="214" customFormat="1" ht="15.95" customHeight="1" spans="1:14">
      <c r="A77" s="222" t="s">
        <v>1911</v>
      </c>
      <c r="B77" s="222" t="s">
        <v>1843</v>
      </c>
      <c r="C77" s="222" t="s">
        <v>146</v>
      </c>
      <c r="D77" s="222">
        <v>205.13</v>
      </c>
      <c r="E77" s="224" t="s">
        <v>1844</v>
      </c>
      <c r="F77" s="222"/>
      <c r="G77" s="222"/>
      <c r="H77" s="222">
        <f t="shared" si="18"/>
        <v>16.4104</v>
      </c>
      <c r="I77" s="222"/>
      <c r="J77" s="222"/>
      <c r="K77" s="222"/>
      <c r="L77" s="222">
        <f t="shared" si="17"/>
        <v>221.5404</v>
      </c>
      <c r="M77" s="239"/>
      <c r="N77" s="239"/>
    </row>
    <row r="78" s="214" customFormat="1" ht="15.95" customHeight="1" spans="1:14">
      <c r="A78" s="222" t="s">
        <v>1912</v>
      </c>
      <c r="B78" s="222" t="s">
        <v>1843</v>
      </c>
      <c r="C78" s="222" t="s">
        <v>146</v>
      </c>
      <c r="D78" s="222">
        <v>230.77</v>
      </c>
      <c r="E78" s="224" t="s">
        <v>1844</v>
      </c>
      <c r="F78" s="222"/>
      <c r="G78" s="222"/>
      <c r="H78" s="222">
        <f t="shared" si="18"/>
        <v>18.4616</v>
      </c>
      <c r="I78" s="222"/>
      <c r="J78" s="222"/>
      <c r="K78" s="222"/>
      <c r="L78" s="222">
        <f t="shared" si="17"/>
        <v>249.2316</v>
      </c>
      <c r="M78" s="239"/>
      <c r="N78" s="239"/>
    </row>
    <row r="79" s="214" customFormat="1" ht="15.95" customHeight="1" spans="1:14">
      <c r="A79" s="222" t="s">
        <v>1913</v>
      </c>
      <c r="B79" s="222" t="s">
        <v>1843</v>
      </c>
      <c r="C79" s="222" t="s">
        <v>146</v>
      </c>
      <c r="D79" s="222">
        <v>367.52</v>
      </c>
      <c r="E79" s="224" t="s">
        <v>1844</v>
      </c>
      <c r="F79" s="222"/>
      <c r="G79" s="222"/>
      <c r="H79" s="222">
        <f t="shared" si="18"/>
        <v>29.4016</v>
      </c>
      <c r="I79" s="222"/>
      <c r="J79" s="222"/>
      <c r="K79" s="222"/>
      <c r="L79" s="222">
        <f t="shared" si="17"/>
        <v>396.9216</v>
      </c>
      <c r="M79" s="239"/>
      <c r="N79" s="239"/>
    </row>
    <row r="80" s="214" customFormat="1" ht="15.95" customHeight="1" spans="1:14">
      <c r="A80" s="222" t="s">
        <v>1914</v>
      </c>
      <c r="B80" s="222" t="s">
        <v>1843</v>
      </c>
      <c r="C80" s="222" t="s">
        <v>146</v>
      </c>
      <c r="D80" s="222">
        <v>683.76</v>
      </c>
      <c r="E80" s="224" t="s">
        <v>1844</v>
      </c>
      <c r="F80" s="222"/>
      <c r="G80" s="222"/>
      <c r="H80" s="222">
        <f t="shared" si="18"/>
        <v>54.7008</v>
      </c>
      <c r="I80" s="222"/>
      <c r="J80" s="222"/>
      <c r="K80" s="222"/>
      <c r="L80" s="222">
        <f t="shared" si="17"/>
        <v>738.4608</v>
      </c>
      <c r="M80" s="239"/>
      <c r="N80" s="239"/>
    </row>
    <row r="81" s="214" customFormat="1" ht="15.95" customHeight="1" spans="1:14">
      <c r="A81" s="222" t="s">
        <v>1915</v>
      </c>
      <c r="B81" s="222" t="s">
        <v>1843</v>
      </c>
      <c r="C81" s="222" t="s">
        <v>146</v>
      </c>
      <c r="D81" s="222">
        <v>606.84</v>
      </c>
      <c r="E81" s="224" t="s">
        <v>1844</v>
      </c>
      <c r="F81" s="222"/>
      <c r="G81" s="222"/>
      <c r="H81" s="222">
        <f t="shared" si="18"/>
        <v>48.5472</v>
      </c>
      <c r="I81" s="222"/>
      <c r="J81" s="222"/>
      <c r="K81" s="222"/>
      <c r="L81" s="222">
        <f t="shared" si="17"/>
        <v>655.3872</v>
      </c>
      <c r="M81" s="239"/>
      <c r="N81" s="239"/>
    </row>
    <row r="82" s="214" customFormat="1" ht="15.95" customHeight="1" spans="1:14">
      <c r="A82" s="222" t="s">
        <v>1916</v>
      </c>
      <c r="B82" s="222" t="s">
        <v>1843</v>
      </c>
      <c r="C82" s="222" t="s">
        <v>146</v>
      </c>
      <c r="D82" s="222">
        <v>837.61</v>
      </c>
      <c r="E82" s="224" t="s">
        <v>1844</v>
      </c>
      <c r="F82" s="222"/>
      <c r="G82" s="222"/>
      <c r="H82" s="222">
        <f t="shared" si="18"/>
        <v>67.0088</v>
      </c>
      <c r="I82" s="222"/>
      <c r="J82" s="222"/>
      <c r="K82" s="222"/>
      <c r="L82" s="222">
        <f t="shared" si="17"/>
        <v>904.6188</v>
      </c>
      <c r="M82" s="239"/>
      <c r="N82" s="239"/>
    </row>
    <row r="83" s="214" customFormat="1" ht="15.95" customHeight="1" spans="1:14">
      <c r="A83" s="222" t="s">
        <v>1917</v>
      </c>
      <c r="B83" s="222" t="s">
        <v>1843</v>
      </c>
      <c r="C83" s="222" t="s">
        <v>146</v>
      </c>
      <c r="D83" s="222">
        <v>897.44</v>
      </c>
      <c r="E83" s="224" t="s">
        <v>1844</v>
      </c>
      <c r="F83" s="222"/>
      <c r="G83" s="222"/>
      <c r="H83" s="222">
        <f t="shared" si="18"/>
        <v>71.7952</v>
      </c>
      <c r="I83" s="222"/>
      <c r="J83" s="222"/>
      <c r="K83" s="222"/>
      <c r="L83" s="222">
        <f t="shared" si="17"/>
        <v>969.2352</v>
      </c>
      <c r="M83" s="239"/>
      <c r="N83" s="239"/>
    </row>
    <row r="84" s="214" customFormat="1" ht="15.95" customHeight="1" spans="1:14">
      <c r="A84" s="222" t="s">
        <v>1918</v>
      </c>
      <c r="B84" s="222" t="s">
        <v>1843</v>
      </c>
      <c r="C84" s="222" t="s">
        <v>146</v>
      </c>
      <c r="D84" s="222">
        <v>1264.96</v>
      </c>
      <c r="E84" s="224" t="s">
        <v>1844</v>
      </c>
      <c r="F84" s="222"/>
      <c r="G84" s="222"/>
      <c r="H84" s="222">
        <f t="shared" si="18"/>
        <v>101.1968</v>
      </c>
      <c r="I84" s="222"/>
      <c r="J84" s="222"/>
      <c r="K84" s="222"/>
      <c r="L84" s="222">
        <f t="shared" si="17"/>
        <v>1366.1568</v>
      </c>
      <c r="M84" s="239"/>
      <c r="N84" s="239"/>
    </row>
    <row r="85" s="214" customFormat="1" ht="15.95" customHeight="1" spans="1:14">
      <c r="A85" s="222" t="s">
        <v>1919</v>
      </c>
      <c r="B85" s="222" t="s">
        <v>1843</v>
      </c>
      <c r="C85" s="222" t="s">
        <v>146</v>
      </c>
      <c r="D85" s="222">
        <v>1076.92</v>
      </c>
      <c r="E85" s="224" t="s">
        <v>1844</v>
      </c>
      <c r="F85" s="222"/>
      <c r="G85" s="222"/>
      <c r="H85" s="222">
        <f t="shared" si="18"/>
        <v>86.1536</v>
      </c>
      <c r="I85" s="222"/>
      <c r="J85" s="222"/>
      <c r="K85" s="222"/>
      <c r="L85" s="222">
        <f t="shared" si="17"/>
        <v>1163.0736</v>
      </c>
      <c r="M85" s="239"/>
      <c r="N85" s="239"/>
    </row>
    <row r="86" s="214" customFormat="1" ht="15.95" customHeight="1" spans="1:14">
      <c r="A86" s="222" t="s">
        <v>1920</v>
      </c>
      <c r="B86" s="222" t="s">
        <v>1843</v>
      </c>
      <c r="C86" s="222" t="s">
        <v>146</v>
      </c>
      <c r="D86" s="222">
        <v>1307.69</v>
      </c>
      <c r="E86" s="224" t="s">
        <v>1844</v>
      </c>
      <c r="F86" s="222"/>
      <c r="G86" s="222"/>
      <c r="H86" s="222">
        <f t="shared" si="18"/>
        <v>104.6152</v>
      </c>
      <c r="I86" s="222"/>
      <c r="J86" s="222"/>
      <c r="K86" s="222"/>
      <c r="L86" s="222">
        <f t="shared" si="17"/>
        <v>1412.3052</v>
      </c>
      <c r="M86" s="239"/>
      <c r="N86" s="239"/>
    </row>
    <row r="87" s="214" customFormat="1" ht="15.95" customHeight="1" spans="1:14">
      <c r="A87" s="222" t="s">
        <v>1921</v>
      </c>
      <c r="B87" s="222" t="s">
        <v>1843</v>
      </c>
      <c r="C87" s="222" t="s">
        <v>146</v>
      </c>
      <c r="D87" s="222">
        <v>1153.85</v>
      </c>
      <c r="E87" s="224" t="s">
        <v>1844</v>
      </c>
      <c r="F87" s="222"/>
      <c r="G87" s="222"/>
      <c r="H87" s="222">
        <f t="shared" si="18"/>
        <v>92.308</v>
      </c>
      <c r="I87" s="222"/>
      <c r="J87" s="222"/>
      <c r="K87" s="222"/>
      <c r="L87" s="222">
        <f t="shared" si="17"/>
        <v>1246.158</v>
      </c>
      <c r="M87" s="239"/>
      <c r="N87" s="239"/>
    </row>
    <row r="88" s="214" customFormat="1" ht="15.95" customHeight="1" spans="1:14">
      <c r="A88" s="222" t="s">
        <v>1922</v>
      </c>
      <c r="B88" s="222" t="s">
        <v>1843</v>
      </c>
      <c r="C88" s="222" t="s">
        <v>146</v>
      </c>
      <c r="D88" s="222">
        <v>1521.37</v>
      </c>
      <c r="E88" s="224" t="s">
        <v>1844</v>
      </c>
      <c r="F88" s="222"/>
      <c r="G88" s="222"/>
      <c r="H88" s="222">
        <f t="shared" si="18"/>
        <v>121.7096</v>
      </c>
      <c r="I88" s="222"/>
      <c r="J88" s="222"/>
      <c r="K88" s="222"/>
      <c r="L88" s="222">
        <f t="shared" si="17"/>
        <v>1643.0796</v>
      </c>
      <c r="M88" s="239"/>
      <c r="N88" s="239"/>
    </row>
    <row r="89" s="214" customFormat="1" ht="15.95" customHeight="1" spans="1:14">
      <c r="A89" s="222" t="s">
        <v>1923</v>
      </c>
      <c r="B89" s="222" t="s">
        <v>1843</v>
      </c>
      <c r="C89" s="222" t="s">
        <v>146</v>
      </c>
      <c r="D89" s="222">
        <v>1188.03</v>
      </c>
      <c r="E89" s="224" t="s">
        <v>1844</v>
      </c>
      <c r="F89" s="222"/>
      <c r="G89" s="222"/>
      <c r="H89" s="222">
        <f t="shared" si="18"/>
        <v>95.0424</v>
      </c>
      <c r="I89" s="222"/>
      <c r="J89" s="222"/>
      <c r="K89" s="222"/>
      <c r="L89" s="222">
        <f t="shared" si="17"/>
        <v>1283.0724</v>
      </c>
      <c r="M89" s="239"/>
      <c r="N89" s="239"/>
    </row>
    <row r="90" s="214" customFormat="1" ht="15.95" customHeight="1" spans="1:14">
      <c r="A90" s="222" t="s">
        <v>1924</v>
      </c>
      <c r="B90" s="222" t="s">
        <v>1843</v>
      </c>
      <c r="C90" s="222" t="s">
        <v>146</v>
      </c>
      <c r="D90" s="222">
        <v>1666.67</v>
      </c>
      <c r="E90" s="224" t="s">
        <v>1844</v>
      </c>
      <c r="F90" s="222"/>
      <c r="G90" s="222"/>
      <c r="H90" s="222">
        <f t="shared" si="18"/>
        <v>133.3336</v>
      </c>
      <c r="I90" s="222"/>
      <c r="J90" s="222"/>
      <c r="K90" s="222"/>
      <c r="L90" s="222">
        <f t="shared" si="17"/>
        <v>1800.0036</v>
      </c>
      <c r="M90" s="239"/>
      <c r="N90" s="239"/>
    </row>
    <row r="91" s="214" customFormat="1" ht="15.95" customHeight="1" spans="1:14">
      <c r="A91" s="222" t="s">
        <v>1925</v>
      </c>
      <c r="B91" s="222" t="s">
        <v>1843</v>
      </c>
      <c r="C91" s="222" t="s">
        <v>146</v>
      </c>
      <c r="D91" s="222">
        <v>1264.96</v>
      </c>
      <c r="E91" s="224" t="s">
        <v>1844</v>
      </c>
      <c r="F91" s="222"/>
      <c r="G91" s="222"/>
      <c r="H91" s="222">
        <f t="shared" si="18"/>
        <v>101.1968</v>
      </c>
      <c r="I91" s="222"/>
      <c r="J91" s="222"/>
      <c r="K91" s="222"/>
      <c r="L91" s="222">
        <f t="shared" si="17"/>
        <v>1366.1568</v>
      </c>
      <c r="M91" s="239"/>
      <c r="N91" s="239"/>
    </row>
    <row r="92" s="214" customFormat="1" ht="15.95" customHeight="1" spans="1:14">
      <c r="A92" s="222" t="s">
        <v>1926</v>
      </c>
      <c r="B92" s="222" t="s">
        <v>1843</v>
      </c>
      <c r="C92" s="222" t="s">
        <v>146</v>
      </c>
      <c r="D92" s="222">
        <v>1794.87</v>
      </c>
      <c r="E92" s="224" t="s">
        <v>1844</v>
      </c>
      <c r="F92" s="222"/>
      <c r="G92" s="222"/>
      <c r="H92" s="222">
        <f t="shared" si="18"/>
        <v>143.5896</v>
      </c>
      <c r="I92" s="222"/>
      <c r="J92" s="222"/>
      <c r="K92" s="222"/>
      <c r="L92" s="222">
        <f t="shared" si="17"/>
        <v>1938.4596</v>
      </c>
      <c r="M92" s="239"/>
      <c r="N92" s="239"/>
    </row>
    <row r="93" s="214" customFormat="1" ht="15.95" customHeight="1" spans="1:14">
      <c r="A93" s="222" t="s">
        <v>1927</v>
      </c>
      <c r="B93" s="222" t="s">
        <v>1843</v>
      </c>
      <c r="C93" s="222" t="s">
        <v>146</v>
      </c>
      <c r="D93" s="222">
        <v>1521.37</v>
      </c>
      <c r="E93" s="224" t="s">
        <v>1844</v>
      </c>
      <c r="F93" s="222"/>
      <c r="G93" s="222"/>
      <c r="H93" s="222">
        <f t="shared" si="18"/>
        <v>121.7096</v>
      </c>
      <c r="I93" s="222"/>
      <c r="J93" s="222"/>
      <c r="K93" s="222"/>
      <c r="L93" s="222">
        <f t="shared" si="17"/>
        <v>1643.0796</v>
      </c>
      <c r="M93" s="239"/>
      <c r="N93" s="239"/>
    </row>
    <row r="94" s="214" customFormat="1" ht="15.95" customHeight="1" spans="1:14">
      <c r="A94" s="222" t="s">
        <v>1928</v>
      </c>
      <c r="B94" s="222" t="s">
        <v>1843</v>
      </c>
      <c r="C94" s="222" t="s">
        <v>146</v>
      </c>
      <c r="D94" s="222">
        <v>1965.81</v>
      </c>
      <c r="E94" s="224" t="s">
        <v>1844</v>
      </c>
      <c r="F94" s="222"/>
      <c r="G94" s="222"/>
      <c r="H94" s="222">
        <f t="shared" si="18"/>
        <v>157.2648</v>
      </c>
      <c r="I94" s="222"/>
      <c r="J94" s="222"/>
      <c r="K94" s="222"/>
      <c r="L94" s="222">
        <f t="shared" si="17"/>
        <v>2123.0748</v>
      </c>
      <c r="M94" s="239"/>
      <c r="N94" s="239"/>
    </row>
    <row r="95" s="214" customFormat="1" ht="15.95" customHeight="1" spans="1:14">
      <c r="A95" s="222" t="s">
        <v>1929</v>
      </c>
      <c r="B95" s="222" t="s">
        <v>1843</v>
      </c>
      <c r="C95" s="222" t="s">
        <v>146</v>
      </c>
      <c r="D95" s="222">
        <v>1683.76</v>
      </c>
      <c r="E95" s="224" t="s">
        <v>1844</v>
      </c>
      <c r="F95" s="222"/>
      <c r="G95" s="222"/>
      <c r="H95" s="222">
        <f t="shared" si="18"/>
        <v>134.7008</v>
      </c>
      <c r="I95" s="222"/>
      <c r="J95" s="222"/>
      <c r="K95" s="222"/>
      <c r="L95" s="222">
        <f t="shared" si="17"/>
        <v>1818.4608</v>
      </c>
      <c r="M95" s="239"/>
      <c r="N95" s="239"/>
    </row>
    <row r="96" s="214" customFormat="1" ht="15.95" customHeight="1" spans="1:14">
      <c r="A96" s="222" t="s">
        <v>1930</v>
      </c>
      <c r="B96" s="222" t="s">
        <v>1843</v>
      </c>
      <c r="C96" s="222" t="s">
        <v>146</v>
      </c>
      <c r="D96" s="222">
        <v>2051.28</v>
      </c>
      <c r="E96" s="224" t="s">
        <v>1844</v>
      </c>
      <c r="F96" s="222"/>
      <c r="G96" s="222"/>
      <c r="H96" s="222">
        <f t="shared" si="18"/>
        <v>164.1024</v>
      </c>
      <c r="I96" s="222"/>
      <c r="J96" s="222"/>
      <c r="K96" s="222"/>
      <c r="L96" s="222">
        <f t="shared" si="17"/>
        <v>2215.3824</v>
      </c>
      <c r="M96" s="239"/>
      <c r="N96" s="239"/>
    </row>
    <row r="97" s="214" customFormat="1" ht="15.95" customHeight="1" spans="1:14">
      <c r="A97" s="222" t="s">
        <v>1931</v>
      </c>
      <c r="B97" s="222" t="s">
        <v>1843</v>
      </c>
      <c r="C97" s="222" t="s">
        <v>146</v>
      </c>
      <c r="D97" s="222">
        <v>1735.04</v>
      </c>
      <c r="E97" s="224" t="s">
        <v>1844</v>
      </c>
      <c r="F97" s="222"/>
      <c r="G97" s="222"/>
      <c r="H97" s="222">
        <f t="shared" si="18"/>
        <v>138.8032</v>
      </c>
      <c r="I97" s="222"/>
      <c r="J97" s="222"/>
      <c r="K97" s="222"/>
      <c r="L97" s="222">
        <f t="shared" si="17"/>
        <v>1873.8432</v>
      </c>
      <c r="M97" s="239"/>
      <c r="N97" s="239"/>
    </row>
    <row r="98" s="214" customFormat="1" ht="15.95" customHeight="1" spans="1:14">
      <c r="A98" s="222" t="s">
        <v>1932</v>
      </c>
      <c r="B98" s="222" t="s">
        <v>1843</v>
      </c>
      <c r="C98" s="222" t="s">
        <v>146</v>
      </c>
      <c r="D98" s="222">
        <v>2649.57</v>
      </c>
      <c r="E98" s="224" t="s">
        <v>1844</v>
      </c>
      <c r="F98" s="222"/>
      <c r="G98" s="222"/>
      <c r="H98" s="222">
        <f t="shared" si="18"/>
        <v>211.9656</v>
      </c>
      <c r="I98" s="222"/>
      <c r="J98" s="222"/>
      <c r="K98" s="222"/>
      <c r="L98" s="222">
        <f t="shared" si="17"/>
        <v>2861.5356</v>
      </c>
      <c r="M98" s="239"/>
      <c r="N98" s="239"/>
    </row>
    <row r="99" s="214" customFormat="1" ht="15.95" customHeight="1" spans="1:14">
      <c r="A99" s="222" t="s">
        <v>1933</v>
      </c>
      <c r="B99" s="222" t="s">
        <v>1843</v>
      </c>
      <c r="C99" s="222" t="s">
        <v>146</v>
      </c>
      <c r="D99" s="222">
        <v>2478.63</v>
      </c>
      <c r="E99" s="224" t="s">
        <v>1844</v>
      </c>
      <c r="F99" s="222"/>
      <c r="G99" s="222"/>
      <c r="H99" s="222">
        <f t="shared" si="18"/>
        <v>198.2904</v>
      </c>
      <c r="I99" s="222"/>
      <c r="J99" s="222"/>
      <c r="K99" s="222"/>
      <c r="L99" s="222">
        <f t="shared" si="17"/>
        <v>2676.9204</v>
      </c>
      <c r="M99" s="239"/>
      <c r="N99" s="239"/>
    </row>
    <row r="100" s="214" customFormat="1" ht="15.95" customHeight="1" spans="1:14">
      <c r="A100" s="222" t="s">
        <v>1934</v>
      </c>
      <c r="B100" s="222" t="s">
        <v>1843</v>
      </c>
      <c r="C100" s="222" t="s">
        <v>146</v>
      </c>
      <c r="D100" s="222">
        <v>3162.39</v>
      </c>
      <c r="E100" s="224" t="s">
        <v>1844</v>
      </c>
      <c r="F100" s="222"/>
      <c r="G100" s="222"/>
      <c r="H100" s="222">
        <f t="shared" si="18"/>
        <v>252.9912</v>
      </c>
      <c r="I100" s="222"/>
      <c r="J100" s="222"/>
      <c r="K100" s="222"/>
      <c r="L100" s="222">
        <f t="shared" si="17"/>
        <v>3415.3812</v>
      </c>
      <c r="M100" s="239"/>
      <c r="N100" s="239"/>
    </row>
    <row r="101" s="214" customFormat="1" ht="15.95" customHeight="1" spans="1:14">
      <c r="A101" s="222" t="s">
        <v>1935</v>
      </c>
      <c r="B101" s="222" t="s">
        <v>1843</v>
      </c>
      <c r="C101" s="222" t="s">
        <v>146</v>
      </c>
      <c r="D101" s="222">
        <v>2786.32</v>
      </c>
      <c r="E101" s="224" t="s">
        <v>1844</v>
      </c>
      <c r="F101" s="222"/>
      <c r="G101" s="222"/>
      <c r="H101" s="222">
        <f t="shared" si="18"/>
        <v>222.9056</v>
      </c>
      <c r="I101" s="222"/>
      <c r="J101" s="222"/>
      <c r="K101" s="222"/>
      <c r="L101" s="222">
        <f t="shared" si="17"/>
        <v>3009.2256</v>
      </c>
      <c r="M101" s="239"/>
      <c r="N101" s="239"/>
    </row>
    <row r="102" s="214" customFormat="1" ht="15.95" customHeight="1" spans="1:14">
      <c r="A102" s="222" t="s">
        <v>1936</v>
      </c>
      <c r="B102" s="222" t="s">
        <v>1843</v>
      </c>
      <c r="C102" s="222" t="s">
        <v>146</v>
      </c>
      <c r="D102" s="222">
        <v>3675.21</v>
      </c>
      <c r="E102" s="224" t="s">
        <v>1844</v>
      </c>
      <c r="F102" s="222"/>
      <c r="G102" s="222"/>
      <c r="H102" s="222">
        <f t="shared" si="18"/>
        <v>294.0168</v>
      </c>
      <c r="I102" s="222"/>
      <c r="J102" s="222"/>
      <c r="K102" s="222"/>
      <c r="L102" s="222">
        <f t="shared" si="17"/>
        <v>3969.2268</v>
      </c>
      <c r="M102" s="239"/>
      <c r="N102" s="239"/>
    </row>
    <row r="103" s="214" customFormat="1" ht="15.95" customHeight="1" spans="1:14">
      <c r="A103" s="222" t="s">
        <v>1937</v>
      </c>
      <c r="B103" s="222" t="s">
        <v>1843</v>
      </c>
      <c r="C103" s="222" t="s">
        <v>146</v>
      </c>
      <c r="D103" s="222">
        <v>3333.33</v>
      </c>
      <c r="E103" s="224" t="s">
        <v>1844</v>
      </c>
      <c r="F103" s="222"/>
      <c r="G103" s="222"/>
      <c r="H103" s="222">
        <f t="shared" si="18"/>
        <v>266.6664</v>
      </c>
      <c r="I103" s="222"/>
      <c r="J103" s="222"/>
      <c r="K103" s="222"/>
      <c r="L103" s="222">
        <f t="shared" si="17"/>
        <v>3599.9964</v>
      </c>
      <c r="M103" s="239"/>
      <c r="N103" s="239"/>
    </row>
    <row r="104" s="214" customFormat="1" ht="15.95" customHeight="1" spans="1:14">
      <c r="A104" s="222" t="s">
        <v>1938</v>
      </c>
      <c r="B104" s="222" t="s">
        <v>1843</v>
      </c>
      <c r="C104" s="222" t="s">
        <v>146</v>
      </c>
      <c r="D104" s="222">
        <v>4358.97</v>
      </c>
      <c r="E104" s="224" t="s">
        <v>1844</v>
      </c>
      <c r="F104" s="222"/>
      <c r="G104" s="222"/>
      <c r="H104" s="222">
        <f t="shared" si="18"/>
        <v>348.7176</v>
      </c>
      <c r="I104" s="222"/>
      <c r="J104" s="222"/>
      <c r="K104" s="222"/>
      <c r="L104" s="222">
        <f t="shared" si="17"/>
        <v>4707.6876</v>
      </c>
      <c r="M104" s="239"/>
      <c r="N104" s="239"/>
    </row>
    <row r="105" s="214" customFormat="1" ht="15.95" customHeight="1" spans="1:14">
      <c r="A105" s="222" t="s">
        <v>1939</v>
      </c>
      <c r="B105" s="222" t="s">
        <v>1843</v>
      </c>
      <c r="C105" s="222" t="s">
        <v>146</v>
      </c>
      <c r="D105" s="222">
        <v>4102.56</v>
      </c>
      <c r="E105" s="224" t="s">
        <v>1844</v>
      </c>
      <c r="F105" s="222"/>
      <c r="G105" s="222"/>
      <c r="H105" s="222">
        <f t="shared" si="18"/>
        <v>328.2048</v>
      </c>
      <c r="I105" s="222"/>
      <c r="J105" s="222"/>
      <c r="K105" s="222"/>
      <c r="L105" s="222">
        <f t="shared" si="17"/>
        <v>4430.7648</v>
      </c>
      <c r="M105" s="239"/>
      <c r="N105" s="239"/>
    </row>
    <row r="106" s="214" customFormat="1" ht="15.95" customHeight="1" spans="1:14">
      <c r="A106" s="222" t="s">
        <v>1940</v>
      </c>
      <c r="B106" s="222" t="s">
        <v>1843</v>
      </c>
      <c r="C106" s="222" t="s">
        <v>146</v>
      </c>
      <c r="D106" s="222">
        <v>5384.62</v>
      </c>
      <c r="E106" s="224" t="s">
        <v>1844</v>
      </c>
      <c r="F106" s="222"/>
      <c r="G106" s="222"/>
      <c r="H106" s="222">
        <f t="shared" si="18"/>
        <v>430.7696</v>
      </c>
      <c r="I106" s="222"/>
      <c r="J106" s="222"/>
      <c r="K106" s="222"/>
      <c r="L106" s="222">
        <f t="shared" si="17"/>
        <v>5815.3896</v>
      </c>
      <c r="M106" s="239"/>
      <c r="N106" s="239"/>
    </row>
    <row r="107" s="214" customFormat="1" ht="15.95" customHeight="1" spans="1:14">
      <c r="A107" s="223"/>
      <c r="B107" s="222"/>
      <c r="C107" s="222"/>
      <c r="D107" s="222"/>
      <c r="E107" s="224"/>
      <c r="F107" s="222"/>
      <c r="G107" s="222"/>
      <c r="H107" s="222"/>
      <c r="I107" s="222"/>
      <c r="J107" s="222"/>
      <c r="K107" s="222"/>
      <c r="L107" s="222"/>
      <c r="M107" s="239"/>
      <c r="N107" s="239"/>
    </row>
    <row r="108" s="214" customFormat="1" ht="15.95" customHeight="1" spans="1:14">
      <c r="A108" s="223"/>
      <c r="B108" s="222"/>
      <c r="C108" s="222"/>
      <c r="D108" s="222"/>
      <c r="E108" s="224"/>
      <c r="F108" s="222"/>
      <c r="G108" s="222"/>
      <c r="H108" s="222"/>
      <c r="I108" s="222"/>
      <c r="J108" s="222"/>
      <c r="K108" s="222"/>
      <c r="L108" s="222"/>
      <c r="M108" s="239"/>
      <c r="N108" s="239"/>
    </row>
    <row r="109" s="214" customFormat="1" ht="15.95" customHeight="1" spans="1:14">
      <c r="A109" s="223"/>
      <c r="B109" s="222"/>
      <c r="C109" s="222"/>
      <c r="D109" s="222"/>
      <c r="E109" s="224"/>
      <c r="F109" s="222"/>
      <c r="G109" s="222"/>
      <c r="H109" s="222"/>
      <c r="I109" s="222"/>
      <c r="J109" s="222"/>
      <c r="K109" s="222"/>
      <c r="L109" s="222"/>
      <c r="M109" s="239"/>
      <c r="N109" s="239"/>
    </row>
    <row r="110" s="214" customFormat="1" ht="15.95" customHeight="1" spans="1:14">
      <c r="A110" s="233" t="s">
        <v>1941</v>
      </c>
      <c r="B110" s="234"/>
      <c r="C110" s="222"/>
      <c r="D110" s="222"/>
      <c r="E110" s="224"/>
      <c r="F110" s="222"/>
      <c r="G110" s="222"/>
      <c r="H110" s="222"/>
      <c r="I110" s="222"/>
      <c r="J110" s="222"/>
      <c r="K110" s="222"/>
      <c r="L110" s="222"/>
      <c r="M110" s="239"/>
      <c r="N110" s="239"/>
    </row>
    <row r="111" s="214" customFormat="1" ht="15.95" customHeight="1" spans="1:14">
      <c r="A111" s="222" t="s">
        <v>1942</v>
      </c>
      <c r="B111" s="222" t="s">
        <v>1830</v>
      </c>
      <c r="C111" s="222" t="s">
        <v>1943</v>
      </c>
      <c r="D111" s="222">
        <v>555.56</v>
      </c>
      <c r="E111" s="224" t="s">
        <v>1844</v>
      </c>
      <c r="F111" s="222"/>
      <c r="G111" s="222"/>
      <c r="H111" s="222"/>
      <c r="I111" s="222"/>
      <c r="J111" s="222"/>
      <c r="K111" s="222"/>
      <c r="L111" s="222">
        <f>SUM(D111:K111)</f>
        <v>555.56</v>
      </c>
      <c r="M111" s="222"/>
      <c r="N111" s="239"/>
    </row>
    <row r="112" s="214" customFormat="1" ht="15.95" customHeight="1" spans="1:14">
      <c r="A112" s="222" t="s">
        <v>1944</v>
      </c>
      <c r="B112" s="222" t="s">
        <v>1830</v>
      </c>
      <c r="C112" s="222" t="s">
        <v>580</v>
      </c>
      <c r="D112" s="222">
        <v>43.11</v>
      </c>
      <c r="E112" s="224" t="s">
        <v>1844</v>
      </c>
      <c r="F112" s="222"/>
      <c r="G112" s="222"/>
      <c r="H112" s="222"/>
      <c r="I112" s="222"/>
      <c r="J112" s="222"/>
      <c r="K112" s="222"/>
      <c r="L112" s="222">
        <f t="shared" ref="L112:L138" si="19">SUM(D112:K112)</f>
        <v>43.11</v>
      </c>
      <c r="M112" s="222"/>
      <c r="N112" s="239"/>
    </row>
    <row r="113" s="214" customFormat="1" ht="15.95" customHeight="1" spans="1:14">
      <c r="A113" s="222" t="s">
        <v>1945</v>
      </c>
      <c r="B113" s="222" t="s">
        <v>1830</v>
      </c>
      <c r="C113" s="222" t="s">
        <v>580</v>
      </c>
      <c r="D113" s="256">
        <f>287.36</f>
        <v>287.36</v>
      </c>
      <c r="E113" s="224" t="s">
        <v>1844</v>
      </c>
      <c r="F113" s="222"/>
      <c r="G113" s="222"/>
      <c r="H113" s="222"/>
      <c r="I113" s="222"/>
      <c r="J113" s="222"/>
      <c r="K113" s="222"/>
      <c r="L113" s="222">
        <f t="shared" si="19"/>
        <v>287.36</v>
      </c>
      <c r="M113" s="222"/>
      <c r="N113" s="239"/>
    </row>
    <row r="114" s="214" customFormat="1" ht="15.95" customHeight="1" spans="1:14">
      <c r="A114" s="222" t="s">
        <v>1946</v>
      </c>
      <c r="B114" s="222" t="s">
        <v>1830</v>
      </c>
      <c r="C114" s="222" t="s">
        <v>632</v>
      </c>
      <c r="D114" s="222">
        <v>32.22</v>
      </c>
      <c r="E114" s="224" t="s">
        <v>1844</v>
      </c>
      <c r="F114" s="222"/>
      <c r="G114" s="222"/>
      <c r="H114" s="222"/>
      <c r="I114" s="222"/>
      <c r="J114" s="222"/>
      <c r="K114" s="222"/>
      <c r="L114" s="222">
        <f t="shared" si="19"/>
        <v>32.22</v>
      </c>
      <c r="M114" s="222"/>
      <c r="N114" s="239"/>
    </row>
    <row r="115" s="214" customFormat="1" ht="15.95" customHeight="1" spans="1:14">
      <c r="A115" s="223" t="s">
        <v>1947</v>
      </c>
      <c r="B115" s="222" t="s">
        <v>1830</v>
      </c>
      <c r="C115" s="223" t="s">
        <v>550</v>
      </c>
      <c r="D115" s="223">
        <v>2.58</v>
      </c>
      <c r="E115" s="224" t="s">
        <v>1844</v>
      </c>
      <c r="F115" s="223"/>
      <c r="G115" s="223"/>
      <c r="H115" s="223"/>
      <c r="I115" s="223"/>
      <c r="J115" s="223"/>
      <c r="K115" s="223"/>
      <c r="L115" s="222">
        <f t="shared" si="19"/>
        <v>2.58</v>
      </c>
      <c r="M115" s="222"/>
      <c r="N115" s="239"/>
    </row>
    <row r="116" s="214" customFormat="1" ht="15.95" customHeight="1" spans="1:14">
      <c r="A116" s="223" t="s">
        <v>1948</v>
      </c>
      <c r="B116" s="222" t="s">
        <v>1830</v>
      </c>
      <c r="C116" s="223" t="s">
        <v>550</v>
      </c>
      <c r="D116" s="223">
        <v>7</v>
      </c>
      <c r="E116" s="224" t="s">
        <v>1844</v>
      </c>
      <c r="F116" s="223"/>
      <c r="G116" s="223"/>
      <c r="H116" s="223"/>
      <c r="I116" s="223"/>
      <c r="J116" s="223"/>
      <c r="K116" s="223"/>
      <c r="L116" s="222">
        <f t="shared" si="19"/>
        <v>7</v>
      </c>
      <c r="M116" s="222"/>
      <c r="N116" s="239"/>
    </row>
    <row r="117" s="214" customFormat="1" ht="15.95" customHeight="1" spans="1:14">
      <c r="A117" s="223" t="s">
        <v>1949</v>
      </c>
      <c r="B117" s="222" t="s">
        <v>1830</v>
      </c>
      <c r="C117" s="223" t="s">
        <v>580</v>
      </c>
      <c r="D117" s="223">
        <v>3000</v>
      </c>
      <c r="E117" s="224" t="s">
        <v>1844</v>
      </c>
      <c r="F117" s="222"/>
      <c r="G117" s="222"/>
      <c r="H117" s="223"/>
      <c r="I117" s="222"/>
      <c r="J117" s="222"/>
      <c r="K117" s="223"/>
      <c r="L117" s="222">
        <f t="shared" si="19"/>
        <v>3000</v>
      </c>
      <c r="M117" s="222"/>
      <c r="N117" s="239"/>
    </row>
    <row r="118" s="214" customFormat="1" ht="15.95" customHeight="1" spans="1:14">
      <c r="A118" s="223" t="s">
        <v>1950</v>
      </c>
      <c r="B118" s="222" t="s">
        <v>1830</v>
      </c>
      <c r="C118" s="223" t="s">
        <v>550</v>
      </c>
      <c r="D118" s="223">
        <v>10</v>
      </c>
      <c r="E118" s="224" t="s">
        <v>1844</v>
      </c>
      <c r="F118" s="222"/>
      <c r="G118" s="222"/>
      <c r="H118" s="223"/>
      <c r="I118" s="222"/>
      <c r="J118" s="222"/>
      <c r="K118" s="223"/>
      <c r="L118" s="222">
        <f t="shared" si="19"/>
        <v>10</v>
      </c>
      <c r="M118" s="222"/>
      <c r="N118" s="239"/>
    </row>
    <row r="119" s="214" customFormat="1" ht="15.95" customHeight="1" spans="1:14">
      <c r="A119" s="223" t="s">
        <v>1951</v>
      </c>
      <c r="B119" s="222" t="s">
        <v>1830</v>
      </c>
      <c r="C119" s="223" t="s">
        <v>550</v>
      </c>
      <c r="D119" s="223">
        <v>7</v>
      </c>
      <c r="E119" s="224" t="s">
        <v>1844</v>
      </c>
      <c r="F119" s="222"/>
      <c r="G119" s="222"/>
      <c r="H119" s="223"/>
      <c r="I119" s="222"/>
      <c r="J119" s="222"/>
      <c r="K119" s="223"/>
      <c r="L119" s="222">
        <f t="shared" si="19"/>
        <v>7</v>
      </c>
      <c r="M119" s="222"/>
      <c r="N119" s="239"/>
    </row>
    <row r="120" s="214" customFormat="1" ht="15.95" customHeight="1" spans="1:14">
      <c r="A120" s="223" t="s">
        <v>1952</v>
      </c>
      <c r="B120" s="222" t="s">
        <v>1830</v>
      </c>
      <c r="C120" s="223" t="s">
        <v>550</v>
      </c>
      <c r="D120" s="223">
        <v>6.5</v>
      </c>
      <c r="E120" s="224" t="s">
        <v>1844</v>
      </c>
      <c r="F120" s="239"/>
      <c r="G120" s="239"/>
      <c r="H120" s="239"/>
      <c r="I120" s="239"/>
      <c r="J120" s="239"/>
      <c r="K120" s="223"/>
      <c r="L120" s="222">
        <f t="shared" si="19"/>
        <v>6.5</v>
      </c>
      <c r="M120" s="222"/>
      <c r="N120" s="239"/>
    </row>
    <row r="121" s="214" customFormat="1" ht="15.95" customHeight="1" spans="1:14">
      <c r="A121" s="223" t="s">
        <v>1953</v>
      </c>
      <c r="B121" s="222" t="s">
        <v>1830</v>
      </c>
      <c r="C121" s="223" t="s">
        <v>550</v>
      </c>
      <c r="D121" s="223">
        <v>6</v>
      </c>
      <c r="E121" s="224" t="s">
        <v>1844</v>
      </c>
      <c r="F121" s="239"/>
      <c r="G121" s="239"/>
      <c r="H121" s="239"/>
      <c r="I121" s="239"/>
      <c r="J121" s="239"/>
      <c r="K121" s="223"/>
      <c r="L121" s="222">
        <f t="shared" si="19"/>
        <v>6</v>
      </c>
      <c r="M121" s="222"/>
      <c r="N121" s="239"/>
    </row>
    <row r="122" s="214" customFormat="1" ht="15.95" customHeight="1" spans="1:14">
      <c r="A122" s="223" t="s">
        <v>1954</v>
      </c>
      <c r="B122" s="222" t="s">
        <v>1830</v>
      </c>
      <c r="C122" s="223" t="s">
        <v>550</v>
      </c>
      <c r="D122" s="223">
        <v>6</v>
      </c>
      <c r="E122" s="224" t="s">
        <v>1844</v>
      </c>
      <c r="F122" s="239"/>
      <c r="G122" s="239"/>
      <c r="H122" s="239"/>
      <c r="I122" s="239"/>
      <c r="J122" s="239"/>
      <c r="K122" s="223"/>
      <c r="L122" s="222">
        <f t="shared" si="19"/>
        <v>6</v>
      </c>
      <c r="M122" s="222"/>
      <c r="N122" s="239"/>
    </row>
    <row r="123" s="214" customFormat="1" ht="15.95" customHeight="1" spans="1:14">
      <c r="A123" s="223" t="s">
        <v>1955</v>
      </c>
      <c r="B123" s="222" t="s">
        <v>1830</v>
      </c>
      <c r="C123" s="223" t="s">
        <v>550</v>
      </c>
      <c r="D123" s="223">
        <v>5.5</v>
      </c>
      <c r="E123" s="224" t="s">
        <v>1844</v>
      </c>
      <c r="F123" s="239"/>
      <c r="G123" s="239"/>
      <c r="H123" s="239"/>
      <c r="I123" s="239"/>
      <c r="J123" s="239"/>
      <c r="K123" s="223"/>
      <c r="L123" s="222">
        <f t="shared" si="19"/>
        <v>5.5</v>
      </c>
      <c r="M123" s="239"/>
      <c r="N123" s="239"/>
    </row>
    <row r="124" s="214" customFormat="1" ht="15.95" customHeight="1" spans="1:14">
      <c r="A124" s="223" t="s">
        <v>1956</v>
      </c>
      <c r="B124" s="222" t="s">
        <v>1830</v>
      </c>
      <c r="C124" s="223" t="s">
        <v>550</v>
      </c>
      <c r="D124" s="223">
        <v>6</v>
      </c>
      <c r="E124" s="224" t="s">
        <v>1844</v>
      </c>
      <c r="F124" s="239"/>
      <c r="G124" s="239"/>
      <c r="H124" s="239"/>
      <c r="I124" s="239"/>
      <c r="J124" s="239"/>
      <c r="K124" s="223"/>
      <c r="L124" s="222">
        <f t="shared" si="19"/>
        <v>6</v>
      </c>
      <c r="M124" s="239"/>
      <c r="N124" s="239"/>
    </row>
    <row r="125" s="214" customFormat="1" ht="15.95" customHeight="1" spans="1:14">
      <c r="A125" s="223" t="s">
        <v>1957</v>
      </c>
      <c r="B125" s="222" t="s">
        <v>1830</v>
      </c>
      <c r="C125" s="223" t="s">
        <v>550</v>
      </c>
      <c r="D125" s="223">
        <v>6.5</v>
      </c>
      <c r="E125" s="224" t="s">
        <v>1844</v>
      </c>
      <c r="F125" s="239"/>
      <c r="G125" s="239"/>
      <c r="H125" s="239"/>
      <c r="I125" s="239"/>
      <c r="J125" s="239"/>
      <c r="K125" s="223"/>
      <c r="L125" s="222">
        <f t="shared" si="19"/>
        <v>6.5</v>
      </c>
      <c r="M125" s="239"/>
      <c r="N125" s="239"/>
    </row>
    <row r="126" s="214" customFormat="1" ht="15.95" customHeight="1" spans="1:14">
      <c r="A126" s="223" t="s">
        <v>1958</v>
      </c>
      <c r="B126" s="222" t="s">
        <v>1830</v>
      </c>
      <c r="C126" s="223" t="s">
        <v>769</v>
      </c>
      <c r="D126" s="223">
        <v>5</v>
      </c>
      <c r="E126" s="224" t="s">
        <v>1844</v>
      </c>
      <c r="F126" s="239"/>
      <c r="G126" s="239"/>
      <c r="H126" s="239"/>
      <c r="I126" s="239"/>
      <c r="J126" s="239"/>
      <c r="K126" s="239"/>
      <c r="L126" s="222">
        <f t="shared" si="19"/>
        <v>5</v>
      </c>
      <c r="M126" s="239"/>
      <c r="N126" s="239"/>
    </row>
    <row r="127" s="214" customFormat="1" ht="15.95" customHeight="1" spans="1:14">
      <c r="A127" s="223" t="s">
        <v>1959</v>
      </c>
      <c r="B127" s="222" t="s">
        <v>1830</v>
      </c>
      <c r="C127" s="223" t="s">
        <v>769</v>
      </c>
      <c r="D127" s="223">
        <v>1.5</v>
      </c>
      <c r="E127" s="224" t="s">
        <v>1844</v>
      </c>
      <c r="F127" s="239"/>
      <c r="G127" s="239"/>
      <c r="H127" s="239"/>
      <c r="I127" s="239"/>
      <c r="J127" s="239"/>
      <c r="K127" s="239"/>
      <c r="L127" s="222">
        <f t="shared" si="19"/>
        <v>1.5</v>
      </c>
      <c r="M127" s="239"/>
      <c r="N127" s="239"/>
    </row>
    <row r="128" s="214" customFormat="1" ht="15.95" customHeight="1" spans="1:14">
      <c r="A128" s="223" t="s">
        <v>1960</v>
      </c>
      <c r="B128" s="222" t="s">
        <v>1830</v>
      </c>
      <c r="C128" s="223" t="s">
        <v>632</v>
      </c>
      <c r="D128" s="223">
        <v>3400</v>
      </c>
      <c r="E128" s="224" t="s">
        <v>1844</v>
      </c>
      <c r="F128" s="239"/>
      <c r="G128" s="239"/>
      <c r="H128" s="239"/>
      <c r="I128" s="239"/>
      <c r="J128" s="239"/>
      <c r="K128" s="239"/>
      <c r="L128" s="222">
        <f t="shared" si="19"/>
        <v>3400</v>
      </c>
      <c r="M128" s="239"/>
      <c r="N128" s="239"/>
    </row>
    <row r="129" s="214" customFormat="1" ht="15.95" customHeight="1" spans="1:14">
      <c r="A129" s="223" t="s">
        <v>1961</v>
      </c>
      <c r="B129" s="222" t="s">
        <v>1830</v>
      </c>
      <c r="C129" s="223" t="s">
        <v>632</v>
      </c>
      <c r="D129" s="239">
        <v>1569.23</v>
      </c>
      <c r="E129" s="224" t="s">
        <v>1844</v>
      </c>
      <c r="F129" s="239"/>
      <c r="G129" s="239"/>
      <c r="H129" s="239"/>
      <c r="I129" s="239"/>
      <c r="J129" s="239"/>
      <c r="K129" s="239"/>
      <c r="L129" s="222">
        <f t="shared" si="19"/>
        <v>1569.23</v>
      </c>
      <c r="M129" s="239"/>
      <c r="N129" s="239"/>
    </row>
    <row r="130" s="214" customFormat="1" ht="15.95" customHeight="1" spans="1:14">
      <c r="A130" s="223" t="s">
        <v>1962</v>
      </c>
      <c r="B130" s="222" t="s">
        <v>1830</v>
      </c>
      <c r="C130" s="223" t="s">
        <v>632</v>
      </c>
      <c r="D130" s="239">
        <v>1482.05</v>
      </c>
      <c r="E130" s="224" t="s">
        <v>1844</v>
      </c>
      <c r="F130" s="239"/>
      <c r="G130" s="239"/>
      <c r="H130" s="239"/>
      <c r="I130" s="239"/>
      <c r="J130" s="239"/>
      <c r="K130" s="239"/>
      <c r="L130" s="222">
        <f t="shared" si="19"/>
        <v>1482.05</v>
      </c>
      <c r="M130" s="239"/>
      <c r="N130" s="239"/>
    </row>
    <row r="131" s="214" customFormat="1" ht="15.95" customHeight="1" spans="1:14">
      <c r="A131" s="223" t="s">
        <v>1963</v>
      </c>
      <c r="B131" s="222" t="s">
        <v>1830</v>
      </c>
      <c r="C131" s="223" t="s">
        <v>769</v>
      </c>
      <c r="D131" s="239">
        <v>15.75</v>
      </c>
      <c r="E131" s="224" t="s">
        <v>1844</v>
      </c>
      <c r="F131" s="239"/>
      <c r="G131" s="239"/>
      <c r="H131" s="239"/>
      <c r="I131" s="239"/>
      <c r="J131" s="239"/>
      <c r="K131" s="239"/>
      <c r="L131" s="222">
        <f t="shared" si="19"/>
        <v>15.75</v>
      </c>
      <c r="M131" s="239"/>
      <c r="N131" s="239"/>
    </row>
    <row r="132" s="214" customFormat="1" ht="15.95" customHeight="1" spans="1:14">
      <c r="A132" s="223" t="s">
        <v>1964</v>
      </c>
      <c r="B132" s="222" t="s">
        <v>1830</v>
      </c>
      <c r="C132" s="223" t="s">
        <v>769</v>
      </c>
      <c r="D132" s="239">
        <v>6.4</v>
      </c>
      <c r="E132" s="224" t="s">
        <v>1844</v>
      </c>
      <c r="F132" s="239"/>
      <c r="G132" s="239"/>
      <c r="H132" s="239"/>
      <c r="I132" s="239"/>
      <c r="J132" s="239"/>
      <c r="K132" s="239"/>
      <c r="L132" s="222">
        <f t="shared" si="19"/>
        <v>6.4</v>
      </c>
      <c r="M132" s="239"/>
      <c r="N132" s="239"/>
    </row>
    <row r="133" s="214" customFormat="1" ht="15.95" customHeight="1" spans="1:14">
      <c r="A133" s="223" t="s">
        <v>1965</v>
      </c>
      <c r="B133" s="222" t="s">
        <v>1830</v>
      </c>
      <c r="C133" s="223" t="s">
        <v>769</v>
      </c>
      <c r="D133" s="239">
        <v>3.1</v>
      </c>
      <c r="E133" s="224" t="s">
        <v>1844</v>
      </c>
      <c r="F133" s="239"/>
      <c r="G133" s="239"/>
      <c r="H133" s="239"/>
      <c r="I133" s="239"/>
      <c r="J133" s="239"/>
      <c r="K133" s="239"/>
      <c r="L133" s="222">
        <f t="shared" si="19"/>
        <v>3.1</v>
      </c>
      <c r="M133" s="239"/>
      <c r="N133" s="239"/>
    </row>
    <row r="134" s="214" customFormat="1" ht="15.95" customHeight="1" spans="1:14">
      <c r="A134" s="223" t="s">
        <v>1966</v>
      </c>
      <c r="B134" s="222" t="s">
        <v>1830</v>
      </c>
      <c r="C134" s="223" t="s">
        <v>580</v>
      </c>
      <c r="D134" s="239">
        <v>2905.98</v>
      </c>
      <c r="E134" s="224" t="s">
        <v>1844</v>
      </c>
      <c r="F134" s="239"/>
      <c r="G134" s="239"/>
      <c r="H134" s="239"/>
      <c r="I134" s="239"/>
      <c r="J134" s="239"/>
      <c r="K134" s="239"/>
      <c r="L134" s="222">
        <f t="shared" si="19"/>
        <v>2905.98</v>
      </c>
      <c r="M134" s="239"/>
      <c r="N134" s="239"/>
    </row>
    <row r="135" s="214" customFormat="1" ht="15.95" customHeight="1" spans="1:14">
      <c r="A135" s="223" t="s">
        <v>1967</v>
      </c>
      <c r="B135" s="222" t="s">
        <v>1830</v>
      </c>
      <c r="C135" s="223" t="s">
        <v>580</v>
      </c>
      <c r="D135" s="239">
        <v>10256.41</v>
      </c>
      <c r="E135" s="224" t="s">
        <v>1844</v>
      </c>
      <c r="F135" s="239"/>
      <c r="G135" s="239"/>
      <c r="H135" s="239"/>
      <c r="I135" s="239"/>
      <c r="J135" s="239"/>
      <c r="K135" s="239"/>
      <c r="L135" s="222">
        <f t="shared" si="19"/>
        <v>10256.41</v>
      </c>
      <c r="M135" s="239"/>
      <c r="N135" s="239"/>
    </row>
    <row r="136" s="214" customFormat="1" ht="15.95" customHeight="1" spans="1:14">
      <c r="A136" s="223" t="s">
        <v>1968</v>
      </c>
      <c r="B136" s="222" t="s">
        <v>1830</v>
      </c>
      <c r="C136" s="223" t="s">
        <v>580</v>
      </c>
      <c r="D136" s="239">
        <v>7692.31</v>
      </c>
      <c r="E136" s="224" t="s">
        <v>1844</v>
      </c>
      <c r="F136" s="239"/>
      <c r="G136" s="239"/>
      <c r="H136" s="239"/>
      <c r="I136" s="239"/>
      <c r="J136" s="239"/>
      <c r="K136" s="239"/>
      <c r="L136" s="222">
        <f t="shared" si="19"/>
        <v>7692.31</v>
      </c>
      <c r="M136" s="239"/>
      <c r="N136" s="239"/>
    </row>
    <row r="137" s="214" customFormat="1" ht="15.95" customHeight="1" spans="1:14">
      <c r="A137" s="223" t="s">
        <v>1969</v>
      </c>
      <c r="B137" s="222" t="s">
        <v>1830</v>
      </c>
      <c r="C137" s="223" t="s">
        <v>580</v>
      </c>
      <c r="D137" s="239">
        <v>769.23</v>
      </c>
      <c r="E137" s="224" t="s">
        <v>1844</v>
      </c>
      <c r="F137" s="239"/>
      <c r="G137" s="239"/>
      <c r="H137" s="239"/>
      <c r="I137" s="239"/>
      <c r="J137" s="239"/>
      <c r="K137" s="239"/>
      <c r="L137" s="222">
        <f t="shared" si="19"/>
        <v>769.23</v>
      </c>
      <c r="M137" s="239"/>
      <c r="N137" s="239"/>
    </row>
    <row r="138" s="214" customFormat="1" ht="15.95" customHeight="1" spans="1:14">
      <c r="A138" s="223" t="s">
        <v>1970</v>
      </c>
      <c r="B138" s="222" t="s">
        <v>1830</v>
      </c>
      <c r="C138" s="223" t="s">
        <v>580</v>
      </c>
      <c r="D138" s="239">
        <v>1666.67</v>
      </c>
      <c r="E138" s="224" t="s">
        <v>1844</v>
      </c>
      <c r="F138" s="239"/>
      <c r="G138" s="239"/>
      <c r="H138" s="239"/>
      <c r="I138" s="239"/>
      <c r="J138" s="239"/>
      <c r="K138" s="239"/>
      <c r="L138" s="222">
        <f t="shared" si="19"/>
        <v>1666.67</v>
      </c>
      <c r="M138" s="239"/>
      <c r="N138" s="239"/>
    </row>
    <row r="139" customHeight="1" spans="1:21">
      <c r="A139" s="257" t="s">
        <v>1971</v>
      </c>
      <c r="B139" s="257"/>
      <c r="C139" s="239" t="s">
        <v>552</v>
      </c>
      <c r="D139" s="239">
        <v>170</v>
      </c>
      <c r="E139" s="258"/>
      <c r="F139" s="259"/>
      <c r="G139" s="258"/>
      <c r="H139" s="259"/>
      <c r="I139" s="258"/>
      <c r="J139" s="258"/>
      <c r="K139" s="258"/>
      <c r="L139" s="258"/>
      <c r="M139" s="258"/>
      <c r="P139" s="214"/>
      <c r="Q139" s="214"/>
      <c r="R139" s="214"/>
      <c r="S139" s="214"/>
      <c r="T139" s="214"/>
      <c r="U139" s="214"/>
    </row>
    <row r="140" customHeight="1" spans="1:21">
      <c r="A140" s="257" t="s">
        <v>1972</v>
      </c>
      <c r="B140" s="257"/>
      <c r="C140" s="239" t="s">
        <v>552</v>
      </c>
      <c r="D140" s="239">
        <v>250</v>
      </c>
      <c r="E140" s="258"/>
      <c r="F140" s="259"/>
      <c r="G140" s="258"/>
      <c r="H140" s="259"/>
      <c r="I140" s="258"/>
      <c r="J140" s="258"/>
      <c r="K140" s="258"/>
      <c r="L140" s="258"/>
      <c r="M140" s="258"/>
      <c r="P140" s="214"/>
      <c r="Q140" s="214"/>
      <c r="R140" s="214"/>
      <c r="S140" s="214"/>
      <c r="T140" s="214"/>
      <c r="U140" s="214"/>
    </row>
    <row r="141" customHeight="1" spans="1:21">
      <c r="A141" s="257" t="s">
        <v>1973</v>
      </c>
      <c r="B141" s="257"/>
      <c r="C141" s="239" t="s">
        <v>552</v>
      </c>
      <c r="D141" s="239">
        <v>440</v>
      </c>
      <c r="E141" s="258"/>
      <c r="F141" s="259"/>
      <c r="G141" s="258"/>
      <c r="H141" s="259"/>
      <c r="I141" s="258"/>
      <c r="J141" s="258"/>
      <c r="K141" s="258"/>
      <c r="L141" s="258"/>
      <c r="M141" s="258"/>
      <c r="P141" s="214"/>
      <c r="Q141" s="214"/>
      <c r="R141" s="214"/>
      <c r="S141" s="214"/>
      <c r="T141" s="214"/>
      <c r="U141" s="214"/>
    </row>
    <row r="142" customHeight="1" spans="1:21">
      <c r="A142" s="257" t="s">
        <v>1974</v>
      </c>
      <c r="B142" s="257"/>
      <c r="C142" s="239" t="s">
        <v>552</v>
      </c>
      <c r="D142" s="239">
        <v>550</v>
      </c>
      <c r="E142" s="258"/>
      <c r="F142" s="259"/>
      <c r="G142" s="258"/>
      <c r="H142" s="259"/>
      <c r="I142" s="258"/>
      <c r="J142" s="258"/>
      <c r="K142" s="258"/>
      <c r="L142" s="258"/>
      <c r="M142" s="258"/>
      <c r="P142" s="214"/>
      <c r="Q142" s="214"/>
      <c r="R142" s="214"/>
      <c r="S142" s="214"/>
      <c r="T142" s="214"/>
      <c r="U142" s="214"/>
    </row>
    <row r="143" customHeight="1" spans="1:21">
      <c r="A143" s="257" t="s">
        <v>1975</v>
      </c>
      <c r="B143" s="257"/>
      <c r="C143" s="239" t="s">
        <v>552</v>
      </c>
      <c r="D143" s="239">
        <f>380</f>
        <v>380</v>
      </c>
      <c r="E143" s="258"/>
      <c r="F143" s="259"/>
      <c r="G143" s="258"/>
      <c r="H143" s="259"/>
      <c r="I143" s="258"/>
      <c r="J143" s="258"/>
      <c r="K143" s="258"/>
      <c r="L143" s="258"/>
      <c r="M143" s="258"/>
      <c r="P143" s="214"/>
      <c r="Q143" s="214"/>
      <c r="R143" s="214"/>
      <c r="S143" s="214"/>
      <c r="T143" s="214"/>
      <c r="U143" s="214"/>
    </row>
    <row r="144" customHeight="1" spans="1:21">
      <c r="A144" s="257" t="s">
        <v>1976</v>
      </c>
      <c r="B144" s="257"/>
      <c r="C144" s="239" t="s">
        <v>552</v>
      </c>
      <c r="D144" s="239">
        <v>660</v>
      </c>
      <c r="E144" s="258"/>
      <c r="F144" s="259"/>
      <c r="G144" s="258"/>
      <c r="H144" s="259"/>
      <c r="I144" s="258"/>
      <c r="J144" s="258"/>
      <c r="K144" s="258"/>
      <c r="L144" s="258"/>
      <c r="M144" s="258"/>
      <c r="P144" s="214"/>
      <c r="Q144" s="214"/>
      <c r="R144" s="214"/>
      <c r="S144" s="214"/>
      <c r="T144" s="214"/>
      <c r="U144" s="214"/>
    </row>
    <row r="145" customHeight="1" spans="1:21">
      <c r="A145" s="257" t="s">
        <v>1977</v>
      </c>
      <c r="B145" s="257"/>
      <c r="C145" s="239" t="s">
        <v>552</v>
      </c>
      <c r="D145" s="239">
        <v>810</v>
      </c>
      <c r="E145" s="258"/>
      <c r="F145" s="259"/>
      <c r="G145" s="258"/>
      <c r="H145" s="259"/>
      <c r="I145" s="258"/>
      <c r="J145" s="258"/>
      <c r="K145" s="258"/>
      <c r="L145" s="258"/>
      <c r="M145" s="258"/>
      <c r="P145" s="214"/>
      <c r="Q145" s="214"/>
      <c r="R145" s="214"/>
      <c r="S145" s="214"/>
      <c r="T145" s="214"/>
      <c r="U145" s="214"/>
    </row>
    <row r="146" customHeight="1" spans="1:21">
      <c r="A146" s="257" t="s">
        <v>1978</v>
      </c>
      <c r="B146" s="257"/>
      <c r="C146" s="239" t="s">
        <v>552</v>
      </c>
      <c r="D146" s="239">
        <v>1170</v>
      </c>
      <c r="E146" s="258"/>
      <c r="F146" s="259"/>
      <c r="G146" s="258"/>
      <c r="H146" s="259"/>
      <c r="I146" s="258"/>
      <c r="J146" s="258"/>
      <c r="K146" s="258"/>
      <c r="L146" s="258"/>
      <c r="M146" s="258"/>
      <c r="P146" s="214"/>
      <c r="Q146" s="214"/>
      <c r="R146" s="214"/>
      <c r="S146" s="214"/>
      <c r="T146" s="214"/>
      <c r="U146" s="214"/>
    </row>
    <row r="147" customHeight="1" spans="1:21">
      <c r="A147" s="257" t="s">
        <v>1979</v>
      </c>
      <c r="B147" s="257"/>
      <c r="C147" s="239" t="s">
        <v>552</v>
      </c>
      <c r="D147" s="239">
        <v>1470</v>
      </c>
      <c r="E147" s="258"/>
      <c r="F147" s="259"/>
      <c r="G147" s="258"/>
      <c r="H147" s="259"/>
      <c r="I147" s="258"/>
      <c r="J147" s="258"/>
      <c r="K147" s="258"/>
      <c r="L147" s="258"/>
      <c r="M147" s="258"/>
      <c r="P147" s="214"/>
      <c r="Q147" s="214"/>
      <c r="R147" s="214"/>
      <c r="S147" s="214"/>
      <c r="T147" s="214"/>
      <c r="U147" s="214"/>
    </row>
    <row r="148" customHeight="1" spans="1:21">
      <c r="A148" s="257" t="s">
        <v>1980</v>
      </c>
      <c r="B148" s="257"/>
      <c r="C148" s="239" t="s">
        <v>1981</v>
      </c>
      <c r="D148" s="239">
        <v>174</v>
      </c>
      <c r="E148" s="258"/>
      <c r="F148" s="259"/>
      <c r="G148" s="258"/>
      <c r="H148" s="259"/>
      <c r="I148" s="258"/>
      <c r="J148" s="258"/>
      <c r="K148" s="258"/>
      <c r="L148" s="258"/>
      <c r="M148" s="258"/>
      <c r="P148" s="214"/>
      <c r="Q148" s="214"/>
      <c r="R148" s="214"/>
      <c r="S148" s="214"/>
      <c r="T148" s="214"/>
      <c r="U148" s="214"/>
    </row>
    <row r="149" customHeight="1" spans="1:21">
      <c r="A149" s="257" t="s">
        <v>1982</v>
      </c>
      <c r="B149" s="257"/>
      <c r="C149" s="239" t="s">
        <v>1981</v>
      </c>
      <c r="D149" s="239">
        <v>220</v>
      </c>
      <c r="E149" s="258"/>
      <c r="F149" s="259"/>
      <c r="G149" s="258"/>
      <c r="H149" s="259"/>
      <c r="I149" s="258"/>
      <c r="J149" s="258"/>
      <c r="K149" s="258"/>
      <c r="L149" s="258"/>
      <c r="M149" s="258"/>
      <c r="P149" s="214"/>
      <c r="Q149" s="214"/>
      <c r="R149" s="214"/>
      <c r="S149" s="214"/>
      <c r="T149" s="214"/>
      <c r="U149" s="214"/>
    </row>
    <row r="150" customHeight="1" spans="1:21">
      <c r="A150" s="257" t="s">
        <v>1983</v>
      </c>
      <c r="B150" s="257"/>
      <c r="C150" s="239" t="s">
        <v>1981</v>
      </c>
      <c r="D150" s="239">
        <v>300</v>
      </c>
      <c r="E150" s="258"/>
      <c r="F150" s="259"/>
      <c r="G150" s="258"/>
      <c r="H150" s="259"/>
      <c r="I150" s="258"/>
      <c r="J150" s="258"/>
      <c r="K150" s="258"/>
      <c r="L150" s="258"/>
      <c r="M150" s="258"/>
      <c r="P150" s="214"/>
      <c r="Q150" s="214"/>
      <c r="R150" s="214"/>
      <c r="S150" s="214"/>
      <c r="T150" s="214"/>
      <c r="U150" s="214"/>
    </row>
    <row r="151" customHeight="1" spans="1:21">
      <c r="A151" s="257" t="s">
        <v>1984</v>
      </c>
      <c r="B151" s="257"/>
      <c r="C151" s="239" t="s">
        <v>1981</v>
      </c>
      <c r="D151" s="239">
        <v>343</v>
      </c>
      <c r="E151" s="258"/>
      <c r="F151" s="259"/>
      <c r="G151" s="258"/>
      <c r="H151" s="259"/>
      <c r="I151" s="258"/>
      <c r="J151" s="258"/>
      <c r="K151" s="258"/>
      <c r="L151" s="258"/>
      <c r="M151" s="258"/>
      <c r="P151" s="214"/>
      <c r="Q151" s="214"/>
      <c r="R151" s="214"/>
      <c r="S151" s="214"/>
      <c r="T151" s="214"/>
      <c r="U151" s="214"/>
    </row>
    <row r="152" customHeight="1" spans="1:21">
      <c r="A152" s="257" t="s">
        <v>1985</v>
      </c>
      <c r="B152" s="257"/>
      <c r="C152" s="239" t="s">
        <v>1981</v>
      </c>
      <c r="D152" s="239">
        <v>467</v>
      </c>
      <c r="E152" s="258"/>
      <c r="F152" s="259"/>
      <c r="G152" s="258"/>
      <c r="H152" s="259"/>
      <c r="I152" s="258"/>
      <c r="J152" s="258"/>
      <c r="K152" s="258"/>
      <c r="L152" s="258"/>
      <c r="M152" s="258"/>
      <c r="P152" s="214"/>
      <c r="Q152" s="214"/>
      <c r="R152" s="214"/>
      <c r="S152" s="214"/>
      <c r="T152" s="214"/>
      <c r="U152" s="214"/>
    </row>
    <row r="153" customHeight="1" spans="1:21">
      <c r="A153" s="257" t="s">
        <v>1986</v>
      </c>
      <c r="B153" s="257"/>
      <c r="C153" s="239" t="s">
        <v>1981</v>
      </c>
      <c r="D153" s="239">
        <v>632</v>
      </c>
      <c r="E153" s="258"/>
      <c r="F153" s="259"/>
      <c r="G153" s="258"/>
      <c r="H153" s="259"/>
      <c r="I153" s="258"/>
      <c r="J153" s="258"/>
      <c r="K153" s="258"/>
      <c r="L153" s="258"/>
      <c r="M153" s="258"/>
      <c r="P153" s="214"/>
      <c r="Q153" s="214"/>
      <c r="R153" s="214"/>
      <c r="S153" s="214"/>
      <c r="T153" s="214"/>
      <c r="U153" s="214"/>
    </row>
    <row r="154" customHeight="1" spans="1:21">
      <c r="A154" s="257" t="s">
        <v>1987</v>
      </c>
      <c r="B154" s="257"/>
      <c r="C154" s="239" t="s">
        <v>552</v>
      </c>
      <c r="D154" s="239">
        <v>265</v>
      </c>
      <c r="E154" s="258"/>
      <c r="F154" s="259"/>
      <c r="G154" s="258"/>
      <c r="H154" s="259"/>
      <c r="I154" s="258"/>
      <c r="J154" s="258"/>
      <c r="K154" s="258"/>
      <c r="L154" s="258"/>
      <c r="M154" s="258"/>
      <c r="P154" s="214"/>
      <c r="Q154" s="214"/>
      <c r="R154" s="214"/>
      <c r="S154" s="214"/>
      <c r="T154" s="214"/>
      <c r="U154" s="214"/>
    </row>
    <row r="155" customHeight="1" spans="1:21">
      <c r="A155" s="257" t="s">
        <v>1988</v>
      </c>
      <c r="B155" s="257"/>
      <c r="C155" s="239" t="s">
        <v>552</v>
      </c>
      <c r="D155" s="239">
        <v>395</v>
      </c>
      <c r="E155" s="258"/>
      <c r="F155" s="259"/>
      <c r="G155" s="258"/>
      <c r="H155" s="259"/>
      <c r="I155" s="258"/>
      <c r="J155" s="258"/>
      <c r="K155" s="258"/>
      <c r="L155" s="258"/>
      <c r="M155" s="258"/>
      <c r="P155" s="214"/>
      <c r="Q155" s="214"/>
      <c r="R155" s="214"/>
      <c r="S155" s="214"/>
      <c r="T155" s="214"/>
      <c r="U155" s="214"/>
    </row>
    <row r="156" customHeight="1" spans="1:21">
      <c r="A156" s="257" t="s">
        <v>1989</v>
      </c>
      <c r="B156" s="257"/>
      <c r="C156" s="239" t="s">
        <v>552</v>
      </c>
      <c r="D156" s="239">
        <v>1450</v>
      </c>
      <c r="E156" s="258"/>
      <c r="F156" s="259"/>
      <c r="G156" s="258"/>
      <c r="H156" s="259"/>
      <c r="I156" s="258"/>
      <c r="J156" s="258"/>
      <c r="K156" s="258"/>
      <c r="L156" s="258"/>
      <c r="M156" s="258"/>
      <c r="P156" s="214"/>
      <c r="Q156" s="214"/>
      <c r="R156" s="214"/>
      <c r="S156" s="214"/>
      <c r="T156" s="214"/>
      <c r="U156" s="214"/>
    </row>
    <row r="157" customHeight="1" spans="1:13">
      <c r="A157" s="257" t="s">
        <v>1990</v>
      </c>
      <c r="B157" s="257"/>
      <c r="C157" s="239" t="s">
        <v>552</v>
      </c>
      <c r="D157" s="239">
        <v>1880</v>
      </c>
      <c r="E157" s="258"/>
      <c r="F157" s="259"/>
      <c r="G157" s="258"/>
      <c r="H157" s="259"/>
      <c r="I157" s="258"/>
      <c r="J157" s="258"/>
      <c r="K157" s="258"/>
      <c r="L157" s="258"/>
      <c r="M157" s="258"/>
    </row>
    <row r="158" customHeight="1" spans="1:13">
      <c r="A158" s="257" t="s">
        <v>1991</v>
      </c>
      <c r="B158" s="258"/>
      <c r="C158" s="239" t="s">
        <v>552</v>
      </c>
      <c r="D158" s="239">
        <v>2440</v>
      </c>
      <c r="E158" s="258"/>
      <c r="F158" s="259"/>
      <c r="G158" s="258"/>
      <c r="H158" s="259"/>
      <c r="I158" s="258"/>
      <c r="J158" s="258"/>
      <c r="K158" s="258"/>
      <c r="L158" s="258"/>
      <c r="M158" s="258"/>
    </row>
    <row r="159" customHeight="1" spans="1:13">
      <c r="A159" s="257" t="s">
        <v>1992</v>
      </c>
      <c r="B159" s="258"/>
      <c r="C159" s="239" t="s">
        <v>552</v>
      </c>
      <c r="D159" s="239">
        <v>2090</v>
      </c>
      <c r="E159" s="258"/>
      <c r="F159" s="259"/>
      <c r="G159" s="258"/>
      <c r="H159" s="259"/>
      <c r="I159" s="258"/>
      <c r="J159" s="258"/>
      <c r="K159" s="258"/>
      <c r="L159" s="258"/>
      <c r="M159" s="258"/>
    </row>
    <row r="160" customHeight="1" spans="1:13">
      <c r="A160" s="257" t="s">
        <v>1993</v>
      </c>
      <c r="B160" s="258"/>
      <c r="C160" s="239" t="s">
        <v>552</v>
      </c>
      <c r="D160" s="239">
        <v>3400</v>
      </c>
      <c r="E160" s="258"/>
      <c r="F160" s="259"/>
      <c r="G160" s="258"/>
      <c r="H160" s="259"/>
      <c r="I160" s="258"/>
      <c r="J160" s="258"/>
      <c r="K160" s="258"/>
      <c r="L160" s="258"/>
      <c r="M160" s="258"/>
    </row>
    <row r="161" customHeight="1" spans="1:13">
      <c r="A161" s="257" t="s">
        <v>1994</v>
      </c>
      <c r="B161" s="258"/>
      <c r="C161" s="239" t="s">
        <v>552</v>
      </c>
      <c r="D161" s="239">
        <v>1850</v>
      </c>
      <c r="E161" s="258"/>
      <c r="F161" s="259"/>
      <c r="G161" s="258"/>
      <c r="H161" s="259"/>
      <c r="I161" s="258"/>
      <c r="J161" s="258"/>
      <c r="K161" s="258"/>
      <c r="L161" s="258"/>
      <c r="M161" s="258"/>
    </row>
    <row r="162" customHeight="1" spans="1:1">
      <c r="A162" s="260"/>
    </row>
  </sheetData>
  <mergeCells count="16">
    <mergeCell ref="A1:N1"/>
    <mergeCell ref="P1:R1"/>
    <mergeCell ref="F2:L2"/>
    <mergeCell ref="M2:N2"/>
    <mergeCell ref="Q2:R2"/>
    <mergeCell ref="A4:B4"/>
    <mergeCell ref="A23:B23"/>
    <mergeCell ref="P31:S31"/>
    <mergeCell ref="P33:Q33"/>
    <mergeCell ref="R33:S33"/>
    <mergeCell ref="P40:U40"/>
    <mergeCell ref="A45:B45"/>
    <mergeCell ref="A63:B63"/>
    <mergeCell ref="A110:B110"/>
    <mergeCell ref="P36:Q37"/>
    <mergeCell ref="R36:S37"/>
  </mergeCells>
  <pageMargins left="0.429166666666667" right="0.309027777777778" top="0.669444444444445" bottom="0.588888888888889" header="0.509027777777778" footer="0.509027777777778"/>
  <pageSetup paperSize="9" scale="97" orientation="landscape"/>
  <headerFooter alignWithMargins="0" scaleWithDoc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576"/>
  <sheetViews>
    <sheetView workbookViewId="0">
      <selection activeCell="A1" sqref="A1:O1"/>
    </sheetView>
  </sheetViews>
  <sheetFormatPr defaultColWidth="9" defaultRowHeight="14.25"/>
  <cols>
    <col min="1" max="1" width="5.625" style="1" customWidth="1"/>
    <col min="2" max="2" width="11.125" style="1" customWidth="1"/>
    <col min="3" max="3" width="7.125" style="1" customWidth="1"/>
    <col min="4" max="4" width="6.5" style="1" customWidth="1"/>
    <col min="5" max="5" width="8.5" style="1" customWidth="1"/>
    <col min="6" max="6" width="9" style="1"/>
    <col min="7" max="7" width="7.875" style="1" customWidth="1"/>
    <col min="8" max="8" width="8.25" style="1" customWidth="1"/>
    <col min="9" max="9" width="8.125" style="1" customWidth="1"/>
    <col min="10" max="10" width="7.75" style="1" customWidth="1"/>
    <col min="11" max="11" width="7.375" style="1" customWidth="1"/>
    <col min="12" max="12" width="7.125" style="1" customWidth="1"/>
    <col min="13" max="13" width="7" style="1" customWidth="1"/>
    <col min="14" max="14" width="7.375" style="1" customWidth="1"/>
    <col min="15" max="15" width="8.5" style="1" customWidth="1"/>
    <col min="16" max="16384" width="9" style="1"/>
  </cols>
  <sheetData>
    <row r="1" ht="26.1" customHeight="1" spans="1:15">
      <c r="A1" s="124" t="s">
        <v>1995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</row>
    <row r="2" s="202" customFormat="1" ht="12.95" customHeight="1" spans="1:15">
      <c r="A2" s="203" t="s">
        <v>1996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</row>
    <row r="3" ht="21.95" customHeight="1" spans="1:16">
      <c r="A3" s="204" t="s">
        <v>458</v>
      </c>
      <c r="B3" s="204" t="s">
        <v>1997</v>
      </c>
      <c r="C3" s="204" t="s">
        <v>1998</v>
      </c>
      <c r="D3" s="204" t="s">
        <v>1999</v>
      </c>
      <c r="E3" s="148" t="s">
        <v>2000</v>
      </c>
      <c r="F3" s="148"/>
      <c r="G3" s="148" t="s">
        <v>2001</v>
      </c>
      <c r="H3" s="148"/>
      <c r="I3" s="148" t="s">
        <v>2002</v>
      </c>
      <c r="J3" s="148"/>
      <c r="K3" s="209" t="s">
        <v>2003</v>
      </c>
      <c r="L3" s="210"/>
      <c r="M3" s="148" t="s">
        <v>2004</v>
      </c>
      <c r="N3" s="148"/>
      <c r="O3" s="204" t="s">
        <v>2005</v>
      </c>
      <c r="P3" s="140"/>
    </row>
    <row r="4" ht="21.95" customHeight="1" spans="1:16">
      <c r="A4" s="205"/>
      <c r="B4" s="205"/>
      <c r="C4" s="205"/>
      <c r="D4" s="205"/>
      <c r="E4" s="148" t="s">
        <v>2006</v>
      </c>
      <c r="F4" s="148" t="s">
        <v>2007</v>
      </c>
      <c r="G4" s="148" t="s">
        <v>2006</v>
      </c>
      <c r="H4" s="148" t="s">
        <v>2007</v>
      </c>
      <c r="I4" s="148" t="s">
        <v>2006</v>
      </c>
      <c r="J4" s="148" t="s">
        <v>2007</v>
      </c>
      <c r="K4" s="148" t="s">
        <v>2006</v>
      </c>
      <c r="L4" s="148" t="s">
        <v>2007</v>
      </c>
      <c r="M4" s="148" t="s">
        <v>2006</v>
      </c>
      <c r="N4" s="148" t="s">
        <v>2007</v>
      </c>
      <c r="O4" s="205"/>
      <c r="P4" s="140"/>
    </row>
    <row r="5" ht="21.95" customHeight="1" spans="1:15">
      <c r="A5" s="148">
        <v>1</v>
      </c>
      <c r="B5" s="148" t="s">
        <v>2008</v>
      </c>
      <c r="C5" s="148">
        <v>42.5</v>
      </c>
      <c r="D5" s="148">
        <v>2</v>
      </c>
      <c r="E5" s="206">
        <f>1.07*1.1*0.86*'附录-混凝土配合比'!J6/1000</f>
        <v>0.21054176</v>
      </c>
      <c r="F5" s="206">
        <f>材料预算价!M5</f>
        <v>255</v>
      </c>
      <c r="G5" s="206">
        <f>0.98*1.1*'附录-混凝土配合比'!L6</f>
        <v>0.5929</v>
      </c>
      <c r="H5" s="206">
        <f>材料预算价!M7</f>
        <v>70</v>
      </c>
      <c r="I5" s="206">
        <f>0.98*1.06*'附录-混凝土配合比'!N6</f>
        <v>0.820652</v>
      </c>
      <c r="J5" s="206">
        <f>材料预算价!M8</f>
        <v>70</v>
      </c>
      <c r="K5" s="206"/>
      <c r="L5" s="206"/>
      <c r="M5" s="206">
        <f>1.07*1.1*'附录-混凝土配合比'!O6</f>
        <v>0.17655</v>
      </c>
      <c r="N5" s="206">
        <f>材料预算价!L15</f>
        <v>3.88349514563107</v>
      </c>
      <c r="O5" s="206">
        <f>E5*F5+G5*H5+I5*J5+K5*L5+M5*N5</f>
        <v>153.322419867961</v>
      </c>
    </row>
    <row r="6" ht="21.95" customHeight="1" spans="1:15">
      <c r="A6" s="148">
        <v>2</v>
      </c>
      <c r="B6" s="148" t="s">
        <v>2009</v>
      </c>
      <c r="C6" s="148">
        <v>42.5</v>
      </c>
      <c r="D6" s="148">
        <v>2</v>
      </c>
      <c r="E6" s="206">
        <f>1.07*1.1*0.86*'附录-混凝土配合比'!J10/1000</f>
        <v>0.24495724</v>
      </c>
      <c r="F6" s="206">
        <f>F5</f>
        <v>255</v>
      </c>
      <c r="G6" s="206">
        <f>0.98*1.1*'附录-混凝土配合比'!L10</f>
        <v>0.56056</v>
      </c>
      <c r="H6" s="206">
        <f>H5</f>
        <v>70</v>
      </c>
      <c r="I6" s="206">
        <f>0.98*1.06*'附录-混凝土配合比'!N10</f>
        <v>0.841428</v>
      </c>
      <c r="J6" s="206">
        <f>J5</f>
        <v>70</v>
      </c>
      <c r="K6" s="206"/>
      <c r="L6" s="206"/>
      <c r="M6" s="206">
        <f>1.07*1.1*'附录-混凝土配合比'!O10</f>
        <v>0.17655</v>
      </c>
      <c r="N6" s="206">
        <f>N5</f>
        <v>3.88349514563107</v>
      </c>
      <c r="O6" s="206">
        <f t="shared" ref="O6:O22" si="0">E6*F6+G6*H6+I6*J6+K6*L6+M6*N6</f>
        <v>161.288887267961</v>
      </c>
    </row>
    <row r="7" ht="21.95" customHeight="1" spans="1:15">
      <c r="A7" s="148">
        <v>3</v>
      </c>
      <c r="B7" s="148" t="s">
        <v>2010</v>
      </c>
      <c r="C7" s="207">
        <v>42.5</v>
      </c>
      <c r="D7" s="207">
        <v>2</v>
      </c>
      <c r="E7" s="208">
        <f>1.07*1.1*'附录-混凝土配合比'!J18/1000</f>
        <v>0.307197</v>
      </c>
      <c r="F7" s="206">
        <f t="shared" ref="F7:F22" si="1">F6</f>
        <v>255</v>
      </c>
      <c r="G7" s="206">
        <f>0.98*1.1*'附录-混凝土配合比'!L18</f>
        <v>0.54978</v>
      </c>
      <c r="H7" s="206">
        <f t="shared" ref="H7:H22" si="2">H6</f>
        <v>70</v>
      </c>
      <c r="I7" s="206">
        <f>0.98*1.06*'附录-混凝土配合比'!N18</f>
        <v>0.841428</v>
      </c>
      <c r="J7" s="206">
        <f t="shared" ref="J7:J22" si="3">J6</f>
        <v>70</v>
      </c>
      <c r="K7" s="206"/>
      <c r="L7" s="206"/>
      <c r="M7" s="206">
        <f>1.07*1.1*'附录-混凝土配合比'!O18</f>
        <v>0.17655</v>
      </c>
      <c r="N7" s="206">
        <f t="shared" ref="N7:N22" si="4">N6</f>
        <v>3.88349514563107</v>
      </c>
      <c r="O7" s="206">
        <f t="shared" si="0"/>
        <v>176.405426067961</v>
      </c>
    </row>
    <row r="8" ht="21.95" customHeight="1" spans="1:15">
      <c r="A8" s="148">
        <v>4</v>
      </c>
      <c r="B8" s="148" t="s">
        <v>2011</v>
      </c>
      <c r="C8" s="207">
        <v>42.5</v>
      </c>
      <c r="D8" s="207">
        <v>1</v>
      </c>
      <c r="E8" s="208">
        <f>1.07*1.1*'附录-混凝土配合比'!Z17/1000</f>
        <v>0.310728</v>
      </c>
      <c r="F8" s="206">
        <f t="shared" si="1"/>
        <v>255</v>
      </c>
      <c r="G8" s="206">
        <f>0.98*1.1*'附录-混凝土配合比'!AB17</f>
        <v>0.60368</v>
      </c>
      <c r="H8" s="206">
        <f t="shared" si="2"/>
        <v>70</v>
      </c>
      <c r="I8" s="206">
        <f>0.98*1.06*'附录-混凝土配合比'!AD17</f>
        <v>0.747936</v>
      </c>
      <c r="J8" s="206">
        <f t="shared" si="3"/>
        <v>70</v>
      </c>
      <c r="K8" s="206">
        <f>'附录-混凝土配合比'!AE17</f>
        <v>0.53</v>
      </c>
      <c r="L8" s="206">
        <v>10</v>
      </c>
      <c r="M8" s="206">
        <f>1.07*1.1*'附录-混凝土配合比'!AF17</f>
        <v>0.20009</v>
      </c>
      <c r="N8" s="206">
        <f t="shared" si="4"/>
        <v>3.88349514563107</v>
      </c>
      <c r="O8" s="206">
        <f t="shared" si="0"/>
        <v>179.925808543689</v>
      </c>
    </row>
    <row r="9" ht="21.95" customHeight="1" spans="1:15">
      <c r="A9" s="148">
        <v>5</v>
      </c>
      <c r="B9" s="148" t="s">
        <v>2012</v>
      </c>
      <c r="C9" s="148">
        <v>42.5</v>
      </c>
      <c r="D9" s="207">
        <v>2</v>
      </c>
      <c r="E9" s="208">
        <f>1.07*1.1*'附录-混凝土配合比'!J26/1000</f>
        <v>0.340153</v>
      </c>
      <c r="F9" s="206">
        <f t="shared" si="1"/>
        <v>255</v>
      </c>
      <c r="G9" s="206">
        <f>0.98*1.1*'附录-混凝土配合比'!L26</f>
        <v>0.52822</v>
      </c>
      <c r="H9" s="206">
        <f t="shared" si="2"/>
        <v>70</v>
      </c>
      <c r="I9" s="206">
        <f>0.98*1.06*'附录-混凝土配合比'!N26</f>
        <v>0.841428</v>
      </c>
      <c r="J9" s="206">
        <f t="shared" si="3"/>
        <v>70</v>
      </c>
      <c r="K9" s="206"/>
      <c r="L9" s="206"/>
      <c r="M9" s="206">
        <f>1.07*1.1*'附录-混凝土配合比'!O26</f>
        <v>0.17655</v>
      </c>
      <c r="N9" s="206">
        <f t="shared" si="4"/>
        <v>3.88349514563107</v>
      </c>
      <c r="O9" s="206">
        <f t="shared" si="0"/>
        <v>183.300006067961</v>
      </c>
    </row>
    <row r="10" ht="21.95" customHeight="1" spans="1:15">
      <c r="A10" s="148">
        <v>6</v>
      </c>
      <c r="B10" s="148" t="s">
        <v>2013</v>
      </c>
      <c r="C10" s="207">
        <v>42.5</v>
      </c>
      <c r="D10" s="148">
        <v>2</v>
      </c>
      <c r="E10" s="206">
        <f>1.07*1.1*'附录-混凝土配合比'!J34/1000</f>
        <v>0.36487</v>
      </c>
      <c r="F10" s="206">
        <f t="shared" si="1"/>
        <v>255</v>
      </c>
      <c r="G10" s="206">
        <f>0.98*1.1*'附录-混凝土配合比'!L34</f>
        <v>0.50666</v>
      </c>
      <c r="H10" s="206">
        <f t="shared" si="2"/>
        <v>70</v>
      </c>
      <c r="I10" s="206">
        <f>0.98*1.06*'附录-混凝土配合比'!N34</f>
        <v>0.841428</v>
      </c>
      <c r="J10" s="206">
        <f t="shared" si="3"/>
        <v>70</v>
      </c>
      <c r="K10" s="206"/>
      <c r="L10" s="206"/>
      <c r="M10" s="206">
        <f>1.07*1.1*'附录-混凝土配合比'!O34</f>
        <v>0.17655</v>
      </c>
      <c r="N10" s="206">
        <f t="shared" si="4"/>
        <v>3.88349514563107</v>
      </c>
      <c r="O10" s="206">
        <f t="shared" si="0"/>
        <v>188.093641067961</v>
      </c>
    </row>
    <row r="11" ht="21.95" customHeight="1" spans="1:15">
      <c r="A11" s="148">
        <v>7</v>
      </c>
      <c r="B11" s="148" t="s">
        <v>2014</v>
      </c>
      <c r="C11" s="148">
        <v>42.5</v>
      </c>
      <c r="D11" s="207">
        <v>2</v>
      </c>
      <c r="E11" s="206">
        <f>1.07*1.1*'附录-混凝土配合比'!J42/1000</f>
        <v>0.403711</v>
      </c>
      <c r="F11" s="206">
        <f t="shared" si="1"/>
        <v>255</v>
      </c>
      <c r="G11" s="206">
        <f>0.98*1.1*'附录-混凝土配合比'!L42</f>
        <v>0.4851</v>
      </c>
      <c r="H11" s="206">
        <f t="shared" si="2"/>
        <v>70</v>
      </c>
      <c r="I11" s="206">
        <f>0.98*1.06*'附录-混凝土配合比'!N42</f>
        <v>0.841428</v>
      </c>
      <c r="J11" s="206">
        <f t="shared" si="3"/>
        <v>70</v>
      </c>
      <c r="K11" s="206"/>
      <c r="L11" s="206"/>
      <c r="M11" s="206">
        <f>1.07*1.1*'附录-混凝土配合比'!O42</f>
        <v>0.17655</v>
      </c>
      <c r="N11" s="206">
        <f t="shared" si="4"/>
        <v>3.88349514563107</v>
      </c>
      <c r="O11" s="206">
        <f t="shared" si="0"/>
        <v>196.488896067961</v>
      </c>
    </row>
    <row r="12" ht="21.95" customHeight="1" spans="1:15">
      <c r="A12" s="148">
        <v>8</v>
      </c>
      <c r="B12" s="148" t="s">
        <v>2015</v>
      </c>
      <c r="C12" s="207">
        <v>42.5</v>
      </c>
      <c r="D12" s="148">
        <v>2</v>
      </c>
      <c r="E12" s="206">
        <f>1.07*1.1*'附录-混凝土配合比'!J46/1000</f>
        <v>0.451968</v>
      </c>
      <c r="F12" s="206">
        <f t="shared" si="1"/>
        <v>255</v>
      </c>
      <c r="G12" s="206">
        <f>0.98*1.1*'附录-混凝土配合比'!L46</f>
        <v>0.49588</v>
      </c>
      <c r="H12" s="206">
        <f t="shared" si="2"/>
        <v>70</v>
      </c>
      <c r="I12" s="206">
        <f>0.98*1.06*'附录-混凝土配合比'!N46</f>
        <v>0.820652</v>
      </c>
      <c r="J12" s="206">
        <f t="shared" si="3"/>
        <v>70</v>
      </c>
      <c r="K12" s="206"/>
      <c r="L12" s="206"/>
      <c r="M12" s="206">
        <f>1.07*1.1*'附录-混凝土配合比'!O46</f>
        <v>0.17655</v>
      </c>
      <c r="N12" s="206">
        <f t="shared" si="4"/>
        <v>3.88349514563107</v>
      </c>
      <c r="O12" s="206">
        <f t="shared" si="0"/>
        <v>208.094711067961</v>
      </c>
    </row>
    <row r="13" ht="21.95" customHeight="1" spans="1:15">
      <c r="A13" s="148">
        <v>9</v>
      </c>
      <c r="B13" s="148" t="s">
        <v>2016</v>
      </c>
      <c r="C13" s="148">
        <v>42.5</v>
      </c>
      <c r="D13" s="148">
        <v>1</v>
      </c>
      <c r="E13" s="206">
        <f>1.07*1.1*'附录-混凝土配合比'!J49/1000</f>
        <v>0.536712</v>
      </c>
      <c r="F13" s="206">
        <f t="shared" si="1"/>
        <v>255</v>
      </c>
      <c r="G13" s="206">
        <f>0.98*1.1*'附录-混凝土配合比'!L49</f>
        <v>0.3773</v>
      </c>
      <c r="H13" s="206">
        <f t="shared" si="2"/>
        <v>70</v>
      </c>
      <c r="I13" s="206">
        <f>0.98*1.06*'附录-混凝土配合比'!N49</f>
        <v>0.924532</v>
      </c>
      <c r="J13" s="206">
        <f t="shared" si="3"/>
        <v>70</v>
      </c>
      <c r="K13" s="206"/>
      <c r="L13" s="206"/>
      <c r="M13" s="206">
        <f>1.07*1.1*'附录-混凝土配合比'!O49</f>
        <v>0.147125</v>
      </c>
      <c r="N13" s="206">
        <f t="shared" si="4"/>
        <v>3.88349514563107</v>
      </c>
      <c r="O13" s="206">
        <f t="shared" si="0"/>
        <v>228.561159223301</v>
      </c>
    </row>
    <row r="14" ht="21.95" customHeight="1" spans="1:15">
      <c r="A14" s="148">
        <v>10</v>
      </c>
      <c r="B14" s="3" t="s">
        <v>2017</v>
      </c>
      <c r="C14" s="207">
        <v>42.5</v>
      </c>
      <c r="D14" s="148" t="s">
        <v>1831</v>
      </c>
      <c r="E14" s="206">
        <f>1.07*0.86*'附录-混凝土配合比'!C55/1000</f>
        <v>0.1941622</v>
      </c>
      <c r="F14" s="206">
        <f t="shared" si="1"/>
        <v>255</v>
      </c>
      <c r="G14" s="206">
        <f>0.98*'附录-混凝土配合比'!D55</f>
        <v>1.1074</v>
      </c>
      <c r="H14" s="206">
        <f t="shared" si="2"/>
        <v>70</v>
      </c>
      <c r="I14" s="206"/>
      <c r="J14" s="206">
        <f t="shared" si="3"/>
        <v>70</v>
      </c>
      <c r="K14" s="206"/>
      <c r="L14" s="206"/>
      <c r="M14" s="206">
        <f>1.07*'附录-混凝土配合比'!E55</f>
        <v>0.13589</v>
      </c>
      <c r="N14" s="206">
        <f t="shared" si="4"/>
        <v>3.88349514563107</v>
      </c>
      <c r="O14" s="206">
        <f t="shared" si="0"/>
        <v>127.55708915534</v>
      </c>
    </row>
    <row r="15" ht="21.95" customHeight="1" spans="1:15">
      <c r="A15" s="148">
        <v>11</v>
      </c>
      <c r="B15" s="3" t="s">
        <v>2018</v>
      </c>
      <c r="C15" s="148">
        <v>42.5</v>
      </c>
      <c r="D15" s="148" t="s">
        <v>1831</v>
      </c>
      <c r="E15" s="206">
        <f>1.07*0.86*'附录-混凝土配合比'!C56/1000</f>
        <v>0.2401722</v>
      </c>
      <c r="F15" s="206">
        <f t="shared" si="1"/>
        <v>255</v>
      </c>
      <c r="G15" s="206">
        <f>0.98*'附录-混凝土配合比'!D56</f>
        <v>1.0878</v>
      </c>
      <c r="H15" s="206">
        <f t="shared" si="2"/>
        <v>70</v>
      </c>
      <c r="I15" s="206"/>
      <c r="J15" s="206">
        <f t="shared" si="3"/>
        <v>70</v>
      </c>
      <c r="K15" s="206"/>
      <c r="L15" s="206"/>
      <c r="M15" s="206">
        <f>1.07*'附录-混凝土配合比'!E56</f>
        <v>0.16799</v>
      </c>
      <c r="N15" s="206">
        <f t="shared" si="4"/>
        <v>3.88349514563107</v>
      </c>
      <c r="O15" s="206">
        <f t="shared" si="0"/>
        <v>138.042299349515</v>
      </c>
    </row>
    <row r="16" ht="21.95" customHeight="1" spans="1:15">
      <c r="A16" s="148">
        <v>12</v>
      </c>
      <c r="B16" s="3" t="s">
        <v>2019</v>
      </c>
      <c r="C16" s="207">
        <v>42.5</v>
      </c>
      <c r="D16" s="148" t="s">
        <v>1831</v>
      </c>
      <c r="E16" s="206">
        <f>1.07*0.86*'附录-混凝土配合比'!C57/1000</f>
        <v>0.280661</v>
      </c>
      <c r="F16" s="206">
        <f t="shared" si="1"/>
        <v>255</v>
      </c>
      <c r="G16" s="206">
        <f>0.98*'附录-混凝土配合比'!D57</f>
        <v>1.078</v>
      </c>
      <c r="H16" s="206">
        <f t="shared" si="2"/>
        <v>70</v>
      </c>
      <c r="I16" s="206"/>
      <c r="J16" s="206">
        <f t="shared" si="3"/>
        <v>70</v>
      </c>
      <c r="K16" s="206"/>
      <c r="L16" s="206"/>
      <c r="M16" s="206">
        <f>1.07*'附录-混凝土配合比'!E57</f>
        <v>0.19581</v>
      </c>
      <c r="N16" s="206">
        <f t="shared" si="4"/>
        <v>3.88349514563107</v>
      </c>
      <c r="O16" s="206">
        <f t="shared" si="0"/>
        <v>147.788982184466</v>
      </c>
    </row>
    <row r="17" ht="21.95" customHeight="1" spans="1:15">
      <c r="A17" s="148">
        <v>13</v>
      </c>
      <c r="B17" s="3" t="s">
        <v>2020</v>
      </c>
      <c r="C17" s="148">
        <v>42.5</v>
      </c>
      <c r="D17" s="148" t="s">
        <v>1831</v>
      </c>
      <c r="E17" s="206">
        <f>1.07*0.86*'附录-混凝土配合比'!C58/1000</f>
        <v>0.3239104</v>
      </c>
      <c r="F17" s="206">
        <f t="shared" si="1"/>
        <v>255</v>
      </c>
      <c r="G17" s="206">
        <f>0.98*'附录-混凝土配合比'!D58</f>
        <v>1.0584</v>
      </c>
      <c r="H17" s="206">
        <f t="shared" si="2"/>
        <v>70</v>
      </c>
      <c r="I17" s="206"/>
      <c r="J17" s="206">
        <f t="shared" si="3"/>
        <v>70</v>
      </c>
      <c r="K17" s="206"/>
      <c r="L17" s="206"/>
      <c r="M17" s="206">
        <f>1.07*'附录-混凝土配合比'!E58</f>
        <v>0.22577</v>
      </c>
      <c r="N17" s="206">
        <f t="shared" si="4"/>
        <v>3.88349514563107</v>
      </c>
      <c r="O17" s="206">
        <f t="shared" si="0"/>
        <v>157.561928699029</v>
      </c>
    </row>
    <row r="18" ht="21.95" customHeight="1" spans="1:15">
      <c r="A18" s="148">
        <v>14</v>
      </c>
      <c r="B18" s="3" t="s">
        <v>2021</v>
      </c>
      <c r="C18" s="207">
        <v>42.5</v>
      </c>
      <c r="D18" s="148" t="s">
        <v>1831</v>
      </c>
      <c r="E18" s="206">
        <f>1.07*0.86*'附录-混凝土配合比'!C59/1000</f>
        <v>0.372681</v>
      </c>
      <c r="F18" s="206">
        <f t="shared" si="1"/>
        <v>255</v>
      </c>
      <c r="G18" s="206">
        <f>0.98*'附录-混凝土配合比'!D59</f>
        <v>1.0486</v>
      </c>
      <c r="H18" s="206">
        <f t="shared" si="2"/>
        <v>70</v>
      </c>
      <c r="I18" s="206"/>
      <c r="J18" s="206">
        <f t="shared" si="3"/>
        <v>70</v>
      </c>
      <c r="K18" s="206"/>
      <c r="L18" s="206"/>
      <c r="M18" s="206">
        <f>1.07*'附录-混凝土配合比'!E59</f>
        <v>0.26001</v>
      </c>
      <c r="N18" s="206">
        <f t="shared" si="4"/>
        <v>3.88349514563107</v>
      </c>
      <c r="O18" s="206">
        <f t="shared" si="0"/>
        <v>169.445402572816</v>
      </c>
    </row>
    <row r="19" ht="21.95" customHeight="1" spans="1:15">
      <c r="A19" s="148">
        <v>15</v>
      </c>
      <c r="B19" s="3" t="s">
        <v>2022</v>
      </c>
      <c r="C19" s="148">
        <v>42.5</v>
      </c>
      <c r="D19" s="148" t="s">
        <v>1831</v>
      </c>
      <c r="E19" s="206">
        <f>1.07*0.86*'附录-混凝土配合比'!C60/1000</f>
        <v>0.4205314</v>
      </c>
      <c r="F19" s="206">
        <f t="shared" si="1"/>
        <v>255</v>
      </c>
      <c r="G19" s="206">
        <f>0.98*'附录-混凝土配合比'!D60</f>
        <v>1.0388</v>
      </c>
      <c r="H19" s="206">
        <f t="shared" si="2"/>
        <v>70</v>
      </c>
      <c r="I19" s="206"/>
      <c r="J19" s="206">
        <f t="shared" si="3"/>
        <v>70</v>
      </c>
      <c r="K19" s="206"/>
      <c r="L19" s="206"/>
      <c r="M19" s="206">
        <f>1.07*'附录-混凝土配合比'!E60</f>
        <v>0.29318</v>
      </c>
      <c r="N19" s="206">
        <f t="shared" si="4"/>
        <v>3.88349514563107</v>
      </c>
      <c r="O19" s="206">
        <f t="shared" si="0"/>
        <v>181.090070106796</v>
      </c>
    </row>
    <row r="20" ht="21.95" customHeight="1" spans="1:15">
      <c r="A20" s="148">
        <v>16</v>
      </c>
      <c r="B20" s="3" t="s">
        <v>2023</v>
      </c>
      <c r="C20" s="207">
        <v>42.5</v>
      </c>
      <c r="D20" s="148" t="s">
        <v>1831</v>
      </c>
      <c r="E20" s="206">
        <f>1.07*0.86*'附录-混凝土配合比'!C61/1000</f>
        <v>0.4803444</v>
      </c>
      <c r="F20" s="206">
        <f t="shared" si="1"/>
        <v>255</v>
      </c>
      <c r="G20" s="206">
        <f>0.98*'附录-混凝土配合比'!D61</f>
        <v>1.029</v>
      </c>
      <c r="H20" s="206">
        <f t="shared" si="2"/>
        <v>70</v>
      </c>
      <c r="I20" s="206"/>
      <c r="J20" s="206">
        <f t="shared" si="3"/>
        <v>70</v>
      </c>
      <c r="K20" s="206"/>
      <c r="L20" s="206"/>
      <c r="M20" s="206">
        <f>1.07*'附录-混凝土配合比'!E61</f>
        <v>0.33491</v>
      </c>
      <c r="N20" s="206">
        <f t="shared" si="4"/>
        <v>3.88349514563107</v>
      </c>
      <c r="O20" s="206">
        <f t="shared" si="0"/>
        <v>195.818443359223</v>
      </c>
    </row>
    <row r="21" ht="21.95" customHeight="1" spans="1:256">
      <c r="A21" s="148">
        <v>17</v>
      </c>
      <c r="B21" s="3" t="s">
        <v>2024</v>
      </c>
      <c r="C21" s="148">
        <v>42.5</v>
      </c>
      <c r="D21" s="148" t="s">
        <v>1831</v>
      </c>
      <c r="E21" s="206">
        <f>1.07*0.86*'附录-混凝土配合比'!C62/1000</f>
        <v>0.5576412</v>
      </c>
      <c r="F21" s="206">
        <f t="shared" si="1"/>
        <v>255</v>
      </c>
      <c r="G21" s="206">
        <f>0.98*'附录-混凝土配合比'!D62</f>
        <v>0.9702</v>
      </c>
      <c r="H21" s="206">
        <f t="shared" si="2"/>
        <v>70</v>
      </c>
      <c r="I21" s="206"/>
      <c r="J21" s="206">
        <f t="shared" si="3"/>
        <v>70</v>
      </c>
      <c r="K21" s="206"/>
      <c r="L21" s="206"/>
      <c r="M21" s="206">
        <f>1.07*'附录-混凝土配合比'!E62</f>
        <v>0.38948</v>
      </c>
      <c r="N21" s="206">
        <f t="shared" si="4"/>
        <v>3.88349514563107</v>
      </c>
      <c r="O21" s="206">
        <f t="shared" si="0"/>
        <v>211.62504968932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ht="21.95" customHeight="1" spans="1:256">
      <c r="A22" s="148">
        <v>18</v>
      </c>
      <c r="B22" s="3" t="s">
        <v>2025</v>
      </c>
      <c r="C22" s="207">
        <v>42.5</v>
      </c>
      <c r="D22" s="148" t="s">
        <v>1831</v>
      </c>
      <c r="E22" s="206">
        <f>1.07*0.86*'附录-混凝土配合比'!C63/1000</f>
        <v>0.680948</v>
      </c>
      <c r="F22" s="206">
        <f t="shared" si="1"/>
        <v>255</v>
      </c>
      <c r="G22" s="206">
        <f>0.98*'附录-混凝土配合比'!D63</f>
        <v>0.9506</v>
      </c>
      <c r="H22" s="206">
        <f t="shared" si="2"/>
        <v>70</v>
      </c>
      <c r="I22" s="206"/>
      <c r="J22" s="206">
        <f t="shared" si="3"/>
        <v>70</v>
      </c>
      <c r="K22" s="206"/>
      <c r="L22" s="206"/>
      <c r="M22" s="206">
        <f>1.07*'附录-混凝土配合比'!E63</f>
        <v>0.47508</v>
      </c>
      <c r="N22" s="206">
        <f t="shared" si="4"/>
        <v>3.88349514563107</v>
      </c>
      <c r="O22" s="206">
        <f t="shared" si="0"/>
        <v>242.028710873786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6" s="123" customFormat="1" spans="1: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="123" customFormat="1" spans="1: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="123" customFormat="1" spans="1: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</row>
    <row r="31" spans="1: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  <row r="39" spans="1: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</row>
    <row r="40" spans="1: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1: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1561" spans="5:5">
      <c r="E1561" s="211" t="e">
        <f>E1542+F1539+F1544+F1546+F1576+F1577+F1578+#REF!+#REF!+#REF!+#REF!+#REF!+#REF!+#REF!+#REF!</f>
        <v>#REF!</v>
      </c>
    </row>
    <row r="1562" spans="5:5">
      <c r="E1562" s="211" t="e">
        <f>E1561+#REF!+#REF!+#REF!+#REF!+#REF!+#REF!+#REF!+#REF!+#REF!</f>
        <v>#REF!</v>
      </c>
    </row>
    <row r="1568" spans="6:6">
      <c r="F1568" s="1" t="s">
        <v>2026</v>
      </c>
    </row>
    <row r="1571" spans="7:7">
      <c r="G1571" s="1" t="s">
        <v>2027</v>
      </c>
    </row>
    <row r="1576" spans="5:5">
      <c r="E1576" s="211" t="e">
        <f>#REF!+#REF!+#REF!+#REF!+#REF!+#REF!+#REF!+#REF!+E1542+F1539+F1544+F1546</f>
        <v>#REF!</v>
      </c>
    </row>
  </sheetData>
  <mergeCells count="13">
    <mergeCell ref="A1:O1"/>
    <mergeCell ref="A2:O2"/>
    <mergeCell ref="E3:F3"/>
    <mergeCell ref="G3:H3"/>
    <mergeCell ref="I3:J3"/>
    <mergeCell ref="K3:L3"/>
    <mergeCell ref="M3:N3"/>
    <mergeCell ref="A3:A4"/>
    <mergeCell ref="B3:B4"/>
    <mergeCell ref="C3:C4"/>
    <mergeCell ref="D3:D4"/>
    <mergeCell ref="O3:O4"/>
    <mergeCell ref="P3:P4"/>
  </mergeCells>
  <printOptions horizontalCentered="1" verticalCentered="1"/>
  <pageMargins left="0.938888888888889" right="0.938888888888889" top="0.55" bottom="0.46875" header="0.509027777777778" footer="0.509027777777778"/>
  <pageSetup paperSize="9" orientation="landscape"/>
  <headerFooter alignWithMargins="0" scaleWithDoc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IV391"/>
  <sheetViews>
    <sheetView workbookViewId="0">
      <selection activeCell="A1" sqref="A1:E1"/>
    </sheetView>
  </sheetViews>
  <sheetFormatPr defaultColWidth="8.375" defaultRowHeight="16.15" customHeight="1"/>
  <cols>
    <col min="1" max="1" width="9.375" style="195" customWidth="1"/>
    <col min="2" max="2" width="20.125" style="195" customWidth="1"/>
    <col min="3" max="3" width="16.75" style="195" customWidth="1"/>
    <col min="4" max="4" width="15.75" style="195" customWidth="1"/>
    <col min="5" max="5" width="19.5" style="195" customWidth="1"/>
    <col min="6" max="20" width="6.75" style="195" customWidth="1"/>
    <col min="21" max="254" width="8.375" style="195"/>
    <col min="255" max="16384" width="8.375" style="1"/>
  </cols>
  <sheetData>
    <row r="1" s="145" customFormat="1" ht="26.1" customHeight="1" spans="1:256">
      <c r="A1" s="124" t="s">
        <v>2028</v>
      </c>
      <c r="B1" s="196"/>
      <c r="C1" s="196"/>
      <c r="D1" s="196"/>
      <c r="E1" s="196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</row>
    <row r="2" s="145" customFormat="1" ht="20.1" customHeight="1" spans="1:256">
      <c r="A2" s="181" t="s">
        <v>291</v>
      </c>
      <c r="B2" s="181" t="s">
        <v>2029</v>
      </c>
      <c r="C2" s="181" t="s">
        <v>532</v>
      </c>
      <c r="D2" s="181" t="s">
        <v>2030</v>
      </c>
      <c r="E2" s="181" t="s">
        <v>2031</v>
      </c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  <c r="BV2" s="195"/>
      <c r="BW2" s="195"/>
      <c r="BX2" s="195"/>
      <c r="BY2" s="195"/>
      <c r="BZ2" s="195"/>
      <c r="CA2" s="195"/>
      <c r="CB2" s="195"/>
      <c r="CC2" s="195"/>
      <c r="CD2" s="195"/>
      <c r="CE2" s="195"/>
      <c r="CF2" s="195"/>
      <c r="CG2" s="195"/>
      <c r="CH2" s="195"/>
      <c r="CI2" s="195"/>
      <c r="CJ2" s="195"/>
      <c r="CK2" s="195"/>
      <c r="CL2" s="195"/>
      <c r="CM2" s="195"/>
      <c r="CN2" s="195"/>
      <c r="CO2" s="195"/>
      <c r="CP2" s="195"/>
      <c r="CQ2" s="195"/>
      <c r="CR2" s="195"/>
      <c r="CS2" s="195"/>
      <c r="CT2" s="195"/>
      <c r="CU2" s="195"/>
      <c r="CV2" s="195"/>
      <c r="CW2" s="195"/>
      <c r="CX2" s="195"/>
      <c r="CY2" s="195"/>
      <c r="CZ2" s="195"/>
      <c r="DA2" s="195"/>
      <c r="DB2" s="195"/>
      <c r="DC2" s="195"/>
      <c r="DD2" s="195"/>
      <c r="DE2" s="195"/>
      <c r="DF2" s="195"/>
      <c r="DG2" s="195"/>
      <c r="DH2" s="195"/>
      <c r="DI2" s="195"/>
      <c r="DJ2" s="195"/>
      <c r="DK2" s="195"/>
      <c r="DL2" s="195"/>
      <c r="DM2" s="195"/>
      <c r="DN2" s="195"/>
      <c r="DO2" s="195"/>
      <c r="DP2" s="195"/>
      <c r="DQ2" s="195"/>
      <c r="DR2" s="195"/>
      <c r="DS2" s="195"/>
      <c r="DT2" s="195"/>
      <c r="DU2" s="195"/>
      <c r="DV2" s="195"/>
      <c r="DW2" s="195"/>
      <c r="DX2" s="195"/>
      <c r="DY2" s="195"/>
      <c r="DZ2" s="195"/>
      <c r="EA2" s="195"/>
      <c r="EB2" s="195"/>
      <c r="EC2" s="195"/>
      <c r="ED2" s="195"/>
      <c r="EE2" s="195"/>
      <c r="EF2" s="195"/>
      <c r="EG2" s="195"/>
      <c r="EH2" s="195"/>
      <c r="EI2" s="195"/>
      <c r="EJ2" s="195"/>
      <c r="EK2" s="195"/>
      <c r="EL2" s="195"/>
      <c r="EM2" s="195"/>
      <c r="EN2" s="195"/>
      <c r="EO2" s="195"/>
      <c r="EP2" s="195"/>
      <c r="EQ2" s="195"/>
      <c r="ER2" s="195"/>
      <c r="ES2" s="195"/>
      <c r="ET2" s="195"/>
      <c r="EU2" s="195"/>
      <c r="EV2" s="195"/>
      <c r="EW2" s="195"/>
      <c r="EX2" s="195"/>
      <c r="EY2" s="195"/>
      <c r="EZ2" s="195"/>
      <c r="FA2" s="195"/>
      <c r="FB2" s="195"/>
      <c r="FC2" s="195"/>
      <c r="FD2" s="195"/>
      <c r="FE2" s="195"/>
      <c r="FF2" s="195"/>
      <c r="FG2" s="195"/>
      <c r="FH2" s="195"/>
      <c r="FI2" s="195"/>
      <c r="FJ2" s="195"/>
      <c r="FK2" s="195"/>
      <c r="FL2" s="195"/>
      <c r="FM2" s="195"/>
      <c r="FN2" s="195"/>
      <c r="FO2" s="195"/>
      <c r="FP2" s="195"/>
      <c r="FQ2" s="195"/>
      <c r="FR2" s="195"/>
      <c r="FS2" s="195"/>
      <c r="FT2" s="195"/>
      <c r="FU2" s="195"/>
      <c r="FV2" s="195"/>
      <c r="FW2" s="195"/>
      <c r="FX2" s="195"/>
      <c r="FY2" s="195"/>
      <c r="FZ2" s="195"/>
      <c r="GA2" s="195"/>
      <c r="GB2" s="195"/>
      <c r="GC2" s="195"/>
      <c r="GD2" s="195"/>
      <c r="GE2" s="195"/>
      <c r="GF2" s="195"/>
      <c r="GG2" s="195"/>
      <c r="GH2" s="195"/>
      <c r="GI2" s="195"/>
      <c r="GJ2" s="195"/>
      <c r="GK2" s="195"/>
      <c r="GL2" s="195"/>
      <c r="GM2" s="195"/>
      <c r="GN2" s="195"/>
      <c r="GO2" s="195"/>
      <c r="GP2" s="195"/>
      <c r="GQ2" s="195"/>
      <c r="GR2" s="195"/>
      <c r="GS2" s="195"/>
      <c r="GT2" s="195"/>
      <c r="GU2" s="195"/>
      <c r="GV2" s="195"/>
      <c r="GW2" s="195"/>
      <c r="GX2" s="195"/>
      <c r="GY2" s="195"/>
      <c r="GZ2" s="195"/>
      <c r="HA2" s="195"/>
      <c r="HB2" s="195"/>
      <c r="HC2" s="195"/>
      <c r="HD2" s="195"/>
      <c r="HE2" s="195"/>
      <c r="HF2" s="195"/>
      <c r="HG2" s="195"/>
      <c r="HH2" s="195"/>
      <c r="HI2" s="195"/>
      <c r="HJ2" s="195"/>
      <c r="HK2" s="195"/>
      <c r="HL2" s="195"/>
      <c r="HM2" s="195"/>
      <c r="HN2" s="195"/>
      <c r="HO2" s="195"/>
      <c r="HP2" s="195"/>
      <c r="HQ2" s="195"/>
      <c r="HR2" s="195"/>
      <c r="HS2" s="195"/>
      <c r="HT2" s="195"/>
      <c r="HU2" s="195"/>
      <c r="HV2" s="195"/>
      <c r="HW2" s="195"/>
      <c r="HX2" s="195"/>
      <c r="HY2" s="195"/>
      <c r="HZ2" s="195"/>
      <c r="IA2" s="195"/>
      <c r="IB2" s="195"/>
      <c r="IC2" s="195"/>
      <c r="ID2" s="195"/>
      <c r="IE2" s="195"/>
      <c r="IF2" s="195"/>
      <c r="IG2" s="195"/>
      <c r="IH2" s="195"/>
      <c r="II2" s="195"/>
      <c r="IJ2" s="195"/>
      <c r="IK2" s="195"/>
      <c r="IL2" s="195"/>
      <c r="IM2" s="195"/>
      <c r="IN2" s="195"/>
      <c r="IO2" s="195"/>
      <c r="IP2" s="195"/>
      <c r="IQ2" s="195"/>
      <c r="IR2" s="195"/>
      <c r="IS2" s="195"/>
      <c r="IT2" s="195"/>
      <c r="IU2" s="195"/>
      <c r="IV2" s="195"/>
    </row>
    <row r="3" s="194" customFormat="1" ht="15.95" customHeight="1" spans="1:256">
      <c r="A3" s="197" t="s">
        <v>2032</v>
      </c>
      <c r="B3" s="198"/>
      <c r="C3" s="199"/>
      <c r="D3" s="199"/>
      <c r="E3" s="199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  <c r="IV3" s="200"/>
    </row>
    <row r="4" s="194" customFormat="1" ht="15.95" customHeight="1" spans="1:256">
      <c r="A4" s="199">
        <v>1</v>
      </c>
      <c r="B4" s="20" t="s">
        <v>2033</v>
      </c>
      <c r="C4" s="199" t="s">
        <v>2034</v>
      </c>
      <c r="D4" s="199">
        <v>1001</v>
      </c>
      <c r="E4" s="199">
        <f>'05版台时'!D32</f>
        <v>93.2281573838894</v>
      </c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</row>
    <row r="5" s="194" customFormat="1" ht="15.95" customHeight="1" spans="1:256">
      <c r="A5" s="199">
        <v>2</v>
      </c>
      <c r="B5" s="20" t="s">
        <v>2033</v>
      </c>
      <c r="C5" s="199" t="s">
        <v>2035</v>
      </c>
      <c r="D5" s="199">
        <v>1002</v>
      </c>
      <c r="E5" s="199">
        <f>'05版台时'!E32</f>
        <v>118.949870586921</v>
      </c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200"/>
      <c r="IG5" s="200"/>
      <c r="IH5" s="200"/>
      <c r="II5" s="200"/>
      <c r="IJ5" s="200"/>
      <c r="IK5" s="200"/>
      <c r="IL5" s="200"/>
      <c r="IM5" s="200"/>
      <c r="IN5" s="200"/>
      <c r="IO5" s="200"/>
      <c r="IP5" s="200"/>
      <c r="IQ5" s="200"/>
      <c r="IR5" s="200"/>
      <c r="IS5" s="200"/>
      <c r="IT5" s="200"/>
      <c r="IU5" s="200"/>
      <c r="IV5" s="200"/>
    </row>
    <row r="6" s="194" customFormat="1" ht="15.95" customHeight="1" spans="1:256">
      <c r="A6" s="199">
        <v>3</v>
      </c>
      <c r="B6" s="20" t="s">
        <v>2036</v>
      </c>
      <c r="C6" s="199" t="s">
        <v>2037</v>
      </c>
      <c r="D6" s="199">
        <v>1003</v>
      </c>
      <c r="E6" s="199">
        <f>'05版台时'!F32</f>
        <v>98.886842665102</v>
      </c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200"/>
      <c r="IG6" s="200"/>
      <c r="IH6" s="200"/>
      <c r="II6" s="200"/>
      <c r="IJ6" s="200"/>
      <c r="IK6" s="200"/>
      <c r="IL6" s="200"/>
      <c r="IM6" s="200"/>
      <c r="IN6" s="200"/>
      <c r="IO6" s="200"/>
      <c r="IP6" s="200"/>
      <c r="IQ6" s="200"/>
      <c r="IR6" s="200"/>
      <c r="IS6" s="200"/>
      <c r="IT6" s="200"/>
      <c r="IU6" s="200"/>
      <c r="IV6" s="200"/>
    </row>
    <row r="7" s="194" customFormat="1" ht="15.95" customHeight="1" spans="1:256">
      <c r="A7" s="199">
        <v>4</v>
      </c>
      <c r="B7" s="20" t="s">
        <v>2036</v>
      </c>
      <c r="C7" s="199" t="s">
        <v>2035</v>
      </c>
      <c r="D7" s="199">
        <v>1004</v>
      </c>
      <c r="E7" s="199">
        <f>'05版台时'!G32</f>
        <v>122.942399904831</v>
      </c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200"/>
      <c r="HZ7" s="200"/>
      <c r="IA7" s="200"/>
      <c r="IB7" s="200"/>
      <c r="IC7" s="200"/>
      <c r="ID7" s="200"/>
      <c r="IE7" s="200"/>
      <c r="IF7" s="200"/>
      <c r="IG7" s="200"/>
      <c r="IH7" s="200"/>
      <c r="II7" s="200"/>
      <c r="IJ7" s="200"/>
      <c r="IK7" s="200"/>
      <c r="IL7" s="200"/>
      <c r="IM7" s="200"/>
      <c r="IN7" s="200"/>
      <c r="IO7" s="200"/>
      <c r="IP7" s="200"/>
      <c r="IQ7" s="200"/>
      <c r="IR7" s="200"/>
      <c r="IS7" s="200"/>
      <c r="IT7" s="200"/>
      <c r="IU7" s="200"/>
      <c r="IV7" s="200"/>
    </row>
    <row r="8" s="194" customFormat="1" ht="15.95" customHeight="1" spans="1:256">
      <c r="A8" s="199">
        <v>5</v>
      </c>
      <c r="B8" s="20" t="s">
        <v>2036</v>
      </c>
      <c r="C8" s="199" t="s">
        <v>2038</v>
      </c>
      <c r="D8" s="199">
        <v>1005</v>
      </c>
      <c r="E8" s="199">
        <f>'05版台时'!H32</f>
        <v>138.457337679063</v>
      </c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200"/>
      <c r="HZ8" s="200"/>
      <c r="IA8" s="200"/>
      <c r="IB8" s="200"/>
      <c r="IC8" s="200"/>
      <c r="ID8" s="200"/>
      <c r="IE8" s="200"/>
      <c r="IF8" s="200"/>
      <c r="IG8" s="200"/>
      <c r="IH8" s="200"/>
      <c r="II8" s="200"/>
      <c r="IJ8" s="200"/>
      <c r="IK8" s="200"/>
      <c r="IL8" s="200"/>
      <c r="IM8" s="200"/>
      <c r="IN8" s="200"/>
      <c r="IO8" s="200"/>
      <c r="IP8" s="200"/>
      <c r="IQ8" s="200"/>
      <c r="IR8" s="200"/>
      <c r="IS8" s="200"/>
      <c r="IT8" s="200"/>
      <c r="IU8" s="200"/>
      <c r="IV8" s="200"/>
    </row>
    <row r="9" s="194" customFormat="1" ht="15.95" customHeight="1" spans="1:256">
      <c r="A9" s="199">
        <v>6</v>
      </c>
      <c r="B9" s="20" t="s">
        <v>2036</v>
      </c>
      <c r="C9" s="199" t="s">
        <v>2039</v>
      </c>
      <c r="D9" s="199">
        <v>1006</v>
      </c>
      <c r="E9" s="199">
        <f>'05版台时'!I32</f>
        <v>213.437608919589</v>
      </c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200"/>
      <c r="IG9" s="200"/>
      <c r="IH9" s="200"/>
      <c r="II9" s="200"/>
      <c r="IJ9" s="200"/>
      <c r="IK9" s="200"/>
      <c r="IL9" s="200"/>
      <c r="IM9" s="200"/>
      <c r="IN9" s="200"/>
      <c r="IO9" s="200"/>
      <c r="IP9" s="200"/>
      <c r="IQ9" s="200"/>
      <c r="IR9" s="200"/>
      <c r="IS9" s="200"/>
      <c r="IT9" s="200"/>
      <c r="IU9" s="200"/>
      <c r="IV9" s="200"/>
    </row>
    <row r="10" s="194" customFormat="1" ht="15.95" customHeight="1" spans="1:256">
      <c r="A10" s="199">
        <v>7</v>
      </c>
      <c r="B10" s="20" t="s">
        <v>2040</v>
      </c>
      <c r="C10" s="199" t="s">
        <v>2035</v>
      </c>
      <c r="D10" s="199">
        <v>1007</v>
      </c>
      <c r="E10" s="199">
        <f>'05版台时'!J32</f>
        <v>59.1021231263328</v>
      </c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200"/>
      <c r="HZ10" s="200"/>
      <c r="IA10" s="200"/>
      <c r="IB10" s="200"/>
      <c r="IC10" s="200"/>
      <c r="ID10" s="200"/>
      <c r="IE10" s="200"/>
      <c r="IF10" s="200"/>
      <c r="IG10" s="200"/>
      <c r="IH10" s="200"/>
      <c r="II10" s="200"/>
      <c r="IJ10" s="200"/>
      <c r="IK10" s="200"/>
      <c r="IL10" s="200"/>
      <c r="IM10" s="200"/>
      <c r="IN10" s="200"/>
      <c r="IO10" s="200"/>
      <c r="IP10" s="200"/>
      <c r="IQ10" s="200"/>
      <c r="IR10" s="200"/>
      <c r="IS10" s="200"/>
      <c r="IT10" s="200"/>
      <c r="IU10" s="200"/>
      <c r="IV10" s="200"/>
    </row>
    <row r="11" s="194" customFormat="1" ht="15.95" customHeight="1" spans="1:256">
      <c r="A11" s="199">
        <v>8</v>
      </c>
      <c r="B11" s="20" t="s">
        <v>2040</v>
      </c>
      <c r="C11" s="199" t="s">
        <v>2041</v>
      </c>
      <c r="D11" s="199">
        <v>1008</v>
      </c>
      <c r="E11" s="199">
        <f>'05版台时'!K32</f>
        <v>64.4682180605171</v>
      </c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200"/>
      <c r="HY11" s="200"/>
      <c r="HZ11" s="200"/>
      <c r="IA11" s="200"/>
      <c r="IB11" s="200"/>
      <c r="IC11" s="200"/>
      <c r="ID11" s="200"/>
      <c r="IE11" s="200"/>
      <c r="IF11" s="200"/>
      <c r="IG11" s="200"/>
      <c r="IH11" s="200"/>
      <c r="II11" s="200"/>
      <c r="IJ11" s="200"/>
      <c r="IK11" s="200"/>
      <c r="IL11" s="200"/>
      <c r="IM11" s="200"/>
      <c r="IN11" s="200"/>
      <c r="IO11" s="200"/>
      <c r="IP11" s="200"/>
      <c r="IQ11" s="200"/>
      <c r="IR11" s="200"/>
      <c r="IS11" s="200"/>
      <c r="IT11" s="200"/>
      <c r="IU11" s="200"/>
      <c r="IV11" s="200"/>
    </row>
    <row r="12" s="194" customFormat="1" ht="15.95" customHeight="1" spans="1:256">
      <c r="A12" s="199">
        <v>9</v>
      </c>
      <c r="B12" s="20" t="s">
        <v>2040</v>
      </c>
      <c r="C12" s="199" t="s">
        <v>2039</v>
      </c>
      <c r="D12" s="199">
        <v>1009</v>
      </c>
      <c r="E12" s="199">
        <f>'05版台时'!L32</f>
        <v>119.591834733832</v>
      </c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200"/>
      <c r="HZ12" s="200"/>
      <c r="IA12" s="200"/>
      <c r="IB12" s="200"/>
      <c r="IC12" s="200"/>
      <c r="ID12" s="200"/>
      <c r="IE12" s="200"/>
      <c r="IF12" s="200"/>
      <c r="IG12" s="200"/>
      <c r="IH12" s="200"/>
      <c r="II12" s="200"/>
      <c r="IJ12" s="200"/>
      <c r="IK12" s="200"/>
      <c r="IL12" s="200"/>
      <c r="IM12" s="200"/>
      <c r="IN12" s="200"/>
      <c r="IO12" s="200"/>
      <c r="IP12" s="200"/>
      <c r="IQ12" s="200"/>
      <c r="IR12" s="200"/>
      <c r="IS12" s="200"/>
      <c r="IT12" s="200"/>
      <c r="IU12" s="200"/>
      <c r="IV12" s="200"/>
    </row>
    <row r="13" s="194" customFormat="1" ht="15.95" customHeight="1" spans="1:256">
      <c r="A13" s="199">
        <v>10</v>
      </c>
      <c r="B13" s="20" t="s">
        <v>2042</v>
      </c>
      <c r="C13" s="199" t="s">
        <v>2043</v>
      </c>
      <c r="D13" s="199">
        <v>1010</v>
      </c>
      <c r="E13" s="199">
        <f>'05版台时'!M32</f>
        <v>54.6636338027428</v>
      </c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200"/>
      <c r="HY13" s="200"/>
      <c r="HZ13" s="200"/>
      <c r="IA13" s="200"/>
      <c r="IB13" s="200"/>
      <c r="IC13" s="200"/>
      <c r="ID13" s="200"/>
      <c r="IE13" s="200"/>
      <c r="IF13" s="200"/>
      <c r="IG13" s="200"/>
      <c r="IH13" s="200"/>
      <c r="II13" s="200"/>
      <c r="IJ13" s="200"/>
      <c r="IK13" s="200"/>
      <c r="IL13" s="200"/>
      <c r="IM13" s="200"/>
      <c r="IN13" s="200"/>
      <c r="IO13" s="200"/>
      <c r="IP13" s="200"/>
      <c r="IQ13" s="200"/>
      <c r="IR13" s="200"/>
      <c r="IS13" s="200"/>
      <c r="IT13" s="200"/>
      <c r="IU13" s="200"/>
      <c r="IV13" s="200"/>
    </row>
    <row r="14" s="194" customFormat="1" ht="15.95" customHeight="1" spans="1:256">
      <c r="A14" s="199">
        <v>11</v>
      </c>
      <c r="B14" s="20" t="s">
        <v>2042</v>
      </c>
      <c r="C14" s="199" t="s">
        <v>2044</v>
      </c>
      <c r="D14" s="199">
        <v>1011</v>
      </c>
      <c r="E14" s="199">
        <f>'05版台时'!N32</f>
        <v>68.4135540261173</v>
      </c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200"/>
      <c r="HZ14" s="200"/>
      <c r="IA14" s="200"/>
      <c r="IB14" s="200"/>
      <c r="IC14" s="200"/>
      <c r="ID14" s="200"/>
      <c r="IE14" s="200"/>
      <c r="IF14" s="200"/>
      <c r="IG14" s="200"/>
      <c r="IH14" s="200"/>
      <c r="II14" s="200"/>
      <c r="IJ14" s="200"/>
      <c r="IK14" s="200"/>
      <c r="IL14" s="200"/>
      <c r="IM14" s="200"/>
      <c r="IN14" s="200"/>
      <c r="IO14" s="200"/>
      <c r="IP14" s="200"/>
      <c r="IQ14" s="200"/>
      <c r="IR14" s="200"/>
      <c r="IS14" s="200"/>
      <c r="IT14" s="200"/>
      <c r="IU14" s="200"/>
      <c r="IV14" s="200"/>
    </row>
    <row r="15" s="194" customFormat="1" ht="15.95" customHeight="1" spans="1:256">
      <c r="A15" s="199">
        <v>12</v>
      </c>
      <c r="B15" s="20" t="s">
        <v>2042</v>
      </c>
      <c r="C15" s="199" t="s">
        <v>2045</v>
      </c>
      <c r="D15" s="199">
        <v>1012</v>
      </c>
      <c r="E15" s="199">
        <f>'05版台时'!O32</f>
        <v>84.3649529092446</v>
      </c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200"/>
      <c r="HY15" s="200"/>
      <c r="HZ15" s="200"/>
      <c r="IA15" s="200"/>
      <c r="IB15" s="200"/>
      <c r="IC15" s="200"/>
      <c r="ID15" s="200"/>
      <c r="IE15" s="200"/>
      <c r="IF15" s="200"/>
      <c r="IG15" s="200"/>
      <c r="IH15" s="200"/>
      <c r="II15" s="200"/>
      <c r="IJ15" s="200"/>
      <c r="IK15" s="200"/>
      <c r="IL15" s="200"/>
      <c r="IM15" s="200"/>
      <c r="IN15" s="200"/>
      <c r="IO15" s="200"/>
      <c r="IP15" s="200"/>
      <c r="IQ15" s="200"/>
      <c r="IR15" s="200"/>
      <c r="IS15" s="200"/>
      <c r="IT15" s="200"/>
      <c r="IU15" s="200"/>
      <c r="IV15" s="200"/>
    </row>
    <row r="16" s="194" customFormat="1" ht="15.95" customHeight="1" spans="1:256">
      <c r="A16" s="199">
        <v>13</v>
      </c>
      <c r="B16" s="20" t="s">
        <v>2042</v>
      </c>
      <c r="C16" s="199" t="s">
        <v>2046</v>
      </c>
      <c r="D16" s="199">
        <v>1013</v>
      </c>
      <c r="E16" s="199">
        <f>'05版台时'!P32</f>
        <v>97.6280602088058</v>
      </c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200"/>
      <c r="HY16" s="200"/>
      <c r="HZ16" s="200"/>
      <c r="IA16" s="200"/>
      <c r="IB16" s="200"/>
      <c r="IC16" s="200"/>
      <c r="ID16" s="200"/>
      <c r="IE16" s="200"/>
      <c r="IF16" s="200"/>
      <c r="IG16" s="200"/>
      <c r="IH16" s="200"/>
      <c r="II16" s="200"/>
      <c r="IJ16" s="200"/>
      <c r="IK16" s="200"/>
      <c r="IL16" s="200"/>
      <c r="IM16" s="200"/>
      <c r="IN16" s="200"/>
      <c r="IO16" s="200"/>
      <c r="IP16" s="200"/>
      <c r="IQ16" s="200"/>
      <c r="IR16" s="200"/>
      <c r="IS16" s="200"/>
      <c r="IT16" s="200"/>
      <c r="IU16" s="200"/>
      <c r="IV16" s="200"/>
    </row>
    <row r="17" s="194" customFormat="1" ht="15.95" customHeight="1" spans="1:256">
      <c r="A17" s="199">
        <v>14</v>
      </c>
      <c r="B17" s="20" t="s">
        <v>2047</v>
      </c>
      <c r="C17" s="199" t="s">
        <v>2048</v>
      </c>
      <c r="D17" s="199">
        <v>1014</v>
      </c>
      <c r="E17" s="199">
        <f>'05版台时'!Q32</f>
        <v>61.178468266245</v>
      </c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200"/>
      <c r="HZ17" s="200"/>
      <c r="IA17" s="200"/>
      <c r="IB17" s="200"/>
      <c r="IC17" s="200"/>
      <c r="ID17" s="200"/>
      <c r="IE17" s="200"/>
      <c r="IF17" s="200"/>
      <c r="IG17" s="200"/>
      <c r="IH17" s="200"/>
      <c r="II17" s="200"/>
      <c r="IJ17" s="200"/>
      <c r="IK17" s="200"/>
      <c r="IL17" s="200"/>
      <c r="IM17" s="200"/>
      <c r="IN17" s="200"/>
      <c r="IO17" s="200"/>
      <c r="IP17" s="200"/>
      <c r="IQ17" s="200"/>
      <c r="IR17" s="200"/>
      <c r="IS17" s="200"/>
      <c r="IT17" s="200"/>
      <c r="IU17" s="200"/>
      <c r="IV17" s="200"/>
    </row>
    <row r="18" s="194" customFormat="1" ht="15.95" customHeight="1" spans="1:256">
      <c r="A18" s="199">
        <v>15</v>
      </c>
      <c r="B18" s="20" t="s">
        <v>2047</v>
      </c>
      <c r="C18" s="199" t="s">
        <v>2043</v>
      </c>
      <c r="D18" s="199">
        <v>1015</v>
      </c>
      <c r="E18" s="199">
        <f>'05版台时'!R32</f>
        <v>66.3831411820806</v>
      </c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200"/>
      <c r="HY18" s="200"/>
      <c r="HZ18" s="200"/>
      <c r="IA18" s="200"/>
      <c r="IB18" s="200"/>
      <c r="IC18" s="200"/>
      <c r="ID18" s="200"/>
      <c r="IE18" s="200"/>
      <c r="IF18" s="200"/>
      <c r="IG18" s="200"/>
      <c r="IH18" s="200"/>
      <c r="II18" s="200"/>
      <c r="IJ18" s="200"/>
      <c r="IK18" s="200"/>
      <c r="IL18" s="200"/>
      <c r="IM18" s="200"/>
      <c r="IN18" s="200"/>
      <c r="IO18" s="200"/>
      <c r="IP18" s="200"/>
      <c r="IQ18" s="200"/>
      <c r="IR18" s="200"/>
      <c r="IS18" s="200"/>
      <c r="IT18" s="200"/>
      <c r="IU18" s="200"/>
      <c r="IV18" s="200"/>
    </row>
    <row r="19" s="194" customFormat="1" ht="15.95" customHeight="1" spans="1:256">
      <c r="A19" s="199">
        <v>16</v>
      </c>
      <c r="B19" s="20" t="s">
        <v>2047</v>
      </c>
      <c r="C19" s="199" t="s">
        <v>2044</v>
      </c>
      <c r="D19" s="199">
        <v>1016</v>
      </c>
      <c r="E19" s="199">
        <f>'05版台时'!S32</f>
        <v>89.4432273408361</v>
      </c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200"/>
      <c r="HY19" s="200"/>
      <c r="HZ19" s="200"/>
      <c r="IA19" s="200"/>
      <c r="IB19" s="200"/>
      <c r="IC19" s="200"/>
      <c r="ID19" s="200"/>
      <c r="IE19" s="200"/>
      <c r="IF19" s="200"/>
      <c r="IG19" s="200"/>
      <c r="IH19" s="200"/>
      <c r="II19" s="200"/>
      <c r="IJ19" s="200"/>
      <c r="IK19" s="200"/>
      <c r="IL19" s="200"/>
      <c r="IM19" s="200"/>
      <c r="IN19" s="200"/>
      <c r="IO19" s="200"/>
      <c r="IP19" s="200"/>
      <c r="IQ19" s="200"/>
      <c r="IR19" s="200"/>
      <c r="IS19" s="200"/>
      <c r="IT19" s="200"/>
      <c r="IU19" s="200"/>
      <c r="IV19" s="200"/>
    </row>
    <row r="20" s="194" customFormat="1" ht="15.95" customHeight="1" spans="1:256">
      <c r="A20" s="199">
        <v>17</v>
      </c>
      <c r="B20" s="20" t="s">
        <v>2047</v>
      </c>
      <c r="C20" s="199" t="s">
        <v>2045</v>
      </c>
      <c r="D20" s="199">
        <v>1017</v>
      </c>
      <c r="E20" s="199">
        <f>'05版台时'!T32</f>
        <v>108.079390085152</v>
      </c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200"/>
      <c r="HY20" s="200"/>
      <c r="HZ20" s="200"/>
      <c r="IA20" s="200"/>
      <c r="IB20" s="200"/>
      <c r="IC20" s="200"/>
      <c r="ID20" s="200"/>
      <c r="IE20" s="200"/>
      <c r="IF20" s="200"/>
      <c r="IG20" s="200"/>
      <c r="IH20" s="200"/>
      <c r="II20" s="200"/>
      <c r="IJ20" s="200"/>
      <c r="IK20" s="200"/>
      <c r="IL20" s="200"/>
      <c r="IM20" s="200"/>
      <c r="IN20" s="200"/>
      <c r="IO20" s="200"/>
      <c r="IP20" s="200"/>
      <c r="IQ20" s="200"/>
      <c r="IR20" s="200"/>
      <c r="IS20" s="200"/>
      <c r="IT20" s="200"/>
      <c r="IU20" s="200"/>
      <c r="IV20" s="200"/>
    </row>
    <row r="21" s="194" customFormat="1" ht="15.95" customHeight="1" spans="1:256">
      <c r="A21" s="199">
        <v>18</v>
      </c>
      <c r="B21" s="20" t="s">
        <v>2047</v>
      </c>
      <c r="C21" s="199" t="s">
        <v>2049</v>
      </c>
      <c r="D21" s="199">
        <v>1018</v>
      </c>
      <c r="E21" s="199">
        <f>'05版台时'!U32</f>
        <v>126.307521716584</v>
      </c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200"/>
      <c r="HY21" s="200"/>
      <c r="HZ21" s="200"/>
      <c r="IA21" s="200"/>
      <c r="IB21" s="200"/>
      <c r="IC21" s="200"/>
      <c r="ID21" s="200"/>
      <c r="IE21" s="200"/>
      <c r="IF21" s="200"/>
      <c r="IG21" s="200"/>
      <c r="IH21" s="200"/>
      <c r="II21" s="200"/>
      <c r="IJ21" s="200"/>
      <c r="IK21" s="200"/>
      <c r="IL21" s="200"/>
      <c r="IM21" s="200"/>
      <c r="IN21" s="200"/>
      <c r="IO21" s="200"/>
      <c r="IP21" s="200"/>
      <c r="IQ21" s="200"/>
      <c r="IR21" s="200"/>
      <c r="IS21" s="200"/>
      <c r="IT21" s="200"/>
      <c r="IU21" s="200"/>
      <c r="IV21" s="200"/>
    </row>
    <row r="22" s="194" customFormat="1" ht="15.95" customHeight="1" spans="1:256">
      <c r="A22" s="199">
        <v>19</v>
      </c>
      <c r="B22" s="20" t="s">
        <v>2047</v>
      </c>
      <c r="C22" s="199" t="s">
        <v>2046</v>
      </c>
      <c r="D22" s="199">
        <v>1019</v>
      </c>
      <c r="E22" s="199">
        <f>'05版台时'!V32</f>
        <v>133.935185458108</v>
      </c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200"/>
      <c r="HY22" s="200"/>
      <c r="HZ22" s="200"/>
      <c r="IA22" s="200"/>
      <c r="IB22" s="200"/>
      <c r="IC22" s="200"/>
      <c r="ID22" s="200"/>
      <c r="IE22" s="200"/>
      <c r="IF22" s="200"/>
      <c r="IG22" s="200"/>
      <c r="IH22" s="200"/>
      <c r="II22" s="200"/>
      <c r="IJ22" s="200"/>
      <c r="IK22" s="200"/>
      <c r="IL22" s="200"/>
      <c r="IM22" s="200"/>
      <c r="IN22" s="200"/>
      <c r="IO22" s="200"/>
      <c r="IP22" s="200"/>
      <c r="IQ22" s="200"/>
      <c r="IR22" s="200"/>
      <c r="IS22" s="200"/>
      <c r="IT22" s="200"/>
      <c r="IU22" s="200"/>
      <c r="IV22" s="200"/>
    </row>
    <row r="23" s="194" customFormat="1" ht="15.95" customHeight="1" spans="1:256">
      <c r="A23" s="199">
        <v>20</v>
      </c>
      <c r="B23" s="20" t="s">
        <v>2050</v>
      </c>
      <c r="C23" s="199" t="s">
        <v>2051</v>
      </c>
      <c r="D23" s="199">
        <v>1020</v>
      </c>
      <c r="E23" s="199">
        <f>'05版台时'!W32</f>
        <v>14.8345768088479</v>
      </c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200"/>
      <c r="HZ23" s="200"/>
      <c r="IA23" s="200"/>
      <c r="IB23" s="200"/>
      <c r="IC23" s="200"/>
      <c r="ID23" s="200"/>
      <c r="IE23" s="200"/>
      <c r="IF23" s="200"/>
      <c r="IG23" s="200"/>
      <c r="IH23" s="200"/>
      <c r="II23" s="200"/>
      <c r="IJ23" s="200"/>
      <c r="IK23" s="200"/>
      <c r="IL23" s="200"/>
      <c r="IM23" s="200"/>
      <c r="IN23" s="200"/>
      <c r="IO23" s="200"/>
      <c r="IP23" s="200"/>
      <c r="IQ23" s="200"/>
      <c r="IR23" s="200"/>
      <c r="IS23" s="200"/>
      <c r="IT23" s="200"/>
      <c r="IU23" s="200"/>
      <c r="IV23" s="200"/>
    </row>
    <row r="24" s="194" customFormat="1" ht="15.95" customHeight="1" spans="1:256">
      <c r="A24" s="199">
        <v>21</v>
      </c>
      <c r="B24" s="20" t="s">
        <v>2050</v>
      </c>
      <c r="C24" s="199" t="s">
        <v>2052</v>
      </c>
      <c r="D24" s="199">
        <v>1021</v>
      </c>
      <c r="E24" s="199">
        <f>'05版台时'!X32</f>
        <v>15.9126697486166</v>
      </c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200"/>
      <c r="HY24" s="200"/>
      <c r="HZ24" s="200"/>
      <c r="IA24" s="200"/>
      <c r="IB24" s="200"/>
      <c r="IC24" s="200"/>
      <c r="ID24" s="200"/>
      <c r="IE24" s="200"/>
      <c r="IF24" s="200"/>
      <c r="IG24" s="200"/>
      <c r="IH24" s="200"/>
      <c r="II24" s="200"/>
      <c r="IJ24" s="200"/>
      <c r="IK24" s="200"/>
      <c r="IL24" s="200"/>
      <c r="IM24" s="200"/>
      <c r="IN24" s="200"/>
      <c r="IO24" s="200"/>
      <c r="IP24" s="200"/>
      <c r="IQ24" s="200"/>
      <c r="IR24" s="200"/>
      <c r="IS24" s="200"/>
      <c r="IT24" s="200"/>
      <c r="IU24" s="200"/>
      <c r="IV24" s="200"/>
    </row>
    <row r="25" s="194" customFormat="1" ht="15.95" customHeight="1" spans="1:256">
      <c r="A25" s="199">
        <v>22</v>
      </c>
      <c r="B25" s="20" t="s">
        <v>2053</v>
      </c>
      <c r="C25" s="199" t="s">
        <v>2054</v>
      </c>
      <c r="D25" s="199">
        <v>1022</v>
      </c>
      <c r="E25" s="199">
        <f>'05版台时'!D65</f>
        <v>65.987596706612</v>
      </c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  <c r="HY25" s="200"/>
      <c r="HZ25" s="200"/>
      <c r="IA25" s="200"/>
      <c r="IB25" s="200"/>
      <c r="IC25" s="200"/>
      <c r="ID25" s="200"/>
      <c r="IE25" s="200"/>
      <c r="IF25" s="200"/>
      <c r="IG25" s="200"/>
      <c r="IH25" s="200"/>
      <c r="II25" s="200"/>
      <c r="IJ25" s="200"/>
      <c r="IK25" s="200"/>
      <c r="IL25" s="200"/>
      <c r="IM25" s="200"/>
      <c r="IN25" s="200"/>
      <c r="IO25" s="200"/>
      <c r="IP25" s="200"/>
      <c r="IQ25" s="200"/>
      <c r="IR25" s="200"/>
      <c r="IS25" s="200"/>
      <c r="IT25" s="200"/>
      <c r="IU25" s="200"/>
      <c r="IV25" s="200"/>
    </row>
    <row r="26" s="194" customFormat="1" ht="15.95" customHeight="1" spans="1:256">
      <c r="A26" s="199">
        <v>23</v>
      </c>
      <c r="B26" s="20" t="s">
        <v>2053</v>
      </c>
      <c r="C26" s="199" t="s">
        <v>2055</v>
      </c>
      <c r="D26" s="199">
        <v>1023</v>
      </c>
      <c r="E26" s="199">
        <f>'05版台时'!E65</f>
        <v>114.645793355994</v>
      </c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200"/>
      <c r="HY26" s="200"/>
      <c r="HZ26" s="200"/>
      <c r="IA26" s="200"/>
      <c r="IB26" s="200"/>
      <c r="IC26" s="200"/>
      <c r="ID26" s="200"/>
      <c r="IE26" s="200"/>
      <c r="IF26" s="200"/>
      <c r="IG26" s="200"/>
      <c r="IH26" s="200"/>
      <c r="II26" s="200"/>
      <c r="IJ26" s="200"/>
      <c r="IK26" s="200"/>
      <c r="IL26" s="200"/>
      <c r="IM26" s="200"/>
      <c r="IN26" s="200"/>
      <c r="IO26" s="200"/>
      <c r="IP26" s="200"/>
      <c r="IQ26" s="200"/>
      <c r="IR26" s="200"/>
      <c r="IS26" s="200"/>
      <c r="IT26" s="200"/>
      <c r="IU26" s="200"/>
      <c r="IV26" s="200"/>
    </row>
    <row r="27" s="194" customFormat="1" ht="15.95" customHeight="1" spans="1:256">
      <c r="A27" s="199">
        <v>24</v>
      </c>
      <c r="B27" s="20" t="s">
        <v>2053</v>
      </c>
      <c r="C27" s="199" t="s">
        <v>2056</v>
      </c>
      <c r="D27" s="199">
        <v>1024</v>
      </c>
      <c r="E27" s="199">
        <f>'05版台时'!F65</f>
        <v>142.732219762057</v>
      </c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200"/>
      <c r="HY27" s="200"/>
      <c r="HZ27" s="200"/>
      <c r="IA27" s="200"/>
      <c r="IB27" s="200"/>
      <c r="IC27" s="200"/>
      <c r="ID27" s="200"/>
      <c r="IE27" s="200"/>
      <c r="IF27" s="200"/>
      <c r="IG27" s="200"/>
      <c r="IH27" s="200"/>
      <c r="II27" s="200"/>
      <c r="IJ27" s="200"/>
      <c r="IK27" s="200"/>
      <c r="IL27" s="200"/>
      <c r="IM27" s="200"/>
      <c r="IN27" s="200"/>
      <c r="IO27" s="200"/>
      <c r="IP27" s="200"/>
      <c r="IQ27" s="200"/>
      <c r="IR27" s="200"/>
      <c r="IS27" s="200"/>
      <c r="IT27" s="200"/>
      <c r="IU27" s="200"/>
      <c r="IV27" s="200"/>
    </row>
    <row r="28" s="194" customFormat="1" ht="15.95" customHeight="1" spans="1:256">
      <c r="A28" s="199">
        <v>25</v>
      </c>
      <c r="B28" s="20" t="s">
        <v>2057</v>
      </c>
      <c r="C28" s="199" t="s">
        <v>2034</v>
      </c>
      <c r="D28" s="199">
        <v>1025</v>
      </c>
      <c r="E28" s="199">
        <f>'05版台时'!G65</f>
        <v>281.826617695018</v>
      </c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200"/>
      <c r="HY28" s="200"/>
      <c r="HZ28" s="200"/>
      <c r="IA28" s="200"/>
      <c r="IB28" s="200"/>
      <c r="IC28" s="200"/>
      <c r="ID28" s="200"/>
      <c r="IE28" s="200"/>
      <c r="IF28" s="200"/>
      <c r="IG28" s="200"/>
      <c r="IH28" s="200"/>
      <c r="II28" s="200"/>
      <c r="IJ28" s="200"/>
      <c r="IK28" s="200"/>
      <c r="IL28" s="200"/>
      <c r="IM28" s="200"/>
      <c r="IN28" s="200"/>
      <c r="IO28" s="200"/>
      <c r="IP28" s="200"/>
      <c r="IQ28" s="200"/>
      <c r="IR28" s="200"/>
      <c r="IS28" s="200"/>
      <c r="IT28" s="200"/>
      <c r="IU28" s="200"/>
      <c r="IV28" s="200"/>
    </row>
    <row r="29" s="194" customFormat="1" ht="15.95" customHeight="1" spans="1:256">
      <c r="A29" s="199">
        <v>26</v>
      </c>
      <c r="B29" s="20" t="s">
        <v>2058</v>
      </c>
      <c r="C29" s="199" t="s">
        <v>2059</v>
      </c>
      <c r="D29" s="199">
        <v>1026</v>
      </c>
      <c r="E29" s="199">
        <f>'05版台时'!H65</f>
        <v>26.2065416832868</v>
      </c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200"/>
      <c r="HY29" s="200"/>
      <c r="HZ29" s="200"/>
      <c r="IA29" s="200"/>
      <c r="IB29" s="200"/>
      <c r="IC29" s="200"/>
      <c r="ID29" s="200"/>
      <c r="IE29" s="200"/>
      <c r="IF29" s="200"/>
      <c r="IG29" s="200"/>
      <c r="IH29" s="200"/>
      <c r="II29" s="200"/>
      <c r="IJ29" s="200"/>
      <c r="IK29" s="200"/>
      <c r="IL29" s="200"/>
      <c r="IM29" s="200"/>
      <c r="IN29" s="200"/>
      <c r="IO29" s="200"/>
      <c r="IP29" s="200"/>
      <c r="IQ29" s="200"/>
      <c r="IR29" s="200"/>
      <c r="IS29" s="200"/>
      <c r="IT29" s="200"/>
      <c r="IU29" s="200"/>
      <c r="IV29" s="200"/>
    </row>
    <row r="30" s="194" customFormat="1" ht="15.95" customHeight="1" spans="1:256">
      <c r="A30" s="199">
        <v>27</v>
      </c>
      <c r="B30" s="20" t="s">
        <v>2060</v>
      </c>
      <c r="C30" s="199" t="s">
        <v>2061</v>
      </c>
      <c r="D30" s="199">
        <v>1027</v>
      </c>
      <c r="E30" s="199">
        <f>'05版台时'!I65</f>
        <v>46.7718408456322</v>
      </c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200"/>
      <c r="IG30" s="200"/>
      <c r="IH30" s="200"/>
      <c r="II30" s="200"/>
      <c r="IJ30" s="200"/>
      <c r="IK30" s="200"/>
      <c r="IL30" s="200"/>
      <c r="IM30" s="200"/>
      <c r="IN30" s="200"/>
      <c r="IO30" s="200"/>
      <c r="IP30" s="200"/>
      <c r="IQ30" s="200"/>
      <c r="IR30" s="200"/>
      <c r="IS30" s="200"/>
      <c r="IT30" s="200"/>
      <c r="IU30" s="200"/>
      <c r="IV30" s="200"/>
    </row>
    <row r="31" s="194" customFormat="1" ht="15.95" customHeight="1" spans="1:256">
      <c r="A31" s="199">
        <v>28</v>
      </c>
      <c r="B31" s="20" t="s">
        <v>2060</v>
      </c>
      <c r="C31" s="199" t="s">
        <v>2062</v>
      </c>
      <c r="D31" s="199">
        <v>1028</v>
      </c>
      <c r="E31" s="199">
        <f>'05版台时'!J65</f>
        <v>49.9013701635421</v>
      </c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200"/>
      <c r="HY31" s="200"/>
      <c r="HZ31" s="200"/>
      <c r="IA31" s="200"/>
      <c r="IB31" s="200"/>
      <c r="IC31" s="200"/>
      <c r="ID31" s="200"/>
      <c r="IE31" s="200"/>
      <c r="IF31" s="200"/>
      <c r="IG31" s="200"/>
      <c r="IH31" s="200"/>
      <c r="II31" s="200"/>
      <c r="IJ31" s="200"/>
      <c r="IK31" s="200"/>
      <c r="IL31" s="200"/>
      <c r="IM31" s="200"/>
      <c r="IN31" s="200"/>
      <c r="IO31" s="200"/>
      <c r="IP31" s="200"/>
      <c r="IQ31" s="200"/>
      <c r="IR31" s="200"/>
      <c r="IS31" s="200"/>
      <c r="IT31" s="200"/>
      <c r="IU31" s="200"/>
      <c r="IV31" s="200"/>
    </row>
    <row r="32" s="194" customFormat="1" ht="15.95" customHeight="1" spans="1:256">
      <c r="A32" s="199">
        <v>29</v>
      </c>
      <c r="B32" s="20" t="s">
        <v>2060</v>
      </c>
      <c r="C32" s="199" t="s">
        <v>2063</v>
      </c>
      <c r="D32" s="199">
        <v>1029</v>
      </c>
      <c r="E32" s="199">
        <f>'05版台时'!K65</f>
        <v>50.9587295572397</v>
      </c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200"/>
      <c r="HY32" s="200"/>
      <c r="HZ32" s="200"/>
      <c r="IA32" s="200"/>
      <c r="IB32" s="200"/>
      <c r="IC32" s="200"/>
      <c r="ID32" s="200"/>
      <c r="IE32" s="200"/>
      <c r="IF32" s="200"/>
      <c r="IG32" s="200"/>
      <c r="IH32" s="200"/>
      <c r="II32" s="200"/>
      <c r="IJ32" s="200"/>
      <c r="IK32" s="200"/>
      <c r="IL32" s="200"/>
      <c r="IM32" s="200"/>
      <c r="IN32" s="200"/>
      <c r="IO32" s="200"/>
      <c r="IP32" s="200"/>
      <c r="IQ32" s="200"/>
      <c r="IR32" s="200"/>
      <c r="IS32" s="200"/>
      <c r="IT32" s="200"/>
      <c r="IU32" s="200"/>
      <c r="IV32" s="200"/>
    </row>
    <row r="33" s="194" customFormat="1" ht="15.95" customHeight="1" spans="1:256">
      <c r="A33" s="199">
        <v>30</v>
      </c>
      <c r="B33" s="20" t="s">
        <v>2064</v>
      </c>
      <c r="C33" s="199" t="s">
        <v>2065</v>
      </c>
      <c r="D33" s="199">
        <v>1030</v>
      </c>
      <c r="E33" s="199">
        <f>'05版台时'!L65</f>
        <v>2.07682489030714</v>
      </c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200"/>
      <c r="HY33" s="200"/>
      <c r="HZ33" s="200"/>
      <c r="IA33" s="200"/>
      <c r="IB33" s="200"/>
      <c r="IC33" s="200"/>
      <c r="ID33" s="200"/>
      <c r="IE33" s="200"/>
      <c r="IF33" s="200"/>
      <c r="IG33" s="200"/>
      <c r="IH33" s="200"/>
      <c r="II33" s="200"/>
      <c r="IJ33" s="200"/>
      <c r="IK33" s="200"/>
      <c r="IL33" s="200"/>
      <c r="IM33" s="200"/>
      <c r="IN33" s="200"/>
      <c r="IO33" s="200"/>
      <c r="IP33" s="200"/>
      <c r="IQ33" s="200"/>
      <c r="IR33" s="200"/>
      <c r="IS33" s="200"/>
      <c r="IT33" s="200"/>
      <c r="IU33" s="200"/>
      <c r="IV33" s="200"/>
    </row>
    <row r="34" s="194" customFormat="1" ht="15.95" customHeight="1" spans="1:256">
      <c r="A34" s="199">
        <v>31</v>
      </c>
      <c r="B34" s="20" t="s">
        <v>2064</v>
      </c>
      <c r="C34" s="199" t="s">
        <v>2066</v>
      </c>
      <c r="D34" s="199">
        <v>1031</v>
      </c>
      <c r="E34" s="199">
        <f>'05版台时'!M65</f>
        <v>2.6032708416434</v>
      </c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200"/>
      <c r="HY34" s="200"/>
      <c r="HZ34" s="200"/>
      <c r="IA34" s="200"/>
      <c r="IB34" s="200"/>
      <c r="IC34" s="200"/>
      <c r="ID34" s="200"/>
      <c r="IE34" s="200"/>
      <c r="IF34" s="200"/>
      <c r="IG34" s="200"/>
      <c r="IH34" s="200"/>
      <c r="II34" s="200"/>
      <c r="IJ34" s="200"/>
      <c r="IK34" s="200"/>
      <c r="IL34" s="200"/>
      <c r="IM34" s="200"/>
      <c r="IN34" s="200"/>
      <c r="IO34" s="200"/>
      <c r="IP34" s="200"/>
      <c r="IQ34" s="200"/>
      <c r="IR34" s="200"/>
      <c r="IS34" s="200"/>
      <c r="IT34" s="200"/>
      <c r="IU34" s="200"/>
      <c r="IV34" s="200"/>
    </row>
    <row r="35" s="194" customFormat="1" ht="15.95" customHeight="1" spans="1:256">
      <c r="A35" s="199">
        <v>32</v>
      </c>
      <c r="B35" s="20" t="s">
        <v>2067</v>
      </c>
      <c r="C35" s="199" t="s">
        <v>2068</v>
      </c>
      <c r="D35" s="199">
        <v>1032</v>
      </c>
      <c r="E35" s="199">
        <f>'05版台时'!N65</f>
        <v>47.3222887688377</v>
      </c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200"/>
      <c r="HY35" s="200"/>
      <c r="HZ35" s="200"/>
      <c r="IA35" s="200"/>
      <c r="IB35" s="200"/>
      <c r="IC35" s="200"/>
      <c r="ID35" s="200"/>
      <c r="IE35" s="200"/>
      <c r="IF35" s="200"/>
      <c r="IG35" s="200"/>
      <c r="IH35" s="200"/>
      <c r="II35" s="200"/>
      <c r="IJ35" s="200"/>
      <c r="IK35" s="200"/>
      <c r="IL35" s="200"/>
      <c r="IM35" s="200"/>
      <c r="IN35" s="200"/>
      <c r="IO35" s="200"/>
      <c r="IP35" s="200"/>
      <c r="IQ35" s="200"/>
      <c r="IR35" s="200"/>
      <c r="IS35" s="200"/>
      <c r="IT35" s="200"/>
      <c r="IU35" s="200"/>
      <c r="IV35" s="200"/>
    </row>
    <row r="36" s="194" customFormat="1" ht="15.95" customHeight="1" spans="1:256">
      <c r="A36" s="199">
        <v>33</v>
      </c>
      <c r="B36" s="20" t="s">
        <v>2067</v>
      </c>
      <c r="C36" s="199" t="s">
        <v>2069</v>
      </c>
      <c r="D36" s="199">
        <v>1033</v>
      </c>
      <c r="E36" s="199">
        <f>'05版台时'!O65</f>
        <v>63.5290937149885</v>
      </c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200"/>
      <c r="HY36" s="200"/>
      <c r="HZ36" s="200"/>
      <c r="IA36" s="200"/>
      <c r="IB36" s="200"/>
      <c r="IC36" s="200"/>
      <c r="ID36" s="200"/>
      <c r="IE36" s="200"/>
      <c r="IF36" s="200"/>
      <c r="IG36" s="200"/>
      <c r="IH36" s="200"/>
      <c r="II36" s="200"/>
      <c r="IJ36" s="200"/>
      <c r="IK36" s="200"/>
      <c r="IL36" s="200"/>
      <c r="IM36" s="200"/>
      <c r="IN36" s="200"/>
      <c r="IO36" s="200"/>
      <c r="IP36" s="200"/>
      <c r="IQ36" s="200"/>
      <c r="IR36" s="200"/>
      <c r="IS36" s="200"/>
      <c r="IT36" s="200"/>
      <c r="IU36" s="200"/>
      <c r="IV36" s="200"/>
    </row>
    <row r="37" s="194" customFormat="1" ht="15.95" customHeight="1" spans="1:256">
      <c r="A37" s="199">
        <v>34</v>
      </c>
      <c r="B37" s="20" t="s">
        <v>2070</v>
      </c>
      <c r="C37" s="199" t="s">
        <v>2071</v>
      </c>
      <c r="D37" s="199">
        <v>1034</v>
      </c>
      <c r="E37" s="199">
        <f>'05版台时'!P65</f>
        <v>18.4751671797222</v>
      </c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200"/>
      <c r="HY37" s="200"/>
      <c r="HZ37" s="200"/>
      <c r="IA37" s="200"/>
      <c r="IB37" s="200"/>
      <c r="IC37" s="200"/>
      <c r="ID37" s="200"/>
      <c r="IE37" s="200"/>
      <c r="IF37" s="200"/>
      <c r="IG37" s="200"/>
      <c r="IH37" s="200"/>
      <c r="II37" s="200"/>
      <c r="IJ37" s="200"/>
      <c r="IK37" s="200"/>
      <c r="IL37" s="200"/>
      <c r="IM37" s="200"/>
      <c r="IN37" s="200"/>
      <c r="IO37" s="200"/>
      <c r="IP37" s="200"/>
      <c r="IQ37" s="200"/>
      <c r="IR37" s="200"/>
      <c r="IS37" s="200"/>
      <c r="IT37" s="200"/>
      <c r="IU37" s="200"/>
      <c r="IV37" s="200"/>
    </row>
    <row r="38" s="194" customFormat="1" ht="15.95" customHeight="1" spans="1:256">
      <c r="A38" s="199">
        <v>35</v>
      </c>
      <c r="B38" s="20" t="s">
        <v>2072</v>
      </c>
      <c r="C38" s="20" t="s">
        <v>2073</v>
      </c>
      <c r="D38" s="199">
        <v>1035</v>
      </c>
      <c r="E38" s="199">
        <f>'05版台时'!Q65</f>
        <v>24.9805587152091</v>
      </c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200"/>
      <c r="HY38" s="200"/>
      <c r="HZ38" s="200"/>
      <c r="IA38" s="200"/>
      <c r="IB38" s="200"/>
      <c r="IC38" s="200"/>
      <c r="ID38" s="200"/>
      <c r="IE38" s="200"/>
      <c r="IF38" s="200"/>
      <c r="IG38" s="200"/>
      <c r="IH38" s="200"/>
      <c r="II38" s="200"/>
      <c r="IJ38" s="200"/>
      <c r="IK38" s="200"/>
      <c r="IL38" s="200"/>
      <c r="IM38" s="200"/>
      <c r="IN38" s="200"/>
      <c r="IO38" s="200"/>
      <c r="IP38" s="200"/>
      <c r="IQ38" s="200"/>
      <c r="IR38" s="200"/>
      <c r="IS38" s="200"/>
      <c r="IT38" s="200"/>
      <c r="IU38" s="200"/>
      <c r="IV38" s="200"/>
    </row>
    <row r="39" s="194" customFormat="1" ht="15.95" customHeight="1" spans="1:256">
      <c r="A39" s="199">
        <v>36</v>
      </c>
      <c r="B39" s="20" t="s">
        <v>2072</v>
      </c>
      <c r="C39" s="20" t="s">
        <v>2074</v>
      </c>
      <c r="D39" s="199">
        <v>1036</v>
      </c>
      <c r="E39" s="199">
        <f>'05版台时'!R65</f>
        <v>34.3313222704583</v>
      </c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200"/>
      <c r="HY39" s="200"/>
      <c r="HZ39" s="200"/>
      <c r="IA39" s="200"/>
      <c r="IB39" s="200"/>
      <c r="IC39" s="200"/>
      <c r="ID39" s="200"/>
      <c r="IE39" s="200"/>
      <c r="IF39" s="200"/>
      <c r="IG39" s="200"/>
      <c r="IH39" s="200"/>
      <c r="II39" s="200"/>
      <c r="IJ39" s="200"/>
      <c r="IK39" s="200"/>
      <c r="IL39" s="200"/>
      <c r="IM39" s="200"/>
      <c r="IN39" s="200"/>
      <c r="IO39" s="200"/>
      <c r="IP39" s="200"/>
      <c r="IQ39" s="200"/>
      <c r="IR39" s="200"/>
      <c r="IS39" s="200"/>
      <c r="IT39" s="200"/>
      <c r="IU39" s="200"/>
      <c r="IV39" s="200"/>
    </row>
    <row r="40" s="194" customFormat="1" ht="15.95" customHeight="1" spans="1:256">
      <c r="A40" s="199">
        <v>37</v>
      </c>
      <c r="B40" s="20" t="s">
        <v>2075</v>
      </c>
      <c r="C40" s="199" t="s">
        <v>2073</v>
      </c>
      <c r="D40" s="199">
        <v>1037</v>
      </c>
      <c r="E40" s="199">
        <f>'05版台时'!S65</f>
        <v>10.8986757080175</v>
      </c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200"/>
      <c r="IR40" s="200"/>
      <c r="IS40" s="200"/>
      <c r="IT40" s="200"/>
      <c r="IU40" s="200"/>
      <c r="IV40" s="200"/>
    </row>
    <row r="41" s="194" customFormat="1" ht="15.95" customHeight="1" spans="1:256">
      <c r="A41" s="199">
        <v>38</v>
      </c>
      <c r="B41" s="20" t="s">
        <v>2076</v>
      </c>
      <c r="C41" s="199" t="s">
        <v>2077</v>
      </c>
      <c r="D41" s="199">
        <v>1038</v>
      </c>
      <c r="E41" s="199">
        <f>'05版台时'!T65</f>
        <v>101.975773704713</v>
      </c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200"/>
      <c r="IG41" s="200"/>
      <c r="IH41" s="200"/>
      <c r="II41" s="200"/>
      <c r="IJ41" s="200"/>
      <c r="IK41" s="200"/>
      <c r="IL41" s="200"/>
      <c r="IM41" s="200"/>
      <c r="IN41" s="200"/>
      <c r="IO41" s="200"/>
      <c r="IP41" s="200"/>
      <c r="IQ41" s="200"/>
      <c r="IR41" s="200"/>
      <c r="IS41" s="200"/>
      <c r="IT41" s="200"/>
      <c r="IU41" s="200"/>
      <c r="IV41" s="200"/>
    </row>
    <row r="42" s="194" customFormat="1" ht="15.95" customHeight="1" spans="1:256">
      <c r="A42" s="199">
        <v>39</v>
      </c>
      <c r="B42" s="20" t="s">
        <v>2076</v>
      </c>
      <c r="C42" s="199" t="s">
        <v>2078</v>
      </c>
      <c r="D42" s="199">
        <v>1039</v>
      </c>
      <c r="E42" s="199">
        <f>'05版台时'!U65</f>
        <v>110.802268319791</v>
      </c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200"/>
      <c r="IG42" s="200"/>
      <c r="IH42" s="200"/>
      <c r="II42" s="200"/>
      <c r="IJ42" s="200"/>
      <c r="IK42" s="200"/>
      <c r="IL42" s="200"/>
      <c r="IM42" s="200"/>
      <c r="IN42" s="200"/>
      <c r="IO42" s="200"/>
      <c r="IP42" s="200"/>
      <c r="IQ42" s="200"/>
      <c r="IR42" s="200"/>
      <c r="IS42" s="200"/>
      <c r="IT42" s="200"/>
      <c r="IU42" s="200"/>
      <c r="IV42" s="200"/>
    </row>
    <row r="43" s="194" customFormat="1" ht="15.95" customHeight="1" spans="1:256">
      <c r="A43" s="199">
        <v>40</v>
      </c>
      <c r="B43" s="20" t="s">
        <v>2079</v>
      </c>
      <c r="C43" s="199" t="s">
        <v>2080</v>
      </c>
      <c r="D43" s="199">
        <v>1040</v>
      </c>
      <c r="E43" s="199">
        <f>'05版台时'!V65</f>
        <v>35.6160402646494</v>
      </c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200"/>
      <c r="IG43" s="200"/>
      <c r="IH43" s="200"/>
      <c r="II43" s="200"/>
      <c r="IJ43" s="200"/>
      <c r="IK43" s="200"/>
      <c r="IL43" s="200"/>
      <c r="IM43" s="200"/>
      <c r="IN43" s="200"/>
      <c r="IO43" s="200"/>
      <c r="IP43" s="200"/>
      <c r="IQ43" s="200"/>
      <c r="IR43" s="200"/>
      <c r="IS43" s="200"/>
      <c r="IT43" s="200"/>
      <c r="IU43" s="200"/>
      <c r="IV43" s="200"/>
    </row>
    <row r="44" s="194" customFormat="1" ht="15.95" customHeight="1" spans="1:256">
      <c r="A44" s="199">
        <v>41</v>
      </c>
      <c r="B44" s="20" t="s">
        <v>2079</v>
      </c>
      <c r="C44" s="199" t="s">
        <v>2037</v>
      </c>
      <c r="D44" s="199">
        <v>1041</v>
      </c>
      <c r="E44" s="199">
        <f>'05版台时'!W65</f>
        <v>46.890233324083</v>
      </c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200"/>
      <c r="IG44" s="200"/>
      <c r="IH44" s="200"/>
      <c r="II44" s="200"/>
      <c r="IJ44" s="200"/>
      <c r="IK44" s="200"/>
      <c r="IL44" s="200"/>
      <c r="IM44" s="200"/>
      <c r="IN44" s="200"/>
      <c r="IO44" s="200"/>
      <c r="IP44" s="200"/>
      <c r="IQ44" s="200"/>
      <c r="IR44" s="200"/>
      <c r="IS44" s="200"/>
      <c r="IT44" s="200"/>
      <c r="IU44" s="200"/>
      <c r="IV44" s="200"/>
    </row>
    <row r="45" s="194" customFormat="1" ht="15.95" customHeight="1" spans="1:256">
      <c r="A45" s="199">
        <v>42</v>
      </c>
      <c r="B45" s="20" t="s">
        <v>2081</v>
      </c>
      <c r="C45" s="199" t="s">
        <v>2082</v>
      </c>
      <c r="D45" s="199">
        <v>1042</v>
      </c>
      <c r="E45" s="199">
        <f>'05版台时'!X65</f>
        <v>1.09964100518548</v>
      </c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200"/>
      <c r="IG45" s="200"/>
      <c r="IH45" s="200"/>
      <c r="II45" s="200"/>
      <c r="IJ45" s="200"/>
      <c r="IK45" s="200"/>
      <c r="IL45" s="200"/>
      <c r="IM45" s="200"/>
      <c r="IN45" s="200"/>
      <c r="IO45" s="200"/>
      <c r="IP45" s="200"/>
      <c r="IQ45" s="200"/>
      <c r="IR45" s="200"/>
      <c r="IS45" s="200"/>
      <c r="IT45" s="200"/>
      <c r="IU45" s="200"/>
      <c r="IV45" s="200"/>
    </row>
    <row r="46" s="194" customFormat="1" ht="15.95" customHeight="1" spans="1:256">
      <c r="A46" s="199">
        <v>43</v>
      </c>
      <c r="B46" s="20" t="s">
        <v>2083</v>
      </c>
      <c r="C46" s="20" t="s">
        <v>2084</v>
      </c>
      <c r="D46" s="199">
        <v>1043</v>
      </c>
      <c r="E46" s="199">
        <f>'05版台时'!D98</f>
        <v>10.0426892938898</v>
      </c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200"/>
      <c r="IG46" s="200"/>
      <c r="IH46" s="200"/>
      <c r="II46" s="200"/>
      <c r="IJ46" s="200"/>
      <c r="IK46" s="200"/>
      <c r="IL46" s="200"/>
      <c r="IM46" s="200"/>
      <c r="IN46" s="200"/>
      <c r="IO46" s="200"/>
      <c r="IP46" s="200"/>
      <c r="IQ46" s="200"/>
      <c r="IR46" s="200"/>
      <c r="IS46" s="200"/>
      <c r="IT46" s="200"/>
      <c r="IU46" s="200"/>
      <c r="IV46" s="200"/>
    </row>
    <row r="47" s="194" customFormat="1" ht="15.95" customHeight="1" spans="1:256">
      <c r="A47" s="199">
        <v>44</v>
      </c>
      <c r="B47" s="20" t="s">
        <v>2085</v>
      </c>
      <c r="C47" s="199" t="s">
        <v>2086</v>
      </c>
      <c r="D47" s="199">
        <v>1044</v>
      </c>
      <c r="E47" s="199">
        <f>'05版台时'!E98</f>
        <v>151.288863829754</v>
      </c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200"/>
      <c r="IG47" s="200"/>
      <c r="IH47" s="200"/>
      <c r="II47" s="200"/>
      <c r="IJ47" s="200"/>
      <c r="IK47" s="200"/>
      <c r="IL47" s="200"/>
      <c r="IM47" s="200"/>
      <c r="IN47" s="200"/>
      <c r="IO47" s="200"/>
      <c r="IP47" s="200"/>
      <c r="IQ47" s="200"/>
      <c r="IR47" s="200"/>
      <c r="IS47" s="200"/>
      <c r="IT47" s="200"/>
      <c r="IU47" s="200"/>
      <c r="IV47" s="200"/>
    </row>
    <row r="48" s="194" customFormat="1" ht="15.95" customHeight="1" spans="1:256">
      <c r="A48" s="199">
        <v>45</v>
      </c>
      <c r="B48" s="20" t="s">
        <v>2085</v>
      </c>
      <c r="C48" s="199" t="s">
        <v>2087</v>
      </c>
      <c r="D48" s="199">
        <v>1045</v>
      </c>
      <c r="E48" s="199">
        <f>'05版台时'!F98</f>
        <v>251.421160199917</v>
      </c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200"/>
      <c r="IG48" s="200"/>
      <c r="IH48" s="200"/>
      <c r="II48" s="200"/>
      <c r="IJ48" s="200"/>
      <c r="IK48" s="200"/>
      <c r="IL48" s="200"/>
      <c r="IM48" s="200"/>
      <c r="IN48" s="200"/>
      <c r="IO48" s="200"/>
      <c r="IP48" s="200"/>
      <c r="IQ48" s="200"/>
      <c r="IR48" s="200"/>
      <c r="IS48" s="200"/>
      <c r="IT48" s="200"/>
      <c r="IU48" s="200"/>
      <c r="IV48" s="200"/>
    </row>
    <row r="49" s="194" customFormat="1" ht="15.95" customHeight="1" spans="1:256">
      <c r="A49" s="199">
        <v>46</v>
      </c>
      <c r="B49" s="20" t="s">
        <v>2085</v>
      </c>
      <c r="C49" s="199" t="s">
        <v>2088</v>
      </c>
      <c r="D49" s="199">
        <v>1046</v>
      </c>
      <c r="E49" s="199">
        <f>'05版台时'!G98</f>
        <v>287.275822744792</v>
      </c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200"/>
      <c r="IG49" s="200"/>
      <c r="IH49" s="200"/>
      <c r="II49" s="200"/>
      <c r="IJ49" s="200"/>
      <c r="IK49" s="200"/>
      <c r="IL49" s="200"/>
      <c r="IM49" s="200"/>
      <c r="IN49" s="200"/>
      <c r="IO49" s="200"/>
      <c r="IP49" s="200"/>
      <c r="IQ49" s="200"/>
      <c r="IR49" s="200"/>
      <c r="IS49" s="200"/>
      <c r="IT49" s="200"/>
      <c r="IU49" s="200"/>
      <c r="IV49" s="200"/>
    </row>
    <row r="50" s="194" customFormat="1" ht="15.95" customHeight="1" spans="1:256">
      <c r="A50" s="199">
        <v>47</v>
      </c>
      <c r="B50" s="20" t="s">
        <v>2089</v>
      </c>
      <c r="C50" s="199" t="s">
        <v>1831</v>
      </c>
      <c r="D50" s="199">
        <v>1047</v>
      </c>
      <c r="E50" s="199">
        <f>'05版台时'!H98</f>
        <v>790.163832922133</v>
      </c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200"/>
      <c r="IG50" s="200"/>
      <c r="IH50" s="200"/>
      <c r="II50" s="200"/>
      <c r="IJ50" s="200"/>
      <c r="IK50" s="200"/>
      <c r="IL50" s="200"/>
      <c r="IM50" s="200"/>
      <c r="IN50" s="200"/>
      <c r="IO50" s="200"/>
      <c r="IP50" s="200"/>
      <c r="IQ50" s="200"/>
      <c r="IR50" s="200"/>
      <c r="IS50" s="200"/>
      <c r="IT50" s="200"/>
      <c r="IU50" s="200"/>
      <c r="IV50" s="200"/>
    </row>
    <row r="51" s="194" customFormat="1" ht="15.95" customHeight="1" spans="1:256">
      <c r="A51" s="199">
        <v>48</v>
      </c>
      <c r="B51" s="20" t="s">
        <v>2090</v>
      </c>
      <c r="C51" s="199" t="s">
        <v>2091</v>
      </c>
      <c r="D51" s="199">
        <v>1048</v>
      </c>
      <c r="E51" s="199">
        <f>'05版台时'!I98</f>
        <v>466.60388922972</v>
      </c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200"/>
      <c r="IG51" s="200"/>
      <c r="IH51" s="200"/>
      <c r="II51" s="200"/>
      <c r="IJ51" s="200"/>
      <c r="IK51" s="200"/>
      <c r="IL51" s="200"/>
      <c r="IM51" s="200"/>
      <c r="IN51" s="200"/>
      <c r="IO51" s="200"/>
      <c r="IP51" s="200"/>
      <c r="IQ51" s="200"/>
      <c r="IR51" s="200"/>
      <c r="IS51" s="200"/>
      <c r="IT51" s="200"/>
      <c r="IU51" s="200"/>
      <c r="IV51" s="200"/>
    </row>
    <row r="52" s="194" customFormat="1" ht="15.95" customHeight="1" spans="1:256">
      <c r="A52" s="197" t="s">
        <v>2092</v>
      </c>
      <c r="B52" s="198"/>
      <c r="C52" s="199"/>
      <c r="D52" s="199"/>
      <c r="E52" s="199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200"/>
      <c r="HY52" s="200"/>
      <c r="HZ52" s="200"/>
      <c r="IA52" s="200"/>
      <c r="IB52" s="200"/>
      <c r="IC52" s="200"/>
      <c r="ID52" s="200"/>
      <c r="IE52" s="200"/>
      <c r="IF52" s="200"/>
      <c r="IG52" s="200"/>
      <c r="IH52" s="200"/>
      <c r="II52" s="200"/>
      <c r="IJ52" s="200"/>
      <c r="IK52" s="200"/>
      <c r="IL52" s="200"/>
      <c r="IM52" s="200"/>
      <c r="IN52" s="200"/>
      <c r="IO52" s="200"/>
      <c r="IP52" s="200"/>
      <c r="IQ52" s="200"/>
      <c r="IR52" s="200"/>
      <c r="IS52" s="200"/>
      <c r="IT52" s="200"/>
      <c r="IU52" s="200"/>
      <c r="IV52" s="200"/>
    </row>
    <row r="53" s="194" customFormat="1" ht="15.95" customHeight="1" spans="1:256">
      <c r="A53" s="199">
        <v>1</v>
      </c>
      <c r="B53" s="20" t="s">
        <v>2093</v>
      </c>
      <c r="C53" s="199" t="s">
        <v>2094</v>
      </c>
      <c r="D53" s="199">
        <v>2001</v>
      </c>
      <c r="E53" s="199">
        <f>'05版台时'!D131</f>
        <v>16.239133098411</v>
      </c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</row>
    <row r="54" s="194" customFormat="1" ht="15.95" customHeight="1" spans="1:256">
      <c r="A54" s="199">
        <v>2</v>
      </c>
      <c r="B54" s="20" t="s">
        <v>2093</v>
      </c>
      <c r="C54" s="199" t="s">
        <v>2095</v>
      </c>
      <c r="D54" s="199">
        <v>2002</v>
      </c>
      <c r="E54" s="199">
        <f>'05版台时'!E131</f>
        <v>23.4884302663407</v>
      </c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200"/>
      <c r="IG54" s="200"/>
      <c r="IH54" s="200"/>
      <c r="II54" s="200"/>
      <c r="IJ54" s="200"/>
      <c r="IK54" s="200"/>
      <c r="IL54" s="200"/>
      <c r="IM54" s="200"/>
      <c r="IN54" s="200"/>
      <c r="IO54" s="200"/>
      <c r="IP54" s="200"/>
      <c r="IQ54" s="200"/>
      <c r="IR54" s="200"/>
      <c r="IS54" s="200"/>
      <c r="IT54" s="200"/>
      <c r="IU54" s="200"/>
      <c r="IV54" s="200"/>
    </row>
    <row r="55" s="194" customFormat="1" ht="15.95" customHeight="1" spans="1:256">
      <c r="A55" s="199">
        <v>3</v>
      </c>
      <c r="B55" s="20" t="s">
        <v>2093</v>
      </c>
      <c r="C55" s="199" t="s">
        <v>2096</v>
      </c>
      <c r="D55" s="199">
        <v>2003</v>
      </c>
      <c r="E55" s="199">
        <f>'05版台时'!F131</f>
        <v>30.1176859504253</v>
      </c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200"/>
      <c r="IG55" s="200"/>
      <c r="IH55" s="200"/>
      <c r="II55" s="200"/>
      <c r="IJ55" s="200"/>
      <c r="IK55" s="200"/>
      <c r="IL55" s="200"/>
      <c r="IM55" s="200"/>
      <c r="IN55" s="200"/>
      <c r="IO55" s="200"/>
      <c r="IP55" s="200"/>
      <c r="IQ55" s="200"/>
      <c r="IR55" s="200"/>
      <c r="IS55" s="200"/>
      <c r="IT55" s="200"/>
      <c r="IU55" s="200"/>
      <c r="IV55" s="200"/>
    </row>
    <row r="56" s="194" customFormat="1" ht="15.95" customHeight="1" spans="1:256">
      <c r="A56" s="199">
        <v>4</v>
      </c>
      <c r="B56" s="20" t="s">
        <v>2097</v>
      </c>
      <c r="C56" s="199" t="s">
        <v>2094</v>
      </c>
      <c r="D56" s="199">
        <v>2004</v>
      </c>
      <c r="E56" s="199">
        <f>'05版台时'!G131</f>
        <v>23.0409591853675</v>
      </c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200"/>
      <c r="IG56" s="200"/>
      <c r="IH56" s="200"/>
      <c r="II56" s="200"/>
      <c r="IJ56" s="200"/>
      <c r="IK56" s="200"/>
      <c r="IL56" s="200"/>
      <c r="IM56" s="200"/>
      <c r="IN56" s="200"/>
      <c r="IO56" s="200"/>
      <c r="IP56" s="200"/>
      <c r="IQ56" s="200"/>
      <c r="IR56" s="200"/>
      <c r="IS56" s="200"/>
      <c r="IT56" s="200"/>
      <c r="IU56" s="200"/>
      <c r="IV56" s="200"/>
    </row>
    <row r="57" s="194" customFormat="1" ht="15.95" customHeight="1" spans="1:256">
      <c r="A57" s="199">
        <v>5</v>
      </c>
      <c r="B57" s="20" t="s">
        <v>2097</v>
      </c>
      <c r="C57" s="199" t="s">
        <v>2098</v>
      </c>
      <c r="D57" s="199">
        <v>2005</v>
      </c>
      <c r="E57" s="199">
        <f>'05版台时'!H131</f>
        <v>31.2037681203495</v>
      </c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200"/>
      <c r="IG57" s="200"/>
      <c r="IH57" s="200"/>
      <c r="II57" s="200"/>
      <c r="IJ57" s="200"/>
      <c r="IK57" s="200"/>
      <c r="IL57" s="200"/>
      <c r="IM57" s="200"/>
      <c r="IN57" s="200"/>
      <c r="IO57" s="200"/>
      <c r="IP57" s="200"/>
      <c r="IQ57" s="200"/>
      <c r="IR57" s="200"/>
      <c r="IS57" s="200"/>
      <c r="IT57" s="200"/>
      <c r="IU57" s="200"/>
      <c r="IV57" s="200"/>
    </row>
    <row r="58" s="194" customFormat="1" ht="15.95" customHeight="1" spans="1:256">
      <c r="A58" s="199">
        <v>6</v>
      </c>
      <c r="B58" s="20" t="s">
        <v>2097</v>
      </c>
      <c r="C58" s="199" t="s">
        <v>2034</v>
      </c>
      <c r="D58" s="199">
        <v>2006</v>
      </c>
      <c r="E58" s="199">
        <f>'05版台时'!I131</f>
        <v>44.721453002679</v>
      </c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200"/>
      <c r="IG58" s="200"/>
      <c r="IH58" s="200"/>
      <c r="II58" s="200"/>
      <c r="IJ58" s="200"/>
      <c r="IK58" s="200"/>
      <c r="IL58" s="200"/>
      <c r="IM58" s="200"/>
      <c r="IN58" s="200"/>
      <c r="IO58" s="200"/>
      <c r="IP58" s="200"/>
      <c r="IQ58" s="200"/>
      <c r="IR58" s="200"/>
      <c r="IS58" s="200"/>
      <c r="IT58" s="200"/>
      <c r="IU58" s="200"/>
      <c r="IV58" s="200"/>
    </row>
    <row r="59" s="194" customFormat="1" ht="15.95" customHeight="1" spans="1:256">
      <c r="A59" s="199">
        <v>7</v>
      </c>
      <c r="B59" s="20" t="s">
        <v>2099</v>
      </c>
      <c r="C59" s="199" t="s">
        <v>2100</v>
      </c>
      <c r="D59" s="199">
        <v>2007</v>
      </c>
      <c r="E59" s="199">
        <f>'05版台时'!J131</f>
        <v>88.6817586531616</v>
      </c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200"/>
      <c r="IG59" s="200"/>
      <c r="IH59" s="200"/>
      <c r="II59" s="200"/>
      <c r="IJ59" s="200"/>
      <c r="IK59" s="200"/>
      <c r="IL59" s="200"/>
      <c r="IM59" s="200"/>
      <c r="IN59" s="200"/>
      <c r="IO59" s="200"/>
      <c r="IP59" s="200"/>
      <c r="IQ59" s="200"/>
      <c r="IR59" s="200"/>
      <c r="IS59" s="200"/>
      <c r="IT59" s="200"/>
      <c r="IU59" s="200"/>
      <c r="IV59" s="200"/>
    </row>
    <row r="60" s="194" customFormat="1" ht="15.95" customHeight="1" spans="1:256">
      <c r="A60" s="199">
        <v>8</v>
      </c>
      <c r="B60" s="20" t="s">
        <v>2101</v>
      </c>
      <c r="C60" s="199" t="s">
        <v>2102</v>
      </c>
      <c r="D60" s="199">
        <v>2008</v>
      </c>
      <c r="E60" s="199">
        <f>'05版台时'!K131</f>
        <v>33.9263345343902</v>
      </c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200"/>
      <c r="IG60" s="200"/>
      <c r="IH60" s="200"/>
      <c r="II60" s="200"/>
      <c r="IJ60" s="200"/>
      <c r="IK60" s="200"/>
      <c r="IL60" s="200"/>
      <c r="IM60" s="200"/>
      <c r="IN60" s="200"/>
      <c r="IO60" s="200"/>
      <c r="IP60" s="200"/>
      <c r="IQ60" s="200"/>
      <c r="IR60" s="200"/>
      <c r="IS60" s="200"/>
      <c r="IT60" s="200"/>
      <c r="IU60" s="200"/>
      <c r="IV60" s="200"/>
    </row>
    <row r="61" s="194" customFormat="1" ht="15.95" customHeight="1" spans="1:256">
      <c r="A61" s="199">
        <v>9</v>
      </c>
      <c r="B61" s="20" t="s">
        <v>2103</v>
      </c>
      <c r="C61" s="199" t="s">
        <v>2104</v>
      </c>
      <c r="D61" s="199">
        <v>2009</v>
      </c>
      <c r="E61" s="199">
        <f>'05版台时'!L131</f>
        <v>1.78152692461109</v>
      </c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200"/>
      <c r="IG61" s="200"/>
      <c r="IH61" s="200"/>
      <c r="II61" s="200"/>
      <c r="IJ61" s="200"/>
      <c r="IK61" s="200"/>
      <c r="IL61" s="200"/>
      <c r="IM61" s="200"/>
      <c r="IN61" s="200"/>
      <c r="IO61" s="200"/>
      <c r="IP61" s="200"/>
      <c r="IQ61" s="200"/>
      <c r="IR61" s="200"/>
      <c r="IS61" s="200"/>
      <c r="IT61" s="200"/>
      <c r="IU61" s="200"/>
      <c r="IV61" s="200"/>
    </row>
    <row r="62" s="194" customFormat="1" ht="15.95" customHeight="1" spans="1:256">
      <c r="A62" s="199">
        <v>10</v>
      </c>
      <c r="B62" s="20" t="s">
        <v>2103</v>
      </c>
      <c r="C62" s="199" t="s">
        <v>2105</v>
      </c>
      <c r="D62" s="199">
        <v>2010</v>
      </c>
      <c r="E62" s="199">
        <f>'05版台时'!M131</f>
        <v>2.62285440765856</v>
      </c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200"/>
      <c r="IG62" s="200"/>
      <c r="IH62" s="200"/>
      <c r="II62" s="200"/>
      <c r="IJ62" s="200"/>
      <c r="IK62" s="200"/>
      <c r="IL62" s="200"/>
      <c r="IM62" s="200"/>
      <c r="IN62" s="200"/>
      <c r="IO62" s="200"/>
      <c r="IP62" s="200"/>
      <c r="IQ62" s="200"/>
      <c r="IR62" s="200"/>
      <c r="IS62" s="200"/>
      <c r="IT62" s="200"/>
      <c r="IU62" s="200"/>
      <c r="IV62" s="200"/>
    </row>
    <row r="63" s="194" customFormat="1" ht="15.95" customHeight="1" spans="1:256">
      <c r="A63" s="199">
        <v>11</v>
      </c>
      <c r="B63" s="20" t="s">
        <v>2103</v>
      </c>
      <c r="C63" s="199" t="s">
        <v>2106</v>
      </c>
      <c r="D63" s="199">
        <v>2011</v>
      </c>
      <c r="E63" s="199">
        <f>'05版台时'!N131</f>
        <v>2.99198723573993</v>
      </c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200"/>
      <c r="IG63" s="200"/>
      <c r="IH63" s="200"/>
      <c r="II63" s="200"/>
      <c r="IJ63" s="200"/>
      <c r="IK63" s="200"/>
      <c r="IL63" s="200"/>
      <c r="IM63" s="200"/>
      <c r="IN63" s="200"/>
      <c r="IO63" s="200"/>
      <c r="IP63" s="200"/>
      <c r="IQ63" s="200"/>
      <c r="IR63" s="200"/>
      <c r="IS63" s="200"/>
      <c r="IT63" s="200"/>
      <c r="IU63" s="200"/>
      <c r="IV63" s="200"/>
    </row>
    <row r="64" s="194" customFormat="1" ht="15.95" customHeight="1" spans="1:256">
      <c r="A64" s="199">
        <v>12</v>
      </c>
      <c r="B64" s="20" t="s">
        <v>2107</v>
      </c>
      <c r="C64" s="199" t="s">
        <v>2106</v>
      </c>
      <c r="D64" s="199">
        <v>2012</v>
      </c>
      <c r="E64" s="199">
        <f>'05版台时'!O131</f>
        <v>2.32752772237734</v>
      </c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</row>
    <row r="65" s="194" customFormat="1" ht="15.95" customHeight="1" spans="1:256">
      <c r="A65" s="199">
        <v>13</v>
      </c>
      <c r="B65" s="20" t="s">
        <v>2108</v>
      </c>
      <c r="C65" s="199" t="s">
        <v>2109</v>
      </c>
      <c r="D65" s="199">
        <v>2013</v>
      </c>
      <c r="E65" s="199">
        <f>'05版台时'!P131</f>
        <v>7.55832149980056</v>
      </c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200"/>
      <c r="IG65" s="200"/>
      <c r="IH65" s="200"/>
      <c r="II65" s="200"/>
      <c r="IJ65" s="200"/>
      <c r="IK65" s="200"/>
      <c r="IL65" s="200"/>
      <c r="IM65" s="200"/>
      <c r="IN65" s="200"/>
      <c r="IO65" s="200"/>
      <c r="IP65" s="200"/>
      <c r="IQ65" s="200"/>
      <c r="IR65" s="200"/>
      <c r="IS65" s="200"/>
      <c r="IT65" s="200"/>
      <c r="IU65" s="200"/>
      <c r="IV65" s="200"/>
    </row>
    <row r="66" s="194" customFormat="1" ht="15.95" customHeight="1" spans="1:256">
      <c r="A66" s="199">
        <v>14</v>
      </c>
      <c r="B66" s="20" t="s">
        <v>2110</v>
      </c>
      <c r="C66" s="199" t="str">
        <f>'05版台时'!Q104</f>
        <v>YZSIA</v>
      </c>
      <c r="D66" s="199">
        <v>2014</v>
      </c>
      <c r="E66" s="199">
        <f>'05版台时'!Q131</f>
        <v>20.8489101227428</v>
      </c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200"/>
      <c r="IG66" s="200"/>
      <c r="IH66" s="200"/>
      <c r="II66" s="200"/>
      <c r="IJ66" s="200"/>
      <c r="IK66" s="200"/>
      <c r="IL66" s="200"/>
      <c r="IM66" s="200"/>
      <c r="IN66" s="200"/>
      <c r="IO66" s="200"/>
      <c r="IP66" s="200"/>
      <c r="IQ66" s="200"/>
      <c r="IR66" s="200"/>
      <c r="IS66" s="200"/>
      <c r="IT66" s="200"/>
      <c r="IU66" s="200"/>
      <c r="IV66" s="200"/>
    </row>
    <row r="67" s="194" customFormat="1" ht="15.95" customHeight="1" spans="1:256">
      <c r="A67" s="199">
        <v>15</v>
      </c>
      <c r="B67" s="20" t="s">
        <v>2111</v>
      </c>
      <c r="C67" s="199" t="str">
        <f>'05版台时'!R104</f>
        <v>φ200×L5000</v>
      </c>
      <c r="D67" s="199">
        <v>2015</v>
      </c>
      <c r="E67" s="199">
        <f>'05版台时'!R131</f>
        <v>44.3007701147652</v>
      </c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200"/>
      <c r="IG67" s="200"/>
      <c r="IH67" s="200"/>
      <c r="II67" s="200"/>
      <c r="IJ67" s="200"/>
      <c r="IK67" s="200"/>
      <c r="IL67" s="200"/>
      <c r="IM67" s="200"/>
      <c r="IN67" s="200"/>
      <c r="IO67" s="200"/>
      <c r="IP67" s="200"/>
      <c r="IQ67" s="200"/>
      <c r="IR67" s="200"/>
      <c r="IS67" s="200"/>
      <c r="IT67" s="200"/>
      <c r="IU67" s="200"/>
      <c r="IV67" s="200"/>
    </row>
    <row r="68" s="194" customFormat="1" ht="15.95" customHeight="1" spans="1:256">
      <c r="A68" s="199">
        <v>16</v>
      </c>
      <c r="B68" s="20" t="s">
        <v>2112</v>
      </c>
      <c r="C68" s="199" t="str">
        <f>'05版台时'!S104</f>
        <v>WH30</v>
      </c>
      <c r="D68" s="199">
        <v>2016</v>
      </c>
      <c r="E68" s="199">
        <f>'05版台时'!S131</f>
        <v>599.659778610541</v>
      </c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200"/>
      <c r="HY68" s="200"/>
      <c r="HZ68" s="200"/>
      <c r="IA68" s="200"/>
      <c r="IB68" s="200"/>
      <c r="IC68" s="200"/>
      <c r="ID68" s="200"/>
      <c r="IE68" s="200"/>
      <c r="IF68" s="200"/>
      <c r="IG68" s="200"/>
      <c r="IH68" s="200"/>
      <c r="II68" s="200"/>
      <c r="IJ68" s="200"/>
      <c r="IK68" s="200"/>
      <c r="IL68" s="200"/>
      <c r="IM68" s="200"/>
      <c r="IN68" s="200"/>
      <c r="IO68" s="200"/>
      <c r="IP68" s="200"/>
      <c r="IQ68" s="200"/>
      <c r="IR68" s="200"/>
      <c r="IS68" s="200"/>
      <c r="IT68" s="200"/>
      <c r="IU68" s="200"/>
      <c r="IV68" s="200"/>
    </row>
    <row r="69" s="194" customFormat="1" ht="15.95" customHeight="1" spans="1:256">
      <c r="A69" s="199">
        <v>17</v>
      </c>
      <c r="B69" s="20" t="s">
        <v>2113</v>
      </c>
      <c r="C69" s="199" t="s">
        <v>2114</v>
      </c>
      <c r="D69" s="199">
        <v>2017</v>
      </c>
      <c r="E69" s="199">
        <f>'05版台时'!T131</f>
        <v>18.6396269157225</v>
      </c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/>
      <c r="EA69" s="200"/>
      <c r="EB69" s="200"/>
      <c r="EC69" s="200"/>
      <c r="ED69" s="200"/>
      <c r="EE69" s="200"/>
      <c r="EF69" s="200"/>
      <c r="EG69" s="200"/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200"/>
      <c r="FF69" s="200"/>
      <c r="FG69" s="200"/>
      <c r="FH69" s="200"/>
      <c r="FI69" s="200"/>
      <c r="FJ69" s="200"/>
      <c r="FK69" s="200"/>
      <c r="FL69" s="200"/>
      <c r="FM69" s="200"/>
      <c r="FN69" s="200"/>
      <c r="FO69" s="200"/>
      <c r="FP69" s="200"/>
      <c r="FQ69" s="200"/>
      <c r="FR69" s="200"/>
      <c r="FS69" s="200"/>
      <c r="FT69" s="200"/>
      <c r="FU69" s="200"/>
      <c r="FV69" s="200"/>
      <c r="FW69" s="200"/>
      <c r="FX69" s="200"/>
      <c r="FY69" s="200"/>
      <c r="FZ69" s="200"/>
      <c r="GA69" s="200"/>
      <c r="GB69" s="200"/>
      <c r="GC69" s="200"/>
      <c r="GD69" s="200"/>
      <c r="GE69" s="200"/>
      <c r="GF69" s="200"/>
      <c r="GG69" s="200"/>
      <c r="GH69" s="200"/>
      <c r="GI69" s="200"/>
      <c r="GJ69" s="200"/>
      <c r="GK69" s="200"/>
      <c r="GL69" s="200"/>
      <c r="GM69" s="200"/>
      <c r="GN69" s="200"/>
      <c r="GO69" s="200"/>
      <c r="GP69" s="200"/>
      <c r="GQ69" s="200"/>
      <c r="GR69" s="200"/>
      <c r="GS69" s="200"/>
      <c r="GT69" s="200"/>
      <c r="GU69" s="200"/>
      <c r="GV69" s="200"/>
      <c r="GW69" s="200"/>
      <c r="GX69" s="200"/>
      <c r="GY69" s="200"/>
      <c r="GZ69" s="200"/>
      <c r="HA69" s="200"/>
      <c r="HB69" s="200"/>
      <c r="HC69" s="200"/>
      <c r="HD69" s="200"/>
      <c r="HE69" s="200"/>
      <c r="HF69" s="200"/>
      <c r="HG69" s="200"/>
      <c r="HH69" s="200"/>
      <c r="HI69" s="200"/>
      <c r="HJ69" s="200"/>
      <c r="HK69" s="200"/>
      <c r="HL69" s="200"/>
      <c r="HM69" s="200"/>
      <c r="HN69" s="200"/>
      <c r="HO69" s="200"/>
      <c r="HP69" s="200"/>
      <c r="HQ69" s="200"/>
      <c r="HR69" s="200"/>
      <c r="HS69" s="200"/>
      <c r="HT69" s="200"/>
      <c r="HU69" s="200"/>
      <c r="HV69" s="200"/>
      <c r="HW69" s="200"/>
      <c r="HX69" s="200"/>
      <c r="HY69" s="200"/>
      <c r="HZ69" s="200"/>
      <c r="IA69" s="200"/>
      <c r="IB69" s="200"/>
      <c r="IC69" s="200"/>
      <c r="ID69" s="200"/>
      <c r="IE69" s="200"/>
      <c r="IF69" s="200"/>
      <c r="IG69" s="200"/>
      <c r="IH69" s="200"/>
      <c r="II69" s="200"/>
      <c r="IJ69" s="200"/>
      <c r="IK69" s="200"/>
      <c r="IL69" s="200"/>
      <c r="IM69" s="200"/>
      <c r="IN69" s="200"/>
      <c r="IO69" s="200"/>
      <c r="IP69" s="200"/>
      <c r="IQ69" s="200"/>
      <c r="IR69" s="200"/>
      <c r="IS69" s="200"/>
      <c r="IT69" s="200"/>
      <c r="IU69" s="200"/>
      <c r="IV69" s="200"/>
    </row>
    <row r="70" s="194" customFormat="1" ht="15.95" customHeight="1" spans="1:256">
      <c r="A70" s="199">
        <v>18</v>
      </c>
      <c r="B70" s="20" t="s">
        <v>2115</v>
      </c>
      <c r="C70" s="199" t="str">
        <f>'05版台时'!U104</f>
        <v>LT6B</v>
      </c>
      <c r="D70" s="199">
        <v>2018</v>
      </c>
      <c r="E70" s="199">
        <f>'05版台时'!U131</f>
        <v>63.2658614590013</v>
      </c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00"/>
      <c r="GD70" s="200"/>
      <c r="GE70" s="200"/>
      <c r="GF70" s="200"/>
      <c r="GG70" s="200"/>
      <c r="GH70" s="200"/>
      <c r="GI70" s="200"/>
      <c r="GJ70" s="200"/>
      <c r="GK70" s="200"/>
      <c r="GL70" s="200"/>
      <c r="GM70" s="200"/>
      <c r="GN70" s="200"/>
      <c r="GO70" s="200"/>
      <c r="GP70" s="200"/>
      <c r="GQ70" s="200"/>
      <c r="GR70" s="200"/>
      <c r="GS70" s="200"/>
      <c r="GT70" s="200"/>
      <c r="GU70" s="200"/>
      <c r="GV70" s="200"/>
      <c r="GW70" s="200"/>
      <c r="GX70" s="200"/>
      <c r="GY70" s="200"/>
      <c r="GZ70" s="200"/>
      <c r="HA70" s="200"/>
      <c r="HB70" s="200"/>
      <c r="HC70" s="200"/>
      <c r="HD70" s="200"/>
      <c r="HE70" s="200"/>
      <c r="HF70" s="200"/>
      <c r="HG70" s="200"/>
      <c r="HH70" s="200"/>
      <c r="HI70" s="200"/>
      <c r="HJ70" s="200"/>
      <c r="HK70" s="200"/>
      <c r="HL70" s="200"/>
      <c r="HM70" s="200"/>
      <c r="HN70" s="200"/>
      <c r="HO70" s="200"/>
      <c r="HP70" s="200"/>
      <c r="HQ70" s="200"/>
      <c r="HR70" s="200"/>
      <c r="HS70" s="200"/>
      <c r="HT70" s="200"/>
      <c r="HU70" s="200"/>
      <c r="HV70" s="200"/>
      <c r="HW70" s="200"/>
      <c r="HX70" s="200"/>
      <c r="HY70" s="200"/>
      <c r="HZ70" s="200"/>
      <c r="IA70" s="200"/>
      <c r="IB70" s="200"/>
      <c r="IC70" s="200"/>
      <c r="ID70" s="200"/>
      <c r="IE70" s="200"/>
      <c r="IF70" s="200"/>
      <c r="IG70" s="200"/>
      <c r="IH70" s="200"/>
      <c r="II70" s="200"/>
      <c r="IJ70" s="200"/>
      <c r="IK70" s="200"/>
      <c r="IL70" s="200"/>
      <c r="IM70" s="200"/>
      <c r="IN70" s="200"/>
      <c r="IO70" s="200"/>
      <c r="IP70" s="200"/>
      <c r="IQ70" s="200"/>
      <c r="IR70" s="200"/>
      <c r="IS70" s="200"/>
      <c r="IT70" s="200"/>
      <c r="IU70" s="200"/>
      <c r="IV70" s="200"/>
    </row>
    <row r="71" s="194" customFormat="1" ht="15.95" customHeight="1" spans="1:256">
      <c r="A71" s="199">
        <v>19</v>
      </c>
      <c r="B71" s="20" t="s">
        <v>2115</v>
      </c>
      <c r="C71" s="20" t="str">
        <f>'05版台时'!V104</f>
        <v>TX150</v>
      </c>
      <c r="D71" s="199">
        <v>2019</v>
      </c>
      <c r="E71" s="199">
        <f>'05版台时'!V131</f>
        <v>27.5477417940631</v>
      </c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/>
      <c r="EA71" s="200"/>
      <c r="EB71" s="200"/>
      <c r="EC71" s="200"/>
      <c r="ED71" s="200"/>
      <c r="EE71" s="200"/>
      <c r="EF71" s="200"/>
      <c r="EG71" s="200"/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200"/>
      <c r="FF71" s="200"/>
      <c r="FG71" s="200"/>
      <c r="FH71" s="200"/>
      <c r="FI71" s="200"/>
      <c r="FJ71" s="200"/>
      <c r="FK71" s="200"/>
      <c r="FL71" s="200"/>
      <c r="FM71" s="200"/>
      <c r="FN71" s="200"/>
      <c r="FO71" s="200"/>
      <c r="FP71" s="200"/>
      <c r="FQ71" s="200"/>
      <c r="FR71" s="200"/>
      <c r="FS71" s="200"/>
      <c r="FT71" s="200"/>
      <c r="FU71" s="200"/>
      <c r="FV71" s="200"/>
      <c r="FW71" s="200"/>
      <c r="FX71" s="200"/>
      <c r="FY71" s="200"/>
      <c r="FZ71" s="200"/>
      <c r="GA71" s="200"/>
      <c r="GB71" s="200"/>
      <c r="GC71" s="200"/>
      <c r="GD71" s="200"/>
      <c r="GE71" s="200"/>
      <c r="GF71" s="200"/>
      <c r="GG71" s="200"/>
      <c r="GH71" s="200"/>
      <c r="GI71" s="200"/>
      <c r="GJ71" s="200"/>
      <c r="GK71" s="200"/>
      <c r="GL71" s="200"/>
      <c r="GM71" s="200"/>
      <c r="GN71" s="200"/>
      <c r="GO71" s="200"/>
      <c r="GP71" s="200"/>
      <c r="GQ71" s="200"/>
      <c r="GR71" s="200"/>
      <c r="GS71" s="200"/>
      <c r="GT71" s="200"/>
      <c r="GU71" s="200"/>
      <c r="GV71" s="200"/>
      <c r="GW71" s="200"/>
      <c r="GX71" s="200"/>
      <c r="GY71" s="200"/>
      <c r="GZ71" s="200"/>
      <c r="HA71" s="200"/>
      <c r="HB71" s="200"/>
      <c r="HC71" s="200"/>
      <c r="HD71" s="200"/>
      <c r="HE71" s="200"/>
      <c r="HF71" s="200"/>
      <c r="HG71" s="200"/>
      <c r="HH71" s="200"/>
      <c r="HI71" s="200"/>
      <c r="HJ71" s="200"/>
      <c r="HK71" s="200"/>
      <c r="HL71" s="200"/>
      <c r="HM71" s="200"/>
      <c r="HN71" s="200"/>
      <c r="HO71" s="200"/>
      <c r="HP71" s="200"/>
      <c r="HQ71" s="200"/>
      <c r="HR71" s="200"/>
      <c r="HS71" s="200"/>
      <c r="HT71" s="200"/>
      <c r="HU71" s="200"/>
      <c r="HV71" s="200"/>
      <c r="HW71" s="200"/>
      <c r="HX71" s="200"/>
      <c r="HY71" s="200"/>
      <c r="HZ71" s="200"/>
      <c r="IA71" s="200"/>
      <c r="IB71" s="200"/>
      <c r="IC71" s="200"/>
      <c r="ID71" s="200"/>
      <c r="IE71" s="200"/>
      <c r="IF71" s="200"/>
      <c r="IG71" s="200"/>
      <c r="IH71" s="200"/>
      <c r="II71" s="200"/>
      <c r="IJ71" s="200"/>
      <c r="IK71" s="200"/>
      <c r="IL71" s="200"/>
      <c r="IM71" s="200"/>
      <c r="IN71" s="200"/>
      <c r="IO71" s="200"/>
      <c r="IP71" s="200"/>
      <c r="IQ71" s="200"/>
      <c r="IR71" s="200"/>
      <c r="IS71" s="200"/>
      <c r="IT71" s="200"/>
      <c r="IU71" s="200"/>
      <c r="IV71" s="200"/>
    </row>
    <row r="72" s="194" customFormat="1" ht="15.95" customHeight="1" spans="1:256">
      <c r="A72" s="199">
        <v>20</v>
      </c>
      <c r="B72" s="20" t="s">
        <v>2116</v>
      </c>
      <c r="C72" s="199" t="s">
        <v>2117</v>
      </c>
      <c r="D72" s="199">
        <v>2020</v>
      </c>
      <c r="E72" s="199">
        <f>'05版台时'!W131</f>
        <v>21.5839444266918</v>
      </c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200"/>
      <c r="IG72" s="200"/>
      <c r="IH72" s="200"/>
      <c r="II72" s="200"/>
      <c r="IJ72" s="200"/>
      <c r="IK72" s="200"/>
      <c r="IL72" s="200"/>
      <c r="IM72" s="200"/>
      <c r="IN72" s="200"/>
      <c r="IO72" s="200"/>
      <c r="IP72" s="200"/>
      <c r="IQ72" s="200"/>
      <c r="IR72" s="200"/>
      <c r="IS72" s="200"/>
      <c r="IT72" s="200"/>
      <c r="IU72" s="200"/>
      <c r="IV72" s="200"/>
    </row>
    <row r="73" s="194" customFormat="1" ht="15.95" customHeight="1" spans="1:256">
      <c r="A73" s="199">
        <v>21</v>
      </c>
      <c r="B73" s="20" t="s">
        <v>2118</v>
      </c>
      <c r="C73" s="199" t="s">
        <v>2035</v>
      </c>
      <c r="D73" s="199">
        <v>2021</v>
      </c>
      <c r="E73" s="199">
        <f>'05版台时'!X131</f>
        <v>2.29190267251695</v>
      </c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0"/>
      <c r="DT73" s="200"/>
      <c r="DU73" s="200"/>
      <c r="DV73" s="200"/>
      <c r="DW73" s="200"/>
      <c r="DX73" s="200"/>
      <c r="DY73" s="200"/>
      <c r="DZ73" s="200"/>
      <c r="EA73" s="200"/>
      <c r="EB73" s="200"/>
      <c r="EC73" s="200"/>
      <c r="ED73" s="200"/>
      <c r="EE73" s="200"/>
      <c r="EF73" s="200"/>
      <c r="EG73" s="200"/>
      <c r="EH73" s="200"/>
      <c r="EI73" s="200"/>
      <c r="EJ73" s="200"/>
      <c r="EK73" s="200"/>
      <c r="EL73" s="200"/>
      <c r="EM73" s="200"/>
      <c r="EN73" s="200"/>
      <c r="EO73" s="200"/>
      <c r="EP73" s="200"/>
      <c r="EQ73" s="200"/>
      <c r="ER73" s="200"/>
      <c r="ES73" s="200"/>
      <c r="ET73" s="200"/>
      <c r="EU73" s="200"/>
      <c r="EV73" s="200"/>
      <c r="EW73" s="200"/>
      <c r="EX73" s="200"/>
      <c r="EY73" s="200"/>
      <c r="EZ73" s="200"/>
      <c r="FA73" s="200"/>
      <c r="FB73" s="200"/>
      <c r="FC73" s="200"/>
      <c r="FD73" s="200"/>
      <c r="FE73" s="200"/>
      <c r="FF73" s="200"/>
      <c r="FG73" s="200"/>
      <c r="FH73" s="200"/>
      <c r="FI73" s="200"/>
      <c r="FJ73" s="200"/>
      <c r="FK73" s="200"/>
      <c r="FL73" s="200"/>
      <c r="FM73" s="200"/>
      <c r="FN73" s="200"/>
      <c r="FO73" s="200"/>
      <c r="FP73" s="200"/>
      <c r="FQ73" s="200"/>
      <c r="FR73" s="200"/>
      <c r="FS73" s="200"/>
      <c r="FT73" s="200"/>
      <c r="FU73" s="200"/>
      <c r="FV73" s="200"/>
      <c r="FW73" s="200"/>
      <c r="FX73" s="200"/>
      <c r="FY73" s="200"/>
      <c r="FZ73" s="200"/>
      <c r="GA73" s="200"/>
      <c r="GB73" s="200"/>
      <c r="GC73" s="200"/>
      <c r="GD73" s="200"/>
      <c r="GE73" s="200"/>
      <c r="GF73" s="200"/>
      <c r="GG73" s="200"/>
      <c r="GH73" s="200"/>
      <c r="GI73" s="200"/>
      <c r="GJ73" s="200"/>
      <c r="GK73" s="200"/>
      <c r="GL73" s="200"/>
      <c r="GM73" s="200"/>
      <c r="GN73" s="200"/>
      <c r="GO73" s="200"/>
      <c r="GP73" s="200"/>
      <c r="GQ73" s="200"/>
      <c r="GR73" s="200"/>
      <c r="GS73" s="200"/>
      <c r="GT73" s="200"/>
      <c r="GU73" s="200"/>
      <c r="GV73" s="200"/>
      <c r="GW73" s="200"/>
      <c r="GX73" s="200"/>
      <c r="GY73" s="200"/>
      <c r="GZ73" s="200"/>
      <c r="HA73" s="200"/>
      <c r="HB73" s="200"/>
      <c r="HC73" s="200"/>
      <c r="HD73" s="200"/>
      <c r="HE73" s="200"/>
      <c r="HF73" s="200"/>
      <c r="HG73" s="200"/>
      <c r="HH73" s="200"/>
      <c r="HI73" s="200"/>
      <c r="HJ73" s="200"/>
      <c r="HK73" s="200"/>
      <c r="HL73" s="200"/>
      <c r="HM73" s="200"/>
      <c r="HN73" s="200"/>
      <c r="HO73" s="200"/>
      <c r="HP73" s="200"/>
      <c r="HQ73" s="200"/>
      <c r="HR73" s="200"/>
      <c r="HS73" s="200"/>
      <c r="HT73" s="200"/>
      <c r="HU73" s="200"/>
      <c r="HV73" s="200"/>
      <c r="HW73" s="200"/>
      <c r="HX73" s="200"/>
      <c r="HY73" s="200"/>
      <c r="HZ73" s="200"/>
      <c r="IA73" s="200"/>
      <c r="IB73" s="200"/>
      <c r="IC73" s="200"/>
      <c r="ID73" s="200"/>
      <c r="IE73" s="200"/>
      <c r="IF73" s="200"/>
      <c r="IG73" s="200"/>
      <c r="IH73" s="200"/>
      <c r="II73" s="200"/>
      <c r="IJ73" s="200"/>
      <c r="IK73" s="200"/>
      <c r="IL73" s="200"/>
      <c r="IM73" s="200"/>
      <c r="IN73" s="200"/>
      <c r="IO73" s="200"/>
      <c r="IP73" s="200"/>
      <c r="IQ73" s="200"/>
      <c r="IR73" s="200"/>
      <c r="IS73" s="200"/>
      <c r="IT73" s="200"/>
      <c r="IU73" s="200"/>
      <c r="IV73" s="200"/>
    </row>
    <row r="74" s="194" customFormat="1" ht="15.95" customHeight="1" spans="1:256">
      <c r="A74" s="199">
        <v>22</v>
      </c>
      <c r="B74" s="20" t="s">
        <v>2119</v>
      </c>
      <c r="C74" s="199" t="s">
        <v>2120</v>
      </c>
      <c r="D74" s="199">
        <v>2022</v>
      </c>
      <c r="E74" s="199">
        <f>'05版台时'!Y131</f>
        <v>40.8163468501787</v>
      </c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/>
      <c r="EA74" s="200"/>
      <c r="EB74" s="200"/>
      <c r="EC74" s="200"/>
      <c r="ED74" s="200"/>
      <c r="EE74" s="200"/>
      <c r="EF74" s="200"/>
      <c r="EG74" s="200"/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200"/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  <c r="FR74" s="200"/>
      <c r="FS74" s="200"/>
      <c r="FT74" s="200"/>
      <c r="FU74" s="200"/>
      <c r="FV74" s="200"/>
      <c r="FW74" s="200"/>
      <c r="FX74" s="200"/>
      <c r="FY74" s="200"/>
      <c r="FZ74" s="200"/>
      <c r="GA74" s="200"/>
      <c r="GB74" s="200"/>
      <c r="GC74" s="200"/>
      <c r="GD74" s="200"/>
      <c r="GE74" s="200"/>
      <c r="GF74" s="200"/>
      <c r="GG74" s="200"/>
      <c r="GH74" s="200"/>
      <c r="GI74" s="200"/>
      <c r="GJ74" s="200"/>
      <c r="GK74" s="200"/>
      <c r="GL74" s="200"/>
      <c r="GM74" s="200"/>
      <c r="GN74" s="200"/>
      <c r="GO74" s="200"/>
      <c r="GP74" s="200"/>
      <c r="GQ74" s="200"/>
      <c r="GR74" s="200"/>
      <c r="GS74" s="200"/>
      <c r="GT74" s="200"/>
      <c r="GU74" s="200"/>
      <c r="GV74" s="200"/>
      <c r="GW74" s="200"/>
      <c r="GX74" s="200"/>
      <c r="GY74" s="200"/>
      <c r="GZ74" s="200"/>
      <c r="HA74" s="200"/>
      <c r="HB74" s="200"/>
      <c r="HC74" s="200"/>
      <c r="HD74" s="200"/>
      <c r="HE74" s="200"/>
      <c r="HF74" s="200"/>
      <c r="HG74" s="200"/>
      <c r="HH74" s="200"/>
      <c r="HI74" s="200"/>
      <c r="HJ74" s="200"/>
      <c r="HK74" s="200"/>
      <c r="HL74" s="200"/>
      <c r="HM74" s="200"/>
      <c r="HN74" s="200"/>
      <c r="HO74" s="200"/>
      <c r="HP74" s="200"/>
      <c r="HQ74" s="200"/>
      <c r="HR74" s="200"/>
      <c r="HS74" s="200"/>
      <c r="HT74" s="200"/>
      <c r="HU74" s="200"/>
      <c r="HV74" s="200"/>
      <c r="HW74" s="200"/>
      <c r="HX74" s="200"/>
      <c r="HY74" s="200"/>
      <c r="HZ74" s="200"/>
      <c r="IA74" s="200"/>
      <c r="IB74" s="200"/>
      <c r="IC74" s="200"/>
      <c r="ID74" s="200"/>
      <c r="IE74" s="200"/>
      <c r="IF74" s="200"/>
      <c r="IG74" s="200"/>
      <c r="IH74" s="200"/>
      <c r="II74" s="200"/>
      <c r="IJ74" s="200"/>
      <c r="IK74" s="200"/>
      <c r="IL74" s="200"/>
      <c r="IM74" s="200"/>
      <c r="IN74" s="200"/>
      <c r="IO74" s="200"/>
      <c r="IP74" s="200"/>
      <c r="IQ74" s="200"/>
      <c r="IR74" s="200"/>
      <c r="IS74" s="200"/>
      <c r="IT74" s="200"/>
      <c r="IU74" s="200"/>
      <c r="IV74" s="200"/>
    </row>
    <row r="75" s="194" customFormat="1" ht="15.95" customHeight="1" spans="1:256">
      <c r="A75" s="197" t="s">
        <v>2121</v>
      </c>
      <c r="B75" s="198"/>
      <c r="C75" s="199"/>
      <c r="D75" s="199"/>
      <c r="E75" s="199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  <c r="FO75" s="200"/>
      <c r="FP75" s="200"/>
      <c r="FQ75" s="200"/>
      <c r="FR75" s="200"/>
      <c r="FS75" s="200"/>
      <c r="FT75" s="200"/>
      <c r="FU75" s="200"/>
      <c r="FV75" s="200"/>
      <c r="FW75" s="200"/>
      <c r="FX75" s="200"/>
      <c r="FY75" s="200"/>
      <c r="FZ75" s="200"/>
      <c r="GA75" s="200"/>
      <c r="GB75" s="200"/>
      <c r="GC75" s="200"/>
      <c r="GD75" s="200"/>
      <c r="GE75" s="200"/>
      <c r="GF75" s="200"/>
      <c r="GG75" s="200"/>
      <c r="GH75" s="200"/>
      <c r="GI75" s="200"/>
      <c r="GJ75" s="200"/>
      <c r="GK75" s="200"/>
      <c r="GL75" s="200"/>
      <c r="GM75" s="200"/>
      <c r="GN75" s="200"/>
      <c r="GO75" s="200"/>
      <c r="GP75" s="200"/>
      <c r="GQ75" s="200"/>
      <c r="GR75" s="200"/>
      <c r="GS75" s="200"/>
      <c r="GT75" s="200"/>
      <c r="GU75" s="200"/>
      <c r="GV75" s="200"/>
      <c r="GW75" s="200"/>
      <c r="GX75" s="200"/>
      <c r="GY75" s="200"/>
      <c r="GZ75" s="200"/>
      <c r="HA75" s="200"/>
      <c r="HB75" s="200"/>
      <c r="HC75" s="200"/>
      <c r="HD75" s="200"/>
      <c r="HE75" s="200"/>
      <c r="HF75" s="200"/>
      <c r="HG75" s="200"/>
      <c r="HH75" s="200"/>
      <c r="HI75" s="200"/>
      <c r="HJ75" s="200"/>
      <c r="HK75" s="200"/>
      <c r="HL75" s="200"/>
      <c r="HM75" s="200"/>
      <c r="HN75" s="200"/>
      <c r="HO75" s="200"/>
      <c r="HP75" s="200"/>
      <c r="HQ75" s="200"/>
      <c r="HR75" s="200"/>
      <c r="HS75" s="200"/>
      <c r="HT75" s="200"/>
      <c r="HU75" s="200"/>
      <c r="HV75" s="200"/>
      <c r="HW75" s="200"/>
      <c r="HX75" s="200"/>
      <c r="HY75" s="200"/>
      <c r="HZ75" s="200"/>
      <c r="IA75" s="200"/>
      <c r="IB75" s="200"/>
      <c r="IC75" s="200"/>
      <c r="ID75" s="200"/>
      <c r="IE75" s="200"/>
      <c r="IF75" s="200"/>
      <c r="IG75" s="200"/>
      <c r="IH75" s="200"/>
      <c r="II75" s="200"/>
      <c r="IJ75" s="200"/>
      <c r="IK75" s="200"/>
      <c r="IL75" s="200"/>
      <c r="IM75" s="200"/>
      <c r="IN75" s="200"/>
      <c r="IO75" s="200"/>
      <c r="IP75" s="200"/>
      <c r="IQ75" s="200"/>
      <c r="IR75" s="200"/>
      <c r="IS75" s="200"/>
      <c r="IT75" s="200"/>
      <c r="IU75" s="200"/>
      <c r="IV75" s="200"/>
    </row>
    <row r="76" s="194" customFormat="1" ht="15.95" customHeight="1" spans="1:256">
      <c r="A76" s="199">
        <v>1</v>
      </c>
      <c r="B76" s="20" t="s">
        <v>2122</v>
      </c>
      <c r="C76" s="20" t="s">
        <v>2123</v>
      </c>
      <c r="D76" s="199">
        <v>3001</v>
      </c>
      <c r="E76" s="199">
        <f>'05版台时'!D164</f>
        <v>47.8197401985306</v>
      </c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/>
      <c r="EA76" s="200"/>
      <c r="EB76" s="200"/>
      <c r="EC76" s="200"/>
      <c r="ED76" s="200"/>
      <c r="EE76" s="200"/>
      <c r="EF76" s="200"/>
      <c r="EG76" s="20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200"/>
      <c r="IG76" s="200"/>
      <c r="IH76" s="200"/>
      <c r="II76" s="200"/>
      <c r="IJ76" s="200"/>
      <c r="IK76" s="200"/>
      <c r="IL76" s="200"/>
      <c r="IM76" s="200"/>
      <c r="IN76" s="200"/>
      <c r="IO76" s="200"/>
      <c r="IP76" s="200"/>
      <c r="IQ76" s="200"/>
      <c r="IR76" s="200"/>
      <c r="IS76" s="200"/>
      <c r="IT76" s="200"/>
      <c r="IU76" s="200"/>
      <c r="IV76" s="200"/>
    </row>
    <row r="77" s="194" customFormat="1" ht="15.95" customHeight="1" spans="1:256">
      <c r="A77" s="199">
        <v>2</v>
      </c>
      <c r="B77" s="20" t="s">
        <v>2122</v>
      </c>
      <c r="C77" s="20" t="s">
        <v>2124</v>
      </c>
      <c r="D77" s="199">
        <v>3002</v>
      </c>
      <c r="E77" s="199">
        <f>'05版台时'!E164</f>
        <v>49.39030262374</v>
      </c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/>
      <c r="EA77" s="200"/>
      <c r="EB77" s="200"/>
      <c r="EC77" s="200"/>
      <c r="ED77" s="200"/>
      <c r="EE77" s="200"/>
      <c r="EF77" s="200"/>
      <c r="EG77" s="20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G77" s="200"/>
      <c r="FH77" s="200"/>
      <c r="FI77" s="200"/>
      <c r="FJ77" s="200"/>
      <c r="FK77" s="200"/>
      <c r="FL77" s="200"/>
      <c r="FM77" s="200"/>
      <c r="FN77" s="200"/>
      <c r="FO77" s="200"/>
      <c r="FP77" s="200"/>
      <c r="FQ77" s="200"/>
      <c r="FR77" s="200"/>
      <c r="FS77" s="200"/>
      <c r="FT77" s="200"/>
      <c r="FU77" s="200"/>
      <c r="FV77" s="200"/>
      <c r="FW77" s="200"/>
      <c r="FX77" s="200"/>
      <c r="FY77" s="200"/>
      <c r="FZ77" s="200"/>
      <c r="GA77" s="200"/>
      <c r="GB77" s="200"/>
      <c r="GC77" s="200"/>
      <c r="GD77" s="200"/>
      <c r="GE77" s="200"/>
      <c r="GF77" s="200"/>
      <c r="GG77" s="200"/>
      <c r="GH77" s="200"/>
      <c r="GI77" s="200"/>
      <c r="GJ77" s="200"/>
      <c r="GK77" s="200"/>
      <c r="GL77" s="200"/>
      <c r="GM77" s="200"/>
      <c r="GN77" s="200"/>
      <c r="GO77" s="200"/>
      <c r="GP77" s="200"/>
      <c r="GQ77" s="200"/>
      <c r="GR77" s="200"/>
      <c r="GS77" s="200"/>
      <c r="GT77" s="200"/>
      <c r="GU77" s="200"/>
      <c r="GV77" s="200"/>
      <c r="GW77" s="200"/>
      <c r="GX77" s="200"/>
      <c r="GY77" s="200"/>
      <c r="GZ77" s="200"/>
      <c r="HA77" s="200"/>
      <c r="HB77" s="200"/>
      <c r="HC77" s="200"/>
      <c r="HD77" s="200"/>
      <c r="HE77" s="200"/>
      <c r="HF77" s="200"/>
      <c r="HG77" s="200"/>
      <c r="HH77" s="200"/>
      <c r="HI77" s="200"/>
      <c r="HJ77" s="200"/>
      <c r="HK77" s="200"/>
      <c r="HL77" s="200"/>
      <c r="HM77" s="200"/>
      <c r="HN77" s="200"/>
      <c r="HO77" s="200"/>
      <c r="HP77" s="200"/>
      <c r="HQ77" s="200"/>
      <c r="HR77" s="200"/>
      <c r="HS77" s="200"/>
      <c r="HT77" s="200"/>
      <c r="HU77" s="200"/>
      <c r="HV77" s="200"/>
      <c r="HW77" s="200"/>
      <c r="HX77" s="200"/>
      <c r="HY77" s="200"/>
      <c r="HZ77" s="200"/>
      <c r="IA77" s="200"/>
      <c r="IB77" s="200"/>
      <c r="IC77" s="200"/>
      <c r="ID77" s="200"/>
      <c r="IE77" s="200"/>
      <c r="IF77" s="200"/>
      <c r="IG77" s="200"/>
      <c r="IH77" s="200"/>
      <c r="II77" s="200"/>
      <c r="IJ77" s="200"/>
      <c r="IK77" s="200"/>
      <c r="IL77" s="200"/>
      <c r="IM77" s="200"/>
      <c r="IN77" s="200"/>
      <c r="IO77" s="200"/>
      <c r="IP77" s="200"/>
      <c r="IQ77" s="200"/>
      <c r="IR77" s="200"/>
      <c r="IS77" s="200"/>
      <c r="IT77" s="200"/>
      <c r="IU77" s="200"/>
      <c r="IV77" s="200"/>
    </row>
    <row r="78" s="194" customFormat="1" ht="15.95" customHeight="1" spans="1:256">
      <c r="A78" s="199">
        <v>3</v>
      </c>
      <c r="B78" s="20" t="s">
        <v>2122</v>
      </c>
      <c r="C78" s="20" t="s">
        <v>2061</v>
      </c>
      <c r="D78" s="199">
        <v>3003</v>
      </c>
      <c r="E78" s="199">
        <f>'05版台时'!F164</f>
        <v>74.4597868678565</v>
      </c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  <c r="DR78" s="200"/>
      <c r="DS78" s="200"/>
      <c r="DT78" s="200"/>
      <c r="DU78" s="200"/>
      <c r="DV78" s="200"/>
      <c r="DW78" s="200"/>
      <c r="DX78" s="200"/>
      <c r="DY78" s="200"/>
      <c r="DZ78" s="200"/>
      <c r="EA78" s="200"/>
      <c r="EB78" s="200"/>
      <c r="EC78" s="200"/>
      <c r="ED78" s="200"/>
      <c r="EE78" s="200"/>
      <c r="EF78" s="200"/>
      <c r="EG78" s="200"/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200"/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  <c r="FR78" s="200"/>
      <c r="FS78" s="200"/>
      <c r="FT78" s="200"/>
      <c r="FU78" s="200"/>
      <c r="FV78" s="200"/>
      <c r="FW78" s="200"/>
      <c r="FX78" s="200"/>
      <c r="FY78" s="200"/>
      <c r="FZ78" s="200"/>
      <c r="GA78" s="200"/>
      <c r="GB78" s="200"/>
      <c r="GC78" s="200"/>
      <c r="GD78" s="200"/>
      <c r="GE78" s="200"/>
      <c r="GF78" s="200"/>
      <c r="GG78" s="200"/>
      <c r="GH78" s="200"/>
      <c r="GI78" s="200"/>
      <c r="GJ78" s="200"/>
      <c r="GK78" s="200"/>
      <c r="GL78" s="200"/>
      <c r="GM78" s="200"/>
      <c r="GN78" s="200"/>
      <c r="GO78" s="200"/>
      <c r="GP78" s="200"/>
      <c r="GQ78" s="200"/>
      <c r="GR78" s="200"/>
      <c r="GS78" s="200"/>
      <c r="GT78" s="200"/>
      <c r="GU78" s="200"/>
      <c r="GV78" s="200"/>
      <c r="GW78" s="200"/>
      <c r="GX78" s="200"/>
      <c r="GY78" s="200"/>
      <c r="GZ78" s="200"/>
      <c r="HA78" s="200"/>
      <c r="HB78" s="200"/>
      <c r="HC78" s="200"/>
      <c r="HD78" s="200"/>
      <c r="HE78" s="200"/>
      <c r="HF78" s="200"/>
      <c r="HG78" s="200"/>
      <c r="HH78" s="200"/>
      <c r="HI78" s="200"/>
      <c r="HJ78" s="200"/>
      <c r="HK78" s="200"/>
      <c r="HL78" s="200"/>
      <c r="HM78" s="200"/>
      <c r="HN78" s="200"/>
      <c r="HO78" s="200"/>
      <c r="HP78" s="200"/>
      <c r="HQ78" s="200"/>
      <c r="HR78" s="200"/>
      <c r="HS78" s="200"/>
      <c r="HT78" s="200"/>
      <c r="HU78" s="200"/>
      <c r="HV78" s="200"/>
      <c r="HW78" s="200"/>
      <c r="HX78" s="200"/>
      <c r="HY78" s="200"/>
      <c r="HZ78" s="200"/>
      <c r="IA78" s="200"/>
      <c r="IB78" s="200"/>
      <c r="IC78" s="200"/>
      <c r="ID78" s="200"/>
      <c r="IE78" s="200"/>
      <c r="IF78" s="200"/>
      <c r="IG78" s="200"/>
      <c r="IH78" s="200"/>
      <c r="II78" s="200"/>
      <c r="IJ78" s="200"/>
      <c r="IK78" s="200"/>
      <c r="IL78" s="200"/>
      <c r="IM78" s="200"/>
      <c r="IN78" s="200"/>
      <c r="IO78" s="200"/>
      <c r="IP78" s="200"/>
      <c r="IQ78" s="200"/>
      <c r="IR78" s="200"/>
      <c r="IS78" s="200"/>
      <c r="IT78" s="200"/>
      <c r="IU78" s="200"/>
      <c r="IV78" s="200"/>
    </row>
    <row r="79" s="194" customFormat="1" ht="15.95" customHeight="1" spans="1:256">
      <c r="A79" s="199">
        <v>4</v>
      </c>
      <c r="B79" s="20" t="s">
        <v>2125</v>
      </c>
      <c r="C79" s="20" t="s">
        <v>2126</v>
      </c>
      <c r="D79" s="199">
        <v>3004</v>
      </c>
      <c r="E79" s="199">
        <f>'05版台时'!G164</f>
        <v>44.7100922128904</v>
      </c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/>
      <c r="EA79" s="200"/>
      <c r="EB79" s="200"/>
      <c r="EC79" s="200"/>
      <c r="ED79" s="200"/>
      <c r="EE79" s="200"/>
      <c r="EF79" s="200"/>
      <c r="EG79" s="20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G79" s="200"/>
      <c r="FH79" s="200"/>
      <c r="FI79" s="200"/>
      <c r="FJ79" s="200"/>
      <c r="FK79" s="200"/>
      <c r="FL79" s="200"/>
      <c r="FM79" s="200"/>
      <c r="FN79" s="200"/>
      <c r="FO79" s="200"/>
      <c r="FP79" s="200"/>
      <c r="FQ79" s="200"/>
      <c r="FR79" s="200"/>
      <c r="FS79" s="200"/>
      <c r="FT79" s="200"/>
      <c r="FU79" s="200"/>
      <c r="FV79" s="200"/>
      <c r="FW79" s="200"/>
      <c r="FX79" s="200"/>
      <c r="FY79" s="200"/>
      <c r="FZ79" s="200"/>
      <c r="GA79" s="200"/>
      <c r="GB79" s="200"/>
      <c r="GC79" s="200"/>
      <c r="GD79" s="200"/>
      <c r="GE79" s="200"/>
      <c r="GF79" s="200"/>
      <c r="GG79" s="200"/>
      <c r="GH79" s="200"/>
      <c r="GI79" s="200"/>
      <c r="GJ79" s="200"/>
      <c r="GK79" s="200"/>
      <c r="GL79" s="200"/>
      <c r="GM79" s="200"/>
      <c r="GN79" s="200"/>
      <c r="GO79" s="200"/>
      <c r="GP79" s="200"/>
      <c r="GQ79" s="200"/>
      <c r="GR79" s="200"/>
      <c r="GS79" s="200"/>
      <c r="GT79" s="200"/>
      <c r="GU79" s="200"/>
      <c r="GV79" s="200"/>
      <c r="GW79" s="200"/>
      <c r="GX79" s="200"/>
      <c r="GY79" s="200"/>
      <c r="GZ79" s="200"/>
      <c r="HA79" s="200"/>
      <c r="HB79" s="200"/>
      <c r="HC79" s="200"/>
      <c r="HD79" s="200"/>
      <c r="HE79" s="200"/>
      <c r="HF79" s="200"/>
      <c r="HG79" s="200"/>
      <c r="HH79" s="200"/>
      <c r="HI79" s="200"/>
      <c r="HJ79" s="200"/>
      <c r="HK79" s="200"/>
      <c r="HL79" s="200"/>
      <c r="HM79" s="200"/>
      <c r="HN79" s="200"/>
      <c r="HO79" s="200"/>
      <c r="HP79" s="200"/>
      <c r="HQ79" s="200"/>
      <c r="HR79" s="200"/>
      <c r="HS79" s="200"/>
      <c r="HT79" s="200"/>
      <c r="HU79" s="200"/>
      <c r="HV79" s="200"/>
      <c r="HW79" s="200"/>
      <c r="HX79" s="200"/>
      <c r="HY79" s="200"/>
      <c r="HZ79" s="200"/>
      <c r="IA79" s="200"/>
      <c r="IB79" s="200"/>
      <c r="IC79" s="200"/>
      <c r="ID79" s="200"/>
      <c r="IE79" s="200"/>
      <c r="IF79" s="200"/>
      <c r="IG79" s="200"/>
      <c r="IH79" s="200"/>
      <c r="II79" s="200"/>
      <c r="IJ79" s="200"/>
      <c r="IK79" s="200"/>
      <c r="IL79" s="200"/>
      <c r="IM79" s="200"/>
      <c r="IN79" s="200"/>
      <c r="IO79" s="200"/>
      <c r="IP79" s="200"/>
      <c r="IQ79" s="200"/>
      <c r="IR79" s="200"/>
      <c r="IS79" s="200"/>
      <c r="IT79" s="200"/>
      <c r="IU79" s="200"/>
      <c r="IV79" s="200"/>
    </row>
    <row r="80" s="194" customFormat="1" ht="15.95" customHeight="1" spans="1:256">
      <c r="A80" s="199">
        <v>5</v>
      </c>
      <c r="B80" s="20" t="s">
        <v>2125</v>
      </c>
      <c r="C80" s="20" t="s">
        <v>2124</v>
      </c>
      <c r="D80" s="199">
        <v>3005</v>
      </c>
      <c r="E80" s="199">
        <f>'05版台时'!H164</f>
        <v>51.9965184195119</v>
      </c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200"/>
      <c r="IG80" s="200"/>
      <c r="IH80" s="200"/>
      <c r="II80" s="200"/>
      <c r="IJ80" s="200"/>
      <c r="IK80" s="200"/>
      <c r="IL80" s="200"/>
      <c r="IM80" s="200"/>
      <c r="IN80" s="200"/>
      <c r="IO80" s="200"/>
      <c r="IP80" s="200"/>
      <c r="IQ80" s="200"/>
      <c r="IR80" s="200"/>
      <c r="IS80" s="200"/>
      <c r="IT80" s="200"/>
      <c r="IU80" s="200"/>
      <c r="IV80" s="200"/>
    </row>
    <row r="81" s="194" customFormat="1" ht="15.95" customHeight="1" spans="1:256">
      <c r="A81" s="199">
        <v>6</v>
      </c>
      <c r="B81" s="20" t="s">
        <v>2125</v>
      </c>
      <c r="C81" s="20" t="s">
        <v>2127</v>
      </c>
      <c r="D81" s="199">
        <v>3006</v>
      </c>
      <c r="E81" s="199">
        <f>'05版台时'!I164</f>
        <v>73.103149053736</v>
      </c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  <c r="DR81" s="200"/>
      <c r="DS81" s="200"/>
      <c r="DT81" s="200"/>
      <c r="DU81" s="200"/>
      <c r="DV81" s="200"/>
      <c r="DW81" s="200"/>
      <c r="DX81" s="200"/>
      <c r="DY81" s="200"/>
      <c r="DZ81" s="200"/>
      <c r="EA81" s="200"/>
      <c r="EB81" s="200"/>
      <c r="EC81" s="200"/>
      <c r="ED81" s="200"/>
      <c r="EE81" s="200"/>
      <c r="EF81" s="200"/>
      <c r="EG81" s="200"/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/>
      <c r="EU81" s="200"/>
      <c r="EV81" s="200"/>
      <c r="EW81" s="200"/>
      <c r="EX81" s="200"/>
      <c r="EY81" s="200"/>
      <c r="EZ81" s="200"/>
      <c r="FA81" s="200"/>
      <c r="FB81" s="200"/>
      <c r="FC81" s="200"/>
      <c r="FD81" s="200"/>
      <c r="FE81" s="200"/>
      <c r="FF81" s="200"/>
      <c r="FG81" s="200"/>
      <c r="FH81" s="200"/>
      <c r="FI81" s="200"/>
      <c r="FJ81" s="200"/>
      <c r="FK81" s="200"/>
      <c r="FL81" s="200"/>
      <c r="FM81" s="200"/>
      <c r="FN81" s="200"/>
      <c r="FO81" s="200"/>
      <c r="FP81" s="200"/>
      <c r="FQ81" s="200"/>
      <c r="FR81" s="200"/>
      <c r="FS81" s="200"/>
      <c r="FT81" s="200"/>
      <c r="FU81" s="200"/>
      <c r="FV81" s="200"/>
      <c r="FW81" s="200"/>
      <c r="FX81" s="200"/>
      <c r="FY81" s="200"/>
      <c r="FZ81" s="200"/>
      <c r="GA81" s="200"/>
      <c r="GB81" s="200"/>
      <c r="GC81" s="200"/>
      <c r="GD81" s="200"/>
      <c r="GE81" s="200"/>
      <c r="GF81" s="200"/>
      <c r="GG81" s="200"/>
      <c r="GH81" s="200"/>
      <c r="GI81" s="200"/>
      <c r="GJ81" s="200"/>
      <c r="GK81" s="200"/>
      <c r="GL81" s="200"/>
      <c r="GM81" s="200"/>
      <c r="GN81" s="200"/>
      <c r="GO81" s="200"/>
      <c r="GP81" s="200"/>
      <c r="GQ81" s="200"/>
      <c r="GR81" s="200"/>
      <c r="GS81" s="200"/>
      <c r="GT81" s="200"/>
      <c r="GU81" s="200"/>
      <c r="GV81" s="200"/>
      <c r="GW81" s="200"/>
      <c r="GX81" s="200"/>
      <c r="GY81" s="200"/>
      <c r="GZ81" s="200"/>
      <c r="HA81" s="200"/>
      <c r="HB81" s="200"/>
      <c r="HC81" s="200"/>
      <c r="HD81" s="200"/>
      <c r="HE81" s="200"/>
      <c r="HF81" s="200"/>
      <c r="HG81" s="200"/>
      <c r="HH81" s="200"/>
      <c r="HI81" s="200"/>
      <c r="HJ81" s="200"/>
      <c r="HK81" s="200"/>
      <c r="HL81" s="200"/>
      <c r="HM81" s="200"/>
      <c r="HN81" s="200"/>
      <c r="HO81" s="200"/>
      <c r="HP81" s="200"/>
      <c r="HQ81" s="200"/>
      <c r="HR81" s="200"/>
      <c r="HS81" s="200"/>
      <c r="HT81" s="200"/>
      <c r="HU81" s="200"/>
      <c r="HV81" s="200"/>
      <c r="HW81" s="200"/>
      <c r="HX81" s="200"/>
      <c r="HY81" s="200"/>
      <c r="HZ81" s="200"/>
      <c r="IA81" s="200"/>
      <c r="IB81" s="200"/>
      <c r="IC81" s="200"/>
      <c r="ID81" s="200"/>
      <c r="IE81" s="200"/>
      <c r="IF81" s="200"/>
      <c r="IG81" s="200"/>
      <c r="IH81" s="200"/>
      <c r="II81" s="200"/>
      <c r="IJ81" s="200"/>
      <c r="IK81" s="200"/>
      <c r="IL81" s="200"/>
      <c r="IM81" s="200"/>
      <c r="IN81" s="200"/>
      <c r="IO81" s="200"/>
      <c r="IP81" s="200"/>
      <c r="IQ81" s="200"/>
      <c r="IR81" s="200"/>
      <c r="IS81" s="200"/>
      <c r="IT81" s="200"/>
      <c r="IU81" s="200"/>
      <c r="IV81" s="200"/>
    </row>
    <row r="82" s="194" customFormat="1" ht="15.95" customHeight="1" spans="1:256">
      <c r="A82" s="199">
        <v>7</v>
      </c>
      <c r="B82" s="20" t="s">
        <v>2125</v>
      </c>
      <c r="C82" s="20" t="s">
        <v>2061</v>
      </c>
      <c r="D82" s="199">
        <v>3007</v>
      </c>
      <c r="E82" s="199">
        <f>'05版台时'!J164</f>
        <v>86.124512436265</v>
      </c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  <c r="DR82" s="200"/>
      <c r="DS82" s="200"/>
      <c r="DT82" s="200"/>
      <c r="DU82" s="200"/>
      <c r="DV82" s="200"/>
      <c r="DW82" s="200"/>
      <c r="DX82" s="200"/>
      <c r="DY82" s="200"/>
      <c r="DZ82" s="200"/>
      <c r="EA82" s="200"/>
      <c r="EB82" s="200"/>
      <c r="EC82" s="200"/>
      <c r="ED82" s="200"/>
      <c r="EE82" s="200"/>
      <c r="EF82" s="200"/>
      <c r="EG82" s="200"/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200"/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  <c r="FR82" s="200"/>
      <c r="FS82" s="200"/>
      <c r="FT82" s="200"/>
      <c r="FU82" s="200"/>
      <c r="FV82" s="200"/>
      <c r="FW82" s="200"/>
      <c r="FX82" s="200"/>
      <c r="FY82" s="200"/>
      <c r="FZ82" s="200"/>
      <c r="GA82" s="200"/>
      <c r="GB82" s="200"/>
      <c r="GC82" s="200"/>
      <c r="GD82" s="200"/>
      <c r="GE82" s="200"/>
      <c r="GF82" s="200"/>
      <c r="GG82" s="200"/>
      <c r="GH82" s="200"/>
      <c r="GI82" s="200"/>
      <c r="GJ82" s="200"/>
      <c r="GK82" s="200"/>
      <c r="GL82" s="200"/>
      <c r="GM82" s="200"/>
      <c r="GN82" s="200"/>
      <c r="GO82" s="200"/>
      <c r="GP82" s="200"/>
      <c r="GQ82" s="200"/>
      <c r="GR82" s="200"/>
      <c r="GS82" s="200"/>
      <c r="GT82" s="200"/>
      <c r="GU82" s="200"/>
      <c r="GV82" s="200"/>
      <c r="GW82" s="200"/>
      <c r="GX82" s="200"/>
      <c r="GY82" s="200"/>
      <c r="GZ82" s="200"/>
      <c r="HA82" s="200"/>
      <c r="HB82" s="200"/>
      <c r="HC82" s="200"/>
      <c r="HD82" s="200"/>
      <c r="HE82" s="200"/>
      <c r="HF82" s="200"/>
      <c r="HG82" s="200"/>
      <c r="HH82" s="200"/>
      <c r="HI82" s="200"/>
      <c r="HJ82" s="200"/>
      <c r="HK82" s="200"/>
      <c r="HL82" s="200"/>
      <c r="HM82" s="200"/>
      <c r="HN82" s="200"/>
      <c r="HO82" s="200"/>
      <c r="HP82" s="200"/>
      <c r="HQ82" s="200"/>
      <c r="HR82" s="200"/>
      <c r="HS82" s="200"/>
      <c r="HT82" s="200"/>
      <c r="HU82" s="200"/>
      <c r="HV82" s="200"/>
      <c r="HW82" s="200"/>
      <c r="HX82" s="200"/>
      <c r="HY82" s="200"/>
      <c r="HZ82" s="200"/>
      <c r="IA82" s="200"/>
      <c r="IB82" s="200"/>
      <c r="IC82" s="200"/>
      <c r="ID82" s="200"/>
      <c r="IE82" s="200"/>
      <c r="IF82" s="200"/>
      <c r="IG82" s="200"/>
      <c r="IH82" s="200"/>
      <c r="II82" s="200"/>
      <c r="IJ82" s="200"/>
      <c r="IK82" s="200"/>
      <c r="IL82" s="200"/>
      <c r="IM82" s="200"/>
      <c r="IN82" s="200"/>
      <c r="IO82" s="200"/>
      <c r="IP82" s="200"/>
      <c r="IQ82" s="200"/>
      <c r="IR82" s="200"/>
      <c r="IS82" s="200"/>
      <c r="IT82" s="200"/>
      <c r="IU82" s="200"/>
      <c r="IV82" s="200"/>
    </row>
    <row r="83" s="194" customFormat="1" ht="15.95" customHeight="1" spans="1:256">
      <c r="A83" s="199">
        <v>8</v>
      </c>
      <c r="B83" s="20" t="s">
        <v>2125</v>
      </c>
      <c r="C83" s="20" t="s">
        <v>2128</v>
      </c>
      <c r="D83" s="199">
        <v>3008</v>
      </c>
      <c r="E83" s="199">
        <f>'05版台时'!K164</f>
        <v>99.2021701945418</v>
      </c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00"/>
      <c r="GF83" s="200"/>
      <c r="GG83" s="200"/>
      <c r="GH83" s="200"/>
      <c r="GI83" s="200"/>
      <c r="GJ83" s="200"/>
      <c r="GK83" s="200"/>
      <c r="GL83" s="200"/>
      <c r="GM83" s="200"/>
      <c r="GN83" s="200"/>
      <c r="GO83" s="200"/>
      <c r="GP83" s="200"/>
      <c r="GQ83" s="200"/>
      <c r="GR83" s="200"/>
      <c r="GS83" s="200"/>
      <c r="GT83" s="200"/>
      <c r="GU83" s="200"/>
      <c r="GV83" s="200"/>
      <c r="GW83" s="200"/>
      <c r="GX83" s="200"/>
      <c r="GY83" s="200"/>
      <c r="GZ83" s="200"/>
      <c r="HA83" s="200"/>
      <c r="HB83" s="200"/>
      <c r="HC83" s="200"/>
      <c r="HD83" s="200"/>
      <c r="HE83" s="200"/>
      <c r="HF83" s="200"/>
      <c r="HG83" s="200"/>
      <c r="HH83" s="200"/>
      <c r="HI83" s="200"/>
      <c r="HJ83" s="200"/>
      <c r="HK83" s="200"/>
      <c r="HL83" s="200"/>
      <c r="HM83" s="200"/>
      <c r="HN83" s="200"/>
      <c r="HO83" s="200"/>
      <c r="HP83" s="200"/>
      <c r="HQ83" s="200"/>
      <c r="HR83" s="200"/>
      <c r="HS83" s="200"/>
      <c r="HT83" s="200"/>
      <c r="HU83" s="200"/>
      <c r="HV83" s="200"/>
      <c r="HW83" s="200"/>
      <c r="HX83" s="200"/>
      <c r="HY83" s="200"/>
      <c r="HZ83" s="200"/>
      <c r="IA83" s="200"/>
      <c r="IB83" s="200"/>
      <c r="IC83" s="200"/>
      <c r="ID83" s="200"/>
      <c r="IE83" s="200"/>
      <c r="IF83" s="200"/>
      <c r="IG83" s="200"/>
      <c r="IH83" s="200"/>
      <c r="II83" s="200"/>
      <c r="IJ83" s="200"/>
      <c r="IK83" s="200"/>
      <c r="IL83" s="200"/>
      <c r="IM83" s="200"/>
      <c r="IN83" s="200"/>
      <c r="IO83" s="200"/>
      <c r="IP83" s="200"/>
      <c r="IQ83" s="200"/>
      <c r="IR83" s="200"/>
      <c r="IS83" s="200"/>
      <c r="IT83" s="200"/>
      <c r="IU83" s="200"/>
      <c r="IV83" s="200"/>
    </row>
    <row r="84" s="194" customFormat="1" ht="15.95" customHeight="1" spans="1:256">
      <c r="A84" s="199">
        <v>9</v>
      </c>
      <c r="B84" s="20" t="s">
        <v>2125</v>
      </c>
      <c r="C84" s="20" t="s">
        <v>2129</v>
      </c>
      <c r="D84" s="199">
        <v>3009</v>
      </c>
      <c r="E84" s="199">
        <f>'05版台时'!L164</f>
        <v>114.225844307027</v>
      </c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  <c r="DR84" s="200"/>
      <c r="DS84" s="200"/>
      <c r="DT84" s="200"/>
      <c r="DU84" s="200"/>
      <c r="DV84" s="200"/>
      <c r="DW84" s="200"/>
      <c r="DX84" s="200"/>
      <c r="DY84" s="200"/>
      <c r="DZ84" s="200"/>
      <c r="EA84" s="200"/>
      <c r="EB84" s="200"/>
      <c r="EC84" s="200"/>
      <c r="ED84" s="200"/>
      <c r="EE84" s="200"/>
      <c r="EF84" s="200"/>
      <c r="EG84" s="200"/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200"/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  <c r="FR84" s="200"/>
      <c r="FS84" s="200"/>
      <c r="FT84" s="200"/>
      <c r="FU84" s="200"/>
      <c r="FV84" s="200"/>
      <c r="FW84" s="200"/>
      <c r="FX84" s="200"/>
      <c r="FY84" s="200"/>
      <c r="FZ84" s="200"/>
      <c r="GA84" s="200"/>
      <c r="GB84" s="200"/>
      <c r="GC84" s="200"/>
      <c r="GD84" s="200"/>
      <c r="GE84" s="200"/>
      <c r="GF84" s="200"/>
      <c r="GG84" s="200"/>
      <c r="GH84" s="200"/>
      <c r="GI84" s="200"/>
      <c r="GJ84" s="200"/>
      <c r="GK84" s="200"/>
      <c r="GL84" s="200"/>
      <c r="GM84" s="200"/>
      <c r="GN84" s="200"/>
      <c r="GO84" s="200"/>
      <c r="GP84" s="200"/>
      <c r="GQ84" s="200"/>
      <c r="GR84" s="200"/>
      <c r="GS84" s="200"/>
      <c r="GT84" s="200"/>
      <c r="GU84" s="200"/>
      <c r="GV84" s="200"/>
      <c r="GW84" s="200"/>
      <c r="GX84" s="200"/>
      <c r="GY84" s="200"/>
      <c r="GZ84" s="200"/>
      <c r="HA84" s="200"/>
      <c r="HB84" s="200"/>
      <c r="HC84" s="200"/>
      <c r="HD84" s="200"/>
      <c r="HE84" s="200"/>
      <c r="HF84" s="200"/>
      <c r="HG84" s="200"/>
      <c r="HH84" s="200"/>
      <c r="HI84" s="200"/>
      <c r="HJ84" s="200"/>
      <c r="HK84" s="200"/>
      <c r="HL84" s="200"/>
      <c r="HM84" s="200"/>
      <c r="HN84" s="200"/>
      <c r="HO84" s="200"/>
      <c r="HP84" s="200"/>
      <c r="HQ84" s="200"/>
      <c r="HR84" s="200"/>
      <c r="HS84" s="200"/>
      <c r="HT84" s="200"/>
      <c r="HU84" s="200"/>
      <c r="HV84" s="200"/>
      <c r="HW84" s="200"/>
      <c r="HX84" s="200"/>
      <c r="HY84" s="200"/>
      <c r="HZ84" s="200"/>
      <c r="IA84" s="200"/>
      <c r="IB84" s="200"/>
      <c r="IC84" s="200"/>
      <c r="ID84" s="200"/>
      <c r="IE84" s="200"/>
      <c r="IF84" s="200"/>
      <c r="IG84" s="200"/>
      <c r="IH84" s="200"/>
      <c r="II84" s="200"/>
      <c r="IJ84" s="200"/>
      <c r="IK84" s="200"/>
      <c r="IL84" s="200"/>
      <c r="IM84" s="200"/>
      <c r="IN84" s="200"/>
      <c r="IO84" s="200"/>
      <c r="IP84" s="200"/>
      <c r="IQ84" s="200"/>
      <c r="IR84" s="200"/>
      <c r="IS84" s="200"/>
      <c r="IT84" s="200"/>
      <c r="IU84" s="200"/>
      <c r="IV84" s="200"/>
    </row>
    <row r="85" s="194" customFormat="1" ht="15.95" customHeight="1" spans="1:256">
      <c r="A85" s="199">
        <v>10</v>
      </c>
      <c r="B85" s="20" t="s">
        <v>2125</v>
      </c>
      <c r="C85" s="20" t="s">
        <v>2130</v>
      </c>
      <c r="D85" s="199">
        <v>3010</v>
      </c>
      <c r="E85" s="199">
        <f>'05版台时'!M164</f>
        <v>125.444461778108</v>
      </c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/>
      <c r="EA85" s="200"/>
      <c r="EB85" s="200"/>
      <c r="EC85" s="200"/>
      <c r="ED85" s="200"/>
      <c r="EE85" s="200"/>
      <c r="EF85" s="200"/>
      <c r="EG85" s="20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00"/>
      <c r="GD85" s="200"/>
      <c r="GE85" s="200"/>
      <c r="GF85" s="200"/>
      <c r="GG85" s="200"/>
      <c r="GH85" s="200"/>
      <c r="GI85" s="200"/>
      <c r="GJ85" s="200"/>
      <c r="GK85" s="200"/>
      <c r="GL85" s="200"/>
      <c r="GM85" s="200"/>
      <c r="GN85" s="200"/>
      <c r="GO85" s="200"/>
      <c r="GP85" s="200"/>
      <c r="GQ85" s="200"/>
      <c r="GR85" s="200"/>
      <c r="GS85" s="200"/>
      <c r="GT85" s="200"/>
      <c r="GU85" s="200"/>
      <c r="GV85" s="200"/>
      <c r="GW85" s="200"/>
      <c r="GX85" s="200"/>
      <c r="GY85" s="200"/>
      <c r="GZ85" s="200"/>
      <c r="HA85" s="200"/>
      <c r="HB85" s="200"/>
      <c r="HC85" s="200"/>
      <c r="HD85" s="200"/>
      <c r="HE85" s="200"/>
      <c r="HF85" s="200"/>
      <c r="HG85" s="200"/>
      <c r="HH85" s="200"/>
      <c r="HI85" s="200"/>
      <c r="HJ85" s="200"/>
      <c r="HK85" s="200"/>
      <c r="HL85" s="200"/>
      <c r="HM85" s="200"/>
      <c r="HN85" s="200"/>
      <c r="HO85" s="200"/>
      <c r="HP85" s="200"/>
      <c r="HQ85" s="200"/>
      <c r="HR85" s="200"/>
      <c r="HS85" s="200"/>
      <c r="HT85" s="200"/>
      <c r="HU85" s="200"/>
      <c r="HV85" s="200"/>
      <c r="HW85" s="200"/>
      <c r="HX85" s="200"/>
      <c r="HY85" s="200"/>
      <c r="HZ85" s="200"/>
      <c r="IA85" s="200"/>
      <c r="IB85" s="200"/>
      <c r="IC85" s="200"/>
      <c r="ID85" s="200"/>
      <c r="IE85" s="200"/>
      <c r="IF85" s="200"/>
      <c r="IG85" s="200"/>
      <c r="IH85" s="200"/>
      <c r="II85" s="200"/>
      <c r="IJ85" s="200"/>
      <c r="IK85" s="200"/>
      <c r="IL85" s="200"/>
      <c r="IM85" s="200"/>
      <c r="IN85" s="200"/>
      <c r="IO85" s="200"/>
      <c r="IP85" s="200"/>
      <c r="IQ85" s="200"/>
      <c r="IR85" s="200"/>
      <c r="IS85" s="200"/>
      <c r="IT85" s="200"/>
      <c r="IU85" s="200"/>
      <c r="IV85" s="200"/>
    </row>
    <row r="86" s="194" customFormat="1" ht="15.95" customHeight="1" spans="1:256">
      <c r="A86" s="199">
        <v>11</v>
      </c>
      <c r="B86" s="20" t="s">
        <v>2125</v>
      </c>
      <c r="C86" s="20" t="s">
        <v>2131</v>
      </c>
      <c r="D86" s="199">
        <v>3011</v>
      </c>
      <c r="E86" s="199">
        <f>'05版台时'!N164</f>
        <v>133.036048934071</v>
      </c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  <c r="DR86" s="200"/>
      <c r="DS86" s="200"/>
      <c r="DT86" s="200"/>
      <c r="DU86" s="200"/>
      <c r="DV86" s="200"/>
      <c r="DW86" s="200"/>
      <c r="DX86" s="200"/>
      <c r="DY86" s="200"/>
      <c r="DZ86" s="200"/>
      <c r="EA86" s="200"/>
      <c r="EB86" s="200"/>
      <c r="EC86" s="200"/>
      <c r="ED86" s="200"/>
      <c r="EE86" s="200"/>
      <c r="EF86" s="200"/>
      <c r="EG86" s="200"/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/>
      <c r="EU86" s="200"/>
      <c r="EV86" s="200"/>
      <c r="EW86" s="200"/>
      <c r="EX86" s="200"/>
      <c r="EY86" s="200"/>
      <c r="EZ86" s="200"/>
      <c r="FA86" s="200"/>
      <c r="FB86" s="200"/>
      <c r="FC86" s="200"/>
      <c r="FD86" s="200"/>
      <c r="FE86" s="200"/>
      <c r="FF86" s="200"/>
      <c r="FG86" s="200"/>
      <c r="FH86" s="200"/>
      <c r="FI86" s="200"/>
      <c r="FJ86" s="200"/>
      <c r="FK86" s="200"/>
      <c r="FL86" s="200"/>
      <c r="FM86" s="200"/>
      <c r="FN86" s="200"/>
      <c r="FO86" s="200"/>
      <c r="FP86" s="200"/>
      <c r="FQ86" s="200"/>
      <c r="FR86" s="200"/>
      <c r="FS86" s="200"/>
      <c r="FT86" s="200"/>
      <c r="FU86" s="200"/>
      <c r="FV86" s="200"/>
      <c r="FW86" s="200"/>
      <c r="FX86" s="200"/>
      <c r="FY86" s="200"/>
      <c r="FZ86" s="200"/>
      <c r="GA86" s="200"/>
      <c r="GB86" s="200"/>
      <c r="GC86" s="200"/>
      <c r="GD86" s="200"/>
      <c r="GE86" s="200"/>
      <c r="GF86" s="200"/>
      <c r="GG86" s="200"/>
      <c r="GH86" s="200"/>
      <c r="GI86" s="200"/>
      <c r="GJ86" s="200"/>
      <c r="GK86" s="200"/>
      <c r="GL86" s="200"/>
      <c r="GM86" s="200"/>
      <c r="GN86" s="200"/>
      <c r="GO86" s="200"/>
      <c r="GP86" s="200"/>
      <c r="GQ86" s="200"/>
      <c r="GR86" s="200"/>
      <c r="GS86" s="200"/>
      <c r="GT86" s="200"/>
      <c r="GU86" s="200"/>
      <c r="GV86" s="200"/>
      <c r="GW86" s="200"/>
      <c r="GX86" s="200"/>
      <c r="GY86" s="200"/>
      <c r="GZ86" s="200"/>
      <c r="HA86" s="200"/>
      <c r="HB86" s="200"/>
      <c r="HC86" s="200"/>
      <c r="HD86" s="200"/>
      <c r="HE86" s="200"/>
      <c r="HF86" s="200"/>
      <c r="HG86" s="200"/>
      <c r="HH86" s="200"/>
      <c r="HI86" s="200"/>
      <c r="HJ86" s="200"/>
      <c r="HK86" s="200"/>
      <c r="HL86" s="200"/>
      <c r="HM86" s="200"/>
      <c r="HN86" s="200"/>
      <c r="HO86" s="200"/>
      <c r="HP86" s="200"/>
      <c r="HQ86" s="200"/>
      <c r="HR86" s="200"/>
      <c r="HS86" s="200"/>
      <c r="HT86" s="200"/>
      <c r="HU86" s="200"/>
      <c r="HV86" s="200"/>
      <c r="HW86" s="200"/>
      <c r="HX86" s="200"/>
      <c r="HY86" s="200"/>
      <c r="HZ86" s="200"/>
      <c r="IA86" s="200"/>
      <c r="IB86" s="200"/>
      <c r="IC86" s="200"/>
      <c r="ID86" s="200"/>
      <c r="IE86" s="200"/>
      <c r="IF86" s="200"/>
      <c r="IG86" s="200"/>
      <c r="IH86" s="200"/>
      <c r="II86" s="200"/>
      <c r="IJ86" s="200"/>
      <c r="IK86" s="200"/>
      <c r="IL86" s="200"/>
      <c r="IM86" s="200"/>
      <c r="IN86" s="200"/>
      <c r="IO86" s="200"/>
      <c r="IP86" s="200"/>
      <c r="IQ86" s="200"/>
      <c r="IR86" s="200"/>
      <c r="IS86" s="200"/>
      <c r="IT86" s="200"/>
      <c r="IU86" s="200"/>
      <c r="IV86" s="200"/>
    </row>
    <row r="87" s="194" customFormat="1" ht="15.95" customHeight="1" spans="1:256">
      <c r="A87" s="199">
        <v>12</v>
      </c>
      <c r="B87" s="20" t="s">
        <v>2132</v>
      </c>
      <c r="C87" s="20" t="s">
        <v>2061</v>
      </c>
      <c r="D87" s="199">
        <v>3012</v>
      </c>
      <c r="E87" s="199">
        <f>'05版台时'!O164</f>
        <v>9.14040686078979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/>
      <c r="EA87" s="200"/>
      <c r="EB87" s="200"/>
      <c r="EC87" s="200"/>
      <c r="ED87" s="200"/>
      <c r="EE87" s="200"/>
      <c r="EF87" s="200"/>
      <c r="EG87" s="200"/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/>
      <c r="EU87" s="200"/>
      <c r="EV87" s="200"/>
      <c r="EW87" s="200"/>
      <c r="EX87" s="200"/>
      <c r="EY87" s="200"/>
      <c r="EZ87" s="200"/>
      <c r="FA87" s="200"/>
      <c r="FB87" s="200"/>
      <c r="FC87" s="200"/>
      <c r="FD87" s="200"/>
      <c r="FE87" s="200"/>
      <c r="FF87" s="200"/>
      <c r="FG87" s="200"/>
      <c r="FH87" s="200"/>
      <c r="FI87" s="200"/>
      <c r="FJ87" s="200"/>
      <c r="FK87" s="200"/>
      <c r="FL87" s="200"/>
      <c r="FM87" s="200"/>
      <c r="FN87" s="200"/>
      <c r="FO87" s="200"/>
      <c r="FP87" s="200"/>
      <c r="FQ87" s="200"/>
      <c r="FR87" s="200"/>
      <c r="FS87" s="200"/>
      <c r="FT87" s="200"/>
      <c r="FU87" s="200"/>
      <c r="FV87" s="200"/>
      <c r="FW87" s="200"/>
      <c r="FX87" s="200"/>
      <c r="FY87" s="200"/>
      <c r="FZ87" s="200"/>
      <c r="GA87" s="200"/>
      <c r="GB87" s="200"/>
      <c r="GC87" s="200"/>
      <c r="GD87" s="200"/>
      <c r="GE87" s="200"/>
      <c r="GF87" s="200"/>
      <c r="GG87" s="200"/>
      <c r="GH87" s="200"/>
      <c r="GI87" s="200"/>
      <c r="GJ87" s="200"/>
      <c r="GK87" s="200"/>
      <c r="GL87" s="200"/>
      <c r="GM87" s="200"/>
      <c r="GN87" s="200"/>
      <c r="GO87" s="200"/>
      <c r="GP87" s="200"/>
      <c r="GQ87" s="200"/>
      <c r="GR87" s="200"/>
      <c r="GS87" s="200"/>
      <c r="GT87" s="200"/>
      <c r="GU87" s="200"/>
      <c r="GV87" s="200"/>
      <c r="GW87" s="200"/>
      <c r="GX87" s="200"/>
      <c r="GY87" s="200"/>
      <c r="GZ87" s="200"/>
      <c r="HA87" s="200"/>
      <c r="HB87" s="200"/>
      <c r="HC87" s="200"/>
      <c r="HD87" s="200"/>
      <c r="HE87" s="200"/>
      <c r="HF87" s="200"/>
      <c r="HG87" s="200"/>
      <c r="HH87" s="200"/>
      <c r="HI87" s="200"/>
      <c r="HJ87" s="200"/>
      <c r="HK87" s="200"/>
      <c r="HL87" s="200"/>
      <c r="HM87" s="200"/>
      <c r="HN87" s="200"/>
      <c r="HO87" s="200"/>
      <c r="HP87" s="200"/>
      <c r="HQ87" s="200"/>
      <c r="HR87" s="200"/>
      <c r="HS87" s="200"/>
      <c r="HT87" s="200"/>
      <c r="HU87" s="200"/>
      <c r="HV87" s="200"/>
      <c r="HW87" s="200"/>
      <c r="HX87" s="200"/>
      <c r="HY87" s="200"/>
      <c r="HZ87" s="200"/>
      <c r="IA87" s="200"/>
      <c r="IB87" s="200"/>
      <c r="IC87" s="200"/>
      <c r="ID87" s="200"/>
      <c r="IE87" s="200"/>
      <c r="IF87" s="200"/>
      <c r="IG87" s="200"/>
      <c r="IH87" s="200"/>
      <c r="II87" s="200"/>
      <c r="IJ87" s="200"/>
      <c r="IK87" s="200"/>
      <c r="IL87" s="200"/>
      <c r="IM87" s="200"/>
      <c r="IN87" s="200"/>
      <c r="IO87" s="200"/>
      <c r="IP87" s="200"/>
      <c r="IQ87" s="200"/>
      <c r="IR87" s="200"/>
      <c r="IS87" s="200"/>
      <c r="IT87" s="200"/>
      <c r="IU87" s="200"/>
      <c r="IV87" s="200"/>
    </row>
    <row r="88" s="194" customFormat="1" ht="15.95" customHeight="1" spans="1:256">
      <c r="A88" s="199">
        <v>13</v>
      </c>
      <c r="B88" s="20" t="s">
        <v>2132</v>
      </c>
      <c r="C88" s="20" t="s">
        <v>2131</v>
      </c>
      <c r="D88" s="199">
        <v>3013</v>
      </c>
      <c r="E88" s="199">
        <f>'05版台时'!P164</f>
        <v>13.1800558436378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/>
      <c r="EA88" s="200"/>
      <c r="EB88" s="200"/>
      <c r="EC88" s="200"/>
      <c r="ED88" s="200"/>
      <c r="EE88" s="200"/>
      <c r="EF88" s="200"/>
      <c r="EG88" s="200"/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200"/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  <c r="FR88" s="200"/>
      <c r="FS88" s="200"/>
      <c r="FT88" s="200"/>
      <c r="FU88" s="200"/>
      <c r="FV88" s="200"/>
      <c r="FW88" s="200"/>
      <c r="FX88" s="200"/>
      <c r="FY88" s="200"/>
      <c r="FZ88" s="200"/>
      <c r="GA88" s="200"/>
      <c r="GB88" s="200"/>
      <c r="GC88" s="200"/>
      <c r="GD88" s="200"/>
      <c r="GE88" s="200"/>
      <c r="GF88" s="200"/>
      <c r="GG88" s="200"/>
      <c r="GH88" s="200"/>
      <c r="GI88" s="200"/>
      <c r="GJ88" s="200"/>
      <c r="GK88" s="200"/>
      <c r="GL88" s="200"/>
      <c r="GM88" s="200"/>
      <c r="GN88" s="200"/>
      <c r="GO88" s="200"/>
      <c r="GP88" s="200"/>
      <c r="GQ88" s="200"/>
      <c r="GR88" s="200"/>
      <c r="GS88" s="200"/>
      <c r="GT88" s="200"/>
      <c r="GU88" s="200"/>
      <c r="GV88" s="200"/>
      <c r="GW88" s="200"/>
      <c r="GX88" s="200"/>
      <c r="GY88" s="200"/>
      <c r="GZ88" s="200"/>
      <c r="HA88" s="200"/>
      <c r="HB88" s="200"/>
      <c r="HC88" s="200"/>
      <c r="HD88" s="200"/>
      <c r="HE88" s="200"/>
      <c r="HF88" s="200"/>
      <c r="HG88" s="200"/>
      <c r="HH88" s="200"/>
      <c r="HI88" s="200"/>
      <c r="HJ88" s="200"/>
      <c r="HK88" s="200"/>
      <c r="HL88" s="200"/>
      <c r="HM88" s="200"/>
      <c r="HN88" s="200"/>
      <c r="HO88" s="200"/>
      <c r="HP88" s="200"/>
      <c r="HQ88" s="200"/>
      <c r="HR88" s="200"/>
      <c r="HS88" s="200"/>
      <c r="HT88" s="200"/>
      <c r="HU88" s="200"/>
      <c r="HV88" s="200"/>
      <c r="HW88" s="200"/>
      <c r="HX88" s="200"/>
      <c r="HY88" s="200"/>
      <c r="HZ88" s="200"/>
      <c r="IA88" s="200"/>
      <c r="IB88" s="200"/>
      <c r="IC88" s="200"/>
      <c r="ID88" s="200"/>
      <c r="IE88" s="200"/>
      <c r="IF88" s="200"/>
      <c r="IG88" s="200"/>
      <c r="IH88" s="200"/>
      <c r="II88" s="200"/>
      <c r="IJ88" s="200"/>
      <c r="IK88" s="200"/>
      <c r="IL88" s="200"/>
      <c r="IM88" s="200"/>
      <c r="IN88" s="200"/>
      <c r="IO88" s="200"/>
      <c r="IP88" s="200"/>
      <c r="IQ88" s="200"/>
      <c r="IR88" s="200"/>
      <c r="IS88" s="200"/>
      <c r="IT88" s="200"/>
      <c r="IU88" s="200"/>
      <c r="IV88" s="200"/>
    </row>
    <row r="89" s="194" customFormat="1" ht="15.95" customHeight="1" spans="1:256">
      <c r="A89" s="199">
        <v>14</v>
      </c>
      <c r="B89" s="20" t="s">
        <v>2132</v>
      </c>
      <c r="C89" s="20" t="s">
        <v>2133</v>
      </c>
      <c r="D89" s="199">
        <v>3014</v>
      </c>
      <c r="E89" s="199">
        <f>'05版台时'!Q164</f>
        <v>17.6578380534503</v>
      </c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  <c r="DR89" s="200"/>
      <c r="DS89" s="200"/>
      <c r="DT89" s="200"/>
      <c r="DU89" s="200"/>
      <c r="DV89" s="200"/>
      <c r="DW89" s="200"/>
      <c r="DX89" s="200"/>
      <c r="DY89" s="200"/>
      <c r="DZ89" s="200"/>
      <c r="EA89" s="200"/>
      <c r="EB89" s="200"/>
      <c r="EC89" s="200"/>
      <c r="ED89" s="200"/>
      <c r="EE89" s="200"/>
      <c r="EF89" s="200"/>
      <c r="EG89" s="200"/>
      <c r="EH89" s="200"/>
      <c r="EI89" s="200"/>
      <c r="EJ89" s="200"/>
      <c r="EK89" s="200"/>
      <c r="EL89" s="200"/>
      <c r="EM89" s="200"/>
      <c r="EN89" s="200"/>
      <c r="EO89" s="200"/>
      <c r="EP89" s="200"/>
      <c r="EQ89" s="200"/>
      <c r="ER89" s="200"/>
      <c r="ES89" s="200"/>
      <c r="ET89" s="200"/>
      <c r="EU89" s="200"/>
      <c r="EV89" s="200"/>
      <c r="EW89" s="200"/>
      <c r="EX89" s="200"/>
      <c r="EY89" s="200"/>
      <c r="EZ89" s="200"/>
      <c r="FA89" s="200"/>
      <c r="FB89" s="200"/>
      <c r="FC89" s="200"/>
      <c r="FD89" s="200"/>
      <c r="FE89" s="200"/>
      <c r="FF89" s="200"/>
      <c r="FG89" s="200"/>
      <c r="FH89" s="200"/>
      <c r="FI89" s="200"/>
      <c r="FJ89" s="200"/>
      <c r="FK89" s="200"/>
      <c r="FL89" s="200"/>
      <c r="FM89" s="200"/>
      <c r="FN89" s="200"/>
      <c r="FO89" s="200"/>
      <c r="FP89" s="200"/>
      <c r="FQ89" s="200"/>
      <c r="FR89" s="200"/>
      <c r="FS89" s="200"/>
      <c r="FT89" s="200"/>
      <c r="FU89" s="200"/>
      <c r="FV89" s="200"/>
      <c r="FW89" s="200"/>
      <c r="FX89" s="200"/>
      <c r="FY89" s="200"/>
      <c r="FZ89" s="200"/>
      <c r="GA89" s="200"/>
      <c r="GB89" s="200"/>
      <c r="GC89" s="200"/>
      <c r="GD89" s="200"/>
      <c r="GE89" s="200"/>
      <c r="GF89" s="200"/>
      <c r="GG89" s="200"/>
      <c r="GH89" s="200"/>
      <c r="GI89" s="200"/>
      <c r="GJ89" s="200"/>
      <c r="GK89" s="200"/>
      <c r="GL89" s="200"/>
      <c r="GM89" s="200"/>
      <c r="GN89" s="200"/>
      <c r="GO89" s="200"/>
      <c r="GP89" s="200"/>
      <c r="GQ89" s="200"/>
      <c r="GR89" s="200"/>
      <c r="GS89" s="200"/>
      <c r="GT89" s="200"/>
      <c r="GU89" s="200"/>
      <c r="GV89" s="200"/>
      <c r="GW89" s="200"/>
      <c r="GX89" s="200"/>
      <c r="GY89" s="200"/>
      <c r="GZ89" s="200"/>
      <c r="HA89" s="200"/>
      <c r="HB89" s="200"/>
      <c r="HC89" s="200"/>
      <c r="HD89" s="200"/>
      <c r="HE89" s="200"/>
      <c r="HF89" s="200"/>
      <c r="HG89" s="200"/>
      <c r="HH89" s="200"/>
      <c r="HI89" s="200"/>
      <c r="HJ89" s="200"/>
      <c r="HK89" s="200"/>
      <c r="HL89" s="200"/>
      <c r="HM89" s="200"/>
      <c r="HN89" s="200"/>
      <c r="HO89" s="200"/>
      <c r="HP89" s="200"/>
      <c r="HQ89" s="200"/>
      <c r="HR89" s="200"/>
      <c r="HS89" s="200"/>
      <c r="HT89" s="200"/>
      <c r="HU89" s="200"/>
      <c r="HV89" s="200"/>
      <c r="HW89" s="200"/>
      <c r="HX89" s="200"/>
      <c r="HY89" s="200"/>
      <c r="HZ89" s="200"/>
      <c r="IA89" s="200"/>
      <c r="IB89" s="200"/>
      <c r="IC89" s="200"/>
      <c r="ID89" s="200"/>
      <c r="IE89" s="200"/>
      <c r="IF89" s="200"/>
      <c r="IG89" s="200"/>
      <c r="IH89" s="200"/>
      <c r="II89" s="200"/>
      <c r="IJ89" s="200"/>
      <c r="IK89" s="200"/>
      <c r="IL89" s="200"/>
      <c r="IM89" s="200"/>
      <c r="IN89" s="200"/>
      <c r="IO89" s="200"/>
      <c r="IP89" s="200"/>
      <c r="IQ89" s="200"/>
      <c r="IR89" s="200"/>
      <c r="IS89" s="200"/>
      <c r="IT89" s="200"/>
      <c r="IU89" s="200"/>
      <c r="IV89" s="200"/>
    </row>
    <row r="90" s="194" customFormat="1" ht="15.95" customHeight="1" spans="1:256">
      <c r="A90" s="199">
        <v>15</v>
      </c>
      <c r="B90" s="20" t="s">
        <v>2132</v>
      </c>
      <c r="C90" s="20" t="s">
        <v>2134</v>
      </c>
      <c r="D90" s="199">
        <v>3015</v>
      </c>
      <c r="E90" s="199">
        <f>'05版台时'!R164</f>
        <v>28.906661348225</v>
      </c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/>
      <c r="EA90" s="200"/>
      <c r="EB90" s="200"/>
      <c r="EC90" s="200"/>
      <c r="ED90" s="200"/>
      <c r="EE90" s="200"/>
      <c r="EF90" s="200"/>
      <c r="EG90" s="200"/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200"/>
      <c r="FG90" s="200"/>
      <c r="FH90" s="200"/>
      <c r="FI90" s="200"/>
      <c r="FJ90" s="200"/>
      <c r="FK90" s="200"/>
      <c r="FL90" s="200"/>
      <c r="FM90" s="200"/>
      <c r="FN90" s="200"/>
      <c r="FO90" s="200"/>
      <c r="FP90" s="200"/>
      <c r="FQ90" s="200"/>
      <c r="FR90" s="200"/>
      <c r="FS90" s="200"/>
      <c r="FT90" s="200"/>
      <c r="FU90" s="200"/>
      <c r="FV90" s="200"/>
      <c r="FW90" s="200"/>
      <c r="FX90" s="200"/>
      <c r="FY90" s="200"/>
      <c r="FZ90" s="200"/>
      <c r="GA90" s="200"/>
      <c r="GB90" s="200"/>
      <c r="GC90" s="200"/>
      <c r="GD90" s="200"/>
      <c r="GE90" s="200"/>
      <c r="GF90" s="200"/>
      <c r="GG90" s="200"/>
      <c r="GH90" s="200"/>
      <c r="GI90" s="200"/>
      <c r="GJ90" s="200"/>
      <c r="GK90" s="200"/>
      <c r="GL90" s="200"/>
      <c r="GM90" s="200"/>
      <c r="GN90" s="200"/>
      <c r="GO90" s="200"/>
      <c r="GP90" s="200"/>
      <c r="GQ90" s="200"/>
      <c r="GR90" s="200"/>
      <c r="GS90" s="200"/>
      <c r="GT90" s="200"/>
      <c r="GU90" s="200"/>
      <c r="GV90" s="200"/>
      <c r="GW90" s="200"/>
      <c r="GX90" s="200"/>
      <c r="GY90" s="200"/>
      <c r="GZ90" s="200"/>
      <c r="HA90" s="200"/>
      <c r="HB90" s="200"/>
      <c r="HC90" s="200"/>
      <c r="HD90" s="200"/>
      <c r="HE90" s="200"/>
      <c r="HF90" s="200"/>
      <c r="HG90" s="200"/>
      <c r="HH90" s="200"/>
      <c r="HI90" s="200"/>
      <c r="HJ90" s="200"/>
      <c r="HK90" s="200"/>
      <c r="HL90" s="200"/>
      <c r="HM90" s="200"/>
      <c r="HN90" s="200"/>
      <c r="HO90" s="200"/>
      <c r="HP90" s="200"/>
      <c r="HQ90" s="200"/>
      <c r="HR90" s="200"/>
      <c r="HS90" s="200"/>
      <c r="HT90" s="200"/>
      <c r="HU90" s="200"/>
      <c r="HV90" s="200"/>
      <c r="HW90" s="200"/>
      <c r="HX90" s="200"/>
      <c r="HY90" s="200"/>
      <c r="HZ90" s="200"/>
      <c r="IA90" s="200"/>
      <c r="IB90" s="200"/>
      <c r="IC90" s="200"/>
      <c r="ID90" s="200"/>
      <c r="IE90" s="200"/>
      <c r="IF90" s="200"/>
      <c r="IG90" s="200"/>
      <c r="IH90" s="200"/>
      <c r="II90" s="200"/>
      <c r="IJ90" s="200"/>
      <c r="IK90" s="200"/>
      <c r="IL90" s="200"/>
      <c r="IM90" s="200"/>
      <c r="IN90" s="200"/>
      <c r="IO90" s="200"/>
      <c r="IP90" s="200"/>
      <c r="IQ90" s="200"/>
      <c r="IR90" s="200"/>
      <c r="IS90" s="200"/>
      <c r="IT90" s="200"/>
      <c r="IU90" s="200"/>
      <c r="IV90" s="200"/>
    </row>
    <row r="91" s="194" customFormat="1" ht="15.95" customHeight="1" spans="1:256">
      <c r="A91" s="199">
        <v>16</v>
      </c>
      <c r="B91" s="20" t="s">
        <v>2132</v>
      </c>
      <c r="C91" s="20" t="s">
        <v>2135</v>
      </c>
      <c r="D91" s="199">
        <v>3016</v>
      </c>
      <c r="E91" s="199">
        <f>'05版台时'!S164</f>
        <v>44.5648185081771</v>
      </c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  <c r="DR91" s="200"/>
      <c r="DS91" s="200"/>
      <c r="DT91" s="200"/>
      <c r="DU91" s="200"/>
      <c r="DV91" s="200"/>
      <c r="DW91" s="200"/>
      <c r="DX91" s="200"/>
      <c r="DY91" s="200"/>
      <c r="DZ91" s="200"/>
      <c r="EA91" s="200"/>
      <c r="EB91" s="200"/>
      <c r="EC91" s="200"/>
      <c r="ED91" s="200"/>
      <c r="EE91" s="200"/>
      <c r="EF91" s="200"/>
      <c r="EG91" s="200"/>
      <c r="EH91" s="200"/>
      <c r="EI91" s="200"/>
      <c r="EJ91" s="200"/>
      <c r="EK91" s="200"/>
      <c r="EL91" s="200"/>
      <c r="EM91" s="200"/>
      <c r="EN91" s="200"/>
      <c r="EO91" s="200"/>
      <c r="EP91" s="200"/>
      <c r="EQ91" s="200"/>
      <c r="ER91" s="200"/>
      <c r="ES91" s="200"/>
      <c r="ET91" s="200"/>
      <c r="EU91" s="200"/>
      <c r="EV91" s="200"/>
      <c r="EW91" s="200"/>
      <c r="EX91" s="200"/>
      <c r="EY91" s="200"/>
      <c r="EZ91" s="200"/>
      <c r="FA91" s="200"/>
      <c r="FB91" s="200"/>
      <c r="FC91" s="200"/>
      <c r="FD91" s="200"/>
      <c r="FE91" s="200"/>
      <c r="FF91" s="200"/>
      <c r="FG91" s="200"/>
      <c r="FH91" s="200"/>
      <c r="FI91" s="200"/>
      <c r="FJ91" s="200"/>
      <c r="FK91" s="200"/>
      <c r="FL91" s="200"/>
      <c r="FM91" s="200"/>
      <c r="FN91" s="200"/>
      <c r="FO91" s="200"/>
      <c r="FP91" s="200"/>
      <c r="FQ91" s="200"/>
      <c r="FR91" s="200"/>
      <c r="FS91" s="200"/>
      <c r="FT91" s="200"/>
      <c r="FU91" s="200"/>
      <c r="FV91" s="200"/>
      <c r="FW91" s="200"/>
      <c r="FX91" s="200"/>
      <c r="FY91" s="200"/>
      <c r="FZ91" s="200"/>
      <c r="GA91" s="200"/>
      <c r="GB91" s="200"/>
      <c r="GC91" s="200"/>
      <c r="GD91" s="200"/>
      <c r="GE91" s="200"/>
      <c r="GF91" s="200"/>
      <c r="GG91" s="200"/>
      <c r="GH91" s="200"/>
      <c r="GI91" s="200"/>
      <c r="GJ91" s="200"/>
      <c r="GK91" s="200"/>
      <c r="GL91" s="200"/>
      <c r="GM91" s="200"/>
      <c r="GN91" s="200"/>
      <c r="GO91" s="200"/>
      <c r="GP91" s="200"/>
      <c r="GQ91" s="200"/>
      <c r="GR91" s="200"/>
      <c r="GS91" s="200"/>
      <c r="GT91" s="200"/>
      <c r="GU91" s="200"/>
      <c r="GV91" s="200"/>
      <c r="GW91" s="200"/>
      <c r="GX91" s="200"/>
      <c r="GY91" s="200"/>
      <c r="GZ91" s="200"/>
      <c r="HA91" s="200"/>
      <c r="HB91" s="200"/>
      <c r="HC91" s="200"/>
      <c r="HD91" s="200"/>
      <c r="HE91" s="200"/>
      <c r="HF91" s="200"/>
      <c r="HG91" s="200"/>
      <c r="HH91" s="200"/>
      <c r="HI91" s="200"/>
      <c r="HJ91" s="200"/>
      <c r="HK91" s="200"/>
      <c r="HL91" s="200"/>
      <c r="HM91" s="200"/>
      <c r="HN91" s="200"/>
      <c r="HO91" s="200"/>
      <c r="HP91" s="200"/>
      <c r="HQ91" s="200"/>
      <c r="HR91" s="200"/>
      <c r="HS91" s="200"/>
      <c r="HT91" s="200"/>
      <c r="HU91" s="200"/>
      <c r="HV91" s="200"/>
      <c r="HW91" s="200"/>
      <c r="HX91" s="200"/>
      <c r="HY91" s="200"/>
      <c r="HZ91" s="200"/>
      <c r="IA91" s="200"/>
      <c r="IB91" s="200"/>
      <c r="IC91" s="200"/>
      <c r="ID91" s="200"/>
      <c r="IE91" s="200"/>
      <c r="IF91" s="200"/>
      <c r="IG91" s="200"/>
      <c r="IH91" s="200"/>
      <c r="II91" s="200"/>
      <c r="IJ91" s="200"/>
      <c r="IK91" s="200"/>
      <c r="IL91" s="200"/>
      <c r="IM91" s="200"/>
      <c r="IN91" s="200"/>
      <c r="IO91" s="200"/>
      <c r="IP91" s="200"/>
      <c r="IQ91" s="200"/>
      <c r="IR91" s="200"/>
      <c r="IS91" s="200"/>
      <c r="IT91" s="200"/>
      <c r="IU91" s="200"/>
      <c r="IV91" s="200"/>
    </row>
    <row r="92" s="194" customFormat="1" ht="15.95" customHeight="1" spans="1:256">
      <c r="A92" s="199">
        <v>17</v>
      </c>
      <c r="B92" s="20" t="s">
        <v>2132</v>
      </c>
      <c r="C92" s="20" t="s">
        <v>2136</v>
      </c>
      <c r="D92" s="199">
        <v>3017</v>
      </c>
      <c r="E92" s="199">
        <f>'05版台时'!T164</f>
        <v>70.7483047467092</v>
      </c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  <c r="DR92" s="200"/>
      <c r="DS92" s="200"/>
      <c r="DT92" s="200"/>
      <c r="DU92" s="200"/>
      <c r="DV92" s="200"/>
      <c r="DW92" s="200"/>
      <c r="DX92" s="200"/>
      <c r="DY92" s="200"/>
      <c r="DZ92" s="200"/>
      <c r="EA92" s="200"/>
      <c r="EB92" s="200"/>
      <c r="EC92" s="200"/>
      <c r="ED92" s="200"/>
      <c r="EE92" s="200"/>
      <c r="EF92" s="200"/>
      <c r="EG92" s="200"/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/>
      <c r="EU92" s="200"/>
      <c r="EV92" s="200"/>
      <c r="EW92" s="200"/>
      <c r="EX92" s="200"/>
      <c r="EY92" s="200"/>
      <c r="EZ92" s="200"/>
      <c r="FA92" s="200"/>
      <c r="FB92" s="200"/>
      <c r="FC92" s="200"/>
      <c r="FD92" s="200"/>
      <c r="FE92" s="200"/>
      <c r="FF92" s="200"/>
      <c r="FG92" s="200"/>
      <c r="FH92" s="200"/>
      <c r="FI92" s="200"/>
      <c r="FJ92" s="200"/>
      <c r="FK92" s="200"/>
      <c r="FL92" s="200"/>
      <c r="FM92" s="200"/>
      <c r="FN92" s="200"/>
      <c r="FO92" s="200"/>
      <c r="FP92" s="200"/>
      <c r="FQ92" s="200"/>
      <c r="FR92" s="200"/>
      <c r="FS92" s="200"/>
      <c r="FT92" s="200"/>
      <c r="FU92" s="200"/>
      <c r="FV92" s="200"/>
      <c r="FW92" s="200"/>
      <c r="FX92" s="200"/>
      <c r="FY92" s="200"/>
      <c r="FZ92" s="200"/>
      <c r="GA92" s="200"/>
      <c r="GB92" s="200"/>
      <c r="GC92" s="200"/>
      <c r="GD92" s="200"/>
      <c r="GE92" s="200"/>
      <c r="GF92" s="200"/>
      <c r="GG92" s="200"/>
      <c r="GH92" s="200"/>
      <c r="GI92" s="200"/>
      <c r="GJ92" s="200"/>
      <c r="GK92" s="200"/>
      <c r="GL92" s="200"/>
      <c r="GM92" s="200"/>
      <c r="GN92" s="200"/>
      <c r="GO92" s="200"/>
      <c r="GP92" s="200"/>
      <c r="GQ92" s="200"/>
      <c r="GR92" s="200"/>
      <c r="GS92" s="200"/>
      <c r="GT92" s="200"/>
      <c r="GU92" s="200"/>
      <c r="GV92" s="200"/>
      <c r="GW92" s="200"/>
      <c r="GX92" s="200"/>
      <c r="GY92" s="200"/>
      <c r="GZ92" s="200"/>
      <c r="HA92" s="200"/>
      <c r="HB92" s="200"/>
      <c r="HC92" s="200"/>
      <c r="HD92" s="200"/>
      <c r="HE92" s="200"/>
      <c r="HF92" s="200"/>
      <c r="HG92" s="200"/>
      <c r="HH92" s="200"/>
      <c r="HI92" s="200"/>
      <c r="HJ92" s="200"/>
      <c r="HK92" s="200"/>
      <c r="HL92" s="200"/>
      <c r="HM92" s="200"/>
      <c r="HN92" s="200"/>
      <c r="HO92" s="200"/>
      <c r="HP92" s="200"/>
      <c r="HQ92" s="200"/>
      <c r="HR92" s="200"/>
      <c r="HS92" s="200"/>
      <c r="HT92" s="200"/>
      <c r="HU92" s="200"/>
      <c r="HV92" s="200"/>
      <c r="HW92" s="200"/>
      <c r="HX92" s="200"/>
      <c r="HY92" s="200"/>
      <c r="HZ92" s="200"/>
      <c r="IA92" s="200"/>
      <c r="IB92" s="200"/>
      <c r="IC92" s="200"/>
      <c r="ID92" s="200"/>
      <c r="IE92" s="200"/>
      <c r="IF92" s="200"/>
      <c r="IG92" s="200"/>
      <c r="IH92" s="200"/>
      <c r="II92" s="200"/>
      <c r="IJ92" s="200"/>
      <c r="IK92" s="200"/>
      <c r="IL92" s="200"/>
      <c r="IM92" s="200"/>
      <c r="IN92" s="200"/>
      <c r="IO92" s="200"/>
      <c r="IP92" s="200"/>
      <c r="IQ92" s="200"/>
      <c r="IR92" s="200"/>
      <c r="IS92" s="200"/>
      <c r="IT92" s="200"/>
      <c r="IU92" s="200"/>
      <c r="IV92" s="200"/>
    </row>
    <row r="93" s="194" customFormat="1" ht="15.95" customHeight="1" spans="1:256">
      <c r="A93" s="199">
        <v>18</v>
      </c>
      <c r="B93" s="20" t="s">
        <v>2137</v>
      </c>
      <c r="C93" s="20" t="s">
        <v>2061</v>
      </c>
      <c r="D93" s="199">
        <v>3018</v>
      </c>
      <c r="E93" s="199">
        <f>'05版台时'!U164</f>
        <v>52.3453474980918</v>
      </c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00"/>
      <c r="GF93" s="200"/>
      <c r="GG93" s="200"/>
      <c r="GH93" s="200"/>
      <c r="GI93" s="200"/>
      <c r="GJ93" s="200"/>
      <c r="GK93" s="200"/>
      <c r="GL93" s="200"/>
      <c r="GM93" s="200"/>
      <c r="GN93" s="200"/>
      <c r="GO93" s="200"/>
      <c r="GP93" s="200"/>
      <c r="GQ93" s="200"/>
      <c r="GR93" s="200"/>
      <c r="GS93" s="200"/>
      <c r="GT93" s="200"/>
      <c r="GU93" s="200"/>
      <c r="GV93" s="200"/>
      <c r="GW93" s="200"/>
      <c r="GX93" s="200"/>
      <c r="GY93" s="200"/>
      <c r="GZ93" s="200"/>
      <c r="HA93" s="200"/>
      <c r="HB93" s="200"/>
      <c r="HC93" s="200"/>
      <c r="HD93" s="200"/>
      <c r="HE93" s="200"/>
      <c r="HF93" s="200"/>
      <c r="HG93" s="200"/>
      <c r="HH93" s="200"/>
      <c r="HI93" s="200"/>
      <c r="HJ93" s="200"/>
      <c r="HK93" s="200"/>
      <c r="HL93" s="200"/>
      <c r="HM93" s="200"/>
      <c r="HN93" s="200"/>
      <c r="HO93" s="200"/>
      <c r="HP93" s="200"/>
      <c r="HQ93" s="200"/>
      <c r="HR93" s="200"/>
      <c r="HS93" s="200"/>
      <c r="HT93" s="200"/>
      <c r="HU93" s="200"/>
      <c r="HV93" s="200"/>
      <c r="HW93" s="200"/>
      <c r="HX93" s="200"/>
      <c r="HY93" s="200"/>
      <c r="HZ93" s="200"/>
      <c r="IA93" s="200"/>
      <c r="IB93" s="200"/>
      <c r="IC93" s="200"/>
      <c r="ID93" s="200"/>
      <c r="IE93" s="200"/>
      <c r="IF93" s="200"/>
      <c r="IG93" s="200"/>
      <c r="IH93" s="200"/>
      <c r="II93" s="200"/>
      <c r="IJ93" s="200"/>
      <c r="IK93" s="200"/>
      <c r="IL93" s="200"/>
      <c r="IM93" s="200"/>
      <c r="IN93" s="200"/>
      <c r="IO93" s="200"/>
      <c r="IP93" s="200"/>
      <c r="IQ93" s="200"/>
      <c r="IR93" s="200"/>
      <c r="IS93" s="200"/>
      <c r="IT93" s="200"/>
      <c r="IU93" s="200"/>
      <c r="IV93" s="200"/>
    </row>
    <row r="94" s="194" customFormat="1" ht="15.95" customHeight="1" spans="1:256">
      <c r="A94" s="199">
        <v>19</v>
      </c>
      <c r="B94" s="20" t="s">
        <v>2137</v>
      </c>
      <c r="C94" s="20" t="s">
        <v>2131</v>
      </c>
      <c r="D94" s="199">
        <v>3019</v>
      </c>
      <c r="E94" s="199">
        <f>'05版台时'!V164</f>
        <v>66.8837366085825</v>
      </c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  <c r="DQ94" s="200"/>
      <c r="DR94" s="200"/>
      <c r="DS94" s="200"/>
      <c r="DT94" s="200"/>
      <c r="DU94" s="200"/>
      <c r="DV94" s="200"/>
      <c r="DW94" s="200"/>
      <c r="DX94" s="200"/>
      <c r="DY94" s="200"/>
      <c r="DZ94" s="200"/>
      <c r="EA94" s="200"/>
      <c r="EB94" s="200"/>
      <c r="EC94" s="200"/>
      <c r="ED94" s="200"/>
      <c r="EE94" s="200"/>
      <c r="EF94" s="200"/>
      <c r="EG94" s="200"/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/>
      <c r="EU94" s="200"/>
      <c r="EV94" s="200"/>
      <c r="EW94" s="200"/>
      <c r="EX94" s="200"/>
      <c r="EY94" s="200"/>
      <c r="EZ94" s="200"/>
      <c r="FA94" s="200"/>
      <c r="FB94" s="200"/>
      <c r="FC94" s="200"/>
      <c r="FD94" s="200"/>
      <c r="FE94" s="200"/>
      <c r="FF94" s="200"/>
      <c r="FG94" s="200"/>
      <c r="FH94" s="200"/>
      <c r="FI94" s="200"/>
      <c r="FJ94" s="200"/>
      <c r="FK94" s="200"/>
      <c r="FL94" s="200"/>
      <c r="FM94" s="200"/>
      <c r="FN94" s="200"/>
      <c r="FO94" s="200"/>
      <c r="FP94" s="200"/>
      <c r="FQ94" s="200"/>
      <c r="FR94" s="200"/>
      <c r="FS94" s="200"/>
      <c r="FT94" s="200"/>
      <c r="FU94" s="200"/>
      <c r="FV94" s="200"/>
      <c r="FW94" s="200"/>
      <c r="FX94" s="200"/>
      <c r="FY94" s="200"/>
      <c r="FZ94" s="200"/>
      <c r="GA94" s="200"/>
      <c r="GB94" s="200"/>
      <c r="GC94" s="200"/>
      <c r="GD94" s="200"/>
      <c r="GE94" s="200"/>
      <c r="GF94" s="200"/>
      <c r="GG94" s="200"/>
      <c r="GH94" s="200"/>
      <c r="GI94" s="200"/>
      <c r="GJ94" s="200"/>
      <c r="GK94" s="200"/>
      <c r="GL94" s="200"/>
      <c r="GM94" s="200"/>
      <c r="GN94" s="200"/>
      <c r="GO94" s="200"/>
      <c r="GP94" s="200"/>
      <c r="GQ94" s="200"/>
      <c r="GR94" s="200"/>
      <c r="GS94" s="200"/>
      <c r="GT94" s="200"/>
      <c r="GU94" s="200"/>
      <c r="GV94" s="200"/>
      <c r="GW94" s="200"/>
      <c r="GX94" s="200"/>
      <c r="GY94" s="200"/>
      <c r="GZ94" s="200"/>
      <c r="HA94" s="200"/>
      <c r="HB94" s="200"/>
      <c r="HC94" s="200"/>
      <c r="HD94" s="200"/>
      <c r="HE94" s="200"/>
      <c r="HF94" s="200"/>
      <c r="HG94" s="200"/>
      <c r="HH94" s="200"/>
      <c r="HI94" s="200"/>
      <c r="HJ94" s="200"/>
      <c r="HK94" s="200"/>
      <c r="HL94" s="200"/>
      <c r="HM94" s="200"/>
      <c r="HN94" s="200"/>
      <c r="HO94" s="200"/>
      <c r="HP94" s="200"/>
      <c r="HQ94" s="200"/>
      <c r="HR94" s="200"/>
      <c r="HS94" s="200"/>
      <c r="HT94" s="200"/>
      <c r="HU94" s="200"/>
      <c r="HV94" s="200"/>
      <c r="HW94" s="200"/>
      <c r="HX94" s="200"/>
      <c r="HY94" s="200"/>
      <c r="HZ94" s="200"/>
      <c r="IA94" s="200"/>
      <c r="IB94" s="200"/>
      <c r="IC94" s="200"/>
      <c r="ID94" s="200"/>
      <c r="IE94" s="200"/>
      <c r="IF94" s="200"/>
      <c r="IG94" s="200"/>
      <c r="IH94" s="200"/>
      <c r="II94" s="200"/>
      <c r="IJ94" s="200"/>
      <c r="IK94" s="200"/>
      <c r="IL94" s="200"/>
      <c r="IM94" s="200"/>
      <c r="IN94" s="200"/>
      <c r="IO94" s="200"/>
      <c r="IP94" s="200"/>
      <c r="IQ94" s="200"/>
      <c r="IR94" s="200"/>
      <c r="IS94" s="200"/>
      <c r="IT94" s="200"/>
      <c r="IU94" s="200"/>
      <c r="IV94" s="200"/>
    </row>
    <row r="95" s="194" customFormat="1" ht="15.95" customHeight="1" spans="1:256">
      <c r="A95" s="199">
        <v>20</v>
      </c>
      <c r="B95" s="20" t="s">
        <v>2137</v>
      </c>
      <c r="C95" s="20" t="s">
        <v>2133</v>
      </c>
      <c r="D95" s="199">
        <v>3020</v>
      </c>
      <c r="E95" s="199">
        <f>'05版台时'!W164</f>
        <v>96.5030177747949</v>
      </c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  <c r="DQ95" s="200"/>
      <c r="DR95" s="200"/>
      <c r="DS95" s="200"/>
      <c r="DT95" s="200"/>
      <c r="DU95" s="200"/>
      <c r="DV95" s="200"/>
      <c r="DW95" s="200"/>
      <c r="DX95" s="200"/>
      <c r="DY95" s="200"/>
      <c r="DZ95" s="200"/>
      <c r="EA95" s="200"/>
      <c r="EB95" s="200"/>
      <c r="EC95" s="200"/>
      <c r="ED95" s="200"/>
      <c r="EE95" s="200"/>
      <c r="EF95" s="200"/>
      <c r="EG95" s="200"/>
      <c r="EH95" s="200"/>
      <c r="EI95" s="200"/>
      <c r="EJ95" s="200"/>
      <c r="EK95" s="200"/>
      <c r="EL95" s="200"/>
      <c r="EM95" s="200"/>
      <c r="EN95" s="200"/>
      <c r="EO95" s="200"/>
      <c r="EP95" s="200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00"/>
      <c r="FF95" s="200"/>
      <c r="FG95" s="200"/>
      <c r="FH95" s="200"/>
      <c r="FI95" s="200"/>
      <c r="FJ95" s="200"/>
      <c r="FK95" s="200"/>
      <c r="FL95" s="200"/>
      <c r="FM95" s="200"/>
      <c r="FN95" s="200"/>
      <c r="FO95" s="200"/>
      <c r="FP95" s="200"/>
      <c r="FQ95" s="200"/>
      <c r="FR95" s="200"/>
      <c r="FS95" s="200"/>
      <c r="FT95" s="200"/>
      <c r="FU95" s="200"/>
      <c r="FV95" s="200"/>
      <c r="FW95" s="200"/>
      <c r="FX95" s="200"/>
      <c r="FY95" s="200"/>
      <c r="FZ95" s="200"/>
      <c r="GA95" s="200"/>
      <c r="GB95" s="200"/>
      <c r="GC95" s="200"/>
      <c r="GD95" s="200"/>
      <c r="GE95" s="200"/>
      <c r="GF95" s="200"/>
      <c r="GG95" s="200"/>
      <c r="GH95" s="200"/>
      <c r="GI95" s="200"/>
      <c r="GJ95" s="200"/>
      <c r="GK95" s="200"/>
      <c r="GL95" s="200"/>
      <c r="GM95" s="200"/>
      <c r="GN95" s="200"/>
      <c r="GO95" s="200"/>
      <c r="GP95" s="200"/>
      <c r="GQ95" s="200"/>
      <c r="GR95" s="200"/>
      <c r="GS95" s="200"/>
      <c r="GT95" s="200"/>
      <c r="GU95" s="200"/>
      <c r="GV95" s="200"/>
      <c r="GW95" s="200"/>
      <c r="GX95" s="200"/>
      <c r="GY95" s="200"/>
      <c r="GZ95" s="200"/>
      <c r="HA95" s="200"/>
      <c r="HB95" s="200"/>
      <c r="HC95" s="200"/>
      <c r="HD95" s="200"/>
      <c r="HE95" s="200"/>
      <c r="HF95" s="200"/>
      <c r="HG95" s="200"/>
      <c r="HH95" s="200"/>
      <c r="HI95" s="200"/>
      <c r="HJ95" s="200"/>
      <c r="HK95" s="200"/>
      <c r="HL95" s="200"/>
      <c r="HM95" s="200"/>
      <c r="HN95" s="200"/>
      <c r="HO95" s="200"/>
      <c r="HP95" s="200"/>
      <c r="HQ95" s="200"/>
      <c r="HR95" s="200"/>
      <c r="HS95" s="200"/>
      <c r="HT95" s="200"/>
      <c r="HU95" s="200"/>
      <c r="HV95" s="200"/>
      <c r="HW95" s="200"/>
      <c r="HX95" s="200"/>
      <c r="HY95" s="200"/>
      <c r="HZ95" s="200"/>
      <c r="IA95" s="200"/>
      <c r="IB95" s="200"/>
      <c r="IC95" s="200"/>
      <c r="ID95" s="200"/>
      <c r="IE95" s="200"/>
      <c r="IF95" s="200"/>
      <c r="IG95" s="200"/>
      <c r="IH95" s="200"/>
      <c r="II95" s="200"/>
      <c r="IJ95" s="200"/>
      <c r="IK95" s="200"/>
      <c r="IL95" s="200"/>
      <c r="IM95" s="200"/>
      <c r="IN95" s="200"/>
      <c r="IO95" s="200"/>
      <c r="IP95" s="200"/>
      <c r="IQ95" s="200"/>
      <c r="IR95" s="200"/>
      <c r="IS95" s="200"/>
      <c r="IT95" s="200"/>
      <c r="IU95" s="200"/>
      <c r="IV95" s="200"/>
    </row>
    <row r="96" s="194" customFormat="1" ht="15.95" customHeight="1" spans="1:256">
      <c r="A96" s="199">
        <v>21</v>
      </c>
      <c r="B96" s="20" t="s">
        <v>2137</v>
      </c>
      <c r="C96" s="20" t="s">
        <v>2134</v>
      </c>
      <c r="D96" s="199">
        <v>3021</v>
      </c>
      <c r="E96" s="199">
        <f>'05版台时'!X164</f>
        <v>111.784051280978</v>
      </c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/>
      <c r="EA96" s="200"/>
      <c r="EB96" s="200"/>
      <c r="EC96" s="200"/>
      <c r="ED96" s="200"/>
      <c r="EE96" s="200"/>
      <c r="EF96" s="200"/>
      <c r="EG96" s="200"/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200"/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  <c r="FR96" s="200"/>
      <c r="FS96" s="200"/>
      <c r="FT96" s="200"/>
      <c r="FU96" s="200"/>
      <c r="FV96" s="200"/>
      <c r="FW96" s="200"/>
      <c r="FX96" s="200"/>
      <c r="FY96" s="200"/>
      <c r="FZ96" s="200"/>
      <c r="GA96" s="200"/>
      <c r="GB96" s="200"/>
      <c r="GC96" s="200"/>
      <c r="GD96" s="200"/>
      <c r="GE96" s="200"/>
      <c r="GF96" s="200"/>
      <c r="GG96" s="200"/>
      <c r="GH96" s="200"/>
      <c r="GI96" s="200"/>
      <c r="GJ96" s="200"/>
      <c r="GK96" s="200"/>
      <c r="GL96" s="200"/>
      <c r="GM96" s="200"/>
      <c r="GN96" s="200"/>
      <c r="GO96" s="200"/>
      <c r="GP96" s="200"/>
      <c r="GQ96" s="200"/>
      <c r="GR96" s="200"/>
      <c r="GS96" s="200"/>
      <c r="GT96" s="200"/>
      <c r="GU96" s="200"/>
      <c r="GV96" s="200"/>
      <c r="GW96" s="200"/>
      <c r="GX96" s="200"/>
      <c r="GY96" s="200"/>
      <c r="GZ96" s="200"/>
      <c r="HA96" s="200"/>
      <c r="HB96" s="200"/>
      <c r="HC96" s="200"/>
      <c r="HD96" s="200"/>
      <c r="HE96" s="200"/>
      <c r="HF96" s="200"/>
      <c r="HG96" s="200"/>
      <c r="HH96" s="200"/>
      <c r="HI96" s="200"/>
      <c r="HJ96" s="200"/>
      <c r="HK96" s="200"/>
      <c r="HL96" s="200"/>
      <c r="HM96" s="200"/>
      <c r="HN96" s="200"/>
      <c r="HO96" s="200"/>
      <c r="HP96" s="200"/>
      <c r="HQ96" s="200"/>
      <c r="HR96" s="200"/>
      <c r="HS96" s="200"/>
      <c r="HT96" s="200"/>
      <c r="HU96" s="200"/>
      <c r="HV96" s="200"/>
      <c r="HW96" s="200"/>
      <c r="HX96" s="200"/>
      <c r="HY96" s="200"/>
      <c r="HZ96" s="200"/>
      <c r="IA96" s="200"/>
      <c r="IB96" s="200"/>
      <c r="IC96" s="200"/>
      <c r="ID96" s="200"/>
      <c r="IE96" s="200"/>
      <c r="IF96" s="200"/>
      <c r="IG96" s="200"/>
      <c r="IH96" s="200"/>
      <c r="II96" s="200"/>
      <c r="IJ96" s="200"/>
      <c r="IK96" s="200"/>
      <c r="IL96" s="200"/>
      <c r="IM96" s="200"/>
      <c r="IN96" s="200"/>
      <c r="IO96" s="200"/>
      <c r="IP96" s="200"/>
      <c r="IQ96" s="200"/>
      <c r="IR96" s="200"/>
      <c r="IS96" s="200"/>
      <c r="IT96" s="200"/>
      <c r="IU96" s="200"/>
      <c r="IV96" s="200"/>
    </row>
    <row r="97" s="194" customFormat="1" ht="15.95" customHeight="1" spans="1:256">
      <c r="A97" s="199">
        <v>22</v>
      </c>
      <c r="B97" s="20" t="s">
        <v>2137</v>
      </c>
      <c r="C97" s="20" t="s">
        <v>2135</v>
      </c>
      <c r="D97" s="199">
        <v>3022</v>
      </c>
      <c r="E97" s="199">
        <f>'05版台时'!Y164</f>
        <v>186.254863805908</v>
      </c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/>
      <c r="EA97" s="200"/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/>
      <c r="EU97" s="200"/>
      <c r="EV97" s="200"/>
      <c r="EW97" s="200"/>
      <c r="EX97" s="200"/>
      <c r="EY97" s="200"/>
      <c r="EZ97" s="200"/>
      <c r="FA97" s="200"/>
      <c r="FB97" s="200"/>
      <c r="FC97" s="200"/>
      <c r="FD97" s="200"/>
      <c r="FE97" s="200"/>
      <c r="FF97" s="200"/>
      <c r="FG97" s="200"/>
      <c r="FH97" s="200"/>
      <c r="FI97" s="200"/>
      <c r="FJ97" s="200"/>
      <c r="FK97" s="200"/>
      <c r="FL97" s="200"/>
      <c r="FM97" s="200"/>
      <c r="FN97" s="200"/>
      <c r="FO97" s="200"/>
      <c r="FP97" s="200"/>
      <c r="FQ97" s="200"/>
      <c r="FR97" s="200"/>
      <c r="FS97" s="200"/>
      <c r="FT97" s="200"/>
      <c r="FU97" s="200"/>
      <c r="FV97" s="200"/>
      <c r="FW97" s="200"/>
      <c r="FX97" s="200"/>
      <c r="FY97" s="200"/>
      <c r="FZ97" s="200"/>
      <c r="GA97" s="200"/>
      <c r="GB97" s="200"/>
      <c r="GC97" s="200"/>
      <c r="GD97" s="200"/>
      <c r="GE97" s="200"/>
      <c r="GF97" s="200"/>
      <c r="GG97" s="200"/>
      <c r="GH97" s="200"/>
      <c r="GI97" s="200"/>
      <c r="GJ97" s="200"/>
      <c r="GK97" s="200"/>
      <c r="GL97" s="200"/>
      <c r="GM97" s="200"/>
      <c r="GN97" s="200"/>
      <c r="GO97" s="200"/>
      <c r="GP97" s="200"/>
      <c r="GQ97" s="200"/>
      <c r="GR97" s="200"/>
      <c r="GS97" s="200"/>
      <c r="GT97" s="200"/>
      <c r="GU97" s="200"/>
      <c r="GV97" s="200"/>
      <c r="GW97" s="200"/>
      <c r="GX97" s="200"/>
      <c r="GY97" s="200"/>
      <c r="GZ97" s="200"/>
      <c r="HA97" s="200"/>
      <c r="HB97" s="200"/>
      <c r="HC97" s="200"/>
      <c r="HD97" s="200"/>
      <c r="HE97" s="200"/>
      <c r="HF97" s="200"/>
      <c r="HG97" s="200"/>
      <c r="HH97" s="200"/>
      <c r="HI97" s="200"/>
      <c r="HJ97" s="200"/>
      <c r="HK97" s="200"/>
      <c r="HL97" s="200"/>
      <c r="HM97" s="200"/>
      <c r="HN97" s="200"/>
      <c r="HO97" s="200"/>
      <c r="HP97" s="200"/>
      <c r="HQ97" s="200"/>
      <c r="HR97" s="200"/>
      <c r="HS97" s="200"/>
      <c r="HT97" s="200"/>
      <c r="HU97" s="200"/>
      <c r="HV97" s="200"/>
      <c r="HW97" s="200"/>
      <c r="HX97" s="200"/>
      <c r="HY97" s="200"/>
      <c r="HZ97" s="200"/>
      <c r="IA97" s="200"/>
      <c r="IB97" s="200"/>
      <c r="IC97" s="200"/>
      <c r="ID97" s="200"/>
      <c r="IE97" s="200"/>
      <c r="IF97" s="200"/>
      <c r="IG97" s="200"/>
      <c r="IH97" s="200"/>
      <c r="II97" s="200"/>
      <c r="IJ97" s="200"/>
      <c r="IK97" s="200"/>
      <c r="IL97" s="200"/>
      <c r="IM97" s="200"/>
      <c r="IN97" s="200"/>
      <c r="IO97" s="200"/>
      <c r="IP97" s="200"/>
      <c r="IQ97" s="200"/>
      <c r="IR97" s="200"/>
      <c r="IS97" s="200"/>
      <c r="IT97" s="200"/>
      <c r="IU97" s="200"/>
      <c r="IV97" s="200"/>
    </row>
    <row r="98" s="194" customFormat="1" ht="15.95" customHeight="1" spans="1:256">
      <c r="A98" s="199">
        <v>23</v>
      </c>
      <c r="B98" s="20" t="s">
        <v>2137</v>
      </c>
      <c r="C98" s="20" t="s">
        <v>2136</v>
      </c>
      <c r="D98" s="199">
        <v>3023</v>
      </c>
      <c r="E98" s="199">
        <f>'05版台时'!Z164</f>
        <v>220.387710235904</v>
      </c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  <c r="DQ98" s="200"/>
      <c r="DR98" s="200"/>
      <c r="DS98" s="200"/>
      <c r="DT98" s="200"/>
      <c r="DU98" s="200"/>
      <c r="DV98" s="200"/>
      <c r="DW98" s="200"/>
      <c r="DX98" s="200"/>
      <c r="DY98" s="200"/>
      <c r="DZ98" s="200"/>
      <c r="EA98" s="200"/>
      <c r="EB98" s="200"/>
      <c r="EC98" s="200"/>
      <c r="ED98" s="200"/>
      <c r="EE98" s="200"/>
      <c r="EF98" s="200"/>
      <c r="EG98" s="200"/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/>
      <c r="EU98" s="200"/>
      <c r="EV98" s="200"/>
      <c r="EW98" s="200"/>
      <c r="EX98" s="200"/>
      <c r="EY98" s="200"/>
      <c r="EZ98" s="200"/>
      <c r="FA98" s="200"/>
      <c r="FB98" s="200"/>
      <c r="FC98" s="200"/>
      <c r="FD98" s="200"/>
      <c r="FE98" s="200"/>
      <c r="FF98" s="200"/>
      <c r="FG98" s="200"/>
      <c r="FH98" s="200"/>
      <c r="FI98" s="200"/>
      <c r="FJ98" s="200"/>
      <c r="FK98" s="200"/>
      <c r="FL98" s="200"/>
      <c r="FM98" s="200"/>
      <c r="FN98" s="200"/>
      <c r="FO98" s="200"/>
      <c r="FP98" s="200"/>
      <c r="FQ98" s="200"/>
      <c r="FR98" s="200"/>
      <c r="FS98" s="200"/>
      <c r="FT98" s="200"/>
      <c r="FU98" s="200"/>
      <c r="FV98" s="200"/>
      <c r="FW98" s="200"/>
      <c r="FX98" s="200"/>
      <c r="FY98" s="200"/>
      <c r="FZ98" s="200"/>
      <c r="GA98" s="200"/>
      <c r="GB98" s="200"/>
      <c r="GC98" s="200"/>
      <c r="GD98" s="200"/>
      <c r="GE98" s="200"/>
      <c r="GF98" s="200"/>
      <c r="GG98" s="200"/>
      <c r="GH98" s="200"/>
      <c r="GI98" s="200"/>
      <c r="GJ98" s="200"/>
      <c r="GK98" s="200"/>
      <c r="GL98" s="200"/>
      <c r="GM98" s="200"/>
      <c r="GN98" s="200"/>
      <c r="GO98" s="200"/>
      <c r="GP98" s="200"/>
      <c r="GQ98" s="200"/>
      <c r="GR98" s="200"/>
      <c r="GS98" s="200"/>
      <c r="GT98" s="200"/>
      <c r="GU98" s="200"/>
      <c r="GV98" s="200"/>
      <c r="GW98" s="200"/>
      <c r="GX98" s="200"/>
      <c r="GY98" s="200"/>
      <c r="GZ98" s="200"/>
      <c r="HA98" s="200"/>
      <c r="HB98" s="200"/>
      <c r="HC98" s="200"/>
      <c r="HD98" s="200"/>
      <c r="HE98" s="200"/>
      <c r="HF98" s="200"/>
      <c r="HG98" s="200"/>
      <c r="HH98" s="200"/>
      <c r="HI98" s="200"/>
      <c r="HJ98" s="200"/>
      <c r="HK98" s="200"/>
      <c r="HL98" s="200"/>
      <c r="HM98" s="200"/>
      <c r="HN98" s="200"/>
      <c r="HO98" s="200"/>
      <c r="HP98" s="200"/>
      <c r="HQ98" s="200"/>
      <c r="HR98" s="200"/>
      <c r="HS98" s="200"/>
      <c r="HT98" s="200"/>
      <c r="HU98" s="200"/>
      <c r="HV98" s="200"/>
      <c r="HW98" s="200"/>
      <c r="HX98" s="200"/>
      <c r="HY98" s="200"/>
      <c r="HZ98" s="200"/>
      <c r="IA98" s="200"/>
      <c r="IB98" s="200"/>
      <c r="IC98" s="200"/>
      <c r="ID98" s="200"/>
      <c r="IE98" s="200"/>
      <c r="IF98" s="200"/>
      <c r="IG98" s="200"/>
      <c r="IH98" s="200"/>
      <c r="II98" s="200"/>
      <c r="IJ98" s="200"/>
      <c r="IK98" s="200"/>
      <c r="IL98" s="200"/>
      <c r="IM98" s="200"/>
      <c r="IN98" s="200"/>
      <c r="IO98" s="200"/>
      <c r="IP98" s="200"/>
      <c r="IQ98" s="200"/>
      <c r="IR98" s="200"/>
      <c r="IS98" s="200"/>
      <c r="IT98" s="200"/>
      <c r="IU98" s="200"/>
      <c r="IV98" s="200"/>
    </row>
    <row r="99" s="194" customFormat="1" ht="15.95" customHeight="1" spans="1:256">
      <c r="A99" s="199">
        <v>24</v>
      </c>
      <c r="B99" s="20" t="s">
        <v>2138</v>
      </c>
      <c r="C99" s="199" t="s">
        <v>2139</v>
      </c>
      <c r="D99" s="199">
        <v>3024</v>
      </c>
      <c r="E99" s="199">
        <f>'05版台时'!D197</f>
        <v>38.5330010680958</v>
      </c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  <c r="DQ99" s="200"/>
      <c r="DR99" s="200"/>
      <c r="DS99" s="200"/>
      <c r="DT99" s="200"/>
      <c r="DU99" s="200"/>
      <c r="DV99" s="200"/>
      <c r="DW99" s="200"/>
      <c r="DX99" s="200"/>
      <c r="DY99" s="200"/>
      <c r="DZ99" s="200"/>
      <c r="EA99" s="200"/>
      <c r="EB99" s="200"/>
      <c r="EC99" s="200"/>
      <c r="ED99" s="200"/>
      <c r="EE99" s="200"/>
      <c r="EF99" s="200"/>
      <c r="EG99" s="200"/>
      <c r="EH99" s="200"/>
      <c r="EI99" s="200"/>
      <c r="EJ99" s="200"/>
      <c r="EK99" s="200"/>
      <c r="EL99" s="200"/>
      <c r="EM99" s="200"/>
      <c r="EN99" s="200"/>
      <c r="EO99" s="200"/>
      <c r="EP99" s="200"/>
      <c r="EQ99" s="200"/>
      <c r="ER99" s="200"/>
      <c r="ES99" s="200"/>
      <c r="ET99" s="200"/>
      <c r="EU99" s="200"/>
      <c r="EV99" s="200"/>
      <c r="EW99" s="200"/>
      <c r="EX99" s="200"/>
      <c r="EY99" s="200"/>
      <c r="EZ99" s="200"/>
      <c r="FA99" s="200"/>
      <c r="FB99" s="200"/>
      <c r="FC99" s="200"/>
      <c r="FD99" s="200"/>
      <c r="FE99" s="200"/>
      <c r="FF99" s="200"/>
      <c r="FG99" s="200"/>
      <c r="FH99" s="200"/>
      <c r="FI99" s="200"/>
      <c r="FJ99" s="200"/>
      <c r="FK99" s="200"/>
      <c r="FL99" s="200"/>
      <c r="FM99" s="200"/>
      <c r="FN99" s="200"/>
      <c r="FO99" s="200"/>
      <c r="FP99" s="200"/>
      <c r="FQ99" s="200"/>
      <c r="FR99" s="200"/>
      <c r="FS99" s="200"/>
      <c r="FT99" s="200"/>
      <c r="FU99" s="200"/>
      <c r="FV99" s="200"/>
      <c r="FW99" s="200"/>
      <c r="FX99" s="200"/>
      <c r="FY99" s="200"/>
      <c r="FZ99" s="200"/>
      <c r="GA99" s="200"/>
      <c r="GB99" s="200"/>
      <c r="GC99" s="200"/>
      <c r="GD99" s="200"/>
      <c r="GE99" s="200"/>
      <c r="GF99" s="200"/>
      <c r="GG99" s="200"/>
      <c r="GH99" s="200"/>
      <c r="GI99" s="200"/>
      <c r="GJ99" s="200"/>
      <c r="GK99" s="200"/>
      <c r="GL99" s="200"/>
      <c r="GM99" s="200"/>
      <c r="GN99" s="200"/>
      <c r="GO99" s="200"/>
      <c r="GP99" s="200"/>
      <c r="GQ99" s="200"/>
      <c r="GR99" s="200"/>
      <c r="GS99" s="200"/>
      <c r="GT99" s="200"/>
      <c r="GU99" s="200"/>
      <c r="GV99" s="200"/>
      <c r="GW99" s="200"/>
      <c r="GX99" s="200"/>
      <c r="GY99" s="200"/>
      <c r="GZ99" s="200"/>
      <c r="HA99" s="200"/>
      <c r="HB99" s="200"/>
      <c r="HC99" s="200"/>
      <c r="HD99" s="200"/>
      <c r="HE99" s="200"/>
      <c r="HF99" s="200"/>
      <c r="HG99" s="200"/>
      <c r="HH99" s="200"/>
      <c r="HI99" s="200"/>
      <c r="HJ99" s="200"/>
      <c r="HK99" s="200"/>
      <c r="HL99" s="200"/>
      <c r="HM99" s="200"/>
      <c r="HN99" s="200"/>
      <c r="HO99" s="200"/>
      <c r="HP99" s="200"/>
      <c r="HQ99" s="200"/>
      <c r="HR99" s="200"/>
      <c r="HS99" s="200"/>
      <c r="HT99" s="200"/>
      <c r="HU99" s="200"/>
      <c r="HV99" s="200"/>
      <c r="HW99" s="200"/>
      <c r="HX99" s="200"/>
      <c r="HY99" s="200"/>
      <c r="HZ99" s="200"/>
      <c r="IA99" s="200"/>
      <c r="IB99" s="200"/>
      <c r="IC99" s="200"/>
      <c r="ID99" s="200"/>
      <c r="IE99" s="200"/>
      <c r="IF99" s="200"/>
      <c r="IG99" s="200"/>
      <c r="IH99" s="200"/>
      <c r="II99" s="200"/>
      <c r="IJ99" s="200"/>
      <c r="IK99" s="200"/>
      <c r="IL99" s="200"/>
      <c r="IM99" s="200"/>
      <c r="IN99" s="200"/>
      <c r="IO99" s="200"/>
      <c r="IP99" s="200"/>
      <c r="IQ99" s="200"/>
      <c r="IR99" s="200"/>
      <c r="IS99" s="200"/>
      <c r="IT99" s="200"/>
      <c r="IU99" s="200"/>
      <c r="IV99" s="200"/>
    </row>
    <row r="100" s="194" customFormat="1" ht="15.95" customHeight="1" spans="1:256">
      <c r="A100" s="199">
        <v>25</v>
      </c>
      <c r="B100" s="20" t="s">
        <v>2138</v>
      </c>
      <c r="C100" s="199" t="s">
        <v>2140</v>
      </c>
      <c r="D100" s="199">
        <v>3025</v>
      </c>
      <c r="E100" s="199">
        <f>'05版台时'!E197</f>
        <v>52.7074107210675</v>
      </c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  <c r="FR100" s="200"/>
      <c r="FS100" s="200"/>
      <c r="FT100" s="200"/>
      <c r="FU100" s="200"/>
      <c r="FV100" s="200"/>
      <c r="FW100" s="200"/>
      <c r="FX100" s="200"/>
      <c r="FY100" s="200"/>
      <c r="FZ100" s="200"/>
      <c r="GA100" s="200"/>
      <c r="GB100" s="200"/>
      <c r="GC100" s="200"/>
      <c r="GD100" s="200"/>
      <c r="GE100" s="200"/>
      <c r="GF100" s="200"/>
      <c r="GG100" s="200"/>
      <c r="GH100" s="200"/>
      <c r="GI100" s="200"/>
      <c r="GJ100" s="200"/>
      <c r="GK100" s="200"/>
      <c r="GL100" s="200"/>
      <c r="GM100" s="200"/>
      <c r="GN100" s="200"/>
      <c r="GO100" s="200"/>
      <c r="GP100" s="200"/>
      <c r="GQ100" s="200"/>
      <c r="GR100" s="200"/>
      <c r="GS100" s="200"/>
      <c r="GT100" s="200"/>
      <c r="GU100" s="200"/>
      <c r="GV100" s="200"/>
      <c r="GW100" s="200"/>
      <c r="GX100" s="200"/>
      <c r="GY100" s="200"/>
      <c r="GZ100" s="200"/>
      <c r="HA100" s="200"/>
      <c r="HB100" s="200"/>
      <c r="HC100" s="200"/>
      <c r="HD100" s="200"/>
      <c r="HE100" s="200"/>
      <c r="HF100" s="200"/>
      <c r="HG100" s="200"/>
      <c r="HH100" s="200"/>
      <c r="HI100" s="200"/>
      <c r="HJ100" s="200"/>
      <c r="HK100" s="200"/>
      <c r="HL100" s="200"/>
      <c r="HM100" s="200"/>
      <c r="HN100" s="200"/>
      <c r="HO100" s="200"/>
      <c r="HP100" s="200"/>
      <c r="HQ100" s="200"/>
      <c r="HR100" s="200"/>
      <c r="HS100" s="200"/>
      <c r="HT100" s="200"/>
      <c r="HU100" s="200"/>
      <c r="HV100" s="200"/>
      <c r="HW100" s="200"/>
      <c r="HX100" s="200"/>
      <c r="HY100" s="200"/>
      <c r="HZ100" s="200"/>
      <c r="IA100" s="200"/>
      <c r="IB100" s="200"/>
      <c r="IC100" s="200"/>
      <c r="ID100" s="200"/>
      <c r="IE100" s="200"/>
      <c r="IF100" s="200"/>
      <c r="IG100" s="200"/>
      <c r="IH100" s="200"/>
      <c r="II100" s="200"/>
      <c r="IJ100" s="200"/>
      <c r="IK100" s="200"/>
      <c r="IL100" s="200"/>
      <c r="IM100" s="200"/>
      <c r="IN100" s="200"/>
      <c r="IO100" s="200"/>
      <c r="IP100" s="200"/>
      <c r="IQ100" s="200"/>
      <c r="IR100" s="200"/>
      <c r="IS100" s="200"/>
      <c r="IT100" s="200"/>
      <c r="IU100" s="200"/>
      <c r="IV100" s="200"/>
    </row>
    <row r="101" s="194" customFormat="1" ht="15.95" customHeight="1" spans="1:256">
      <c r="A101" s="199">
        <v>26</v>
      </c>
      <c r="B101" s="20" t="s">
        <v>2138</v>
      </c>
      <c r="C101" s="199" t="s">
        <v>2141</v>
      </c>
      <c r="D101" s="199">
        <v>3026</v>
      </c>
      <c r="E101" s="199">
        <f>'05版台时'!F197</f>
        <v>58.3884757390173</v>
      </c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/>
      <c r="EA101" s="200"/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/>
      <c r="EU101" s="200"/>
      <c r="EV101" s="200"/>
      <c r="EW101" s="200"/>
      <c r="EX101" s="200"/>
      <c r="EY101" s="200"/>
      <c r="EZ101" s="200"/>
      <c r="FA101" s="200"/>
      <c r="FB101" s="200"/>
      <c r="FC101" s="200"/>
      <c r="FD101" s="200"/>
      <c r="FE101" s="200"/>
      <c r="FF101" s="200"/>
      <c r="FG101" s="200"/>
      <c r="FH101" s="200"/>
      <c r="FI101" s="200"/>
      <c r="FJ101" s="200"/>
      <c r="FK101" s="200"/>
      <c r="FL101" s="200"/>
      <c r="FM101" s="200"/>
      <c r="FN101" s="200"/>
      <c r="FO101" s="200"/>
      <c r="FP101" s="200"/>
      <c r="FQ101" s="200"/>
      <c r="FR101" s="200"/>
      <c r="FS101" s="200"/>
      <c r="FT101" s="200"/>
      <c r="FU101" s="200"/>
      <c r="FV101" s="200"/>
      <c r="FW101" s="200"/>
      <c r="FX101" s="200"/>
      <c r="FY101" s="200"/>
      <c r="FZ101" s="200"/>
      <c r="GA101" s="200"/>
      <c r="GB101" s="200"/>
      <c r="GC101" s="200"/>
      <c r="GD101" s="200"/>
      <c r="GE101" s="200"/>
      <c r="GF101" s="200"/>
      <c r="GG101" s="200"/>
      <c r="GH101" s="200"/>
      <c r="GI101" s="200"/>
      <c r="GJ101" s="200"/>
      <c r="GK101" s="200"/>
      <c r="GL101" s="200"/>
      <c r="GM101" s="200"/>
      <c r="GN101" s="200"/>
      <c r="GO101" s="200"/>
      <c r="GP101" s="200"/>
      <c r="GQ101" s="200"/>
      <c r="GR101" s="200"/>
      <c r="GS101" s="200"/>
      <c r="GT101" s="200"/>
      <c r="GU101" s="200"/>
      <c r="GV101" s="200"/>
      <c r="GW101" s="200"/>
      <c r="GX101" s="200"/>
      <c r="GY101" s="200"/>
      <c r="GZ101" s="200"/>
      <c r="HA101" s="200"/>
      <c r="HB101" s="200"/>
      <c r="HC101" s="200"/>
      <c r="HD101" s="200"/>
      <c r="HE101" s="200"/>
      <c r="HF101" s="200"/>
      <c r="HG101" s="200"/>
      <c r="HH101" s="200"/>
      <c r="HI101" s="200"/>
      <c r="HJ101" s="200"/>
      <c r="HK101" s="200"/>
      <c r="HL101" s="200"/>
      <c r="HM101" s="200"/>
      <c r="HN101" s="200"/>
      <c r="HO101" s="200"/>
      <c r="HP101" s="200"/>
      <c r="HQ101" s="200"/>
      <c r="HR101" s="200"/>
      <c r="HS101" s="200"/>
      <c r="HT101" s="200"/>
      <c r="HU101" s="200"/>
      <c r="HV101" s="200"/>
      <c r="HW101" s="200"/>
      <c r="HX101" s="200"/>
      <c r="HY101" s="200"/>
      <c r="HZ101" s="200"/>
      <c r="IA101" s="200"/>
      <c r="IB101" s="200"/>
      <c r="IC101" s="200"/>
      <c r="ID101" s="200"/>
      <c r="IE101" s="200"/>
      <c r="IF101" s="200"/>
      <c r="IG101" s="200"/>
      <c r="IH101" s="200"/>
      <c r="II101" s="200"/>
      <c r="IJ101" s="200"/>
      <c r="IK101" s="200"/>
      <c r="IL101" s="200"/>
      <c r="IM101" s="200"/>
      <c r="IN101" s="200"/>
      <c r="IO101" s="200"/>
      <c r="IP101" s="200"/>
      <c r="IQ101" s="200"/>
      <c r="IR101" s="200"/>
      <c r="IS101" s="200"/>
      <c r="IT101" s="200"/>
      <c r="IU101" s="200"/>
      <c r="IV101" s="200"/>
    </row>
    <row r="102" s="194" customFormat="1" ht="15.95" customHeight="1" spans="1:256">
      <c r="A102" s="199">
        <v>27</v>
      </c>
      <c r="B102" s="20" t="s">
        <v>2142</v>
      </c>
      <c r="C102" s="199" t="s">
        <v>2140</v>
      </c>
      <c r="D102" s="199">
        <v>3027</v>
      </c>
      <c r="E102" s="199">
        <f>'05版台时'!G197</f>
        <v>50.471591016241</v>
      </c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200"/>
      <c r="AZ102" s="200"/>
      <c r="BA102" s="200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0"/>
      <c r="CH102" s="200"/>
      <c r="CI102" s="200"/>
      <c r="CJ102" s="200"/>
      <c r="CK102" s="200"/>
      <c r="CL102" s="200"/>
      <c r="CM102" s="200"/>
      <c r="CN102" s="200"/>
      <c r="CO102" s="200"/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200"/>
      <c r="CZ102" s="200"/>
      <c r="DA102" s="200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0"/>
      <c r="DS102" s="200"/>
      <c r="DT102" s="200"/>
      <c r="DU102" s="200"/>
      <c r="DV102" s="200"/>
      <c r="DW102" s="200"/>
      <c r="DX102" s="200"/>
      <c r="DY102" s="200"/>
      <c r="DZ102" s="200"/>
      <c r="EA102" s="200"/>
      <c r="EB102" s="200"/>
      <c r="EC102" s="200"/>
      <c r="ED102" s="200"/>
      <c r="EE102" s="200"/>
      <c r="EF102" s="200"/>
      <c r="EG102" s="200"/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/>
      <c r="EU102" s="200"/>
      <c r="EV102" s="200"/>
      <c r="EW102" s="200"/>
      <c r="EX102" s="200"/>
      <c r="EY102" s="200"/>
      <c r="EZ102" s="200"/>
      <c r="FA102" s="200"/>
      <c r="FB102" s="200"/>
      <c r="FC102" s="200"/>
      <c r="FD102" s="200"/>
      <c r="FE102" s="200"/>
      <c r="FF102" s="200"/>
      <c r="FG102" s="200"/>
      <c r="FH102" s="200"/>
      <c r="FI102" s="200"/>
      <c r="FJ102" s="200"/>
      <c r="FK102" s="200"/>
      <c r="FL102" s="200"/>
      <c r="FM102" s="200"/>
      <c r="FN102" s="200"/>
      <c r="FO102" s="200"/>
      <c r="FP102" s="200"/>
      <c r="FQ102" s="200"/>
      <c r="FR102" s="200"/>
      <c r="FS102" s="200"/>
      <c r="FT102" s="200"/>
      <c r="FU102" s="200"/>
      <c r="FV102" s="200"/>
      <c r="FW102" s="200"/>
      <c r="FX102" s="200"/>
      <c r="FY102" s="200"/>
      <c r="FZ102" s="200"/>
      <c r="GA102" s="200"/>
      <c r="GB102" s="200"/>
      <c r="GC102" s="200"/>
      <c r="GD102" s="200"/>
      <c r="GE102" s="200"/>
      <c r="GF102" s="200"/>
      <c r="GG102" s="200"/>
      <c r="GH102" s="200"/>
      <c r="GI102" s="200"/>
      <c r="GJ102" s="200"/>
      <c r="GK102" s="200"/>
      <c r="GL102" s="200"/>
      <c r="GM102" s="200"/>
      <c r="GN102" s="200"/>
      <c r="GO102" s="200"/>
      <c r="GP102" s="200"/>
      <c r="GQ102" s="200"/>
      <c r="GR102" s="200"/>
      <c r="GS102" s="200"/>
      <c r="GT102" s="200"/>
      <c r="GU102" s="200"/>
      <c r="GV102" s="200"/>
      <c r="GW102" s="200"/>
      <c r="GX102" s="200"/>
      <c r="GY102" s="200"/>
      <c r="GZ102" s="200"/>
      <c r="HA102" s="200"/>
      <c r="HB102" s="200"/>
      <c r="HC102" s="200"/>
      <c r="HD102" s="200"/>
      <c r="HE102" s="200"/>
      <c r="HF102" s="200"/>
      <c r="HG102" s="200"/>
      <c r="HH102" s="200"/>
      <c r="HI102" s="200"/>
      <c r="HJ102" s="200"/>
      <c r="HK102" s="200"/>
      <c r="HL102" s="200"/>
      <c r="HM102" s="200"/>
      <c r="HN102" s="200"/>
      <c r="HO102" s="200"/>
      <c r="HP102" s="200"/>
      <c r="HQ102" s="200"/>
      <c r="HR102" s="200"/>
      <c r="HS102" s="200"/>
      <c r="HT102" s="200"/>
      <c r="HU102" s="200"/>
      <c r="HV102" s="200"/>
      <c r="HW102" s="200"/>
      <c r="HX102" s="200"/>
      <c r="HY102" s="200"/>
      <c r="HZ102" s="200"/>
      <c r="IA102" s="200"/>
      <c r="IB102" s="200"/>
      <c r="IC102" s="200"/>
      <c r="ID102" s="200"/>
      <c r="IE102" s="200"/>
      <c r="IF102" s="200"/>
      <c r="IG102" s="200"/>
      <c r="IH102" s="200"/>
      <c r="II102" s="200"/>
      <c r="IJ102" s="200"/>
      <c r="IK102" s="200"/>
      <c r="IL102" s="200"/>
      <c r="IM102" s="200"/>
      <c r="IN102" s="200"/>
      <c r="IO102" s="200"/>
      <c r="IP102" s="200"/>
      <c r="IQ102" s="200"/>
      <c r="IR102" s="200"/>
      <c r="IS102" s="200"/>
      <c r="IT102" s="200"/>
      <c r="IU102" s="200"/>
      <c r="IV102" s="200"/>
    </row>
    <row r="103" s="194" customFormat="1" ht="15.95" customHeight="1" spans="1:256">
      <c r="A103" s="199">
        <v>28</v>
      </c>
      <c r="B103" s="20" t="s">
        <v>2142</v>
      </c>
      <c r="C103" s="199" t="s">
        <v>2141</v>
      </c>
      <c r="D103" s="199">
        <v>3028</v>
      </c>
      <c r="E103" s="199">
        <f>'05版台时'!H197</f>
        <v>53.9904621769909</v>
      </c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  <c r="AA103" s="200"/>
      <c r="AB103" s="200"/>
      <c r="AC103" s="200"/>
      <c r="AD103" s="200"/>
      <c r="AE103" s="200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200"/>
      <c r="AZ103" s="200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0"/>
      <c r="CG103" s="200"/>
      <c r="CH103" s="200"/>
      <c r="CI103" s="200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  <c r="CW103" s="200"/>
      <c r="CX103" s="200"/>
      <c r="CY103" s="200"/>
      <c r="CZ103" s="200"/>
      <c r="DA103" s="200"/>
      <c r="DB103" s="200"/>
      <c r="DC103" s="200"/>
      <c r="DD103" s="200"/>
      <c r="DE103" s="200"/>
      <c r="DF103" s="200"/>
      <c r="DG103" s="200"/>
      <c r="DH103" s="200"/>
      <c r="DI103" s="200"/>
      <c r="DJ103" s="200"/>
      <c r="DK103" s="200"/>
      <c r="DL103" s="200"/>
      <c r="DM103" s="200"/>
      <c r="DN103" s="200"/>
      <c r="DO103" s="200"/>
      <c r="DP103" s="200"/>
      <c r="DQ103" s="200"/>
      <c r="DR103" s="200"/>
      <c r="DS103" s="200"/>
      <c r="DT103" s="200"/>
      <c r="DU103" s="200"/>
      <c r="DV103" s="200"/>
      <c r="DW103" s="200"/>
      <c r="DX103" s="200"/>
      <c r="DY103" s="200"/>
      <c r="DZ103" s="200"/>
      <c r="EA103" s="200"/>
      <c r="EB103" s="200"/>
      <c r="EC103" s="200"/>
      <c r="ED103" s="200"/>
      <c r="EE103" s="200"/>
      <c r="EF103" s="200"/>
      <c r="EG103" s="200"/>
      <c r="EH103" s="200"/>
      <c r="EI103" s="200"/>
      <c r="EJ103" s="200"/>
      <c r="EK103" s="200"/>
      <c r="EL103" s="200"/>
      <c r="EM103" s="200"/>
      <c r="EN103" s="200"/>
      <c r="EO103" s="200"/>
      <c r="EP103" s="200"/>
      <c r="EQ103" s="200"/>
      <c r="ER103" s="200"/>
      <c r="ES103" s="200"/>
      <c r="ET103" s="200"/>
      <c r="EU103" s="200"/>
      <c r="EV103" s="200"/>
      <c r="EW103" s="200"/>
      <c r="EX103" s="200"/>
      <c r="EY103" s="200"/>
      <c r="EZ103" s="200"/>
      <c r="FA103" s="200"/>
      <c r="FB103" s="200"/>
      <c r="FC103" s="200"/>
      <c r="FD103" s="200"/>
      <c r="FE103" s="200"/>
      <c r="FF103" s="200"/>
      <c r="FG103" s="200"/>
      <c r="FH103" s="200"/>
      <c r="FI103" s="200"/>
      <c r="FJ103" s="200"/>
      <c r="FK103" s="200"/>
      <c r="FL103" s="200"/>
      <c r="FM103" s="200"/>
      <c r="FN103" s="200"/>
      <c r="FO103" s="200"/>
      <c r="FP103" s="200"/>
      <c r="FQ103" s="200"/>
      <c r="FR103" s="200"/>
      <c r="FS103" s="200"/>
      <c r="FT103" s="200"/>
      <c r="FU103" s="200"/>
      <c r="FV103" s="200"/>
      <c r="FW103" s="200"/>
      <c r="FX103" s="200"/>
      <c r="FY103" s="200"/>
      <c r="FZ103" s="200"/>
      <c r="GA103" s="200"/>
      <c r="GB103" s="200"/>
      <c r="GC103" s="200"/>
      <c r="GD103" s="200"/>
      <c r="GE103" s="200"/>
      <c r="GF103" s="200"/>
      <c r="GG103" s="200"/>
      <c r="GH103" s="200"/>
      <c r="GI103" s="200"/>
      <c r="GJ103" s="200"/>
      <c r="GK103" s="200"/>
      <c r="GL103" s="200"/>
      <c r="GM103" s="200"/>
      <c r="GN103" s="200"/>
      <c r="GO103" s="200"/>
      <c r="GP103" s="200"/>
      <c r="GQ103" s="200"/>
      <c r="GR103" s="200"/>
      <c r="GS103" s="200"/>
      <c r="GT103" s="200"/>
      <c r="GU103" s="200"/>
      <c r="GV103" s="200"/>
      <c r="GW103" s="200"/>
      <c r="GX103" s="200"/>
      <c r="GY103" s="200"/>
      <c r="GZ103" s="200"/>
      <c r="HA103" s="200"/>
      <c r="HB103" s="200"/>
      <c r="HC103" s="200"/>
      <c r="HD103" s="200"/>
      <c r="HE103" s="200"/>
      <c r="HF103" s="200"/>
      <c r="HG103" s="200"/>
      <c r="HH103" s="200"/>
      <c r="HI103" s="200"/>
      <c r="HJ103" s="200"/>
      <c r="HK103" s="200"/>
      <c r="HL103" s="200"/>
      <c r="HM103" s="200"/>
      <c r="HN103" s="200"/>
      <c r="HO103" s="200"/>
      <c r="HP103" s="200"/>
      <c r="HQ103" s="200"/>
      <c r="HR103" s="200"/>
      <c r="HS103" s="200"/>
      <c r="HT103" s="200"/>
      <c r="HU103" s="200"/>
      <c r="HV103" s="200"/>
      <c r="HW103" s="200"/>
      <c r="HX103" s="200"/>
      <c r="HY103" s="200"/>
      <c r="HZ103" s="200"/>
      <c r="IA103" s="200"/>
      <c r="IB103" s="200"/>
      <c r="IC103" s="200"/>
      <c r="ID103" s="200"/>
      <c r="IE103" s="200"/>
      <c r="IF103" s="200"/>
      <c r="IG103" s="200"/>
      <c r="IH103" s="200"/>
      <c r="II103" s="200"/>
      <c r="IJ103" s="200"/>
      <c r="IK103" s="200"/>
      <c r="IL103" s="200"/>
      <c r="IM103" s="200"/>
      <c r="IN103" s="200"/>
      <c r="IO103" s="200"/>
      <c r="IP103" s="200"/>
      <c r="IQ103" s="200"/>
      <c r="IR103" s="200"/>
      <c r="IS103" s="200"/>
      <c r="IT103" s="200"/>
      <c r="IU103" s="200"/>
      <c r="IV103" s="200"/>
    </row>
    <row r="104" s="194" customFormat="1" ht="15.95" customHeight="1" spans="1:256">
      <c r="A104" s="199">
        <v>29</v>
      </c>
      <c r="B104" s="20" t="s">
        <v>2143</v>
      </c>
      <c r="C104" s="199" t="s">
        <v>2144</v>
      </c>
      <c r="D104" s="199">
        <v>3029</v>
      </c>
      <c r="E104" s="199">
        <f>'05版台时'!I197</f>
        <v>55.2226410760735</v>
      </c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/>
      <c r="EA104" s="200"/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200"/>
      <c r="FG104" s="200"/>
      <c r="FH104" s="200"/>
      <c r="FI104" s="200"/>
      <c r="FJ104" s="200"/>
      <c r="FK104" s="200"/>
      <c r="FL104" s="200"/>
      <c r="FM104" s="200"/>
      <c r="FN104" s="200"/>
      <c r="FO104" s="200"/>
      <c r="FP104" s="200"/>
      <c r="FQ104" s="200"/>
      <c r="FR104" s="200"/>
      <c r="FS104" s="200"/>
      <c r="FT104" s="200"/>
      <c r="FU104" s="200"/>
      <c r="FV104" s="200"/>
      <c r="FW104" s="200"/>
      <c r="FX104" s="200"/>
      <c r="FY104" s="200"/>
      <c r="FZ104" s="200"/>
      <c r="GA104" s="200"/>
      <c r="GB104" s="200"/>
      <c r="GC104" s="200"/>
      <c r="GD104" s="200"/>
      <c r="GE104" s="200"/>
      <c r="GF104" s="200"/>
      <c r="GG104" s="200"/>
      <c r="GH104" s="200"/>
      <c r="GI104" s="200"/>
      <c r="GJ104" s="200"/>
      <c r="GK104" s="200"/>
      <c r="GL104" s="200"/>
      <c r="GM104" s="200"/>
      <c r="GN104" s="200"/>
      <c r="GO104" s="200"/>
      <c r="GP104" s="200"/>
      <c r="GQ104" s="200"/>
      <c r="GR104" s="200"/>
      <c r="GS104" s="200"/>
      <c r="GT104" s="200"/>
      <c r="GU104" s="200"/>
      <c r="GV104" s="200"/>
      <c r="GW104" s="200"/>
      <c r="GX104" s="200"/>
      <c r="GY104" s="200"/>
      <c r="GZ104" s="200"/>
      <c r="HA104" s="200"/>
      <c r="HB104" s="200"/>
      <c r="HC104" s="200"/>
      <c r="HD104" s="200"/>
      <c r="HE104" s="200"/>
      <c r="HF104" s="200"/>
      <c r="HG104" s="200"/>
      <c r="HH104" s="200"/>
      <c r="HI104" s="200"/>
      <c r="HJ104" s="200"/>
      <c r="HK104" s="200"/>
      <c r="HL104" s="200"/>
      <c r="HM104" s="200"/>
      <c r="HN104" s="200"/>
      <c r="HO104" s="200"/>
      <c r="HP104" s="200"/>
      <c r="HQ104" s="200"/>
      <c r="HR104" s="200"/>
      <c r="HS104" s="200"/>
      <c r="HT104" s="200"/>
      <c r="HU104" s="200"/>
      <c r="HV104" s="200"/>
      <c r="HW104" s="200"/>
      <c r="HX104" s="200"/>
      <c r="HY104" s="200"/>
      <c r="HZ104" s="200"/>
      <c r="IA104" s="200"/>
      <c r="IB104" s="200"/>
      <c r="IC104" s="200"/>
      <c r="ID104" s="200"/>
      <c r="IE104" s="200"/>
      <c r="IF104" s="200"/>
      <c r="IG104" s="200"/>
      <c r="IH104" s="200"/>
      <c r="II104" s="200"/>
      <c r="IJ104" s="200"/>
      <c r="IK104" s="200"/>
      <c r="IL104" s="200"/>
      <c r="IM104" s="200"/>
      <c r="IN104" s="200"/>
      <c r="IO104" s="200"/>
      <c r="IP104" s="200"/>
      <c r="IQ104" s="200"/>
      <c r="IR104" s="200"/>
      <c r="IS104" s="200"/>
      <c r="IT104" s="200"/>
      <c r="IU104" s="200"/>
      <c r="IV104" s="200"/>
    </row>
    <row r="105" s="10" customFormat="1" ht="15.95" customHeight="1" spans="1:256">
      <c r="A105" s="199">
        <v>30</v>
      </c>
      <c r="B105" s="20" t="s">
        <v>2145</v>
      </c>
      <c r="C105" s="199" t="s">
        <v>2146</v>
      </c>
      <c r="D105" s="199">
        <v>3030</v>
      </c>
      <c r="E105" s="199">
        <f>'05版台时'!J197</f>
        <v>17.1956137525793</v>
      </c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  <c r="CY105" s="200"/>
      <c r="CZ105" s="200"/>
      <c r="DA105" s="200"/>
      <c r="DB105" s="200"/>
      <c r="DC105" s="200"/>
      <c r="DD105" s="200"/>
      <c r="DE105" s="200"/>
      <c r="DF105" s="200"/>
      <c r="DG105" s="200"/>
      <c r="DH105" s="200"/>
      <c r="DI105" s="200"/>
      <c r="DJ105" s="200"/>
      <c r="DK105" s="200"/>
      <c r="DL105" s="200"/>
      <c r="DM105" s="200"/>
      <c r="DN105" s="200"/>
      <c r="DO105" s="200"/>
      <c r="DP105" s="200"/>
      <c r="DQ105" s="200"/>
      <c r="DR105" s="200"/>
      <c r="DS105" s="200"/>
      <c r="DT105" s="200"/>
      <c r="DU105" s="200"/>
      <c r="DV105" s="200"/>
      <c r="DW105" s="200"/>
      <c r="DX105" s="200"/>
      <c r="DY105" s="200"/>
      <c r="DZ105" s="200"/>
      <c r="EA105" s="200"/>
      <c r="EB105" s="200"/>
      <c r="EC105" s="200"/>
      <c r="ED105" s="200"/>
      <c r="EE105" s="200"/>
      <c r="EF105" s="200"/>
      <c r="EG105" s="200"/>
      <c r="EH105" s="200"/>
      <c r="EI105" s="200"/>
      <c r="EJ105" s="200"/>
      <c r="EK105" s="200"/>
      <c r="EL105" s="200"/>
      <c r="EM105" s="200"/>
      <c r="EN105" s="200"/>
      <c r="EO105" s="200"/>
      <c r="EP105" s="200"/>
      <c r="EQ105" s="200"/>
      <c r="ER105" s="200"/>
      <c r="ES105" s="200"/>
      <c r="ET105" s="200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00"/>
      <c r="FF105" s="200"/>
      <c r="FG105" s="200"/>
      <c r="FH105" s="200"/>
      <c r="FI105" s="200"/>
      <c r="FJ105" s="200"/>
      <c r="FK105" s="200"/>
      <c r="FL105" s="200"/>
      <c r="FM105" s="200"/>
      <c r="FN105" s="200"/>
      <c r="FO105" s="200"/>
      <c r="FP105" s="200"/>
      <c r="FQ105" s="200"/>
      <c r="FR105" s="200"/>
      <c r="FS105" s="200"/>
      <c r="FT105" s="200"/>
      <c r="FU105" s="200"/>
      <c r="FV105" s="200"/>
      <c r="FW105" s="200"/>
      <c r="FX105" s="200"/>
      <c r="FY105" s="200"/>
      <c r="FZ105" s="200"/>
      <c r="GA105" s="200"/>
      <c r="GB105" s="200"/>
      <c r="GC105" s="200"/>
      <c r="GD105" s="200"/>
      <c r="GE105" s="200"/>
      <c r="GF105" s="200"/>
      <c r="GG105" s="200"/>
      <c r="GH105" s="200"/>
      <c r="GI105" s="200"/>
      <c r="GJ105" s="200"/>
      <c r="GK105" s="200"/>
      <c r="GL105" s="200"/>
      <c r="GM105" s="200"/>
      <c r="GN105" s="200"/>
      <c r="GO105" s="200"/>
      <c r="GP105" s="200"/>
      <c r="GQ105" s="200"/>
      <c r="GR105" s="200"/>
      <c r="GS105" s="200"/>
      <c r="GT105" s="200"/>
      <c r="GU105" s="200"/>
      <c r="GV105" s="200"/>
      <c r="GW105" s="200"/>
      <c r="GX105" s="200"/>
      <c r="GY105" s="200"/>
      <c r="GZ105" s="200"/>
      <c r="HA105" s="200"/>
      <c r="HB105" s="200"/>
      <c r="HC105" s="200"/>
      <c r="HD105" s="200"/>
      <c r="HE105" s="200"/>
      <c r="HF105" s="200"/>
      <c r="HG105" s="200"/>
      <c r="HH105" s="200"/>
      <c r="HI105" s="200"/>
      <c r="HJ105" s="200"/>
      <c r="HK105" s="200"/>
      <c r="HL105" s="200"/>
      <c r="HM105" s="200"/>
      <c r="HN105" s="200"/>
      <c r="HO105" s="200"/>
      <c r="HP105" s="200"/>
      <c r="HQ105" s="200"/>
      <c r="HR105" s="200"/>
      <c r="HS105" s="200"/>
      <c r="HT105" s="200"/>
      <c r="HU105" s="200"/>
      <c r="HV105" s="200"/>
      <c r="HW105" s="200"/>
      <c r="HX105" s="200"/>
      <c r="HY105" s="200"/>
      <c r="HZ105" s="200"/>
      <c r="IA105" s="200"/>
      <c r="IB105" s="200"/>
      <c r="IC105" s="200"/>
      <c r="ID105" s="200"/>
      <c r="IE105" s="200"/>
      <c r="IF105" s="200"/>
      <c r="IG105" s="200"/>
      <c r="IH105" s="200"/>
      <c r="II105" s="200"/>
      <c r="IJ105" s="200"/>
      <c r="IK105" s="200"/>
      <c r="IL105" s="200"/>
      <c r="IM105" s="200"/>
      <c r="IN105" s="200"/>
      <c r="IO105" s="200"/>
      <c r="IP105" s="200"/>
      <c r="IQ105" s="200"/>
      <c r="IR105" s="200"/>
      <c r="IS105" s="200"/>
      <c r="IT105" s="200"/>
      <c r="IU105" s="201"/>
      <c r="IV105" s="201"/>
    </row>
    <row r="106" s="10" customFormat="1" ht="15.95" customHeight="1" spans="1:256">
      <c r="A106" s="199">
        <v>31</v>
      </c>
      <c r="B106" s="20" t="s">
        <v>2147</v>
      </c>
      <c r="C106" s="199" t="s">
        <v>1831</v>
      </c>
      <c r="D106" s="199">
        <v>3031</v>
      </c>
      <c r="E106" s="199">
        <f>'05版台时'!K197</f>
        <v>0.813242919824491</v>
      </c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0"/>
      <c r="DF106" s="200"/>
      <c r="DG106" s="200"/>
      <c r="DH106" s="200"/>
      <c r="DI106" s="200"/>
      <c r="DJ106" s="200"/>
      <c r="DK106" s="200"/>
      <c r="DL106" s="200"/>
      <c r="DM106" s="200"/>
      <c r="DN106" s="200"/>
      <c r="DO106" s="200"/>
      <c r="DP106" s="200"/>
      <c r="DQ106" s="200"/>
      <c r="DR106" s="200"/>
      <c r="DS106" s="200"/>
      <c r="DT106" s="200"/>
      <c r="DU106" s="200"/>
      <c r="DV106" s="200"/>
      <c r="DW106" s="200"/>
      <c r="DX106" s="200"/>
      <c r="DY106" s="200"/>
      <c r="DZ106" s="200"/>
      <c r="EA106" s="200"/>
      <c r="EB106" s="200"/>
      <c r="EC106" s="200"/>
      <c r="ED106" s="200"/>
      <c r="EE106" s="200"/>
      <c r="EF106" s="200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/>
      <c r="EU106" s="200"/>
      <c r="EV106" s="200"/>
      <c r="EW106" s="200"/>
      <c r="EX106" s="200"/>
      <c r="EY106" s="200"/>
      <c r="EZ106" s="200"/>
      <c r="FA106" s="200"/>
      <c r="FB106" s="200"/>
      <c r="FC106" s="200"/>
      <c r="FD106" s="200"/>
      <c r="FE106" s="200"/>
      <c r="FF106" s="200"/>
      <c r="FG106" s="200"/>
      <c r="FH106" s="200"/>
      <c r="FI106" s="200"/>
      <c r="FJ106" s="200"/>
      <c r="FK106" s="200"/>
      <c r="FL106" s="200"/>
      <c r="FM106" s="200"/>
      <c r="FN106" s="200"/>
      <c r="FO106" s="200"/>
      <c r="FP106" s="200"/>
      <c r="FQ106" s="200"/>
      <c r="FR106" s="200"/>
      <c r="FS106" s="200"/>
      <c r="FT106" s="200"/>
      <c r="FU106" s="200"/>
      <c r="FV106" s="200"/>
      <c r="FW106" s="200"/>
      <c r="FX106" s="200"/>
      <c r="FY106" s="200"/>
      <c r="FZ106" s="200"/>
      <c r="GA106" s="200"/>
      <c r="GB106" s="200"/>
      <c r="GC106" s="200"/>
      <c r="GD106" s="200"/>
      <c r="GE106" s="200"/>
      <c r="GF106" s="200"/>
      <c r="GG106" s="200"/>
      <c r="GH106" s="200"/>
      <c r="GI106" s="200"/>
      <c r="GJ106" s="200"/>
      <c r="GK106" s="200"/>
      <c r="GL106" s="200"/>
      <c r="GM106" s="200"/>
      <c r="GN106" s="200"/>
      <c r="GO106" s="200"/>
      <c r="GP106" s="200"/>
      <c r="GQ106" s="200"/>
      <c r="GR106" s="200"/>
      <c r="GS106" s="200"/>
      <c r="GT106" s="200"/>
      <c r="GU106" s="200"/>
      <c r="GV106" s="200"/>
      <c r="GW106" s="200"/>
      <c r="GX106" s="200"/>
      <c r="GY106" s="200"/>
      <c r="GZ106" s="200"/>
      <c r="HA106" s="200"/>
      <c r="HB106" s="200"/>
      <c r="HC106" s="200"/>
      <c r="HD106" s="200"/>
      <c r="HE106" s="200"/>
      <c r="HF106" s="200"/>
      <c r="HG106" s="200"/>
      <c r="HH106" s="200"/>
      <c r="HI106" s="200"/>
      <c r="HJ106" s="200"/>
      <c r="HK106" s="200"/>
      <c r="HL106" s="200"/>
      <c r="HM106" s="200"/>
      <c r="HN106" s="200"/>
      <c r="HO106" s="200"/>
      <c r="HP106" s="200"/>
      <c r="HQ106" s="200"/>
      <c r="HR106" s="200"/>
      <c r="HS106" s="200"/>
      <c r="HT106" s="200"/>
      <c r="HU106" s="200"/>
      <c r="HV106" s="200"/>
      <c r="HW106" s="200"/>
      <c r="HX106" s="200"/>
      <c r="HY106" s="200"/>
      <c r="HZ106" s="200"/>
      <c r="IA106" s="200"/>
      <c r="IB106" s="200"/>
      <c r="IC106" s="200"/>
      <c r="ID106" s="200"/>
      <c r="IE106" s="200"/>
      <c r="IF106" s="200"/>
      <c r="IG106" s="200"/>
      <c r="IH106" s="200"/>
      <c r="II106" s="200"/>
      <c r="IJ106" s="200"/>
      <c r="IK106" s="200"/>
      <c r="IL106" s="200"/>
      <c r="IM106" s="200"/>
      <c r="IN106" s="200"/>
      <c r="IO106" s="200"/>
      <c r="IP106" s="200"/>
      <c r="IQ106" s="200"/>
      <c r="IR106" s="200"/>
      <c r="IS106" s="200"/>
      <c r="IT106" s="200"/>
      <c r="IU106" s="201"/>
      <c r="IV106" s="201"/>
    </row>
    <row r="107" s="10" customFormat="1" ht="15.95" customHeight="1" spans="1:256">
      <c r="A107" s="199">
        <v>32</v>
      </c>
      <c r="B107" s="20" t="s">
        <v>2148</v>
      </c>
      <c r="C107" s="199" t="s">
        <v>1831</v>
      </c>
      <c r="D107" s="199">
        <v>3032</v>
      </c>
      <c r="E107" s="199">
        <f>'05版台时'!L197</f>
        <v>14.184343309819</v>
      </c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  <c r="AA107" s="200"/>
      <c r="AB107" s="200"/>
      <c r="AC107" s="200"/>
      <c r="AD107" s="200"/>
      <c r="AE107" s="200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0"/>
      <c r="CN107" s="200"/>
      <c r="CO107" s="200"/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0"/>
      <c r="DA107" s="200"/>
      <c r="DB107" s="200"/>
      <c r="DC107" s="200"/>
      <c r="DD107" s="200"/>
      <c r="DE107" s="200"/>
      <c r="DF107" s="200"/>
      <c r="DG107" s="200"/>
      <c r="DH107" s="200"/>
      <c r="DI107" s="200"/>
      <c r="DJ107" s="200"/>
      <c r="DK107" s="200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/>
      <c r="EA107" s="200"/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/>
      <c r="EU107" s="200"/>
      <c r="EV107" s="200"/>
      <c r="EW107" s="200"/>
      <c r="EX107" s="200"/>
      <c r="EY107" s="200"/>
      <c r="EZ107" s="200"/>
      <c r="FA107" s="200"/>
      <c r="FB107" s="200"/>
      <c r="FC107" s="200"/>
      <c r="FD107" s="200"/>
      <c r="FE107" s="200"/>
      <c r="FF107" s="200"/>
      <c r="FG107" s="200"/>
      <c r="FH107" s="200"/>
      <c r="FI107" s="200"/>
      <c r="FJ107" s="200"/>
      <c r="FK107" s="200"/>
      <c r="FL107" s="200"/>
      <c r="FM107" s="200"/>
      <c r="FN107" s="200"/>
      <c r="FO107" s="200"/>
      <c r="FP107" s="200"/>
      <c r="FQ107" s="200"/>
      <c r="FR107" s="200"/>
      <c r="FS107" s="200"/>
      <c r="FT107" s="200"/>
      <c r="FU107" s="200"/>
      <c r="FV107" s="200"/>
      <c r="FW107" s="200"/>
      <c r="FX107" s="200"/>
      <c r="FY107" s="200"/>
      <c r="FZ107" s="200"/>
      <c r="GA107" s="200"/>
      <c r="GB107" s="200"/>
      <c r="GC107" s="200"/>
      <c r="GD107" s="200"/>
      <c r="GE107" s="200"/>
      <c r="GF107" s="200"/>
      <c r="GG107" s="200"/>
      <c r="GH107" s="200"/>
      <c r="GI107" s="200"/>
      <c r="GJ107" s="200"/>
      <c r="GK107" s="200"/>
      <c r="GL107" s="200"/>
      <c r="GM107" s="200"/>
      <c r="GN107" s="200"/>
      <c r="GO107" s="200"/>
      <c r="GP107" s="200"/>
      <c r="GQ107" s="200"/>
      <c r="GR107" s="200"/>
      <c r="GS107" s="200"/>
      <c r="GT107" s="200"/>
      <c r="GU107" s="200"/>
      <c r="GV107" s="200"/>
      <c r="GW107" s="200"/>
      <c r="GX107" s="200"/>
      <c r="GY107" s="200"/>
      <c r="GZ107" s="200"/>
      <c r="HA107" s="200"/>
      <c r="HB107" s="200"/>
      <c r="HC107" s="200"/>
      <c r="HD107" s="200"/>
      <c r="HE107" s="200"/>
      <c r="HF107" s="200"/>
      <c r="HG107" s="200"/>
      <c r="HH107" s="200"/>
      <c r="HI107" s="200"/>
      <c r="HJ107" s="200"/>
      <c r="HK107" s="200"/>
      <c r="HL107" s="200"/>
      <c r="HM107" s="200"/>
      <c r="HN107" s="200"/>
      <c r="HO107" s="200"/>
      <c r="HP107" s="200"/>
      <c r="HQ107" s="200"/>
      <c r="HR107" s="200"/>
      <c r="HS107" s="200"/>
      <c r="HT107" s="200"/>
      <c r="HU107" s="200"/>
      <c r="HV107" s="200"/>
      <c r="HW107" s="200"/>
      <c r="HX107" s="200"/>
      <c r="HY107" s="200"/>
      <c r="HZ107" s="200"/>
      <c r="IA107" s="200"/>
      <c r="IB107" s="200"/>
      <c r="IC107" s="200"/>
      <c r="ID107" s="200"/>
      <c r="IE107" s="200"/>
      <c r="IF107" s="200"/>
      <c r="IG107" s="200"/>
      <c r="IH107" s="200"/>
      <c r="II107" s="200"/>
      <c r="IJ107" s="200"/>
      <c r="IK107" s="200"/>
      <c r="IL107" s="200"/>
      <c r="IM107" s="200"/>
      <c r="IN107" s="200"/>
      <c r="IO107" s="200"/>
      <c r="IP107" s="200"/>
      <c r="IQ107" s="200"/>
      <c r="IR107" s="200"/>
      <c r="IS107" s="200"/>
      <c r="IT107" s="200"/>
      <c r="IU107" s="201"/>
      <c r="IV107" s="201"/>
    </row>
    <row r="108" s="10" customFormat="1" ht="15.95" customHeight="1" spans="1:256">
      <c r="A108" s="199">
        <v>33</v>
      </c>
      <c r="B108" s="20" t="s">
        <v>2149</v>
      </c>
      <c r="C108" s="199" t="s">
        <v>2150</v>
      </c>
      <c r="D108" s="199">
        <v>3033</v>
      </c>
      <c r="E108" s="199">
        <f>'05版台时'!M197</f>
        <v>21.3626855515422</v>
      </c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0"/>
      <c r="BM108" s="200"/>
      <c r="BN108" s="200"/>
      <c r="BO108" s="200"/>
      <c r="BP108" s="200"/>
      <c r="BQ108" s="200"/>
      <c r="BR108" s="200"/>
      <c r="BS108" s="200"/>
      <c r="BT108" s="200"/>
      <c r="BU108" s="200"/>
      <c r="BV108" s="200"/>
      <c r="BW108" s="200"/>
      <c r="BX108" s="200"/>
      <c r="BY108" s="200"/>
      <c r="BZ108" s="200"/>
      <c r="CA108" s="200"/>
      <c r="CB108" s="200"/>
      <c r="CC108" s="200"/>
      <c r="CD108" s="200"/>
      <c r="CE108" s="200"/>
      <c r="CF108" s="200"/>
      <c r="CG108" s="200"/>
      <c r="CH108" s="200"/>
      <c r="CI108" s="200"/>
      <c r="CJ108" s="200"/>
      <c r="CK108" s="200"/>
      <c r="CL108" s="200"/>
      <c r="CM108" s="200"/>
      <c r="CN108" s="200"/>
      <c r="CO108" s="200"/>
      <c r="CP108" s="200"/>
      <c r="CQ108" s="200"/>
      <c r="CR108" s="200"/>
      <c r="CS108" s="200"/>
      <c r="CT108" s="200"/>
      <c r="CU108" s="200"/>
      <c r="CV108" s="200"/>
      <c r="CW108" s="200"/>
      <c r="CX108" s="200"/>
      <c r="CY108" s="200"/>
      <c r="CZ108" s="200"/>
      <c r="DA108" s="200"/>
      <c r="DB108" s="200"/>
      <c r="DC108" s="200"/>
      <c r="DD108" s="200"/>
      <c r="DE108" s="200"/>
      <c r="DF108" s="200"/>
      <c r="DG108" s="200"/>
      <c r="DH108" s="200"/>
      <c r="DI108" s="200"/>
      <c r="DJ108" s="200"/>
      <c r="DK108" s="200"/>
      <c r="DL108" s="200"/>
      <c r="DM108" s="200"/>
      <c r="DN108" s="200"/>
      <c r="DO108" s="200"/>
      <c r="DP108" s="200"/>
      <c r="DQ108" s="200"/>
      <c r="DR108" s="200"/>
      <c r="DS108" s="200"/>
      <c r="DT108" s="200"/>
      <c r="DU108" s="200"/>
      <c r="DV108" s="200"/>
      <c r="DW108" s="200"/>
      <c r="DX108" s="200"/>
      <c r="DY108" s="200"/>
      <c r="DZ108" s="200"/>
      <c r="EA108" s="200"/>
      <c r="EB108" s="200"/>
      <c r="EC108" s="200"/>
      <c r="ED108" s="200"/>
      <c r="EE108" s="200"/>
      <c r="EF108" s="200"/>
      <c r="EG108" s="200"/>
      <c r="EH108" s="200"/>
      <c r="EI108" s="200"/>
      <c r="EJ108" s="200"/>
      <c r="EK108" s="200"/>
      <c r="EL108" s="200"/>
      <c r="EM108" s="200"/>
      <c r="EN108" s="200"/>
      <c r="EO108" s="200"/>
      <c r="EP108" s="200"/>
      <c r="EQ108" s="200"/>
      <c r="ER108" s="200"/>
      <c r="ES108" s="200"/>
      <c r="ET108" s="200"/>
      <c r="EU108" s="200"/>
      <c r="EV108" s="200"/>
      <c r="EW108" s="200"/>
      <c r="EX108" s="200"/>
      <c r="EY108" s="200"/>
      <c r="EZ108" s="200"/>
      <c r="FA108" s="200"/>
      <c r="FB108" s="200"/>
      <c r="FC108" s="200"/>
      <c r="FD108" s="200"/>
      <c r="FE108" s="200"/>
      <c r="FF108" s="200"/>
      <c r="FG108" s="200"/>
      <c r="FH108" s="200"/>
      <c r="FI108" s="200"/>
      <c r="FJ108" s="200"/>
      <c r="FK108" s="200"/>
      <c r="FL108" s="200"/>
      <c r="FM108" s="200"/>
      <c r="FN108" s="200"/>
      <c r="FO108" s="200"/>
      <c r="FP108" s="200"/>
      <c r="FQ108" s="200"/>
      <c r="FR108" s="200"/>
      <c r="FS108" s="200"/>
      <c r="FT108" s="200"/>
      <c r="FU108" s="200"/>
      <c r="FV108" s="200"/>
      <c r="FW108" s="200"/>
      <c r="FX108" s="200"/>
      <c r="FY108" s="200"/>
      <c r="FZ108" s="200"/>
      <c r="GA108" s="200"/>
      <c r="GB108" s="200"/>
      <c r="GC108" s="200"/>
      <c r="GD108" s="200"/>
      <c r="GE108" s="200"/>
      <c r="GF108" s="200"/>
      <c r="GG108" s="200"/>
      <c r="GH108" s="200"/>
      <c r="GI108" s="200"/>
      <c r="GJ108" s="200"/>
      <c r="GK108" s="200"/>
      <c r="GL108" s="200"/>
      <c r="GM108" s="200"/>
      <c r="GN108" s="200"/>
      <c r="GO108" s="200"/>
      <c r="GP108" s="200"/>
      <c r="GQ108" s="200"/>
      <c r="GR108" s="200"/>
      <c r="GS108" s="200"/>
      <c r="GT108" s="200"/>
      <c r="GU108" s="200"/>
      <c r="GV108" s="200"/>
      <c r="GW108" s="200"/>
      <c r="GX108" s="200"/>
      <c r="GY108" s="200"/>
      <c r="GZ108" s="200"/>
      <c r="HA108" s="200"/>
      <c r="HB108" s="200"/>
      <c r="HC108" s="200"/>
      <c r="HD108" s="200"/>
      <c r="HE108" s="200"/>
      <c r="HF108" s="200"/>
      <c r="HG108" s="200"/>
      <c r="HH108" s="200"/>
      <c r="HI108" s="200"/>
      <c r="HJ108" s="200"/>
      <c r="HK108" s="200"/>
      <c r="HL108" s="200"/>
      <c r="HM108" s="200"/>
      <c r="HN108" s="200"/>
      <c r="HO108" s="200"/>
      <c r="HP108" s="200"/>
      <c r="HQ108" s="200"/>
      <c r="HR108" s="200"/>
      <c r="HS108" s="200"/>
      <c r="HT108" s="200"/>
      <c r="HU108" s="200"/>
      <c r="HV108" s="200"/>
      <c r="HW108" s="200"/>
      <c r="HX108" s="200"/>
      <c r="HY108" s="200"/>
      <c r="HZ108" s="200"/>
      <c r="IA108" s="200"/>
      <c r="IB108" s="200"/>
      <c r="IC108" s="200"/>
      <c r="ID108" s="200"/>
      <c r="IE108" s="200"/>
      <c r="IF108" s="200"/>
      <c r="IG108" s="200"/>
      <c r="IH108" s="200"/>
      <c r="II108" s="200"/>
      <c r="IJ108" s="200"/>
      <c r="IK108" s="200"/>
      <c r="IL108" s="200"/>
      <c r="IM108" s="200"/>
      <c r="IN108" s="200"/>
      <c r="IO108" s="200"/>
      <c r="IP108" s="200"/>
      <c r="IQ108" s="200"/>
      <c r="IR108" s="200"/>
      <c r="IS108" s="200"/>
      <c r="IT108" s="200"/>
      <c r="IU108" s="201"/>
      <c r="IV108" s="201"/>
    </row>
    <row r="109" s="10" customFormat="1" ht="15.95" customHeight="1" spans="1:256">
      <c r="A109" s="199">
        <v>34</v>
      </c>
      <c r="B109" s="20" t="s">
        <v>2149</v>
      </c>
      <c r="C109" s="199" t="s">
        <v>2151</v>
      </c>
      <c r="D109" s="199">
        <v>3034</v>
      </c>
      <c r="E109" s="199">
        <f>'05版台时'!N197</f>
        <v>25.5395503301621</v>
      </c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0"/>
      <c r="BM109" s="200"/>
      <c r="BN109" s="200"/>
      <c r="BO109" s="200"/>
      <c r="BP109" s="200"/>
      <c r="BQ109" s="200"/>
      <c r="BR109" s="200"/>
      <c r="BS109" s="200"/>
      <c r="BT109" s="200"/>
      <c r="BU109" s="200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200"/>
      <c r="CG109" s="200"/>
      <c r="CH109" s="200"/>
      <c r="CI109" s="200"/>
      <c r="CJ109" s="200"/>
      <c r="CK109" s="200"/>
      <c r="CL109" s="200"/>
      <c r="CM109" s="200"/>
      <c r="CN109" s="200"/>
      <c r="CO109" s="200"/>
      <c r="CP109" s="200"/>
      <c r="CQ109" s="200"/>
      <c r="CR109" s="200"/>
      <c r="CS109" s="200"/>
      <c r="CT109" s="200"/>
      <c r="CU109" s="200"/>
      <c r="CV109" s="200"/>
      <c r="CW109" s="200"/>
      <c r="CX109" s="200"/>
      <c r="CY109" s="200"/>
      <c r="CZ109" s="200"/>
      <c r="DA109" s="200"/>
      <c r="DB109" s="200"/>
      <c r="DC109" s="200"/>
      <c r="DD109" s="200"/>
      <c r="DE109" s="200"/>
      <c r="DF109" s="200"/>
      <c r="DG109" s="200"/>
      <c r="DH109" s="200"/>
      <c r="DI109" s="200"/>
      <c r="DJ109" s="200"/>
      <c r="DK109" s="200"/>
      <c r="DL109" s="200"/>
      <c r="DM109" s="200"/>
      <c r="DN109" s="200"/>
      <c r="DO109" s="200"/>
      <c r="DP109" s="200"/>
      <c r="DQ109" s="200"/>
      <c r="DR109" s="200"/>
      <c r="DS109" s="200"/>
      <c r="DT109" s="200"/>
      <c r="DU109" s="200"/>
      <c r="DV109" s="200"/>
      <c r="DW109" s="200"/>
      <c r="DX109" s="200"/>
      <c r="DY109" s="200"/>
      <c r="DZ109" s="200"/>
      <c r="EA109" s="200"/>
      <c r="EB109" s="200"/>
      <c r="EC109" s="200"/>
      <c r="ED109" s="200"/>
      <c r="EE109" s="200"/>
      <c r="EF109" s="200"/>
      <c r="EG109" s="200"/>
      <c r="EH109" s="200"/>
      <c r="EI109" s="200"/>
      <c r="EJ109" s="200"/>
      <c r="EK109" s="200"/>
      <c r="EL109" s="200"/>
      <c r="EM109" s="200"/>
      <c r="EN109" s="200"/>
      <c r="EO109" s="200"/>
      <c r="EP109" s="200"/>
      <c r="EQ109" s="200"/>
      <c r="ER109" s="200"/>
      <c r="ES109" s="200"/>
      <c r="ET109" s="200"/>
      <c r="EU109" s="200"/>
      <c r="EV109" s="200"/>
      <c r="EW109" s="200"/>
      <c r="EX109" s="200"/>
      <c r="EY109" s="200"/>
      <c r="EZ109" s="200"/>
      <c r="FA109" s="200"/>
      <c r="FB109" s="200"/>
      <c r="FC109" s="200"/>
      <c r="FD109" s="200"/>
      <c r="FE109" s="200"/>
      <c r="FF109" s="200"/>
      <c r="FG109" s="200"/>
      <c r="FH109" s="200"/>
      <c r="FI109" s="200"/>
      <c r="FJ109" s="200"/>
      <c r="FK109" s="200"/>
      <c r="FL109" s="200"/>
      <c r="FM109" s="200"/>
      <c r="FN109" s="200"/>
      <c r="FO109" s="200"/>
      <c r="FP109" s="200"/>
      <c r="FQ109" s="200"/>
      <c r="FR109" s="200"/>
      <c r="FS109" s="200"/>
      <c r="FT109" s="200"/>
      <c r="FU109" s="200"/>
      <c r="FV109" s="200"/>
      <c r="FW109" s="200"/>
      <c r="FX109" s="200"/>
      <c r="FY109" s="200"/>
      <c r="FZ109" s="200"/>
      <c r="GA109" s="200"/>
      <c r="GB109" s="200"/>
      <c r="GC109" s="200"/>
      <c r="GD109" s="200"/>
      <c r="GE109" s="200"/>
      <c r="GF109" s="200"/>
      <c r="GG109" s="200"/>
      <c r="GH109" s="200"/>
      <c r="GI109" s="200"/>
      <c r="GJ109" s="200"/>
      <c r="GK109" s="200"/>
      <c r="GL109" s="200"/>
      <c r="GM109" s="200"/>
      <c r="GN109" s="200"/>
      <c r="GO109" s="200"/>
      <c r="GP109" s="200"/>
      <c r="GQ109" s="200"/>
      <c r="GR109" s="200"/>
      <c r="GS109" s="200"/>
      <c r="GT109" s="200"/>
      <c r="GU109" s="200"/>
      <c r="GV109" s="200"/>
      <c r="GW109" s="200"/>
      <c r="GX109" s="200"/>
      <c r="GY109" s="200"/>
      <c r="GZ109" s="200"/>
      <c r="HA109" s="200"/>
      <c r="HB109" s="200"/>
      <c r="HC109" s="200"/>
      <c r="HD109" s="200"/>
      <c r="HE109" s="200"/>
      <c r="HF109" s="200"/>
      <c r="HG109" s="200"/>
      <c r="HH109" s="200"/>
      <c r="HI109" s="200"/>
      <c r="HJ109" s="200"/>
      <c r="HK109" s="200"/>
      <c r="HL109" s="200"/>
      <c r="HM109" s="200"/>
      <c r="HN109" s="200"/>
      <c r="HO109" s="200"/>
      <c r="HP109" s="200"/>
      <c r="HQ109" s="200"/>
      <c r="HR109" s="200"/>
      <c r="HS109" s="200"/>
      <c r="HT109" s="200"/>
      <c r="HU109" s="200"/>
      <c r="HV109" s="200"/>
      <c r="HW109" s="200"/>
      <c r="HX109" s="200"/>
      <c r="HY109" s="200"/>
      <c r="HZ109" s="200"/>
      <c r="IA109" s="200"/>
      <c r="IB109" s="200"/>
      <c r="IC109" s="200"/>
      <c r="ID109" s="200"/>
      <c r="IE109" s="200"/>
      <c r="IF109" s="200"/>
      <c r="IG109" s="200"/>
      <c r="IH109" s="200"/>
      <c r="II109" s="200"/>
      <c r="IJ109" s="200"/>
      <c r="IK109" s="200"/>
      <c r="IL109" s="200"/>
      <c r="IM109" s="200"/>
      <c r="IN109" s="200"/>
      <c r="IO109" s="200"/>
      <c r="IP109" s="200"/>
      <c r="IQ109" s="200"/>
      <c r="IR109" s="200"/>
      <c r="IS109" s="200"/>
      <c r="IT109" s="200"/>
      <c r="IU109" s="201"/>
      <c r="IV109" s="201"/>
    </row>
    <row r="110" s="10" customFormat="1" ht="15.95" customHeight="1" spans="1:256">
      <c r="A110" s="199">
        <v>35</v>
      </c>
      <c r="B110" s="20" t="s">
        <v>2152</v>
      </c>
      <c r="C110" s="199" t="s">
        <v>2153</v>
      </c>
      <c r="D110" s="199">
        <v>3035</v>
      </c>
      <c r="E110" s="199">
        <f>'05版台时'!O197</f>
        <v>1.10227363382529</v>
      </c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  <c r="AA110" s="200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200"/>
      <c r="BD110" s="200"/>
      <c r="BE110" s="200"/>
      <c r="BF110" s="200"/>
      <c r="BG110" s="200"/>
      <c r="BH110" s="200"/>
      <c r="BI110" s="200"/>
      <c r="BJ110" s="200"/>
      <c r="BK110" s="200"/>
      <c r="BL110" s="200"/>
      <c r="BM110" s="200"/>
      <c r="BN110" s="200"/>
      <c r="BO110" s="200"/>
      <c r="BP110" s="200"/>
      <c r="BQ110" s="200"/>
      <c r="BR110" s="200"/>
      <c r="BS110" s="200"/>
      <c r="BT110" s="200"/>
      <c r="BU110" s="200"/>
      <c r="BV110" s="200"/>
      <c r="BW110" s="200"/>
      <c r="BX110" s="200"/>
      <c r="BY110" s="200"/>
      <c r="BZ110" s="200"/>
      <c r="CA110" s="200"/>
      <c r="CB110" s="200"/>
      <c r="CC110" s="200"/>
      <c r="CD110" s="200"/>
      <c r="CE110" s="200"/>
      <c r="CF110" s="200"/>
      <c r="CG110" s="200"/>
      <c r="CH110" s="200"/>
      <c r="CI110" s="200"/>
      <c r="CJ110" s="200"/>
      <c r="CK110" s="200"/>
      <c r="CL110" s="200"/>
      <c r="CM110" s="200"/>
      <c r="CN110" s="200"/>
      <c r="CO110" s="200"/>
      <c r="CP110" s="200"/>
      <c r="CQ110" s="200"/>
      <c r="CR110" s="200"/>
      <c r="CS110" s="200"/>
      <c r="CT110" s="200"/>
      <c r="CU110" s="200"/>
      <c r="CV110" s="200"/>
      <c r="CW110" s="200"/>
      <c r="CX110" s="200"/>
      <c r="CY110" s="200"/>
      <c r="CZ110" s="200"/>
      <c r="DA110" s="200"/>
      <c r="DB110" s="200"/>
      <c r="DC110" s="200"/>
      <c r="DD110" s="200"/>
      <c r="DE110" s="200"/>
      <c r="DF110" s="200"/>
      <c r="DG110" s="200"/>
      <c r="DH110" s="200"/>
      <c r="DI110" s="200"/>
      <c r="DJ110" s="200"/>
      <c r="DK110" s="200"/>
      <c r="DL110" s="200"/>
      <c r="DM110" s="200"/>
      <c r="DN110" s="200"/>
      <c r="DO110" s="200"/>
      <c r="DP110" s="200"/>
      <c r="DQ110" s="200"/>
      <c r="DR110" s="200"/>
      <c r="DS110" s="200"/>
      <c r="DT110" s="200"/>
      <c r="DU110" s="200"/>
      <c r="DV110" s="200"/>
      <c r="DW110" s="200"/>
      <c r="DX110" s="200"/>
      <c r="DY110" s="200"/>
      <c r="DZ110" s="200"/>
      <c r="EA110" s="200"/>
      <c r="EB110" s="200"/>
      <c r="EC110" s="200"/>
      <c r="ED110" s="200"/>
      <c r="EE110" s="200"/>
      <c r="EF110" s="200"/>
      <c r="EG110" s="200"/>
      <c r="EH110" s="200"/>
      <c r="EI110" s="200"/>
      <c r="EJ110" s="200"/>
      <c r="EK110" s="200"/>
      <c r="EL110" s="200"/>
      <c r="EM110" s="200"/>
      <c r="EN110" s="200"/>
      <c r="EO110" s="200"/>
      <c r="EP110" s="200"/>
      <c r="EQ110" s="200"/>
      <c r="ER110" s="200"/>
      <c r="ES110" s="200"/>
      <c r="ET110" s="200"/>
      <c r="EU110" s="200"/>
      <c r="EV110" s="200"/>
      <c r="EW110" s="200"/>
      <c r="EX110" s="200"/>
      <c r="EY110" s="200"/>
      <c r="EZ110" s="200"/>
      <c r="FA110" s="200"/>
      <c r="FB110" s="200"/>
      <c r="FC110" s="200"/>
      <c r="FD110" s="200"/>
      <c r="FE110" s="200"/>
      <c r="FF110" s="200"/>
      <c r="FG110" s="200"/>
      <c r="FH110" s="200"/>
      <c r="FI110" s="200"/>
      <c r="FJ110" s="200"/>
      <c r="FK110" s="200"/>
      <c r="FL110" s="200"/>
      <c r="FM110" s="200"/>
      <c r="FN110" s="200"/>
      <c r="FO110" s="200"/>
      <c r="FP110" s="200"/>
      <c r="FQ110" s="200"/>
      <c r="FR110" s="200"/>
      <c r="FS110" s="200"/>
      <c r="FT110" s="200"/>
      <c r="FU110" s="200"/>
      <c r="FV110" s="200"/>
      <c r="FW110" s="200"/>
      <c r="FX110" s="200"/>
      <c r="FY110" s="200"/>
      <c r="FZ110" s="200"/>
      <c r="GA110" s="200"/>
      <c r="GB110" s="200"/>
      <c r="GC110" s="200"/>
      <c r="GD110" s="200"/>
      <c r="GE110" s="200"/>
      <c r="GF110" s="200"/>
      <c r="GG110" s="200"/>
      <c r="GH110" s="200"/>
      <c r="GI110" s="200"/>
      <c r="GJ110" s="200"/>
      <c r="GK110" s="200"/>
      <c r="GL110" s="200"/>
      <c r="GM110" s="200"/>
      <c r="GN110" s="200"/>
      <c r="GO110" s="200"/>
      <c r="GP110" s="200"/>
      <c r="GQ110" s="200"/>
      <c r="GR110" s="200"/>
      <c r="GS110" s="200"/>
      <c r="GT110" s="200"/>
      <c r="GU110" s="200"/>
      <c r="GV110" s="200"/>
      <c r="GW110" s="200"/>
      <c r="GX110" s="200"/>
      <c r="GY110" s="200"/>
      <c r="GZ110" s="200"/>
      <c r="HA110" s="200"/>
      <c r="HB110" s="200"/>
      <c r="HC110" s="200"/>
      <c r="HD110" s="200"/>
      <c r="HE110" s="200"/>
      <c r="HF110" s="200"/>
      <c r="HG110" s="200"/>
      <c r="HH110" s="200"/>
      <c r="HI110" s="200"/>
      <c r="HJ110" s="200"/>
      <c r="HK110" s="200"/>
      <c r="HL110" s="200"/>
      <c r="HM110" s="200"/>
      <c r="HN110" s="200"/>
      <c r="HO110" s="200"/>
      <c r="HP110" s="200"/>
      <c r="HQ110" s="200"/>
      <c r="HR110" s="200"/>
      <c r="HS110" s="200"/>
      <c r="HT110" s="200"/>
      <c r="HU110" s="200"/>
      <c r="HV110" s="200"/>
      <c r="HW110" s="200"/>
      <c r="HX110" s="200"/>
      <c r="HY110" s="200"/>
      <c r="HZ110" s="200"/>
      <c r="IA110" s="200"/>
      <c r="IB110" s="200"/>
      <c r="IC110" s="200"/>
      <c r="ID110" s="200"/>
      <c r="IE110" s="200"/>
      <c r="IF110" s="200"/>
      <c r="IG110" s="200"/>
      <c r="IH110" s="200"/>
      <c r="II110" s="200"/>
      <c r="IJ110" s="200"/>
      <c r="IK110" s="200"/>
      <c r="IL110" s="200"/>
      <c r="IM110" s="200"/>
      <c r="IN110" s="200"/>
      <c r="IO110" s="200"/>
      <c r="IP110" s="200"/>
      <c r="IQ110" s="200"/>
      <c r="IR110" s="200"/>
      <c r="IS110" s="200"/>
      <c r="IT110" s="200"/>
      <c r="IU110" s="201"/>
      <c r="IV110" s="201"/>
    </row>
    <row r="111" s="10" customFormat="1" ht="15.95" customHeight="1" spans="1:256">
      <c r="A111" s="199">
        <v>36</v>
      </c>
      <c r="B111" s="20" t="s">
        <v>2152</v>
      </c>
      <c r="C111" s="199" t="s">
        <v>2150</v>
      </c>
      <c r="D111" s="199">
        <v>3036</v>
      </c>
      <c r="E111" s="199">
        <f>'05版台时'!P197</f>
        <v>1.59641005185481</v>
      </c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200"/>
      <c r="BD111" s="200"/>
      <c r="BE111" s="200"/>
      <c r="BF111" s="200"/>
      <c r="BG111" s="200"/>
      <c r="BH111" s="200"/>
      <c r="BI111" s="200"/>
      <c r="BJ111" s="200"/>
      <c r="BK111" s="200"/>
      <c r="BL111" s="200"/>
      <c r="BM111" s="200"/>
      <c r="BN111" s="200"/>
      <c r="BO111" s="200"/>
      <c r="BP111" s="200"/>
      <c r="BQ111" s="200"/>
      <c r="BR111" s="200"/>
      <c r="BS111" s="200"/>
      <c r="BT111" s="200"/>
      <c r="BU111" s="200"/>
      <c r="BV111" s="200"/>
      <c r="BW111" s="200"/>
      <c r="BX111" s="200"/>
      <c r="BY111" s="200"/>
      <c r="BZ111" s="200"/>
      <c r="CA111" s="200"/>
      <c r="CB111" s="200"/>
      <c r="CC111" s="200"/>
      <c r="CD111" s="200"/>
      <c r="CE111" s="200"/>
      <c r="CF111" s="200"/>
      <c r="CG111" s="200"/>
      <c r="CH111" s="200"/>
      <c r="CI111" s="200"/>
      <c r="CJ111" s="200"/>
      <c r="CK111" s="200"/>
      <c r="CL111" s="200"/>
      <c r="CM111" s="200"/>
      <c r="CN111" s="200"/>
      <c r="CO111" s="200"/>
      <c r="CP111" s="200"/>
      <c r="CQ111" s="200"/>
      <c r="CR111" s="200"/>
      <c r="CS111" s="200"/>
      <c r="CT111" s="200"/>
      <c r="CU111" s="200"/>
      <c r="CV111" s="200"/>
      <c r="CW111" s="200"/>
      <c r="CX111" s="200"/>
      <c r="CY111" s="200"/>
      <c r="CZ111" s="200"/>
      <c r="DA111" s="200"/>
      <c r="DB111" s="200"/>
      <c r="DC111" s="200"/>
      <c r="DD111" s="200"/>
      <c r="DE111" s="200"/>
      <c r="DF111" s="200"/>
      <c r="DG111" s="200"/>
      <c r="DH111" s="200"/>
      <c r="DI111" s="200"/>
      <c r="DJ111" s="200"/>
      <c r="DK111" s="200"/>
      <c r="DL111" s="200"/>
      <c r="DM111" s="200"/>
      <c r="DN111" s="200"/>
      <c r="DO111" s="200"/>
      <c r="DP111" s="200"/>
      <c r="DQ111" s="200"/>
      <c r="DR111" s="200"/>
      <c r="DS111" s="200"/>
      <c r="DT111" s="200"/>
      <c r="DU111" s="200"/>
      <c r="DV111" s="200"/>
      <c r="DW111" s="200"/>
      <c r="DX111" s="200"/>
      <c r="DY111" s="200"/>
      <c r="DZ111" s="200"/>
      <c r="EA111" s="200"/>
      <c r="EB111" s="200"/>
      <c r="EC111" s="200"/>
      <c r="ED111" s="200"/>
      <c r="EE111" s="200"/>
      <c r="EF111" s="200"/>
      <c r="EG111" s="200"/>
      <c r="EH111" s="200"/>
      <c r="EI111" s="200"/>
      <c r="EJ111" s="200"/>
      <c r="EK111" s="200"/>
      <c r="EL111" s="200"/>
      <c r="EM111" s="200"/>
      <c r="EN111" s="200"/>
      <c r="EO111" s="200"/>
      <c r="EP111" s="200"/>
      <c r="EQ111" s="200"/>
      <c r="ER111" s="200"/>
      <c r="ES111" s="200"/>
      <c r="ET111" s="200"/>
      <c r="EU111" s="200"/>
      <c r="EV111" s="200"/>
      <c r="EW111" s="200"/>
      <c r="EX111" s="200"/>
      <c r="EY111" s="200"/>
      <c r="EZ111" s="200"/>
      <c r="FA111" s="200"/>
      <c r="FB111" s="200"/>
      <c r="FC111" s="200"/>
      <c r="FD111" s="200"/>
      <c r="FE111" s="200"/>
      <c r="FF111" s="200"/>
      <c r="FG111" s="200"/>
      <c r="FH111" s="200"/>
      <c r="FI111" s="200"/>
      <c r="FJ111" s="200"/>
      <c r="FK111" s="200"/>
      <c r="FL111" s="200"/>
      <c r="FM111" s="200"/>
      <c r="FN111" s="200"/>
      <c r="FO111" s="200"/>
      <c r="FP111" s="200"/>
      <c r="FQ111" s="200"/>
      <c r="FR111" s="200"/>
      <c r="FS111" s="200"/>
      <c r="FT111" s="200"/>
      <c r="FU111" s="200"/>
      <c r="FV111" s="200"/>
      <c r="FW111" s="200"/>
      <c r="FX111" s="200"/>
      <c r="FY111" s="200"/>
      <c r="FZ111" s="200"/>
      <c r="GA111" s="200"/>
      <c r="GB111" s="200"/>
      <c r="GC111" s="200"/>
      <c r="GD111" s="200"/>
      <c r="GE111" s="200"/>
      <c r="GF111" s="200"/>
      <c r="GG111" s="200"/>
      <c r="GH111" s="200"/>
      <c r="GI111" s="200"/>
      <c r="GJ111" s="200"/>
      <c r="GK111" s="200"/>
      <c r="GL111" s="200"/>
      <c r="GM111" s="200"/>
      <c r="GN111" s="200"/>
      <c r="GO111" s="200"/>
      <c r="GP111" s="200"/>
      <c r="GQ111" s="200"/>
      <c r="GR111" s="200"/>
      <c r="GS111" s="200"/>
      <c r="GT111" s="200"/>
      <c r="GU111" s="200"/>
      <c r="GV111" s="200"/>
      <c r="GW111" s="200"/>
      <c r="GX111" s="200"/>
      <c r="GY111" s="200"/>
      <c r="GZ111" s="200"/>
      <c r="HA111" s="200"/>
      <c r="HB111" s="200"/>
      <c r="HC111" s="200"/>
      <c r="HD111" s="200"/>
      <c r="HE111" s="200"/>
      <c r="HF111" s="200"/>
      <c r="HG111" s="200"/>
      <c r="HH111" s="200"/>
      <c r="HI111" s="200"/>
      <c r="HJ111" s="200"/>
      <c r="HK111" s="200"/>
      <c r="HL111" s="200"/>
      <c r="HM111" s="200"/>
      <c r="HN111" s="200"/>
      <c r="HO111" s="200"/>
      <c r="HP111" s="200"/>
      <c r="HQ111" s="200"/>
      <c r="HR111" s="200"/>
      <c r="HS111" s="200"/>
      <c r="HT111" s="200"/>
      <c r="HU111" s="200"/>
      <c r="HV111" s="200"/>
      <c r="HW111" s="200"/>
      <c r="HX111" s="200"/>
      <c r="HY111" s="200"/>
      <c r="HZ111" s="200"/>
      <c r="IA111" s="200"/>
      <c r="IB111" s="200"/>
      <c r="IC111" s="200"/>
      <c r="ID111" s="200"/>
      <c r="IE111" s="200"/>
      <c r="IF111" s="200"/>
      <c r="IG111" s="200"/>
      <c r="IH111" s="200"/>
      <c r="II111" s="200"/>
      <c r="IJ111" s="200"/>
      <c r="IK111" s="200"/>
      <c r="IL111" s="200"/>
      <c r="IM111" s="200"/>
      <c r="IN111" s="200"/>
      <c r="IO111" s="200"/>
      <c r="IP111" s="200"/>
      <c r="IQ111" s="200"/>
      <c r="IR111" s="200"/>
      <c r="IS111" s="200"/>
      <c r="IT111" s="200"/>
      <c r="IU111" s="201"/>
      <c r="IV111" s="201"/>
    </row>
    <row r="112" s="10" customFormat="1" ht="15.95" customHeight="1" spans="1:256">
      <c r="A112" s="199">
        <v>37</v>
      </c>
      <c r="B112" s="199" t="s">
        <v>2154</v>
      </c>
      <c r="C112" s="199" t="s">
        <v>2037</v>
      </c>
      <c r="D112" s="199">
        <v>3037</v>
      </c>
      <c r="E112" s="199">
        <f>'05版台时'!Q197</f>
        <v>0.474830474670921</v>
      </c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200"/>
      <c r="BD112" s="200"/>
      <c r="BE112" s="200"/>
      <c r="BF112" s="200"/>
      <c r="BG112" s="200"/>
      <c r="BH112" s="200"/>
      <c r="BI112" s="200"/>
      <c r="BJ112" s="200"/>
      <c r="BK112" s="200"/>
      <c r="BL112" s="200"/>
      <c r="BM112" s="200"/>
      <c r="BN112" s="200"/>
      <c r="BO112" s="200"/>
      <c r="BP112" s="200"/>
      <c r="BQ112" s="200"/>
      <c r="BR112" s="200"/>
      <c r="BS112" s="200"/>
      <c r="BT112" s="200"/>
      <c r="BU112" s="200"/>
      <c r="BV112" s="200"/>
      <c r="BW112" s="200"/>
      <c r="BX112" s="200"/>
      <c r="BY112" s="200"/>
      <c r="BZ112" s="200"/>
      <c r="CA112" s="200"/>
      <c r="CB112" s="200"/>
      <c r="CC112" s="200"/>
      <c r="CD112" s="200"/>
      <c r="CE112" s="200"/>
      <c r="CF112" s="200"/>
      <c r="CG112" s="200"/>
      <c r="CH112" s="200"/>
      <c r="CI112" s="200"/>
      <c r="CJ112" s="200"/>
      <c r="CK112" s="200"/>
      <c r="CL112" s="200"/>
      <c r="CM112" s="200"/>
      <c r="CN112" s="200"/>
      <c r="CO112" s="200"/>
      <c r="CP112" s="200"/>
      <c r="CQ112" s="200"/>
      <c r="CR112" s="200"/>
      <c r="CS112" s="200"/>
      <c r="CT112" s="200"/>
      <c r="CU112" s="200"/>
      <c r="CV112" s="200"/>
      <c r="CW112" s="200"/>
      <c r="CX112" s="200"/>
      <c r="CY112" s="200"/>
      <c r="CZ112" s="200"/>
      <c r="DA112" s="200"/>
      <c r="DB112" s="200"/>
      <c r="DC112" s="200"/>
      <c r="DD112" s="200"/>
      <c r="DE112" s="200"/>
      <c r="DF112" s="200"/>
      <c r="DG112" s="200"/>
      <c r="DH112" s="200"/>
      <c r="DI112" s="200"/>
      <c r="DJ112" s="200"/>
      <c r="DK112" s="200"/>
      <c r="DL112" s="200"/>
      <c r="DM112" s="200"/>
      <c r="DN112" s="200"/>
      <c r="DO112" s="200"/>
      <c r="DP112" s="200"/>
      <c r="DQ112" s="200"/>
      <c r="DR112" s="200"/>
      <c r="DS112" s="200"/>
      <c r="DT112" s="200"/>
      <c r="DU112" s="200"/>
      <c r="DV112" s="200"/>
      <c r="DW112" s="200"/>
      <c r="DX112" s="200"/>
      <c r="DY112" s="200"/>
      <c r="DZ112" s="200"/>
      <c r="EA112" s="200"/>
      <c r="EB112" s="200"/>
      <c r="EC112" s="200"/>
      <c r="ED112" s="200"/>
      <c r="EE112" s="200"/>
      <c r="EF112" s="200"/>
      <c r="EG112" s="200"/>
      <c r="EH112" s="200"/>
      <c r="EI112" s="200"/>
      <c r="EJ112" s="200"/>
      <c r="EK112" s="200"/>
      <c r="EL112" s="200"/>
      <c r="EM112" s="200"/>
      <c r="EN112" s="200"/>
      <c r="EO112" s="200"/>
      <c r="EP112" s="200"/>
      <c r="EQ112" s="200"/>
      <c r="ER112" s="200"/>
      <c r="ES112" s="200"/>
      <c r="ET112" s="200"/>
      <c r="EU112" s="200"/>
      <c r="EV112" s="200"/>
      <c r="EW112" s="200"/>
      <c r="EX112" s="200"/>
      <c r="EY112" s="200"/>
      <c r="EZ112" s="200"/>
      <c r="FA112" s="200"/>
      <c r="FB112" s="200"/>
      <c r="FC112" s="200"/>
      <c r="FD112" s="200"/>
      <c r="FE112" s="200"/>
      <c r="FF112" s="200"/>
      <c r="FG112" s="200"/>
      <c r="FH112" s="200"/>
      <c r="FI112" s="200"/>
      <c r="FJ112" s="200"/>
      <c r="FK112" s="200"/>
      <c r="FL112" s="200"/>
      <c r="FM112" s="200"/>
      <c r="FN112" s="200"/>
      <c r="FO112" s="200"/>
      <c r="FP112" s="200"/>
      <c r="FQ112" s="200"/>
      <c r="FR112" s="200"/>
      <c r="FS112" s="200"/>
      <c r="FT112" s="200"/>
      <c r="FU112" s="200"/>
      <c r="FV112" s="200"/>
      <c r="FW112" s="200"/>
      <c r="FX112" s="200"/>
      <c r="FY112" s="200"/>
      <c r="FZ112" s="200"/>
      <c r="GA112" s="200"/>
      <c r="GB112" s="200"/>
      <c r="GC112" s="200"/>
      <c r="GD112" s="200"/>
      <c r="GE112" s="200"/>
      <c r="GF112" s="200"/>
      <c r="GG112" s="200"/>
      <c r="GH112" s="200"/>
      <c r="GI112" s="200"/>
      <c r="GJ112" s="200"/>
      <c r="GK112" s="200"/>
      <c r="GL112" s="200"/>
      <c r="GM112" s="200"/>
      <c r="GN112" s="200"/>
      <c r="GO112" s="200"/>
      <c r="GP112" s="200"/>
      <c r="GQ112" s="200"/>
      <c r="GR112" s="200"/>
      <c r="GS112" s="200"/>
      <c r="GT112" s="200"/>
      <c r="GU112" s="200"/>
      <c r="GV112" s="200"/>
      <c r="GW112" s="200"/>
      <c r="GX112" s="200"/>
      <c r="GY112" s="200"/>
      <c r="GZ112" s="200"/>
      <c r="HA112" s="200"/>
      <c r="HB112" s="200"/>
      <c r="HC112" s="200"/>
      <c r="HD112" s="200"/>
      <c r="HE112" s="200"/>
      <c r="HF112" s="200"/>
      <c r="HG112" s="200"/>
      <c r="HH112" s="200"/>
      <c r="HI112" s="200"/>
      <c r="HJ112" s="200"/>
      <c r="HK112" s="200"/>
      <c r="HL112" s="200"/>
      <c r="HM112" s="200"/>
      <c r="HN112" s="200"/>
      <c r="HO112" s="200"/>
      <c r="HP112" s="200"/>
      <c r="HQ112" s="200"/>
      <c r="HR112" s="200"/>
      <c r="HS112" s="200"/>
      <c r="HT112" s="200"/>
      <c r="HU112" s="200"/>
      <c r="HV112" s="200"/>
      <c r="HW112" s="200"/>
      <c r="HX112" s="200"/>
      <c r="HY112" s="200"/>
      <c r="HZ112" s="200"/>
      <c r="IA112" s="200"/>
      <c r="IB112" s="200"/>
      <c r="IC112" s="200"/>
      <c r="ID112" s="200"/>
      <c r="IE112" s="200"/>
      <c r="IF112" s="200"/>
      <c r="IG112" s="200"/>
      <c r="IH112" s="200"/>
      <c r="II112" s="200"/>
      <c r="IJ112" s="200"/>
      <c r="IK112" s="200"/>
      <c r="IL112" s="200"/>
      <c r="IM112" s="200"/>
      <c r="IN112" s="200"/>
      <c r="IO112" s="200"/>
      <c r="IP112" s="200"/>
      <c r="IQ112" s="200"/>
      <c r="IR112" s="200"/>
      <c r="IS112" s="200"/>
      <c r="IT112" s="200"/>
      <c r="IU112" s="201"/>
      <c r="IV112" s="201"/>
    </row>
    <row r="113" s="10" customFormat="1" ht="15.95" customHeight="1" spans="1:256">
      <c r="A113" s="199">
        <v>38</v>
      </c>
      <c r="B113" s="199" t="s">
        <v>2155</v>
      </c>
      <c r="C113" s="199" t="s">
        <v>2035</v>
      </c>
      <c r="D113" s="199">
        <v>3038</v>
      </c>
      <c r="E113" s="199">
        <f>'05版台时'!R197</f>
        <v>0.756441962504986</v>
      </c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200"/>
      <c r="BO113" s="200"/>
      <c r="BP113" s="200"/>
      <c r="BQ113" s="200"/>
      <c r="BR113" s="200"/>
      <c r="BS113" s="200"/>
      <c r="BT113" s="200"/>
      <c r="BU113" s="200"/>
      <c r="BV113" s="200"/>
      <c r="BW113" s="200"/>
      <c r="BX113" s="200"/>
      <c r="BY113" s="200"/>
      <c r="BZ113" s="200"/>
      <c r="CA113" s="200"/>
      <c r="CB113" s="200"/>
      <c r="CC113" s="200"/>
      <c r="CD113" s="200"/>
      <c r="CE113" s="200"/>
      <c r="CF113" s="200"/>
      <c r="CG113" s="200"/>
      <c r="CH113" s="200"/>
      <c r="CI113" s="200"/>
      <c r="CJ113" s="200"/>
      <c r="CK113" s="200"/>
      <c r="CL113" s="200"/>
      <c r="CM113" s="200"/>
      <c r="CN113" s="200"/>
      <c r="CO113" s="200"/>
      <c r="CP113" s="200"/>
      <c r="CQ113" s="200"/>
      <c r="CR113" s="200"/>
      <c r="CS113" s="200"/>
      <c r="CT113" s="200"/>
      <c r="CU113" s="200"/>
      <c r="CV113" s="200"/>
      <c r="CW113" s="200"/>
      <c r="CX113" s="200"/>
      <c r="CY113" s="200"/>
      <c r="CZ113" s="200"/>
      <c r="DA113" s="200"/>
      <c r="DB113" s="200"/>
      <c r="DC113" s="200"/>
      <c r="DD113" s="200"/>
      <c r="DE113" s="200"/>
      <c r="DF113" s="200"/>
      <c r="DG113" s="200"/>
      <c r="DH113" s="200"/>
      <c r="DI113" s="200"/>
      <c r="DJ113" s="200"/>
      <c r="DK113" s="200"/>
      <c r="DL113" s="200"/>
      <c r="DM113" s="200"/>
      <c r="DN113" s="200"/>
      <c r="DO113" s="200"/>
      <c r="DP113" s="200"/>
      <c r="DQ113" s="200"/>
      <c r="DR113" s="200"/>
      <c r="DS113" s="200"/>
      <c r="DT113" s="200"/>
      <c r="DU113" s="200"/>
      <c r="DV113" s="200"/>
      <c r="DW113" s="200"/>
      <c r="DX113" s="200"/>
      <c r="DY113" s="200"/>
      <c r="DZ113" s="200"/>
      <c r="EA113" s="200"/>
      <c r="EB113" s="200"/>
      <c r="EC113" s="200"/>
      <c r="ED113" s="200"/>
      <c r="EE113" s="200"/>
      <c r="EF113" s="200"/>
      <c r="EG113" s="200"/>
      <c r="EH113" s="200"/>
      <c r="EI113" s="200"/>
      <c r="EJ113" s="200"/>
      <c r="EK113" s="200"/>
      <c r="EL113" s="200"/>
      <c r="EM113" s="200"/>
      <c r="EN113" s="200"/>
      <c r="EO113" s="200"/>
      <c r="EP113" s="200"/>
      <c r="EQ113" s="200"/>
      <c r="ER113" s="200"/>
      <c r="ES113" s="200"/>
      <c r="ET113" s="200"/>
      <c r="EU113" s="200"/>
      <c r="EV113" s="200"/>
      <c r="EW113" s="200"/>
      <c r="EX113" s="200"/>
      <c r="EY113" s="200"/>
      <c r="EZ113" s="200"/>
      <c r="FA113" s="200"/>
      <c r="FB113" s="200"/>
      <c r="FC113" s="200"/>
      <c r="FD113" s="200"/>
      <c r="FE113" s="200"/>
      <c r="FF113" s="200"/>
      <c r="FG113" s="200"/>
      <c r="FH113" s="200"/>
      <c r="FI113" s="200"/>
      <c r="FJ113" s="200"/>
      <c r="FK113" s="200"/>
      <c r="FL113" s="200"/>
      <c r="FM113" s="200"/>
      <c r="FN113" s="200"/>
      <c r="FO113" s="200"/>
      <c r="FP113" s="200"/>
      <c r="FQ113" s="200"/>
      <c r="FR113" s="200"/>
      <c r="FS113" s="200"/>
      <c r="FT113" s="200"/>
      <c r="FU113" s="200"/>
      <c r="FV113" s="200"/>
      <c r="FW113" s="200"/>
      <c r="FX113" s="200"/>
      <c r="FY113" s="200"/>
      <c r="FZ113" s="200"/>
      <c r="GA113" s="200"/>
      <c r="GB113" s="200"/>
      <c r="GC113" s="200"/>
      <c r="GD113" s="200"/>
      <c r="GE113" s="200"/>
      <c r="GF113" s="200"/>
      <c r="GG113" s="200"/>
      <c r="GH113" s="200"/>
      <c r="GI113" s="200"/>
      <c r="GJ113" s="200"/>
      <c r="GK113" s="200"/>
      <c r="GL113" s="200"/>
      <c r="GM113" s="200"/>
      <c r="GN113" s="200"/>
      <c r="GO113" s="200"/>
      <c r="GP113" s="200"/>
      <c r="GQ113" s="200"/>
      <c r="GR113" s="200"/>
      <c r="GS113" s="200"/>
      <c r="GT113" s="200"/>
      <c r="GU113" s="200"/>
      <c r="GV113" s="200"/>
      <c r="GW113" s="200"/>
      <c r="GX113" s="200"/>
      <c r="GY113" s="200"/>
      <c r="GZ113" s="200"/>
      <c r="HA113" s="200"/>
      <c r="HB113" s="200"/>
      <c r="HC113" s="200"/>
      <c r="HD113" s="200"/>
      <c r="HE113" s="200"/>
      <c r="HF113" s="200"/>
      <c r="HG113" s="200"/>
      <c r="HH113" s="200"/>
      <c r="HI113" s="200"/>
      <c r="HJ113" s="200"/>
      <c r="HK113" s="200"/>
      <c r="HL113" s="200"/>
      <c r="HM113" s="200"/>
      <c r="HN113" s="200"/>
      <c r="HO113" s="200"/>
      <c r="HP113" s="200"/>
      <c r="HQ113" s="200"/>
      <c r="HR113" s="200"/>
      <c r="HS113" s="200"/>
      <c r="HT113" s="200"/>
      <c r="HU113" s="200"/>
      <c r="HV113" s="200"/>
      <c r="HW113" s="200"/>
      <c r="HX113" s="200"/>
      <c r="HY113" s="200"/>
      <c r="HZ113" s="200"/>
      <c r="IA113" s="200"/>
      <c r="IB113" s="200"/>
      <c r="IC113" s="200"/>
      <c r="ID113" s="200"/>
      <c r="IE113" s="200"/>
      <c r="IF113" s="200"/>
      <c r="IG113" s="200"/>
      <c r="IH113" s="200"/>
      <c r="II113" s="200"/>
      <c r="IJ113" s="200"/>
      <c r="IK113" s="200"/>
      <c r="IL113" s="200"/>
      <c r="IM113" s="200"/>
      <c r="IN113" s="200"/>
      <c r="IO113" s="200"/>
      <c r="IP113" s="200"/>
      <c r="IQ113" s="200"/>
      <c r="IR113" s="200"/>
      <c r="IS113" s="200"/>
      <c r="IT113" s="200"/>
      <c r="IU113" s="201"/>
      <c r="IV113" s="201"/>
    </row>
    <row r="114" s="10" customFormat="1" ht="15.95" customHeight="1" spans="1:256">
      <c r="A114" s="197" t="s">
        <v>2156</v>
      </c>
      <c r="B114" s="198"/>
      <c r="C114" s="199"/>
      <c r="D114" s="199"/>
      <c r="E114" s="199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200"/>
      <c r="AK114" s="200"/>
      <c r="AL114" s="200"/>
      <c r="AM114" s="200"/>
      <c r="AN114" s="200"/>
      <c r="AO114" s="200"/>
      <c r="AP114" s="200"/>
      <c r="AQ114" s="200"/>
      <c r="AR114" s="200"/>
      <c r="AS114" s="200"/>
      <c r="AT114" s="200"/>
      <c r="AU114" s="200"/>
      <c r="AV114" s="200"/>
      <c r="AW114" s="200"/>
      <c r="AX114" s="200"/>
      <c r="AY114" s="200"/>
      <c r="AZ114" s="200"/>
      <c r="BA114" s="200"/>
      <c r="BB114" s="200"/>
      <c r="BC114" s="200"/>
      <c r="BD114" s="200"/>
      <c r="BE114" s="200"/>
      <c r="BF114" s="200"/>
      <c r="BG114" s="200"/>
      <c r="BH114" s="200"/>
      <c r="BI114" s="200"/>
      <c r="BJ114" s="200"/>
      <c r="BK114" s="200"/>
      <c r="BL114" s="200"/>
      <c r="BM114" s="200"/>
      <c r="BN114" s="200"/>
      <c r="BO114" s="200"/>
      <c r="BP114" s="200"/>
      <c r="BQ114" s="200"/>
      <c r="BR114" s="200"/>
      <c r="BS114" s="200"/>
      <c r="BT114" s="200"/>
      <c r="BU114" s="200"/>
      <c r="BV114" s="200"/>
      <c r="BW114" s="200"/>
      <c r="BX114" s="200"/>
      <c r="BY114" s="200"/>
      <c r="BZ114" s="200"/>
      <c r="CA114" s="200"/>
      <c r="CB114" s="200"/>
      <c r="CC114" s="200"/>
      <c r="CD114" s="200"/>
      <c r="CE114" s="200"/>
      <c r="CF114" s="200"/>
      <c r="CG114" s="200"/>
      <c r="CH114" s="200"/>
      <c r="CI114" s="200"/>
      <c r="CJ114" s="200"/>
      <c r="CK114" s="200"/>
      <c r="CL114" s="200"/>
      <c r="CM114" s="200"/>
      <c r="CN114" s="200"/>
      <c r="CO114" s="200"/>
      <c r="CP114" s="200"/>
      <c r="CQ114" s="200"/>
      <c r="CR114" s="200"/>
      <c r="CS114" s="200"/>
      <c r="CT114" s="200"/>
      <c r="CU114" s="200"/>
      <c r="CV114" s="200"/>
      <c r="CW114" s="200"/>
      <c r="CX114" s="200"/>
      <c r="CY114" s="200"/>
      <c r="CZ114" s="200"/>
      <c r="DA114" s="200"/>
      <c r="DB114" s="200"/>
      <c r="DC114" s="200"/>
      <c r="DD114" s="200"/>
      <c r="DE114" s="200"/>
      <c r="DF114" s="200"/>
      <c r="DG114" s="200"/>
      <c r="DH114" s="200"/>
      <c r="DI114" s="200"/>
      <c r="DJ114" s="200"/>
      <c r="DK114" s="200"/>
      <c r="DL114" s="200"/>
      <c r="DM114" s="200"/>
      <c r="DN114" s="200"/>
      <c r="DO114" s="200"/>
      <c r="DP114" s="200"/>
      <c r="DQ114" s="200"/>
      <c r="DR114" s="200"/>
      <c r="DS114" s="200"/>
      <c r="DT114" s="200"/>
      <c r="DU114" s="200"/>
      <c r="DV114" s="200"/>
      <c r="DW114" s="200"/>
      <c r="DX114" s="200"/>
      <c r="DY114" s="200"/>
      <c r="DZ114" s="200"/>
      <c r="EA114" s="200"/>
      <c r="EB114" s="200"/>
      <c r="EC114" s="200"/>
      <c r="ED114" s="200"/>
      <c r="EE114" s="200"/>
      <c r="EF114" s="200"/>
      <c r="EG114" s="200"/>
      <c r="EH114" s="200"/>
      <c r="EI114" s="200"/>
      <c r="EJ114" s="200"/>
      <c r="EK114" s="200"/>
      <c r="EL114" s="200"/>
      <c r="EM114" s="200"/>
      <c r="EN114" s="200"/>
      <c r="EO114" s="200"/>
      <c r="EP114" s="200"/>
      <c r="EQ114" s="200"/>
      <c r="ER114" s="200"/>
      <c r="ES114" s="200"/>
      <c r="ET114" s="200"/>
      <c r="EU114" s="200"/>
      <c r="EV114" s="200"/>
      <c r="EW114" s="200"/>
      <c r="EX114" s="200"/>
      <c r="EY114" s="200"/>
      <c r="EZ114" s="200"/>
      <c r="FA114" s="200"/>
      <c r="FB114" s="200"/>
      <c r="FC114" s="200"/>
      <c r="FD114" s="200"/>
      <c r="FE114" s="200"/>
      <c r="FF114" s="200"/>
      <c r="FG114" s="200"/>
      <c r="FH114" s="200"/>
      <c r="FI114" s="200"/>
      <c r="FJ114" s="200"/>
      <c r="FK114" s="200"/>
      <c r="FL114" s="200"/>
      <c r="FM114" s="200"/>
      <c r="FN114" s="200"/>
      <c r="FO114" s="200"/>
      <c r="FP114" s="200"/>
      <c r="FQ114" s="200"/>
      <c r="FR114" s="200"/>
      <c r="FS114" s="200"/>
      <c r="FT114" s="200"/>
      <c r="FU114" s="200"/>
      <c r="FV114" s="200"/>
      <c r="FW114" s="200"/>
      <c r="FX114" s="200"/>
      <c r="FY114" s="200"/>
      <c r="FZ114" s="200"/>
      <c r="GA114" s="200"/>
      <c r="GB114" s="200"/>
      <c r="GC114" s="200"/>
      <c r="GD114" s="200"/>
      <c r="GE114" s="200"/>
      <c r="GF114" s="200"/>
      <c r="GG114" s="200"/>
      <c r="GH114" s="200"/>
      <c r="GI114" s="200"/>
      <c r="GJ114" s="200"/>
      <c r="GK114" s="200"/>
      <c r="GL114" s="200"/>
      <c r="GM114" s="200"/>
      <c r="GN114" s="200"/>
      <c r="GO114" s="200"/>
      <c r="GP114" s="200"/>
      <c r="GQ114" s="200"/>
      <c r="GR114" s="200"/>
      <c r="GS114" s="200"/>
      <c r="GT114" s="200"/>
      <c r="GU114" s="200"/>
      <c r="GV114" s="200"/>
      <c r="GW114" s="200"/>
      <c r="GX114" s="200"/>
      <c r="GY114" s="200"/>
      <c r="GZ114" s="200"/>
      <c r="HA114" s="200"/>
      <c r="HB114" s="200"/>
      <c r="HC114" s="200"/>
      <c r="HD114" s="200"/>
      <c r="HE114" s="200"/>
      <c r="HF114" s="200"/>
      <c r="HG114" s="200"/>
      <c r="HH114" s="200"/>
      <c r="HI114" s="200"/>
      <c r="HJ114" s="200"/>
      <c r="HK114" s="200"/>
      <c r="HL114" s="200"/>
      <c r="HM114" s="200"/>
      <c r="HN114" s="200"/>
      <c r="HO114" s="200"/>
      <c r="HP114" s="200"/>
      <c r="HQ114" s="200"/>
      <c r="HR114" s="200"/>
      <c r="HS114" s="200"/>
      <c r="HT114" s="200"/>
      <c r="HU114" s="200"/>
      <c r="HV114" s="200"/>
      <c r="HW114" s="200"/>
      <c r="HX114" s="200"/>
      <c r="HY114" s="200"/>
      <c r="HZ114" s="200"/>
      <c r="IA114" s="200"/>
      <c r="IB114" s="200"/>
      <c r="IC114" s="200"/>
      <c r="ID114" s="200"/>
      <c r="IE114" s="200"/>
      <c r="IF114" s="200"/>
      <c r="IG114" s="200"/>
      <c r="IH114" s="200"/>
      <c r="II114" s="200"/>
      <c r="IJ114" s="200"/>
      <c r="IK114" s="200"/>
      <c r="IL114" s="200"/>
      <c r="IM114" s="200"/>
      <c r="IN114" s="200"/>
      <c r="IO114" s="200"/>
      <c r="IP114" s="200"/>
      <c r="IQ114" s="200"/>
      <c r="IR114" s="200"/>
      <c r="IS114" s="200"/>
      <c r="IT114" s="200"/>
      <c r="IU114" s="201"/>
      <c r="IV114" s="201"/>
    </row>
    <row r="115" s="10" customFormat="1" ht="15.95" customHeight="1" spans="1:256">
      <c r="A115" s="199">
        <v>1</v>
      </c>
      <c r="B115" s="20" t="s">
        <v>2157</v>
      </c>
      <c r="C115" s="199" t="s">
        <v>2153</v>
      </c>
      <c r="D115" s="199">
        <v>4001</v>
      </c>
      <c r="E115" s="199">
        <f>'05版台时'!D230</f>
        <v>36.2511810703934</v>
      </c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200"/>
      <c r="AH115" s="200"/>
      <c r="AI115" s="200"/>
      <c r="AJ115" s="200"/>
      <c r="AK115" s="200"/>
      <c r="AL115" s="200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200"/>
      <c r="BB115" s="200"/>
      <c r="BC115" s="200"/>
      <c r="BD115" s="200"/>
      <c r="BE115" s="200"/>
      <c r="BF115" s="200"/>
      <c r="BG115" s="200"/>
      <c r="BH115" s="200"/>
      <c r="BI115" s="200"/>
      <c r="BJ115" s="200"/>
      <c r="BK115" s="200"/>
      <c r="BL115" s="200"/>
      <c r="BM115" s="200"/>
      <c r="BN115" s="200"/>
      <c r="BO115" s="200"/>
      <c r="BP115" s="200"/>
      <c r="BQ115" s="200"/>
      <c r="BR115" s="200"/>
      <c r="BS115" s="200"/>
      <c r="BT115" s="200"/>
      <c r="BU115" s="200"/>
      <c r="BV115" s="200"/>
      <c r="BW115" s="200"/>
      <c r="BX115" s="200"/>
      <c r="BY115" s="200"/>
      <c r="BZ115" s="200"/>
      <c r="CA115" s="200"/>
      <c r="CB115" s="200"/>
      <c r="CC115" s="200"/>
      <c r="CD115" s="200"/>
      <c r="CE115" s="200"/>
      <c r="CF115" s="200"/>
      <c r="CG115" s="200"/>
      <c r="CH115" s="200"/>
      <c r="CI115" s="200"/>
      <c r="CJ115" s="200"/>
      <c r="CK115" s="200"/>
      <c r="CL115" s="200"/>
      <c r="CM115" s="200"/>
      <c r="CN115" s="200"/>
      <c r="CO115" s="200"/>
      <c r="CP115" s="200"/>
      <c r="CQ115" s="200"/>
      <c r="CR115" s="200"/>
      <c r="CS115" s="200"/>
      <c r="CT115" s="200"/>
      <c r="CU115" s="200"/>
      <c r="CV115" s="200"/>
      <c r="CW115" s="200"/>
      <c r="CX115" s="200"/>
      <c r="CY115" s="200"/>
      <c r="CZ115" s="200"/>
      <c r="DA115" s="200"/>
      <c r="DB115" s="200"/>
      <c r="DC115" s="200"/>
      <c r="DD115" s="200"/>
      <c r="DE115" s="200"/>
      <c r="DF115" s="200"/>
      <c r="DG115" s="200"/>
      <c r="DH115" s="200"/>
      <c r="DI115" s="200"/>
      <c r="DJ115" s="200"/>
      <c r="DK115" s="200"/>
      <c r="DL115" s="200"/>
      <c r="DM115" s="200"/>
      <c r="DN115" s="200"/>
      <c r="DO115" s="200"/>
      <c r="DP115" s="200"/>
      <c r="DQ115" s="200"/>
      <c r="DR115" s="200"/>
      <c r="DS115" s="200"/>
      <c r="DT115" s="200"/>
      <c r="DU115" s="200"/>
      <c r="DV115" s="200"/>
      <c r="DW115" s="200"/>
      <c r="DX115" s="200"/>
      <c r="DY115" s="200"/>
      <c r="DZ115" s="200"/>
      <c r="EA115" s="200"/>
      <c r="EB115" s="200"/>
      <c r="EC115" s="200"/>
      <c r="ED115" s="200"/>
      <c r="EE115" s="200"/>
      <c r="EF115" s="200"/>
      <c r="EG115" s="200"/>
      <c r="EH115" s="200"/>
      <c r="EI115" s="200"/>
      <c r="EJ115" s="200"/>
      <c r="EK115" s="200"/>
      <c r="EL115" s="200"/>
      <c r="EM115" s="200"/>
      <c r="EN115" s="200"/>
      <c r="EO115" s="200"/>
      <c r="EP115" s="200"/>
      <c r="EQ115" s="200"/>
      <c r="ER115" s="200"/>
      <c r="ES115" s="200"/>
      <c r="ET115" s="200"/>
      <c r="EU115" s="200"/>
      <c r="EV115" s="200"/>
      <c r="EW115" s="200"/>
      <c r="EX115" s="200"/>
      <c r="EY115" s="200"/>
      <c r="EZ115" s="200"/>
      <c r="FA115" s="200"/>
      <c r="FB115" s="200"/>
      <c r="FC115" s="200"/>
      <c r="FD115" s="200"/>
      <c r="FE115" s="200"/>
      <c r="FF115" s="200"/>
      <c r="FG115" s="200"/>
      <c r="FH115" s="200"/>
      <c r="FI115" s="200"/>
      <c r="FJ115" s="200"/>
      <c r="FK115" s="200"/>
      <c r="FL115" s="200"/>
      <c r="FM115" s="200"/>
      <c r="FN115" s="200"/>
      <c r="FO115" s="200"/>
      <c r="FP115" s="200"/>
      <c r="FQ115" s="200"/>
      <c r="FR115" s="200"/>
      <c r="FS115" s="200"/>
      <c r="FT115" s="200"/>
      <c r="FU115" s="200"/>
      <c r="FV115" s="200"/>
      <c r="FW115" s="200"/>
      <c r="FX115" s="200"/>
      <c r="FY115" s="200"/>
      <c r="FZ115" s="200"/>
      <c r="GA115" s="200"/>
      <c r="GB115" s="200"/>
      <c r="GC115" s="200"/>
      <c r="GD115" s="200"/>
      <c r="GE115" s="200"/>
      <c r="GF115" s="200"/>
      <c r="GG115" s="200"/>
      <c r="GH115" s="200"/>
      <c r="GI115" s="200"/>
      <c r="GJ115" s="200"/>
      <c r="GK115" s="200"/>
      <c r="GL115" s="200"/>
      <c r="GM115" s="200"/>
      <c r="GN115" s="200"/>
      <c r="GO115" s="200"/>
      <c r="GP115" s="200"/>
      <c r="GQ115" s="200"/>
      <c r="GR115" s="200"/>
      <c r="GS115" s="200"/>
      <c r="GT115" s="200"/>
      <c r="GU115" s="200"/>
      <c r="GV115" s="200"/>
      <c r="GW115" s="200"/>
      <c r="GX115" s="200"/>
      <c r="GY115" s="200"/>
      <c r="GZ115" s="200"/>
      <c r="HA115" s="200"/>
      <c r="HB115" s="200"/>
      <c r="HC115" s="200"/>
      <c r="HD115" s="200"/>
      <c r="HE115" s="200"/>
      <c r="HF115" s="200"/>
      <c r="HG115" s="200"/>
      <c r="HH115" s="200"/>
      <c r="HI115" s="200"/>
      <c r="HJ115" s="200"/>
      <c r="HK115" s="200"/>
      <c r="HL115" s="200"/>
      <c r="HM115" s="200"/>
      <c r="HN115" s="200"/>
      <c r="HO115" s="200"/>
      <c r="HP115" s="200"/>
      <c r="HQ115" s="200"/>
      <c r="HR115" s="200"/>
      <c r="HS115" s="200"/>
      <c r="HT115" s="200"/>
      <c r="HU115" s="200"/>
      <c r="HV115" s="200"/>
      <c r="HW115" s="200"/>
      <c r="HX115" s="200"/>
      <c r="HY115" s="200"/>
      <c r="HZ115" s="200"/>
      <c r="IA115" s="200"/>
      <c r="IB115" s="200"/>
      <c r="IC115" s="200"/>
      <c r="ID115" s="200"/>
      <c r="IE115" s="200"/>
      <c r="IF115" s="200"/>
      <c r="IG115" s="200"/>
      <c r="IH115" s="200"/>
      <c r="II115" s="200"/>
      <c r="IJ115" s="200"/>
      <c r="IK115" s="200"/>
      <c r="IL115" s="200"/>
      <c r="IM115" s="200"/>
      <c r="IN115" s="200"/>
      <c r="IO115" s="200"/>
      <c r="IP115" s="200"/>
      <c r="IQ115" s="200"/>
      <c r="IR115" s="200"/>
      <c r="IS115" s="200"/>
      <c r="IT115" s="200"/>
      <c r="IU115" s="201"/>
      <c r="IV115" s="201"/>
    </row>
    <row r="116" s="10" customFormat="1" ht="15.95" customHeight="1" spans="1:256">
      <c r="A116" s="199">
        <v>2</v>
      </c>
      <c r="B116" s="20" t="s">
        <v>2157</v>
      </c>
      <c r="C116" s="199" t="s">
        <v>2158</v>
      </c>
      <c r="D116" s="199">
        <v>4002</v>
      </c>
      <c r="E116" s="199">
        <f>'05版台时'!E230</f>
        <v>61.9586832642506</v>
      </c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200"/>
      <c r="BB116" s="200"/>
      <c r="BC116" s="200"/>
      <c r="BD116" s="200"/>
      <c r="BE116" s="200"/>
      <c r="BF116" s="200"/>
      <c r="BG116" s="200"/>
      <c r="BH116" s="200"/>
      <c r="BI116" s="200"/>
      <c r="BJ116" s="200"/>
      <c r="BK116" s="200"/>
      <c r="BL116" s="200"/>
      <c r="BM116" s="200"/>
      <c r="BN116" s="200"/>
      <c r="BO116" s="200"/>
      <c r="BP116" s="200"/>
      <c r="BQ116" s="200"/>
      <c r="BR116" s="200"/>
      <c r="BS116" s="200"/>
      <c r="BT116" s="200"/>
      <c r="BU116" s="200"/>
      <c r="BV116" s="200"/>
      <c r="BW116" s="200"/>
      <c r="BX116" s="200"/>
      <c r="BY116" s="200"/>
      <c r="BZ116" s="200"/>
      <c r="CA116" s="200"/>
      <c r="CB116" s="200"/>
      <c r="CC116" s="200"/>
      <c r="CD116" s="200"/>
      <c r="CE116" s="200"/>
      <c r="CF116" s="200"/>
      <c r="CG116" s="200"/>
      <c r="CH116" s="200"/>
      <c r="CI116" s="200"/>
      <c r="CJ116" s="200"/>
      <c r="CK116" s="200"/>
      <c r="CL116" s="200"/>
      <c r="CM116" s="200"/>
      <c r="CN116" s="200"/>
      <c r="CO116" s="200"/>
      <c r="CP116" s="200"/>
      <c r="CQ116" s="200"/>
      <c r="CR116" s="200"/>
      <c r="CS116" s="200"/>
      <c r="CT116" s="200"/>
      <c r="CU116" s="200"/>
      <c r="CV116" s="200"/>
      <c r="CW116" s="200"/>
      <c r="CX116" s="200"/>
      <c r="CY116" s="200"/>
      <c r="CZ116" s="200"/>
      <c r="DA116" s="200"/>
      <c r="DB116" s="200"/>
      <c r="DC116" s="200"/>
      <c r="DD116" s="200"/>
      <c r="DE116" s="200"/>
      <c r="DF116" s="200"/>
      <c r="DG116" s="200"/>
      <c r="DH116" s="200"/>
      <c r="DI116" s="200"/>
      <c r="DJ116" s="200"/>
      <c r="DK116" s="200"/>
      <c r="DL116" s="200"/>
      <c r="DM116" s="200"/>
      <c r="DN116" s="200"/>
      <c r="DO116" s="200"/>
      <c r="DP116" s="200"/>
      <c r="DQ116" s="200"/>
      <c r="DR116" s="200"/>
      <c r="DS116" s="200"/>
      <c r="DT116" s="200"/>
      <c r="DU116" s="200"/>
      <c r="DV116" s="200"/>
      <c r="DW116" s="200"/>
      <c r="DX116" s="200"/>
      <c r="DY116" s="200"/>
      <c r="DZ116" s="200"/>
      <c r="EA116" s="200"/>
      <c r="EB116" s="200"/>
      <c r="EC116" s="200"/>
      <c r="ED116" s="200"/>
      <c r="EE116" s="200"/>
      <c r="EF116" s="200"/>
      <c r="EG116" s="200"/>
      <c r="EH116" s="200"/>
      <c r="EI116" s="200"/>
      <c r="EJ116" s="200"/>
      <c r="EK116" s="200"/>
      <c r="EL116" s="200"/>
      <c r="EM116" s="200"/>
      <c r="EN116" s="200"/>
      <c r="EO116" s="200"/>
      <c r="EP116" s="200"/>
      <c r="EQ116" s="200"/>
      <c r="ER116" s="200"/>
      <c r="ES116" s="200"/>
      <c r="ET116" s="200"/>
      <c r="EU116" s="200"/>
      <c r="EV116" s="200"/>
      <c r="EW116" s="200"/>
      <c r="EX116" s="200"/>
      <c r="EY116" s="200"/>
      <c r="EZ116" s="200"/>
      <c r="FA116" s="200"/>
      <c r="FB116" s="200"/>
      <c r="FC116" s="200"/>
      <c r="FD116" s="200"/>
      <c r="FE116" s="200"/>
      <c r="FF116" s="200"/>
      <c r="FG116" s="200"/>
      <c r="FH116" s="200"/>
      <c r="FI116" s="200"/>
      <c r="FJ116" s="200"/>
      <c r="FK116" s="200"/>
      <c r="FL116" s="200"/>
      <c r="FM116" s="200"/>
      <c r="FN116" s="200"/>
      <c r="FO116" s="200"/>
      <c r="FP116" s="200"/>
      <c r="FQ116" s="200"/>
      <c r="FR116" s="200"/>
      <c r="FS116" s="200"/>
      <c r="FT116" s="200"/>
      <c r="FU116" s="200"/>
      <c r="FV116" s="200"/>
      <c r="FW116" s="200"/>
      <c r="FX116" s="200"/>
      <c r="FY116" s="200"/>
      <c r="FZ116" s="200"/>
      <c r="GA116" s="200"/>
      <c r="GB116" s="200"/>
      <c r="GC116" s="200"/>
      <c r="GD116" s="200"/>
      <c r="GE116" s="200"/>
      <c r="GF116" s="200"/>
      <c r="GG116" s="200"/>
      <c r="GH116" s="200"/>
      <c r="GI116" s="200"/>
      <c r="GJ116" s="200"/>
      <c r="GK116" s="200"/>
      <c r="GL116" s="200"/>
      <c r="GM116" s="200"/>
      <c r="GN116" s="200"/>
      <c r="GO116" s="200"/>
      <c r="GP116" s="200"/>
      <c r="GQ116" s="200"/>
      <c r="GR116" s="200"/>
      <c r="GS116" s="200"/>
      <c r="GT116" s="200"/>
      <c r="GU116" s="200"/>
      <c r="GV116" s="200"/>
      <c r="GW116" s="200"/>
      <c r="GX116" s="200"/>
      <c r="GY116" s="200"/>
      <c r="GZ116" s="200"/>
      <c r="HA116" s="200"/>
      <c r="HB116" s="200"/>
      <c r="HC116" s="200"/>
      <c r="HD116" s="200"/>
      <c r="HE116" s="200"/>
      <c r="HF116" s="200"/>
      <c r="HG116" s="200"/>
      <c r="HH116" s="200"/>
      <c r="HI116" s="200"/>
      <c r="HJ116" s="200"/>
      <c r="HK116" s="200"/>
      <c r="HL116" s="200"/>
      <c r="HM116" s="200"/>
      <c r="HN116" s="200"/>
      <c r="HO116" s="200"/>
      <c r="HP116" s="200"/>
      <c r="HQ116" s="200"/>
      <c r="HR116" s="200"/>
      <c r="HS116" s="200"/>
      <c r="HT116" s="200"/>
      <c r="HU116" s="200"/>
      <c r="HV116" s="200"/>
      <c r="HW116" s="200"/>
      <c r="HX116" s="200"/>
      <c r="HY116" s="200"/>
      <c r="HZ116" s="200"/>
      <c r="IA116" s="200"/>
      <c r="IB116" s="200"/>
      <c r="IC116" s="200"/>
      <c r="ID116" s="200"/>
      <c r="IE116" s="200"/>
      <c r="IF116" s="200"/>
      <c r="IG116" s="200"/>
      <c r="IH116" s="200"/>
      <c r="II116" s="200"/>
      <c r="IJ116" s="200"/>
      <c r="IK116" s="200"/>
      <c r="IL116" s="200"/>
      <c r="IM116" s="200"/>
      <c r="IN116" s="200"/>
      <c r="IO116" s="200"/>
      <c r="IP116" s="200"/>
      <c r="IQ116" s="200"/>
      <c r="IR116" s="200"/>
      <c r="IS116" s="200"/>
      <c r="IT116" s="200"/>
      <c r="IU116" s="201"/>
      <c r="IV116" s="201"/>
    </row>
    <row r="117" s="10" customFormat="1" ht="15.95" customHeight="1" spans="1:256">
      <c r="A117" s="199">
        <v>3</v>
      </c>
      <c r="B117" s="20" t="s">
        <v>2157</v>
      </c>
      <c r="C117" s="199" t="s">
        <v>2151</v>
      </c>
      <c r="D117" s="199">
        <v>4003</v>
      </c>
      <c r="E117" s="199">
        <f>'05版台时'!F230</f>
        <v>81.6175474915878</v>
      </c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200"/>
      <c r="AH117" s="200"/>
      <c r="AI117" s="200"/>
      <c r="AJ117" s="200"/>
      <c r="AK117" s="200"/>
      <c r="AL117" s="200"/>
      <c r="AM117" s="200"/>
      <c r="AN117" s="200"/>
      <c r="AO117" s="200"/>
      <c r="AP117" s="200"/>
      <c r="AQ117" s="200"/>
      <c r="AR117" s="200"/>
      <c r="AS117" s="200"/>
      <c r="AT117" s="200"/>
      <c r="AU117" s="200"/>
      <c r="AV117" s="200"/>
      <c r="AW117" s="200"/>
      <c r="AX117" s="200"/>
      <c r="AY117" s="200"/>
      <c r="AZ117" s="200"/>
      <c r="BA117" s="200"/>
      <c r="BB117" s="200"/>
      <c r="BC117" s="200"/>
      <c r="BD117" s="200"/>
      <c r="BE117" s="200"/>
      <c r="BF117" s="200"/>
      <c r="BG117" s="200"/>
      <c r="BH117" s="200"/>
      <c r="BI117" s="200"/>
      <c r="BJ117" s="200"/>
      <c r="BK117" s="200"/>
      <c r="BL117" s="200"/>
      <c r="BM117" s="200"/>
      <c r="BN117" s="200"/>
      <c r="BO117" s="200"/>
      <c r="BP117" s="200"/>
      <c r="BQ117" s="200"/>
      <c r="BR117" s="200"/>
      <c r="BS117" s="200"/>
      <c r="BT117" s="200"/>
      <c r="BU117" s="200"/>
      <c r="BV117" s="200"/>
      <c r="BW117" s="200"/>
      <c r="BX117" s="200"/>
      <c r="BY117" s="200"/>
      <c r="BZ117" s="200"/>
      <c r="CA117" s="200"/>
      <c r="CB117" s="200"/>
      <c r="CC117" s="200"/>
      <c r="CD117" s="200"/>
      <c r="CE117" s="200"/>
      <c r="CF117" s="200"/>
      <c r="CG117" s="200"/>
      <c r="CH117" s="200"/>
      <c r="CI117" s="200"/>
      <c r="CJ117" s="200"/>
      <c r="CK117" s="200"/>
      <c r="CL117" s="200"/>
      <c r="CM117" s="200"/>
      <c r="CN117" s="200"/>
      <c r="CO117" s="200"/>
      <c r="CP117" s="200"/>
      <c r="CQ117" s="200"/>
      <c r="CR117" s="200"/>
      <c r="CS117" s="200"/>
      <c r="CT117" s="200"/>
      <c r="CU117" s="200"/>
      <c r="CV117" s="200"/>
      <c r="CW117" s="200"/>
      <c r="CX117" s="200"/>
      <c r="CY117" s="200"/>
      <c r="CZ117" s="200"/>
      <c r="DA117" s="200"/>
      <c r="DB117" s="200"/>
      <c r="DC117" s="200"/>
      <c r="DD117" s="200"/>
      <c r="DE117" s="200"/>
      <c r="DF117" s="200"/>
      <c r="DG117" s="200"/>
      <c r="DH117" s="200"/>
      <c r="DI117" s="200"/>
      <c r="DJ117" s="200"/>
      <c r="DK117" s="200"/>
      <c r="DL117" s="200"/>
      <c r="DM117" s="200"/>
      <c r="DN117" s="200"/>
      <c r="DO117" s="200"/>
      <c r="DP117" s="200"/>
      <c r="DQ117" s="200"/>
      <c r="DR117" s="200"/>
      <c r="DS117" s="200"/>
      <c r="DT117" s="200"/>
      <c r="DU117" s="200"/>
      <c r="DV117" s="200"/>
      <c r="DW117" s="200"/>
      <c r="DX117" s="200"/>
      <c r="DY117" s="200"/>
      <c r="DZ117" s="200"/>
      <c r="EA117" s="200"/>
      <c r="EB117" s="200"/>
      <c r="EC117" s="200"/>
      <c r="ED117" s="200"/>
      <c r="EE117" s="200"/>
      <c r="EF117" s="200"/>
      <c r="EG117" s="200"/>
      <c r="EH117" s="200"/>
      <c r="EI117" s="200"/>
      <c r="EJ117" s="200"/>
      <c r="EK117" s="200"/>
      <c r="EL117" s="200"/>
      <c r="EM117" s="200"/>
      <c r="EN117" s="200"/>
      <c r="EO117" s="200"/>
      <c r="EP117" s="200"/>
      <c r="EQ117" s="200"/>
      <c r="ER117" s="200"/>
      <c r="ES117" s="200"/>
      <c r="ET117" s="200"/>
      <c r="EU117" s="200"/>
      <c r="EV117" s="200"/>
      <c r="EW117" s="200"/>
      <c r="EX117" s="200"/>
      <c r="EY117" s="200"/>
      <c r="EZ117" s="200"/>
      <c r="FA117" s="200"/>
      <c r="FB117" s="200"/>
      <c r="FC117" s="200"/>
      <c r="FD117" s="200"/>
      <c r="FE117" s="200"/>
      <c r="FF117" s="200"/>
      <c r="FG117" s="200"/>
      <c r="FH117" s="200"/>
      <c r="FI117" s="200"/>
      <c r="FJ117" s="200"/>
      <c r="FK117" s="200"/>
      <c r="FL117" s="200"/>
      <c r="FM117" s="200"/>
      <c r="FN117" s="200"/>
      <c r="FO117" s="200"/>
      <c r="FP117" s="200"/>
      <c r="FQ117" s="200"/>
      <c r="FR117" s="200"/>
      <c r="FS117" s="200"/>
      <c r="FT117" s="200"/>
      <c r="FU117" s="200"/>
      <c r="FV117" s="200"/>
      <c r="FW117" s="200"/>
      <c r="FX117" s="200"/>
      <c r="FY117" s="200"/>
      <c r="FZ117" s="200"/>
      <c r="GA117" s="200"/>
      <c r="GB117" s="200"/>
      <c r="GC117" s="200"/>
      <c r="GD117" s="200"/>
      <c r="GE117" s="200"/>
      <c r="GF117" s="200"/>
      <c r="GG117" s="200"/>
      <c r="GH117" s="200"/>
      <c r="GI117" s="200"/>
      <c r="GJ117" s="200"/>
      <c r="GK117" s="200"/>
      <c r="GL117" s="200"/>
      <c r="GM117" s="200"/>
      <c r="GN117" s="200"/>
      <c r="GO117" s="200"/>
      <c r="GP117" s="200"/>
      <c r="GQ117" s="200"/>
      <c r="GR117" s="200"/>
      <c r="GS117" s="200"/>
      <c r="GT117" s="200"/>
      <c r="GU117" s="200"/>
      <c r="GV117" s="200"/>
      <c r="GW117" s="200"/>
      <c r="GX117" s="200"/>
      <c r="GY117" s="200"/>
      <c r="GZ117" s="200"/>
      <c r="HA117" s="200"/>
      <c r="HB117" s="200"/>
      <c r="HC117" s="200"/>
      <c r="HD117" s="200"/>
      <c r="HE117" s="200"/>
      <c r="HF117" s="200"/>
      <c r="HG117" s="200"/>
      <c r="HH117" s="200"/>
      <c r="HI117" s="200"/>
      <c r="HJ117" s="200"/>
      <c r="HK117" s="200"/>
      <c r="HL117" s="200"/>
      <c r="HM117" s="200"/>
      <c r="HN117" s="200"/>
      <c r="HO117" s="200"/>
      <c r="HP117" s="200"/>
      <c r="HQ117" s="200"/>
      <c r="HR117" s="200"/>
      <c r="HS117" s="200"/>
      <c r="HT117" s="200"/>
      <c r="HU117" s="200"/>
      <c r="HV117" s="200"/>
      <c r="HW117" s="200"/>
      <c r="HX117" s="200"/>
      <c r="HY117" s="200"/>
      <c r="HZ117" s="200"/>
      <c r="IA117" s="200"/>
      <c r="IB117" s="200"/>
      <c r="IC117" s="200"/>
      <c r="ID117" s="200"/>
      <c r="IE117" s="200"/>
      <c r="IF117" s="200"/>
      <c r="IG117" s="200"/>
      <c r="IH117" s="200"/>
      <c r="II117" s="200"/>
      <c r="IJ117" s="200"/>
      <c r="IK117" s="200"/>
      <c r="IL117" s="200"/>
      <c r="IM117" s="200"/>
      <c r="IN117" s="200"/>
      <c r="IO117" s="200"/>
      <c r="IP117" s="200"/>
      <c r="IQ117" s="200"/>
      <c r="IR117" s="200"/>
      <c r="IS117" s="200"/>
      <c r="IT117" s="200"/>
      <c r="IU117" s="201"/>
      <c r="IV117" s="201"/>
    </row>
    <row r="118" s="10" customFormat="1" ht="15.95" customHeight="1" spans="1:256">
      <c r="A118" s="199">
        <v>4</v>
      </c>
      <c r="B118" s="20" t="s">
        <v>2157</v>
      </c>
      <c r="C118" s="199" t="s">
        <v>2159</v>
      </c>
      <c r="D118" s="199">
        <v>4004</v>
      </c>
      <c r="E118" s="199">
        <f>'05版台时'!G230</f>
        <v>94.0563189315559</v>
      </c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0"/>
      <c r="AL118" s="200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200"/>
      <c r="BB118" s="200"/>
      <c r="BC118" s="200"/>
      <c r="BD118" s="200"/>
      <c r="BE118" s="200"/>
      <c r="BF118" s="200"/>
      <c r="BG118" s="200"/>
      <c r="BH118" s="200"/>
      <c r="BI118" s="200"/>
      <c r="BJ118" s="200"/>
      <c r="BK118" s="200"/>
      <c r="BL118" s="200"/>
      <c r="BM118" s="200"/>
      <c r="BN118" s="200"/>
      <c r="BO118" s="200"/>
      <c r="BP118" s="200"/>
      <c r="BQ118" s="200"/>
      <c r="BR118" s="200"/>
      <c r="BS118" s="200"/>
      <c r="BT118" s="200"/>
      <c r="BU118" s="200"/>
      <c r="BV118" s="200"/>
      <c r="BW118" s="200"/>
      <c r="BX118" s="200"/>
      <c r="BY118" s="200"/>
      <c r="BZ118" s="200"/>
      <c r="CA118" s="200"/>
      <c r="CB118" s="200"/>
      <c r="CC118" s="200"/>
      <c r="CD118" s="200"/>
      <c r="CE118" s="200"/>
      <c r="CF118" s="200"/>
      <c r="CG118" s="200"/>
      <c r="CH118" s="200"/>
      <c r="CI118" s="200"/>
      <c r="CJ118" s="200"/>
      <c r="CK118" s="200"/>
      <c r="CL118" s="200"/>
      <c r="CM118" s="200"/>
      <c r="CN118" s="200"/>
      <c r="CO118" s="200"/>
      <c r="CP118" s="200"/>
      <c r="CQ118" s="200"/>
      <c r="CR118" s="200"/>
      <c r="CS118" s="200"/>
      <c r="CT118" s="200"/>
      <c r="CU118" s="200"/>
      <c r="CV118" s="200"/>
      <c r="CW118" s="200"/>
      <c r="CX118" s="200"/>
      <c r="CY118" s="200"/>
      <c r="CZ118" s="200"/>
      <c r="DA118" s="200"/>
      <c r="DB118" s="200"/>
      <c r="DC118" s="200"/>
      <c r="DD118" s="200"/>
      <c r="DE118" s="200"/>
      <c r="DF118" s="200"/>
      <c r="DG118" s="200"/>
      <c r="DH118" s="200"/>
      <c r="DI118" s="200"/>
      <c r="DJ118" s="200"/>
      <c r="DK118" s="200"/>
      <c r="DL118" s="200"/>
      <c r="DM118" s="200"/>
      <c r="DN118" s="200"/>
      <c r="DO118" s="200"/>
      <c r="DP118" s="200"/>
      <c r="DQ118" s="200"/>
      <c r="DR118" s="200"/>
      <c r="DS118" s="200"/>
      <c r="DT118" s="200"/>
      <c r="DU118" s="200"/>
      <c r="DV118" s="200"/>
      <c r="DW118" s="200"/>
      <c r="DX118" s="200"/>
      <c r="DY118" s="200"/>
      <c r="DZ118" s="200"/>
      <c r="EA118" s="200"/>
      <c r="EB118" s="200"/>
      <c r="EC118" s="200"/>
      <c r="ED118" s="200"/>
      <c r="EE118" s="200"/>
      <c r="EF118" s="200"/>
      <c r="EG118" s="200"/>
      <c r="EH118" s="200"/>
      <c r="EI118" s="200"/>
      <c r="EJ118" s="200"/>
      <c r="EK118" s="200"/>
      <c r="EL118" s="200"/>
      <c r="EM118" s="200"/>
      <c r="EN118" s="200"/>
      <c r="EO118" s="200"/>
      <c r="EP118" s="200"/>
      <c r="EQ118" s="200"/>
      <c r="ER118" s="200"/>
      <c r="ES118" s="200"/>
      <c r="ET118" s="200"/>
      <c r="EU118" s="200"/>
      <c r="EV118" s="200"/>
      <c r="EW118" s="200"/>
      <c r="EX118" s="200"/>
      <c r="EY118" s="200"/>
      <c r="EZ118" s="200"/>
      <c r="FA118" s="200"/>
      <c r="FB118" s="200"/>
      <c r="FC118" s="200"/>
      <c r="FD118" s="200"/>
      <c r="FE118" s="200"/>
      <c r="FF118" s="200"/>
      <c r="FG118" s="200"/>
      <c r="FH118" s="200"/>
      <c r="FI118" s="200"/>
      <c r="FJ118" s="200"/>
      <c r="FK118" s="200"/>
      <c r="FL118" s="200"/>
      <c r="FM118" s="200"/>
      <c r="FN118" s="200"/>
      <c r="FO118" s="200"/>
      <c r="FP118" s="200"/>
      <c r="FQ118" s="200"/>
      <c r="FR118" s="200"/>
      <c r="FS118" s="200"/>
      <c r="FT118" s="200"/>
      <c r="FU118" s="200"/>
      <c r="FV118" s="200"/>
      <c r="FW118" s="200"/>
      <c r="FX118" s="200"/>
      <c r="FY118" s="200"/>
      <c r="FZ118" s="200"/>
      <c r="GA118" s="200"/>
      <c r="GB118" s="200"/>
      <c r="GC118" s="200"/>
      <c r="GD118" s="200"/>
      <c r="GE118" s="200"/>
      <c r="GF118" s="200"/>
      <c r="GG118" s="200"/>
      <c r="GH118" s="200"/>
      <c r="GI118" s="200"/>
      <c r="GJ118" s="200"/>
      <c r="GK118" s="200"/>
      <c r="GL118" s="200"/>
      <c r="GM118" s="200"/>
      <c r="GN118" s="200"/>
      <c r="GO118" s="200"/>
      <c r="GP118" s="200"/>
      <c r="GQ118" s="200"/>
      <c r="GR118" s="200"/>
      <c r="GS118" s="200"/>
      <c r="GT118" s="200"/>
      <c r="GU118" s="200"/>
      <c r="GV118" s="200"/>
      <c r="GW118" s="200"/>
      <c r="GX118" s="200"/>
      <c r="GY118" s="200"/>
      <c r="GZ118" s="200"/>
      <c r="HA118" s="200"/>
      <c r="HB118" s="200"/>
      <c r="HC118" s="200"/>
      <c r="HD118" s="200"/>
      <c r="HE118" s="200"/>
      <c r="HF118" s="200"/>
      <c r="HG118" s="200"/>
      <c r="HH118" s="200"/>
      <c r="HI118" s="200"/>
      <c r="HJ118" s="200"/>
      <c r="HK118" s="200"/>
      <c r="HL118" s="200"/>
      <c r="HM118" s="200"/>
      <c r="HN118" s="200"/>
      <c r="HO118" s="200"/>
      <c r="HP118" s="200"/>
      <c r="HQ118" s="200"/>
      <c r="HR118" s="200"/>
      <c r="HS118" s="200"/>
      <c r="HT118" s="200"/>
      <c r="HU118" s="200"/>
      <c r="HV118" s="200"/>
      <c r="HW118" s="200"/>
      <c r="HX118" s="200"/>
      <c r="HY118" s="200"/>
      <c r="HZ118" s="200"/>
      <c r="IA118" s="200"/>
      <c r="IB118" s="200"/>
      <c r="IC118" s="200"/>
      <c r="ID118" s="200"/>
      <c r="IE118" s="200"/>
      <c r="IF118" s="200"/>
      <c r="IG118" s="200"/>
      <c r="IH118" s="200"/>
      <c r="II118" s="200"/>
      <c r="IJ118" s="200"/>
      <c r="IK118" s="200"/>
      <c r="IL118" s="200"/>
      <c r="IM118" s="200"/>
      <c r="IN118" s="200"/>
      <c r="IO118" s="200"/>
      <c r="IP118" s="200"/>
      <c r="IQ118" s="200"/>
      <c r="IR118" s="200"/>
      <c r="IS118" s="200"/>
      <c r="IT118" s="200"/>
      <c r="IU118" s="201"/>
      <c r="IV118" s="201"/>
    </row>
    <row r="119" s="10" customFormat="1" ht="15.95" customHeight="1" spans="1:256">
      <c r="A119" s="199">
        <v>5</v>
      </c>
      <c r="B119" s="20" t="s">
        <v>2157</v>
      </c>
      <c r="C119" s="199" t="s">
        <v>2129</v>
      </c>
      <c r="D119" s="199">
        <v>4005</v>
      </c>
      <c r="E119" s="199">
        <f>'05版台时'!H230</f>
        <v>111.068174535864</v>
      </c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200"/>
      <c r="AH119" s="200"/>
      <c r="AI119" s="200"/>
      <c r="AJ119" s="200"/>
      <c r="AK119" s="200"/>
      <c r="AL119" s="200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200"/>
      <c r="BD119" s="200"/>
      <c r="BE119" s="200"/>
      <c r="BF119" s="200"/>
      <c r="BG119" s="200"/>
      <c r="BH119" s="200"/>
      <c r="BI119" s="200"/>
      <c r="BJ119" s="200"/>
      <c r="BK119" s="200"/>
      <c r="BL119" s="200"/>
      <c r="BM119" s="200"/>
      <c r="BN119" s="200"/>
      <c r="BO119" s="200"/>
      <c r="BP119" s="200"/>
      <c r="BQ119" s="200"/>
      <c r="BR119" s="200"/>
      <c r="BS119" s="200"/>
      <c r="BT119" s="200"/>
      <c r="BU119" s="200"/>
      <c r="BV119" s="200"/>
      <c r="BW119" s="200"/>
      <c r="BX119" s="200"/>
      <c r="BY119" s="200"/>
      <c r="BZ119" s="200"/>
      <c r="CA119" s="200"/>
      <c r="CB119" s="200"/>
      <c r="CC119" s="200"/>
      <c r="CD119" s="200"/>
      <c r="CE119" s="200"/>
      <c r="CF119" s="200"/>
      <c r="CG119" s="200"/>
      <c r="CH119" s="200"/>
      <c r="CI119" s="200"/>
      <c r="CJ119" s="200"/>
      <c r="CK119" s="200"/>
      <c r="CL119" s="200"/>
      <c r="CM119" s="200"/>
      <c r="CN119" s="200"/>
      <c r="CO119" s="200"/>
      <c r="CP119" s="200"/>
      <c r="CQ119" s="200"/>
      <c r="CR119" s="200"/>
      <c r="CS119" s="200"/>
      <c r="CT119" s="200"/>
      <c r="CU119" s="200"/>
      <c r="CV119" s="200"/>
      <c r="CW119" s="200"/>
      <c r="CX119" s="200"/>
      <c r="CY119" s="200"/>
      <c r="CZ119" s="200"/>
      <c r="DA119" s="200"/>
      <c r="DB119" s="200"/>
      <c r="DC119" s="200"/>
      <c r="DD119" s="200"/>
      <c r="DE119" s="200"/>
      <c r="DF119" s="200"/>
      <c r="DG119" s="200"/>
      <c r="DH119" s="200"/>
      <c r="DI119" s="200"/>
      <c r="DJ119" s="200"/>
      <c r="DK119" s="200"/>
      <c r="DL119" s="200"/>
      <c r="DM119" s="200"/>
      <c r="DN119" s="200"/>
      <c r="DO119" s="200"/>
      <c r="DP119" s="200"/>
      <c r="DQ119" s="200"/>
      <c r="DR119" s="200"/>
      <c r="DS119" s="200"/>
      <c r="DT119" s="200"/>
      <c r="DU119" s="200"/>
      <c r="DV119" s="200"/>
      <c r="DW119" s="200"/>
      <c r="DX119" s="200"/>
      <c r="DY119" s="200"/>
      <c r="DZ119" s="200"/>
      <c r="EA119" s="200"/>
      <c r="EB119" s="200"/>
      <c r="EC119" s="200"/>
      <c r="ED119" s="200"/>
      <c r="EE119" s="200"/>
      <c r="EF119" s="200"/>
      <c r="EG119" s="200"/>
      <c r="EH119" s="200"/>
      <c r="EI119" s="200"/>
      <c r="EJ119" s="200"/>
      <c r="EK119" s="200"/>
      <c r="EL119" s="200"/>
      <c r="EM119" s="200"/>
      <c r="EN119" s="200"/>
      <c r="EO119" s="200"/>
      <c r="EP119" s="200"/>
      <c r="EQ119" s="200"/>
      <c r="ER119" s="200"/>
      <c r="ES119" s="200"/>
      <c r="ET119" s="200"/>
      <c r="EU119" s="200"/>
      <c r="EV119" s="200"/>
      <c r="EW119" s="200"/>
      <c r="EX119" s="200"/>
      <c r="EY119" s="200"/>
      <c r="EZ119" s="200"/>
      <c r="FA119" s="200"/>
      <c r="FB119" s="200"/>
      <c r="FC119" s="200"/>
      <c r="FD119" s="200"/>
      <c r="FE119" s="200"/>
      <c r="FF119" s="200"/>
      <c r="FG119" s="200"/>
      <c r="FH119" s="200"/>
      <c r="FI119" s="200"/>
      <c r="FJ119" s="200"/>
      <c r="FK119" s="200"/>
      <c r="FL119" s="200"/>
      <c r="FM119" s="200"/>
      <c r="FN119" s="200"/>
      <c r="FO119" s="200"/>
      <c r="FP119" s="200"/>
      <c r="FQ119" s="200"/>
      <c r="FR119" s="200"/>
      <c r="FS119" s="200"/>
      <c r="FT119" s="200"/>
      <c r="FU119" s="200"/>
      <c r="FV119" s="200"/>
      <c r="FW119" s="200"/>
      <c r="FX119" s="200"/>
      <c r="FY119" s="200"/>
      <c r="FZ119" s="200"/>
      <c r="GA119" s="200"/>
      <c r="GB119" s="200"/>
      <c r="GC119" s="200"/>
      <c r="GD119" s="200"/>
      <c r="GE119" s="200"/>
      <c r="GF119" s="200"/>
      <c r="GG119" s="200"/>
      <c r="GH119" s="200"/>
      <c r="GI119" s="200"/>
      <c r="GJ119" s="200"/>
      <c r="GK119" s="200"/>
      <c r="GL119" s="200"/>
      <c r="GM119" s="200"/>
      <c r="GN119" s="200"/>
      <c r="GO119" s="200"/>
      <c r="GP119" s="200"/>
      <c r="GQ119" s="200"/>
      <c r="GR119" s="200"/>
      <c r="GS119" s="200"/>
      <c r="GT119" s="200"/>
      <c r="GU119" s="200"/>
      <c r="GV119" s="200"/>
      <c r="GW119" s="200"/>
      <c r="GX119" s="200"/>
      <c r="GY119" s="200"/>
      <c r="GZ119" s="200"/>
      <c r="HA119" s="200"/>
      <c r="HB119" s="200"/>
      <c r="HC119" s="200"/>
      <c r="HD119" s="200"/>
      <c r="HE119" s="200"/>
      <c r="HF119" s="200"/>
      <c r="HG119" s="200"/>
      <c r="HH119" s="200"/>
      <c r="HI119" s="200"/>
      <c r="HJ119" s="200"/>
      <c r="HK119" s="200"/>
      <c r="HL119" s="200"/>
      <c r="HM119" s="200"/>
      <c r="HN119" s="200"/>
      <c r="HO119" s="200"/>
      <c r="HP119" s="200"/>
      <c r="HQ119" s="200"/>
      <c r="HR119" s="200"/>
      <c r="HS119" s="200"/>
      <c r="HT119" s="200"/>
      <c r="HU119" s="200"/>
      <c r="HV119" s="200"/>
      <c r="HW119" s="200"/>
      <c r="HX119" s="200"/>
      <c r="HY119" s="200"/>
      <c r="HZ119" s="200"/>
      <c r="IA119" s="200"/>
      <c r="IB119" s="200"/>
      <c r="IC119" s="200"/>
      <c r="ID119" s="200"/>
      <c r="IE119" s="200"/>
      <c r="IF119" s="200"/>
      <c r="IG119" s="200"/>
      <c r="IH119" s="200"/>
      <c r="II119" s="200"/>
      <c r="IJ119" s="200"/>
      <c r="IK119" s="200"/>
      <c r="IL119" s="200"/>
      <c r="IM119" s="200"/>
      <c r="IN119" s="200"/>
      <c r="IO119" s="200"/>
      <c r="IP119" s="200"/>
      <c r="IQ119" s="200"/>
      <c r="IR119" s="200"/>
      <c r="IS119" s="200"/>
      <c r="IT119" s="200"/>
      <c r="IU119" s="201"/>
      <c r="IV119" s="201"/>
    </row>
    <row r="120" s="10" customFormat="1" ht="15.95" customHeight="1" spans="1:256">
      <c r="A120" s="199">
        <v>6</v>
      </c>
      <c r="B120" s="20" t="s">
        <v>2157</v>
      </c>
      <c r="C120" s="199" t="s">
        <v>2160</v>
      </c>
      <c r="D120" s="199">
        <v>4006</v>
      </c>
      <c r="E120" s="199">
        <f>'05版台时'!I230</f>
        <v>147.52614342298</v>
      </c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0"/>
      <c r="AL120" s="200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200"/>
      <c r="BB120" s="200"/>
      <c r="BC120" s="200"/>
      <c r="BD120" s="200"/>
      <c r="BE120" s="200"/>
      <c r="BF120" s="200"/>
      <c r="BG120" s="200"/>
      <c r="BH120" s="200"/>
      <c r="BI120" s="200"/>
      <c r="BJ120" s="200"/>
      <c r="BK120" s="200"/>
      <c r="BL120" s="200"/>
      <c r="BM120" s="200"/>
      <c r="BN120" s="200"/>
      <c r="BO120" s="200"/>
      <c r="BP120" s="200"/>
      <c r="BQ120" s="200"/>
      <c r="BR120" s="200"/>
      <c r="BS120" s="200"/>
      <c r="BT120" s="200"/>
      <c r="BU120" s="200"/>
      <c r="BV120" s="200"/>
      <c r="BW120" s="200"/>
      <c r="BX120" s="200"/>
      <c r="BY120" s="200"/>
      <c r="BZ120" s="200"/>
      <c r="CA120" s="200"/>
      <c r="CB120" s="200"/>
      <c r="CC120" s="200"/>
      <c r="CD120" s="200"/>
      <c r="CE120" s="200"/>
      <c r="CF120" s="200"/>
      <c r="CG120" s="200"/>
      <c r="CH120" s="200"/>
      <c r="CI120" s="200"/>
      <c r="CJ120" s="200"/>
      <c r="CK120" s="200"/>
      <c r="CL120" s="200"/>
      <c r="CM120" s="200"/>
      <c r="CN120" s="200"/>
      <c r="CO120" s="200"/>
      <c r="CP120" s="200"/>
      <c r="CQ120" s="200"/>
      <c r="CR120" s="200"/>
      <c r="CS120" s="200"/>
      <c r="CT120" s="200"/>
      <c r="CU120" s="200"/>
      <c r="CV120" s="200"/>
      <c r="CW120" s="200"/>
      <c r="CX120" s="200"/>
      <c r="CY120" s="200"/>
      <c r="CZ120" s="200"/>
      <c r="DA120" s="200"/>
      <c r="DB120" s="200"/>
      <c r="DC120" s="200"/>
      <c r="DD120" s="200"/>
      <c r="DE120" s="200"/>
      <c r="DF120" s="200"/>
      <c r="DG120" s="200"/>
      <c r="DH120" s="200"/>
      <c r="DI120" s="200"/>
      <c r="DJ120" s="200"/>
      <c r="DK120" s="200"/>
      <c r="DL120" s="200"/>
      <c r="DM120" s="200"/>
      <c r="DN120" s="200"/>
      <c r="DO120" s="200"/>
      <c r="DP120" s="200"/>
      <c r="DQ120" s="200"/>
      <c r="DR120" s="200"/>
      <c r="DS120" s="200"/>
      <c r="DT120" s="200"/>
      <c r="DU120" s="200"/>
      <c r="DV120" s="200"/>
      <c r="DW120" s="200"/>
      <c r="DX120" s="200"/>
      <c r="DY120" s="200"/>
      <c r="DZ120" s="200"/>
      <c r="EA120" s="200"/>
      <c r="EB120" s="200"/>
      <c r="EC120" s="200"/>
      <c r="ED120" s="200"/>
      <c r="EE120" s="200"/>
      <c r="EF120" s="200"/>
      <c r="EG120" s="200"/>
      <c r="EH120" s="200"/>
      <c r="EI120" s="200"/>
      <c r="EJ120" s="200"/>
      <c r="EK120" s="200"/>
      <c r="EL120" s="200"/>
      <c r="EM120" s="200"/>
      <c r="EN120" s="200"/>
      <c r="EO120" s="200"/>
      <c r="EP120" s="200"/>
      <c r="EQ120" s="200"/>
      <c r="ER120" s="200"/>
      <c r="ES120" s="200"/>
      <c r="ET120" s="200"/>
      <c r="EU120" s="200"/>
      <c r="EV120" s="200"/>
      <c r="EW120" s="200"/>
      <c r="EX120" s="200"/>
      <c r="EY120" s="200"/>
      <c r="EZ120" s="200"/>
      <c r="FA120" s="200"/>
      <c r="FB120" s="200"/>
      <c r="FC120" s="200"/>
      <c r="FD120" s="200"/>
      <c r="FE120" s="200"/>
      <c r="FF120" s="200"/>
      <c r="FG120" s="200"/>
      <c r="FH120" s="200"/>
      <c r="FI120" s="200"/>
      <c r="FJ120" s="200"/>
      <c r="FK120" s="200"/>
      <c r="FL120" s="200"/>
      <c r="FM120" s="200"/>
      <c r="FN120" s="200"/>
      <c r="FO120" s="200"/>
      <c r="FP120" s="200"/>
      <c r="FQ120" s="200"/>
      <c r="FR120" s="200"/>
      <c r="FS120" s="200"/>
      <c r="FT120" s="200"/>
      <c r="FU120" s="200"/>
      <c r="FV120" s="200"/>
      <c r="FW120" s="200"/>
      <c r="FX120" s="200"/>
      <c r="FY120" s="200"/>
      <c r="FZ120" s="200"/>
      <c r="GA120" s="200"/>
      <c r="GB120" s="200"/>
      <c r="GC120" s="200"/>
      <c r="GD120" s="200"/>
      <c r="GE120" s="200"/>
      <c r="GF120" s="200"/>
      <c r="GG120" s="200"/>
      <c r="GH120" s="200"/>
      <c r="GI120" s="200"/>
      <c r="GJ120" s="200"/>
      <c r="GK120" s="200"/>
      <c r="GL120" s="200"/>
      <c r="GM120" s="200"/>
      <c r="GN120" s="200"/>
      <c r="GO120" s="200"/>
      <c r="GP120" s="200"/>
      <c r="GQ120" s="200"/>
      <c r="GR120" s="200"/>
      <c r="GS120" s="200"/>
      <c r="GT120" s="200"/>
      <c r="GU120" s="200"/>
      <c r="GV120" s="200"/>
      <c r="GW120" s="200"/>
      <c r="GX120" s="200"/>
      <c r="GY120" s="200"/>
      <c r="GZ120" s="200"/>
      <c r="HA120" s="200"/>
      <c r="HB120" s="200"/>
      <c r="HC120" s="200"/>
      <c r="HD120" s="200"/>
      <c r="HE120" s="200"/>
      <c r="HF120" s="200"/>
      <c r="HG120" s="200"/>
      <c r="HH120" s="200"/>
      <c r="HI120" s="200"/>
      <c r="HJ120" s="200"/>
      <c r="HK120" s="200"/>
      <c r="HL120" s="200"/>
      <c r="HM120" s="200"/>
      <c r="HN120" s="200"/>
      <c r="HO120" s="200"/>
      <c r="HP120" s="200"/>
      <c r="HQ120" s="200"/>
      <c r="HR120" s="200"/>
      <c r="HS120" s="200"/>
      <c r="HT120" s="200"/>
      <c r="HU120" s="200"/>
      <c r="HV120" s="200"/>
      <c r="HW120" s="200"/>
      <c r="HX120" s="200"/>
      <c r="HY120" s="200"/>
      <c r="HZ120" s="200"/>
      <c r="IA120" s="200"/>
      <c r="IB120" s="200"/>
      <c r="IC120" s="200"/>
      <c r="ID120" s="200"/>
      <c r="IE120" s="200"/>
      <c r="IF120" s="200"/>
      <c r="IG120" s="200"/>
      <c r="IH120" s="200"/>
      <c r="II120" s="200"/>
      <c r="IJ120" s="200"/>
      <c r="IK120" s="200"/>
      <c r="IL120" s="200"/>
      <c r="IM120" s="200"/>
      <c r="IN120" s="200"/>
      <c r="IO120" s="200"/>
      <c r="IP120" s="200"/>
      <c r="IQ120" s="200"/>
      <c r="IR120" s="200"/>
      <c r="IS120" s="200"/>
      <c r="IT120" s="200"/>
      <c r="IU120" s="201"/>
      <c r="IV120" s="201"/>
    </row>
    <row r="121" s="10" customFormat="1" ht="15.95" customHeight="1" spans="1:256">
      <c r="A121" s="199">
        <v>7</v>
      </c>
      <c r="B121" s="20" t="s">
        <v>2161</v>
      </c>
      <c r="C121" s="199" t="s">
        <v>2162</v>
      </c>
      <c r="D121" s="199">
        <v>4007</v>
      </c>
      <c r="E121" s="199">
        <f>'05版台时'!J230</f>
        <v>195.527089761926</v>
      </c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200"/>
      <c r="AK121" s="200"/>
      <c r="AL121" s="200"/>
      <c r="AM121" s="200"/>
      <c r="AN121" s="200"/>
      <c r="AO121" s="200"/>
      <c r="AP121" s="200"/>
      <c r="AQ121" s="200"/>
      <c r="AR121" s="200"/>
      <c r="AS121" s="200"/>
      <c r="AT121" s="200"/>
      <c r="AU121" s="200"/>
      <c r="AV121" s="200"/>
      <c r="AW121" s="200"/>
      <c r="AX121" s="200"/>
      <c r="AY121" s="200"/>
      <c r="AZ121" s="200"/>
      <c r="BA121" s="200"/>
      <c r="BB121" s="200"/>
      <c r="BC121" s="200"/>
      <c r="BD121" s="200"/>
      <c r="BE121" s="200"/>
      <c r="BF121" s="200"/>
      <c r="BG121" s="200"/>
      <c r="BH121" s="200"/>
      <c r="BI121" s="200"/>
      <c r="BJ121" s="200"/>
      <c r="BK121" s="200"/>
      <c r="BL121" s="200"/>
      <c r="BM121" s="200"/>
      <c r="BN121" s="200"/>
      <c r="BO121" s="200"/>
      <c r="BP121" s="200"/>
      <c r="BQ121" s="200"/>
      <c r="BR121" s="200"/>
      <c r="BS121" s="200"/>
      <c r="BT121" s="200"/>
      <c r="BU121" s="200"/>
      <c r="BV121" s="200"/>
      <c r="BW121" s="200"/>
      <c r="BX121" s="200"/>
      <c r="BY121" s="200"/>
      <c r="BZ121" s="200"/>
      <c r="CA121" s="200"/>
      <c r="CB121" s="200"/>
      <c r="CC121" s="200"/>
      <c r="CD121" s="200"/>
      <c r="CE121" s="200"/>
      <c r="CF121" s="200"/>
      <c r="CG121" s="200"/>
      <c r="CH121" s="200"/>
      <c r="CI121" s="200"/>
      <c r="CJ121" s="200"/>
      <c r="CK121" s="200"/>
      <c r="CL121" s="200"/>
      <c r="CM121" s="200"/>
      <c r="CN121" s="200"/>
      <c r="CO121" s="200"/>
      <c r="CP121" s="200"/>
      <c r="CQ121" s="200"/>
      <c r="CR121" s="200"/>
      <c r="CS121" s="200"/>
      <c r="CT121" s="200"/>
      <c r="CU121" s="200"/>
      <c r="CV121" s="200"/>
      <c r="CW121" s="200"/>
      <c r="CX121" s="200"/>
      <c r="CY121" s="200"/>
      <c r="CZ121" s="200"/>
      <c r="DA121" s="200"/>
      <c r="DB121" s="200"/>
      <c r="DC121" s="200"/>
      <c r="DD121" s="200"/>
      <c r="DE121" s="200"/>
      <c r="DF121" s="200"/>
      <c r="DG121" s="200"/>
      <c r="DH121" s="200"/>
      <c r="DI121" s="200"/>
      <c r="DJ121" s="200"/>
      <c r="DK121" s="200"/>
      <c r="DL121" s="200"/>
      <c r="DM121" s="200"/>
      <c r="DN121" s="200"/>
      <c r="DO121" s="200"/>
      <c r="DP121" s="200"/>
      <c r="DQ121" s="200"/>
      <c r="DR121" s="200"/>
      <c r="DS121" s="200"/>
      <c r="DT121" s="200"/>
      <c r="DU121" s="200"/>
      <c r="DV121" s="200"/>
      <c r="DW121" s="200"/>
      <c r="DX121" s="200"/>
      <c r="DY121" s="200"/>
      <c r="DZ121" s="200"/>
      <c r="EA121" s="200"/>
      <c r="EB121" s="200"/>
      <c r="EC121" s="200"/>
      <c r="ED121" s="200"/>
      <c r="EE121" s="200"/>
      <c r="EF121" s="200"/>
      <c r="EG121" s="200"/>
      <c r="EH121" s="200"/>
      <c r="EI121" s="200"/>
      <c r="EJ121" s="200"/>
      <c r="EK121" s="200"/>
      <c r="EL121" s="200"/>
      <c r="EM121" s="200"/>
      <c r="EN121" s="200"/>
      <c r="EO121" s="200"/>
      <c r="EP121" s="200"/>
      <c r="EQ121" s="200"/>
      <c r="ER121" s="200"/>
      <c r="ES121" s="200"/>
      <c r="ET121" s="200"/>
      <c r="EU121" s="200"/>
      <c r="EV121" s="200"/>
      <c r="EW121" s="200"/>
      <c r="EX121" s="200"/>
      <c r="EY121" s="200"/>
      <c r="EZ121" s="200"/>
      <c r="FA121" s="200"/>
      <c r="FB121" s="200"/>
      <c r="FC121" s="200"/>
      <c r="FD121" s="200"/>
      <c r="FE121" s="200"/>
      <c r="FF121" s="200"/>
      <c r="FG121" s="200"/>
      <c r="FH121" s="200"/>
      <c r="FI121" s="200"/>
      <c r="FJ121" s="200"/>
      <c r="FK121" s="200"/>
      <c r="FL121" s="200"/>
      <c r="FM121" s="200"/>
      <c r="FN121" s="200"/>
      <c r="FO121" s="200"/>
      <c r="FP121" s="200"/>
      <c r="FQ121" s="200"/>
      <c r="FR121" s="200"/>
      <c r="FS121" s="200"/>
      <c r="FT121" s="200"/>
      <c r="FU121" s="200"/>
      <c r="FV121" s="200"/>
      <c r="FW121" s="200"/>
      <c r="FX121" s="200"/>
      <c r="FY121" s="200"/>
      <c r="FZ121" s="200"/>
      <c r="GA121" s="200"/>
      <c r="GB121" s="200"/>
      <c r="GC121" s="200"/>
      <c r="GD121" s="200"/>
      <c r="GE121" s="200"/>
      <c r="GF121" s="200"/>
      <c r="GG121" s="200"/>
      <c r="GH121" s="200"/>
      <c r="GI121" s="200"/>
      <c r="GJ121" s="200"/>
      <c r="GK121" s="200"/>
      <c r="GL121" s="200"/>
      <c r="GM121" s="200"/>
      <c r="GN121" s="200"/>
      <c r="GO121" s="200"/>
      <c r="GP121" s="200"/>
      <c r="GQ121" s="200"/>
      <c r="GR121" s="200"/>
      <c r="GS121" s="200"/>
      <c r="GT121" s="200"/>
      <c r="GU121" s="200"/>
      <c r="GV121" s="200"/>
      <c r="GW121" s="200"/>
      <c r="GX121" s="200"/>
      <c r="GY121" s="200"/>
      <c r="GZ121" s="200"/>
      <c r="HA121" s="200"/>
      <c r="HB121" s="200"/>
      <c r="HC121" s="200"/>
      <c r="HD121" s="200"/>
      <c r="HE121" s="200"/>
      <c r="HF121" s="200"/>
      <c r="HG121" s="200"/>
      <c r="HH121" s="200"/>
      <c r="HI121" s="200"/>
      <c r="HJ121" s="200"/>
      <c r="HK121" s="200"/>
      <c r="HL121" s="200"/>
      <c r="HM121" s="200"/>
      <c r="HN121" s="200"/>
      <c r="HO121" s="200"/>
      <c r="HP121" s="200"/>
      <c r="HQ121" s="200"/>
      <c r="HR121" s="200"/>
      <c r="HS121" s="200"/>
      <c r="HT121" s="200"/>
      <c r="HU121" s="200"/>
      <c r="HV121" s="200"/>
      <c r="HW121" s="200"/>
      <c r="HX121" s="200"/>
      <c r="HY121" s="200"/>
      <c r="HZ121" s="200"/>
      <c r="IA121" s="200"/>
      <c r="IB121" s="200"/>
      <c r="IC121" s="200"/>
      <c r="ID121" s="200"/>
      <c r="IE121" s="200"/>
      <c r="IF121" s="200"/>
      <c r="IG121" s="200"/>
      <c r="IH121" s="200"/>
      <c r="II121" s="200"/>
      <c r="IJ121" s="200"/>
      <c r="IK121" s="200"/>
      <c r="IL121" s="200"/>
      <c r="IM121" s="200"/>
      <c r="IN121" s="200"/>
      <c r="IO121" s="200"/>
      <c r="IP121" s="200"/>
      <c r="IQ121" s="200"/>
      <c r="IR121" s="200"/>
      <c r="IS121" s="200"/>
      <c r="IT121" s="200"/>
      <c r="IU121" s="201"/>
      <c r="IV121" s="201"/>
    </row>
    <row r="122" s="10" customFormat="1" ht="15.95" customHeight="1" spans="1:256">
      <c r="A122" s="199">
        <v>8</v>
      </c>
      <c r="B122" s="20" t="s">
        <v>2163</v>
      </c>
      <c r="C122" s="199" t="s">
        <v>2124</v>
      </c>
      <c r="D122" s="199">
        <v>4008</v>
      </c>
      <c r="E122" s="199">
        <f>'05版台时'!K230</f>
        <v>40.065330252683</v>
      </c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0"/>
      <c r="CR122" s="200"/>
      <c r="CS122" s="200"/>
      <c r="CT122" s="200"/>
      <c r="CU122" s="200"/>
      <c r="CV122" s="200"/>
      <c r="CW122" s="200"/>
      <c r="CX122" s="200"/>
      <c r="CY122" s="200"/>
      <c r="CZ122" s="200"/>
      <c r="DA122" s="200"/>
      <c r="DB122" s="200"/>
      <c r="DC122" s="200"/>
      <c r="DD122" s="200"/>
      <c r="DE122" s="200"/>
      <c r="DF122" s="200"/>
      <c r="DG122" s="200"/>
      <c r="DH122" s="200"/>
      <c r="DI122" s="200"/>
      <c r="DJ122" s="200"/>
      <c r="DK122" s="200"/>
      <c r="DL122" s="200"/>
      <c r="DM122" s="200"/>
      <c r="DN122" s="200"/>
      <c r="DO122" s="200"/>
      <c r="DP122" s="200"/>
      <c r="DQ122" s="200"/>
      <c r="DR122" s="200"/>
      <c r="DS122" s="200"/>
      <c r="DT122" s="200"/>
      <c r="DU122" s="200"/>
      <c r="DV122" s="200"/>
      <c r="DW122" s="200"/>
      <c r="DX122" s="200"/>
      <c r="DY122" s="200"/>
      <c r="DZ122" s="200"/>
      <c r="EA122" s="200"/>
      <c r="EB122" s="200"/>
      <c r="EC122" s="200"/>
      <c r="ED122" s="200"/>
      <c r="EE122" s="200"/>
      <c r="EF122" s="200"/>
      <c r="EG122" s="200"/>
      <c r="EH122" s="200"/>
      <c r="EI122" s="200"/>
      <c r="EJ122" s="200"/>
      <c r="EK122" s="200"/>
      <c r="EL122" s="200"/>
      <c r="EM122" s="200"/>
      <c r="EN122" s="200"/>
      <c r="EO122" s="200"/>
      <c r="EP122" s="200"/>
      <c r="EQ122" s="200"/>
      <c r="ER122" s="200"/>
      <c r="ES122" s="200"/>
      <c r="ET122" s="200"/>
      <c r="EU122" s="200"/>
      <c r="EV122" s="200"/>
      <c r="EW122" s="200"/>
      <c r="EX122" s="200"/>
      <c r="EY122" s="200"/>
      <c r="EZ122" s="200"/>
      <c r="FA122" s="200"/>
      <c r="FB122" s="200"/>
      <c r="FC122" s="200"/>
      <c r="FD122" s="200"/>
      <c r="FE122" s="200"/>
      <c r="FF122" s="200"/>
      <c r="FG122" s="200"/>
      <c r="FH122" s="200"/>
      <c r="FI122" s="200"/>
      <c r="FJ122" s="200"/>
      <c r="FK122" s="200"/>
      <c r="FL122" s="200"/>
      <c r="FM122" s="200"/>
      <c r="FN122" s="200"/>
      <c r="FO122" s="200"/>
      <c r="FP122" s="200"/>
      <c r="FQ122" s="200"/>
      <c r="FR122" s="200"/>
      <c r="FS122" s="200"/>
      <c r="FT122" s="200"/>
      <c r="FU122" s="200"/>
      <c r="FV122" s="200"/>
      <c r="FW122" s="200"/>
      <c r="FX122" s="200"/>
      <c r="FY122" s="200"/>
      <c r="FZ122" s="200"/>
      <c r="GA122" s="200"/>
      <c r="GB122" s="200"/>
      <c r="GC122" s="200"/>
      <c r="GD122" s="200"/>
      <c r="GE122" s="200"/>
      <c r="GF122" s="200"/>
      <c r="GG122" s="200"/>
      <c r="GH122" s="200"/>
      <c r="GI122" s="200"/>
      <c r="GJ122" s="200"/>
      <c r="GK122" s="200"/>
      <c r="GL122" s="200"/>
      <c r="GM122" s="200"/>
      <c r="GN122" s="200"/>
      <c r="GO122" s="200"/>
      <c r="GP122" s="200"/>
      <c r="GQ122" s="200"/>
      <c r="GR122" s="200"/>
      <c r="GS122" s="200"/>
      <c r="GT122" s="200"/>
      <c r="GU122" s="200"/>
      <c r="GV122" s="200"/>
      <c r="GW122" s="200"/>
      <c r="GX122" s="200"/>
      <c r="GY122" s="200"/>
      <c r="GZ122" s="200"/>
      <c r="HA122" s="200"/>
      <c r="HB122" s="200"/>
      <c r="HC122" s="200"/>
      <c r="HD122" s="200"/>
      <c r="HE122" s="200"/>
      <c r="HF122" s="200"/>
      <c r="HG122" s="200"/>
      <c r="HH122" s="200"/>
      <c r="HI122" s="200"/>
      <c r="HJ122" s="200"/>
      <c r="HK122" s="200"/>
      <c r="HL122" s="200"/>
      <c r="HM122" s="200"/>
      <c r="HN122" s="200"/>
      <c r="HO122" s="200"/>
      <c r="HP122" s="200"/>
      <c r="HQ122" s="200"/>
      <c r="HR122" s="200"/>
      <c r="HS122" s="200"/>
      <c r="HT122" s="200"/>
      <c r="HU122" s="200"/>
      <c r="HV122" s="200"/>
      <c r="HW122" s="200"/>
      <c r="HX122" s="200"/>
      <c r="HY122" s="200"/>
      <c r="HZ122" s="200"/>
      <c r="IA122" s="200"/>
      <c r="IB122" s="200"/>
      <c r="IC122" s="200"/>
      <c r="ID122" s="200"/>
      <c r="IE122" s="200"/>
      <c r="IF122" s="200"/>
      <c r="IG122" s="200"/>
      <c r="IH122" s="200"/>
      <c r="II122" s="200"/>
      <c r="IJ122" s="200"/>
      <c r="IK122" s="200"/>
      <c r="IL122" s="200"/>
      <c r="IM122" s="200"/>
      <c r="IN122" s="200"/>
      <c r="IO122" s="200"/>
      <c r="IP122" s="200"/>
      <c r="IQ122" s="200"/>
      <c r="IR122" s="200"/>
      <c r="IS122" s="200"/>
      <c r="IT122" s="200"/>
      <c r="IU122" s="201"/>
      <c r="IV122" s="201"/>
    </row>
    <row r="123" s="10" customFormat="1" ht="15.95" customHeight="1" spans="1:256">
      <c r="A123" s="199">
        <v>9</v>
      </c>
      <c r="B123" s="20" t="s">
        <v>2163</v>
      </c>
      <c r="C123" s="199" t="s">
        <v>2061</v>
      </c>
      <c r="D123" s="199">
        <v>4009</v>
      </c>
      <c r="E123" s="199">
        <f>'05版台时'!L230</f>
        <v>52.0552943532015</v>
      </c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200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200"/>
      <c r="BO123" s="200"/>
      <c r="BP123" s="200"/>
      <c r="BQ123" s="200"/>
      <c r="BR123" s="200"/>
      <c r="BS123" s="200"/>
      <c r="BT123" s="200"/>
      <c r="BU123" s="200"/>
      <c r="BV123" s="200"/>
      <c r="BW123" s="200"/>
      <c r="BX123" s="200"/>
      <c r="BY123" s="200"/>
      <c r="BZ123" s="200"/>
      <c r="CA123" s="200"/>
      <c r="CB123" s="200"/>
      <c r="CC123" s="200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0"/>
      <c r="CN123" s="200"/>
      <c r="CO123" s="200"/>
      <c r="CP123" s="200"/>
      <c r="CQ123" s="200"/>
      <c r="CR123" s="200"/>
      <c r="CS123" s="200"/>
      <c r="CT123" s="200"/>
      <c r="CU123" s="200"/>
      <c r="CV123" s="200"/>
      <c r="CW123" s="200"/>
      <c r="CX123" s="200"/>
      <c r="CY123" s="200"/>
      <c r="CZ123" s="200"/>
      <c r="DA123" s="200"/>
      <c r="DB123" s="200"/>
      <c r="DC123" s="200"/>
      <c r="DD123" s="200"/>
      <c r="DE123" s="200"/>
      <c r="DF123" s="200"/>
      <c r="DG123" s="200"/>
      <c r="DH123" s="200"/>
      <c r="DI123" s="200"/>
      <c r="DJ123" s="200"/>
      <c r="DK123" s="200"/>
      <c r="DL123" s="200"/>
      <c r="DM123" s="200"/>
      <c r="DN123" s="200"/>
      <c r="DO123" s="200"/>
      <c r="DP123" s="200"/>
      <c r="DQ123" s="200"/>
      <c r="DR123" s="200"/>
      <c r="DS123" s="200"/>
      <c r="DT123" s="200"/>
      <c r="DU123" s="200"/>
      <c r="DV123" s="200"/>
      <c r="DW123" s="200"/>
      <c r="DX123" s="200"/>
      <c r="DY123" s="200"/>
      <c r="DZ123" s="200"/>
      <c r="EA123" s="200"/>
      <c r="EB123" s="200"/>
      <c r="EC123" s="200"/>
      <c r="ED123" s="200"/>
      <c r="EE123" s="200"/>
      <c r="EF123" s="200"/>
      <c r="EG123" s="200"/>
      <c r="EH123" s="200"/>
      <c r="EI123" s="200"/>
      <c r="EJ123" s="200"/>
      <c r="EK123" s="200"/>
      <c r="EL123" s="200"/>
      <c r="EM123" s="200"/>
      <c r="EN123" s="200"/>
      <c r="EO123" s="200"/>
      <c r="EP123" s="200"/>
      <c r="EQ123" s="200"/>
      <c r="ER123" s="200"/>
      <c r="ES123" s="200"/>
      <c r="ET123" s="200"/>
      <c r="EU123" s="200"/>
      <c r="EV123" s="200"/>
      <c r="EW123" s="200"/>
      <c r="EX123" s="200"/>
      <c r="EY123" s="200"/>
      <c r="EZ123" s="200"/>
      <c r="FA123" s="200"/>
      <c r="FB123" s="200"/>
      <c r="FC123" s="200"/>
      <c r="FD123" s="200"/>
      <c r="FE123" s="200"/>
      <c r="FF123" s="200"/>
      <c r="FG123" s="200"/>
      <c r="FH123" s="200"/>
      <c r="FI123" s="200"/>
      <c r="FJ123" s="200"/>
      <c r="FK123" s="200"/>
      <c r="FL123" s="200"/>
      <c r="FM123" s="200"/>
      <c r="FN123" s="200"/>
      <c r="FO123" s="200"/>
      <c r="FP123" s="200"/>
      <c r="FQ123" s="200"/>
      <c r="FR123" s="200"/>
      <c r="FS123" s="200"/>
      <c r="FT123" s="200"/>
      <c r="FU123" s="200"/>
      <c r="FV123" s="200"/>
      <c r="FW123" s="200"/>
      <c r="FX123" s="200"/>
      <c r="FY123" s="200"/>
      <c r="FZ123" s="200"/>
      <c r="GA123" s="200"/>
      <c r="GB123" s="200"/>
      <c r="GC123" s="200"/>
      <c r="GD123" s="200"/>
      <c r="GE123" s="200"/>
      <c r="GF123" s="200"/>
      <c r="GG123" s="200"/>
      <c r="GH123" s="200"/>
      <c r="GI123" s="200"/>
      <c r="GJ123" s="200"/>
      <c r="GK123" s="200"/>
      <c r="GL123" s="200"/>
      <c r="GM123" s="200"/>
      <c r="GN123" s="200"/>
      <c r="GO123" s="200"/>
      <c r="GP123" s="200"/>
      <c r="GQ123" s="200"/>
      <c r="GR123" s="200"/>
      <c r="GS123" s="200"/>
      <c r="GT123" s="200"/>
      <c r="GU123" s="200"/>
      <c r="GV123" s="200"/>
      <c r="GW123" s="200"/>
      <c r="GX123" s="200"/>
      <c r="GY123" s="200"/>
      <c r="GZ123" s="200"/>
      <c r="HA123" s="200"/>
      <c r="HB123" s="200"/>
      <c r="HC123" s="200"/>
      <c r="HD123" s="200"/>
      <c r="HE123" s="200"/>
      <c r="HF123" s="200"/>
      <c r="HG123" s="200"/>
      <c r="HH123" s="200"/>
      <c r="HI123" s="200"/>
      <c r="HJ123" s="200"/>
      <c r="HK123" s="200"/>
      <c r="HL123" s="200"/>
      <c r="HM123" s="200"/>
      <c r="HN123" s="200"/>
      <c r="HO123" s="200"/>
      <c r="HP123" s="200"/>
      <c r="HQ123" s="200"/>
      <c r="HR123" s="200"/>
      <c r="HS123" s="200"/>
      <c r="HT123" s="200"/>
      <c r="HU123" s="200"/>
      <c r="HV123" s="200"/>
      <c r="HW123" s="200"/>
      <c r="HX123" s="200"/>
      <c r="HY123" s="200"/>
      <c r="HZ123" s="200"/>
      <c r="IA123" s="200"/>
      <c r="IB123" s="200"/>
      <c r="IC123" s="200"/>
      <c r="ID123" s="200"/>
      <c r="IE123" s="200"/>
      <c r="IF123" s="200"/>
      <c r="IG123" s="200"/>
      <c r="IH123" s="200"/>
      <c r="II123" s="200"/>
      <c r="IJ123" s="200"/>
      <c r="IK123" s="200"/>
      <c r="IL123" s="200"/>
      <c r="IM123" s="200"/>
      <c r="IN123" s="200"/>
      <c r="IO123" s="200"/>
      <c r="IP123" s="200"/>
      <c r="IQ123" s="200"/>
      <c r="IR123" s="200"/>
      <c r="IS123" s="200"/>
      <c r="IT123" s="200"/>
      <c r="IU123" s="201"/>
      <c r="IV123" s="201"/>
    </row>
    <row r="124" s="10" customFormat="1" ht="15.95" customHeight="1" spans="1:256">
      <c r="A124" s="199">
        <v>10</v>
      </c>
      <c r="B124" s="20" t="s">
        <v>2163</v>
      </c>
      <c r="C124" s="199" t="s">
        <v>2129</v>
      </c>
      <c r="D124" s="199">
        <v>4010</v>
      </c>
      <c r="E124" s="199">
        <f>'05版台时'!M230</f>
        <v>62.2935081545577</v>
      </c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200"/>
      <c r="BN124" s="200"/>
      <c r="BO124" s="200"/>
      <c r="BP124" s="200"/>
      <c r="BQ124" s="200"/>
      <c r="BR124" s="200"/>
      <c r="BS124" s="200"/>
      <c r="BT124" s="200"/>
      <c r="BU124" s="200"/>
      <c r="BV124" s="200"/>
      <c r="BW124" s="200"/>
      <c r="BX124" s="200"/>
      <c r="BY124" s="200"/>
      <c r="BZ124" s="200"/>
      <c r="CA124" s="200"/>
      <c r="CB124" s="200"/>
      <c r="CC124" s="200"/>
      <c r="CD124" s="200"/>
      <c r="CE124" s="200"/>
      <c r="CF124" s="200"/>
      <c r="CG124" s="200"/>
      <c r="CH124" s="200"/>
      <c r="CI124" s="200"/>
      <c r="CJ124" s="200"/>
      <c r="CK124" s="200"/>
      <c r="CL124" s="200"/>
      <c r="CM124" s="200"/>
      <c r="CN124" s="200"/>
      <c r="CO124" s="200"/>
      <c r="CP124" s="200"/>
      <c r="CQ124" s="200"/>
      <c r="CR124" s="200"/>
      <c r="CS124" s="200"/>
      <c r="CT124" s="200"/>
      <c r="CU124" s="200"/>
      <c r="CV124" s="200"/>
      <c r="CW124" s="200"/>
      <c r="CX124" s="200"/>
      <c r="CY124" s="200"/>
      <c r="CZ124" s="200"/>
      <c r="DA124" s="200"/>
      <c r="DB124" s="200"/>
      <c r="DC124" s="200"/>
      <c r="DD124" s="200"/>
      <c r="DE124" s="200"/>
      <c r="DF124" s="200"/>
      <c r="DG124" s="200"/>
      <c r="DH124" s="200"/>
      <c r="DI124" s="200"/>
      <c r="DJ124" s="200"/>
      <c r="DK124" s="200"/>
      <c r="DL124" s="200"/>
      <c r="DM124" s="200"/>
      <c r="DN124" s="200"/>
      <c r="DO124" s="200"/>
      <c r="DP124" s="200"/>
      <c r="DQ124" s="200"/>
      <c r="DR124" s="200"/>
      <c r="DS124" s="200"/>
      <c r="DT124" s="200"/>
      <c r="DU124" s="200"/>
      <c r="DV124" s="200"/>
      <c r="DW124" s="200"/>
      <c r="DX124" s="200"/>
      <c r="DY124" s="200"/>
      <c r="DZ124" s="200"/>
      <c r="EA124" s="200"/>
      <c r="EB124" s="200"/>
      <c r="EC124" s="200"/>
      <c r="ED124" s="200"/>
      <c r="EE124" s="200"/>
      <c r="EF124" s="200"/>
      <c r="EG124" s="200"/>
      <c r="EH124" s="200"/>
      <c r="EI124" s="200"/>
      <c r="EJ124" s="200"/>
      <c r="EK124" s="200"/>
      <c r="EL124" s="200"/>
      <c r="EM124" s="200"/>
      <c r="EN124" s="200"/>
      <c r="EO124" s="200"/>
      <c r="EP124" s="200"/>
      <c r="EQ124" s="200"/>
      <c r="ER124" s="200"/>
      <c r="ES124" s="200"/>
      <c r="ET124" s="200"/>
      <c r="EU124" s="200"/>
      <c r="EV124" s="200"/>
      <c r="EW124" s="200"/>
      <c r="EX124" s="200"/>
      <c r="EY124" s="200"/>
      <c r="EZ124" s="200"/>
      <c r="FA124" s="200"/>
      <c r="FB124" s="200"/>
      <c r="FC124" s="200"/>
      <c r="FD124" s="200"/>
      <c r="FE124" s="200"/>
      <c r="FF124" s="200"/>
      <c r="FG124" s="200"/>
      <c r="FH124" s="200"/>
      <c r="FI124" s="200"/>
      <c r="FJ124" s="200"/>
      <c r="FK124" s="200"/>
      <c r="FL124" s="200"/>
      <c r="FM124" s="200"/>
      <c r="FN124" s="200"/>
      <c r="FO124" s="200"/>
      <c r="FP124" s="200"/>
      <c r="FQ124" s="200"/>
      <c r="FR124" s="200"/>
      <c r="FS124" s="200"/>
      <c r="FT124" s="200"/>
      <c r="FU124" s="200"/>
      <c r="FV124" s="200"/>
      <c r="FW124" s="200"/>
      <c r="FX124" s="200"/>
      <c r="FY124" s="200"/>
      <c r="FZ124" s="200"/>
      <c r="GA124" s="200"/>
      <c r="GB124" s="200"/>
      <c r="GC124" s="200"/>
      <c r="GD124" s="200"/>
      <c r="GE124" s="200"/>
      <c r="GF124" s="200"/>
      <c r="GG124" s="200"/>
      <c r="GH124" s="200"/>
      <c r="GI124" s="200"/>
      <c r="GJ124" s="200"/>
      <c r="GK124" s="200"/>
      <c r="GL124" s="200"/>
      <c r="GM124" s="200"/>
      <c r="GN124" s="200"/>
      <c r="GO124" s="200"/>
      <c r="GP124" s="200"/>
      <c r="GQ124" s="200"/>
      <c r="GR124" s="200"/>
      <c r="GS124" s="200"/>
      <c r="GT124" s="200"/>
      <c r="GU124" s="200"/>
      <c r="GV124" s="200"/>
      <c r="GW124" s="200"/>
      <c r="GX124" s="200"/>
      <c r="GY124" s="200"/>
      <c r="GZ124" s="200"/>
      <c r="HA124" s="200"/>
      <c r="HB124" s="200"/>
      <c r="HC124" s="200"/>
      <c r="HD124" s="200"/>
      <c r="HE124" s="200"/>
      <c r="HF124" s="200"/>
      <c r="HG124" s="200"/>
      <c r="HH124" s="200"/>
      <c r="HI124" s="200"/>
      <c r="HJ124" s="200"/>
      <c r="HK124" s="200"/>
      <c r="HL124" s="200"/>
      <c r="HM124" s="200"/>
      <c r="HN124" s="200"/>
      <c r="HO124" s="200"/>
      <c r="HP124" s="200"/>
      <c r="HQ124" s="200"/>
      <c r="HR124" s="200"/>
      <c r="HS124" s="200"/>
      <c r="HT124" s="200"/>
      <c r="HU124" s="200"/>
      <c r="HV124" s="200"/>
      <c r="HW124" s="200"/>
      <c r="HX124" s="200"/>
      <c r="HY124" s="200"/>
      <c r="HZ124" s="200"/>
      <c r="IA124" s="200"/>
      <c r="IB124" s="200"/>
      <c r="IC124" s="200"/>
      <c r="ID124" s="200"/>
      <c r="IE124" s="200"/>
      <c r="IF124" s="200"/>
      <c r="IG124" s="200"/>
      <c r="IH124" s="200"/>
      <c r="II124" s="200"/>
      <c r="IJ124" s="200"/>
      <c r="IK124" s="200"/>
      <c r="IL124" s="200"/>
      <c r="IM124" s="200"/>
      <c r="IN124" s="200"/>
      <c r="IO124" s="200"/>
      <c r="IP124" s="200"/>
      <c r="IQ124" s="200"/>
      <c r="IR124" s="200"/>
      <c r="IS124" s="200"/>
      <c r="IT124" s="200"/>
      <c r="IU124" s="201"/>
      <c r="IV124" s="201"/>
    </row>
    <row r="125" s="10" customFormat="1" ht="15.95" customHeight="1" spans="1:256">
      <c r="A125" s="199">
        <v>11</v>
      </c>
      <c r="B125" s="20" t="s">
        <v>2164</v>
      </c>
      <c r="C125" s="199" t="s">
        <v>2134</v>
      </c>
      <c r="D125" s="199">
        <v>4011</v>
      </c>
      <c r="E125" s="199">
        <f>'05版台时'!N230</f>
        <v>48.4748675482554</v>
      </c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0"/>
      <c r="BL125" s="200"/>
      <c r="BM125" s="200"/>
      <c r="BN125" s="200"/>
      <c r="BO125" s="200"/>
      <c r="BP125" s="200"/>
      <c r="BQ125" s="200"/>
      <c r="BR125" s="200"/>
      <c r="BS125" s="200"/>
      <c r="BT125" s="200"/>
      <c r="BU125" s="200"/>
      <c r="BV125" s="200"/>
      <c r="BW125" s="200"/>
      <c r="BX125" s="200"/>
      <c r="BY125" s="200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  <c r="CR125" s="200"/>
      <c r="CS125" s="200"/>
      <c r="CT125" s="200"/>
      <c r="CU125" s="200"/>
      <c r="CV125" s="200"/>
      <c r="CW125" s="200"/>
      <c r="CX125" s="200"/>
      <c r="CY125" s="200"/>
      <c r="CZ125" s="200"/>
      <c r="DA125" s="200"/>
      <c r="DB125" s="200"/>
      <c r="DC125" s="200"/>
      <c r="DD125" s="200"/>
      <c r="DE125" s="200"/>
      <c r="DF125" s="200"/>
      <c r="DG125" s="200"/>
      <c r="DH125" s="200"/>
      <c r="DI125" s="200"/>
      <c r="DJ125" s="200"/>
      <c r="DK125" s="200"/>
      <c r="DL125" s="200"/>
      <c r="DM125" s="200"/>
      <c r="DN125" s="200"/>
      <c r="DO125" s="200"/>
      <c r="DP125" s="200"/>
      <c r="DQ125" s="200"/>
      <c r="DR125" s="200"/>
      <c r="DS125" s="200"/>
      <c r="DT125" s="200"/>
      <c r="DU125" s="200"/>
      <c r="DV125" s="200"/>
      <c r="DW125" s="200"/>
      <c r="DX125" s="200"/>
      <c r="DY125" s="200"/>
      <c r="DZ125" s="200"/>
      <c r="EA125" s="200"/>
      <c r="EB125" s="200"/>
      <c r="EC125" s="200"/>
      <c r="ED125" s="200"/>
      <c r="EE125" s="200"/>
      <c r="EF125" s="200"/>
      <c r="EG125" s="200"/>
      <c r="EH125" s="200"/>
      <c r="EI125" s="200"/>
      <c r="EJ125" s="200"/>
      <c r="EK125" s="200"/>
      <c r="EL125" s="200"/>
      <c r="EM125" s="200"/>
      <c r="EN125" s="200"/>
      <c r="EO125" s="200"/>
      <c r="EP125" s="200"/>
      <c r="EQ125" s="200"/>
      <c r="ER125" s="200"/>
      <c r="ES125" s="200"/>
      <c r="ET125" s="200"/>
      <c r="EU125" s="200"/>
      <c r="EV125" s="200"/>
      <c r="EW125" s="200"/>
      <c r="EX125" s="200"/>
      <c r="EY125" s="200"/>
      <c r="EZ125" s="200"/>
      <c r="FA125" s="200"/>
      <c r="FB125" s="200"/>
      <c r="FC125" s="200"/>
      <c r="FD125" s="200"/>
      <c r="FE125" s="200"/>
      <c r="FF125" s="200"/>
      <c r="FG125" s="200"/>
      <c r="FH125" s="200"/>
      <c r="FI125" s="200"/>
      <c r="FJ125" s="200"/>
      <c r="FK125" s="200"/>
      <c r="FL125" s="200"/>
      <c r="FM125" s="200"/>
      <c r="FN125" s="200"/>
      <c r="FO125" s="200"/>
      <c r="FP125" s="200"/>
      <c r="FQ125" s="200"/>
      <c r="FR125" s="200"/>
      <c r="FS125" s="200"/>
      <c r="FT125" s="200"/>
      <c r="FU125" s="200"/>
      <c r="FV125" s="200"/>
      <c r="FW125" s="200"/>
      <c r="FX125" s="200"/>
      <c r="FY125" s="200"/>
      <c r="FZ125" s="200"/>
      <c r="GA125" s="200"/>
      <c r="GB125" s="200"/>
      <c r="GC125" s="200"/>
      <c r="GD125" s="200"/>
      <c r="GE125" s="200"/>
      <c r="GF125" s="200"/>
      <c r="GG125" s="200"/>
      <c r="GH125" s="200"/>
      <c r="GI125" s="200"/>
      <c r="GJ125" s="200"/>
      <c r="GK125" s="200"/>
      <c r="GL125" s="200"/>
      <c r="GM125" s="200"/>
      <c r="GN125" s="200"/>
      <c r="GO125" s="200"/>
      <c r="GP125" s="200"/>
      <c r="GQ125" s="200"/>
      <c r="GR125" s="200"/>
      <c r="GS125" s="200"/>
      <c r="GT125" s="200"/>
      <c r="GU125" s="200"/>
      <c r="GV125" s="200"/>
      <c r="GW125" s="200"/>
      <c r="GX125" s="200"/>
      <c r="GY125" s="200"/>
      <c r="GZ125" s="200"/>
      <c r="HA125" s="200"/>
      <c r="HB125" s="200"/>
      <c r="HC125" s="200"/>
      <c r="HD125" s="200"/>
      <c r="HE125" s="200"/>
      <c r="HF125" s="200"/>
      <c r="HG125" s="200"/>
      <c r="HH125" s="200"/>
      <c r="HI125" s="200"/>
      <c r="HJ125" s="200"/>
      <c r="HK125" s="200"/>
      <c r="HL125" s="200"/>
      <c r="HM125" s="200"/>
      <c r="HN125" s="200"/>
      <c r="HO125" s="200"/>
      <c r="HP125" s="200"/>
      <c r="HQ125" s="200"/>
      <c r="HR125" s="200"/>
      <c r="HS125" s="200"/>
      <c r="HT125" s="200"/>
      <c r="HU125" s="200"/>
      <c r="HV125" s="200"/>
      <c r="HW125" s="200"/>
      <c r="HX125" s="200"/>
      <c r="HY125" s="200"/>
      <c r="HZ125" s="200"/>
      <c r="IA125" s="200"/>
      <c r="IB125" s="200"/>
      <c r="IC125" s="200"/>
      <c r="ID125" s="200"/>
      <c r="IE125" s="200"/>
      <c r="IF125" s="200"/>
      <c r="IG125" s="200"/>
      <c r="IH125" s="200"/>
      <c r="II125" s="200"/>
      <c r="IJ125" s="200"/>
      <c r="IK125" s="200"/>
      <c r="IL125" s="200"/>
      <c r="IM125" s="200"/>
      <c r="IN125" s="200"/>
      <c r="IO125" s="200"/>
      <c r="IP125" s="200"/>
      <c r="IQ125" s="200"/>
      <c r="IR125" s="200"/>
      <c r="IS125" s="200"/>
      <c r="IT125" s="200"/>
      <c r="IU125" s="201"/>
      <c r="IV125" s="201"/>
    </row>
    <row r="126" s="10" customFormat="1" ht="15.95" customHeight="1" spans="1:256">
      <c r="A126" s="199">
        <v>12</v>
      </c>
      <c r="B126" s="20" t="s">
        <v>2165</v>
      </c>
      <c r="C126" s="199" t="s">
        <v>2124</v>
      </c>
      <c r="D126" s="199">
        <v>4012</v>
      </c>
      <c r="E126" s="199">
        <f>'05版台时'!O230</f>
        <v>25.474434255172</v>
      </c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200"/>
      <c r="AM126" s="200"/>
      <c r="AN126" s="200"/>
      <c r="AO126" s="200"/>
      <c r="AP126" s="200"/>
      <c r="AQ126" s="200"/>
      <c r="AR126" s="200"/>
      <c r="AS126" s="200"/>
      <c r="AT126" s="200"/>
      <c r="AU126" s="200"/>
      <c r="AV126" s="200"/>
      <c r="AW126" s="200"/>
      <c r="AX126" s="200"/>
      <c r="AY126" s="200"/>
      <c r="AZ126" s="200"/>
      <c r="BA126" s="200"/>
      <c r="BB126" s="200"/>
      <c r="BC126" s="200"/>
      <c r="BD126" s="200"/>
      <c r="BE126" s="200"/>
      <c r="BF126" s="200"/>
      <c r="BG126" s="200"/>
      <c r="BH126" s="200"/>
      <c r="BI126" s="200"/>
      <c r="BJ126" s="200"/>
      <c r="BK126" s="200"/>
      <c r="BL126" s="200"/>
      <c r="BM126" s="200"/>
      <c r="BN126" s="200"/>
      <c r="BO126" s="200"/>
      <c r="BP126" s="200"/>
      <c r="BQ126" s="200"/>
      <c r="BR126" s="200"/>
      <c r="BS126" s="200"/>
      <c r="BT126" s="200"/>
      <c r="BU126" s="200"/>
      <c r="BV126" s="200"/>
      <c r="BW126" s="200"/>
      <c r="BX126" s="200"/>
      <c r="BY126" s="200"/>
      <c r="BZ126" s="200"/>
      <c r="CA126" s="200"/>
      <c r="CB126" s="200"/>
      <c r="CC126" s="200"/>
      <c r="CD126" s="200"/>
      <c r="CE126" s="200"/>
      <c r="CF126" s="200"/>
      <c r="CG126" s="200"/>
      <c r="CH126" s="200"/>
      <c r="CI126" s="200"/>
      <c r="CJ126" s="200"/>
      <c r="CK126" s="200"/>
      <c r="CL126" s="200"/>
      <c r="CM126" s="200"/>
      <c r="CN126" s="200"/>
      <c r="CO126" s="200"/>
      <c r="CP126" s="200"/>
      <c r="CQ126" s="200"/>
      <c r="CR126" s="200"/>
      <c r="CS126" s="200"/>
      <c r="CT126" s="200"/>
      <c r="CU126" s="200"/>
      <c r="CV126" s="200"/>
      <c r="CW126" s="200"/>
      <c r="CX126" s="200"/>
      <c r="CY126" s="200"/>
      <c r="CZ126" s="200"/>
      <c r="DA126" s="200"/>
      <c r="DB126" s="200"/>
      <c r="DC126" s="200"/>
      <c r="DD126" s="200"/>
      <c r="DE126" s="200"/>
      <c r="DF126" s="200"/>
      <c r="DG126" s="200"/>
      <c r="DH126" s="200"/>
      <c r="DI126" s="200"/>
      <c r="DJ126" s="200"/>
      <c r="DK126" s="200"/>
      <c r="DL126" s="200"/>
      <c r="DM126" s="200"/>
      <c r="DN126" s="200"/>
      <c r="DO126" s="200"/>
      <c r="DP126" s="200"/>
      <c r="DQ126" s="200"/>
      <c r="DR126" s="200"/>
      <c r="DS126" s="200"/>
      <c r="DT126" s="200"/>
      <c r="DU126" s="200"/>
      <c r="DV126" s="200"/>
      <c r="DW126" s="200"/>
      <c r="DX126" s="200"/>
      <c r="DY126" s="200"/>
      <c r="DZ126" s="200"/>
      <c r="EA126" s="200"/>
      <c r="EB126" s="200"/>
      <c r="EC126" s="200"/>
      <c r="ED126" s="200"/>
      <c r="EE126" s="200"/>
      <c r="EF126" s="200"/>
      <c r="EG126" s="200"/>
      <c r="EH126" s="200"/>
      <c r="EI126" s="200"/>
      <c r="EJ126" s="200"/>
      <c r="EK126" s="200"/>
      <c r="EL126" s="200"/>
      <c r="EM126" s="200"/>
      <c r="EN126" s="200"/>
      <c r="EO126" s="200"/>
      <c r="EP126" s="200"/>
      <c r="EQ126" s="200"/>
      <c r="ER126" s="200"/>
      <c r="ES126" s="200"/>
      <c r="ET126" s="200"/>
      <c r="EU126" s="200"/>
      <c r="EV126" s="200"/>
      <c r="EW126" s="200"/>
      <c r="EX126" s="200"/>
      <c r="EY126" s="200"/>
      <c r="EZ126" s="200"/>
      <c r="FA126" s="200"/>
      <c r="FB126" s="200"/>
      <c r="FC126" s="200"/>
      <c r="FD126" s="200"/>
      <c r="FE126" s="200"/>
      <c r="FF126" s="200"/>
      <c r="FG126" s="200"/>
      <c r="FH126" s="200"/>
      <c r="FI126" s="200"/>
      <c r="FJ126" s="200"/>
      <c r="FK126" s="200"/>
      <c r="FL126" s="200"/>
      <c r="FM126" s="200"/>
      <c r="FN126" s="200"/>
      <c r="FO126" s="200"/>
      <c r="FP126" s="200"/>
      <c r="FQ126" s="200"/>
      <c r="FR126" s="200"/>
      <c r="FS126" s="200"/>
      <c r="FT126" s="200"/>
      <c r="FU126" s="200"/>
      <c r="FV126" s="200"/>
      <c r="FW126" s="200"/>
      <c r="FX126" s="200"/>
      <c r="FY126" s="200"/>
      <c r="FZ126" s="200"/>
      <c r="GA126" s="200"/>
      <c r="GB126" s="200"/>
      <c r="GC126" s="200"/>
      <c r="GD126" s="200"/>
      <c r="GE126" s="200"/>
      <c r="GF126" s="200"/>
      <c r="GG126" s="200"/>
      <c r="GH126" s="200"/>
      <c r="GI126" s="200"/>
      <c r="GJ126" s="200"/>
      <c r="GK126" s="200"/>
      <c r="GL126" s="200"/>
      <c r="GM126" s="200"/>
      <c r="GN126" s="200"/>
      <c r="GO126" s="200"/>
      <c r="GP126" s="200"/>
      <c r="GQ126" s="200"/>
      <c r="GR126" s="200"/>
      <c r="GS126" s="200"/>
      <c r="GT126" s="200"/>
      <c r="GU126" s="200"/>
      <c r="GV126" s="200"/>
      <c r="GW126" s="200"/>
      <c r="GX126" s="200"/>
      <c r="GY126" s="200"/>
      <c r="GZ126" s="200"/>
      <c r="HA126" s="200"/>
      <c r="HB126" s="200"/>
      <c r="HC126" s="200"/>
      <c r="HD126" s="200"/>
      <c r="HE126" s="200"/>
      <c r="HF126" s="200"/>
      <c r="HG126" s="200"/>
      <c r="HH126" s="200"/>
      <c r="HI126" s="200"/>
      <c r="HJ126" s="200"/>
      <c r="HK126" s="200"/>
      <c r="HL126" s="200"/>
      <c r="HM126" s="200"/>
      <c r="HN126" s="200"/>
      <c r="HO126" s="200"/>
      <c r="HP126" s="200"/>
      <c r="HQ126" s="200"/>
      <c r="HR126" s="200"/>
      <c r="HS126" s="200"/>
      <c r="HT126" s="200"/>
      <c r="HU126" s="200"/>
      <c r="HV126" s="200"/>
      <c r="HW126" s="200"/>
      <c r="HX126" s="200"/>
      <c r="HY126" s="200"/>
      <c r="HZ126" s="200"/>
      <c r="IA126" s="200"/>
      <c r="IB126" s="200"/>
      <c r="IC126" s="200"/>
      <c r="ID126" s="200"/>
      <c r="IE126" s="200"/>
      <c r="IF126" s="200"/>
      <c r="IG126" s="200"/>
      <c r="IH126" s="200"/>
      <c r="II126" s="200"/>
      <c r="IJ126" s="200"/>
      <c r="IK126" s="200"/>
      <c r="IL126" s="200"/>
      <c r="IM126" s="200"/>
      <c r="IN126" s="200"/>
      <c r="IO126" s="200"/>
      <c r="IP126" s="200"/>
      <c r="IQ126" s="200"/>
      <c r="IR126" s="200"/>
      <c r="IS126" s="200"/>
      <c r="IT126" s="200"/>
      <c r="IU126" s="201"/>
      <c r="IV126" s="201"/>
    </row>
    <row r="127" s="10" customFormat="1" ht="15.95" customHeight="1" spans="1:256">
      <c r="A127" s="199">
        <v>13</v>
      </c>
      <c r="B127" s="20" t="s">
        <v>2165</v>
      </c>
      <c r="C127" s="199" t="s">
        <v>2061</v>
      </c>
      <c r="D127" s="199">
        <v>4013</v>
      </c>
      <c r="E127" s="199">
        <f>'05版台时'!P230</f>
        <v>28.455324562312</v>
      </c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00"/>
      <c r="AF127" s="200"/>
      <c r="AG127" s="200"/>
      <c r="AH127" s="200"/>
      <c r="AI127" s="200"/>
      <c r="AJ127" s="200"/>
      <c r="AK127" s="200"/>
      <c r="AL127" s="200"/>
      <c r="AM127" s="200"/>
      <c r="AN127" s="200"/>
      <c r="AO127" s="200"/>
      <c r="AP127" s="200"/>
      <c r="AQ127" s="200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200"/>
      <c r="BO127" s="200"/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  <c r="CU127" s="200"/>
      <c r="CV127" s="200"/>
      <c r="CW127" s="200"/>
      <c r="CX127" s="200"/>
      <c r="CY127" s="200"/>
      <c r="CZ127" s="200"/>
      <c r="DA127" s="200"/>
      <c r="DB127" s="200"/>
      <c r="DC127" s="200"/>
      <c r="DD127" s="200"/>
      <c r="DE127" s="200"/>
      <c r="DF127" s="200"/>
      <c r="DG127" s="200"/>
      <c r="DH127" s="200"/>
      <c r="DI127" s="200"/>
      <c r="DJ127" s="200"/>
      <c r="DK127" s="200"/>
      <c r="DL127" s="200"/>
      <c r="DM127" s="200"/>
      <c r="DN127" s="200"/>
      <c r="DO127" s="200"/>
      <c r="DP127" s="200"/>
      <c r="DQ127" s="200"/>
      <c r="DR127" s="200"/>
      <c r="DS127" s="200"/>
      <c r="DT127" s="200"/>
      <c r="DU127" s="200"/>
      <c r="DV127" s="200"/>
      <c r="DW127" s="200"/>
      <c r="DX127" s="200"/>
      <c r="DY127" s="200"/>
      <c r="DZ127" s="200"/>
      <c r="EA127" s="200"/>
      <c r="EB127" s="200"/>
      <c r="EC127" s="200"/>
      <c r="ED127" s="200"/>
      <c r="EE127" s="200"/>
      <c r="EF127" s="200"/>
      <c r="EG127" s="200"/>
      <c r="EH127" s="200"/>
      <c r="EI127" s="200"/>
      <c r="EJ127" s="200"/>
      <c r="EK127" s="200"/>
      <c r="EL127" s="200"/>
      <c r="EM127" s="200"/>
      <c r="EN127" s="200"/>
      <c r="EO127" s="200"/>
      <c r="EP127" s="200"/>
      <c r="EQ127" s="200"/>
      <c r="ER127" s="200"/>
      <c r="ES127" s="200"/>
      <c r="ET127" s="200"/>
      <c r="EU127" s="200"/>
      <c r="EV127" s="200"/>
      <c r="EW127" s="200"/>
      <c r="EX127" s="200"/>
      <c r="EY127" s="200"/>
      <c r="EZ127" s="200"/>
      <c r="FA127" s="200"/>
      <c r="FB127" s="200"/>
      <c r="FC127" s="200"/>
      <c r="FD127" s="200"/>
      <c r="FE127" s="200"/>
      <c r="FF127" s="200"/>
      <c r="FG127" s="200"/>
      <c r="FH127" s="200"/>
      <c r="FI127" s="200"/>
      <c r="FJ127" s="200"/>
      <c r="FK127" s="200"/>
      <c r="FL127" s="200"/>
      <c r="FM127" s="200"/>
      <c r="FN127" s="200"/>
      <c r="FO127" s="200"/>
      <c r="FP127" s="200"/>
      <c r="FQ127" s="200"/>
      <c r="FR127" s="200"/>
      <c r="FS127" s="200"/>
      <c r="FT127" s="200"/>
      <c r="FU127" s="200"/>
      <c r="FV127" s="200"/>
      <c r="FW127" s="200"/>
      <c r="FX127" s="200"/>
      <c r="FY127" s="200"/>
      <c r="FZ127" s="200"/>
      <c r="GA127" s="200"/>
      <c r="GB127" s="200"/>
      <c r="GC127" s="200"/>
      <c r="GD127" s="200"/>
      <c r="GE127" s="200"/>
      <c r="GF127" s="200"/>
      <c r="GG127" s="200"/>
      <c r="GH127" s="200"/>
      <c r="GI127" s="200"/>
      <c r="GJ127" s="200"/>
      <c r="GK127" s="200"/>
      <c r="GL127" s="200"/>
      <c r="GM127" s="200"/>
      <c r="GN127" s="200"/>
      <c r="GO127" s="200"/>
      <c r="GP127" s="200"/>
      <c r="GQ127" s="200"/>
      <c r="GR127" s="200"/>
      <c r="GS127" s="200"/>
      <c r="GT127" s="200"/>
      <c r="GU127" s="200"/>
      <c r="GV127" s="200"/>
      <c r="GW127" s="200"/>
      <c r="GX127" s="200"/>
      <c r="GY127" s="200"/>
      <c r="GZ127" s="200"/>
      <c r="HA127" s="200"/>
      <c r="HB127" s="200"/>
      <c r="HC127" s="200"/>
      <c r="HD127" s="200"/>
      <c r="HE127" s="200"/>
      <c r="HF127" s="200"/>
      <c r="HG127" s="200"/>
      <c r="HH127" s="200"/>
      <c r="HI127" s="200"/>
      <c r="HJ127" s="200"/>
      <c r="HK127" s="200"/>
      <c r="HL127" s="200"/>
      <c r="HM127" s="200"/>
      <c r="HN127" s="200"/>
      <c r="HO127" s="200"/>
      <c r="HP127" s="200"/>
      <c r="HQ127" s="200"/>
      <c r="HR127" s="200"/>
      <c r="HS127" s="200"/>
      <c r="HT127" s="200"/>
      <c r="HU127" s="200"/>
      <c r="HV127" s="200"/>
      <c r="HW127" s="200"/>
      <c r="HX127" s="200"/>
      <c r="HY127" s="200"/>
      <c r="HZ127" s="200"/>
      <c r="IA127" s="200"/>
      <c r="IB127" s="200"/>
      <c r="IC127" s="200"/>
      <c r="ID127" s="200"/>
      <c r="IE127" s="200"/>
      <c r="IF127" s="200"/>
      <c r="IG127" s="200"/>
      <c r="IH127" s="200"/>
      <c r="II127" s="200"/>
      <c r="IJ127" s="200"/>
      <c r="IK127" s="200"/>
      <c r="IL127" s="200"/>
      <c r="IM127" s="200"/>
      <c r="IN127" s="200"/>
      <c r="IO127" s="200"/>
      <c r="IP127" s="200"/>
      <c r="IQ127" s="200"/>
      <c r="IR127" s="200"/>
      <c r="IS127" s="200"/>
      <c r="IT127" s="200"/>
      <c r="IU127" s="201"/>
      <c r="IV127" s="201"/>
    </row>
    <row r="128" s="10" customFormat="1" ht="15.95" customHeight="1" spans="1:256">
      <c r="A128" s="199">
        <v>14</v>
      </c>
      <c r="B128" s="20" t="s">
        <v>2165</v>
      </c>
      <c r="C128" s="199" t="s">
        <v>2166</v>
      </c>
      <c r="D128" s="199">
        <v>4014</v>
      </c>
      <c r="E128" s="199">
        <f>'05版台时'!Q230</f>
        <v>37.7507972388178</v>
      </c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200"/>
      <c r="BQ128" s="200"/>
      <c r="BR128" s="200"/>
      <c r="BS128" s="200"/>
      <c r="BT128" s="200"/>
      <c r="BU128" s="200"/>
      <c r="BV128" s="200"/>
      <c r="BW128" s="200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200"/>
      <c r="CX128" s="200"/>
      <c r="CY128" s="200"/>
      <c r="CZ128" s="200"/>
      <c r="DA128" s="200"/>
      <c r="DB128" s="200"/>
      <c r="DC128" s="200"/>
      <c r="DD128" s="200"/>
      <c r="DE128" s="200"/>
      <c r="DF128" s="200"/>
      <c r="DG128" s="200"/>
      <c r="DH128" s="200"/>
      <c r="DI128" s="200"/>
      <c r="DJ128" s="200"/>
      <c r="DK128" s="200"/>
      <c r="DL128" s="200"/>
      <c r="DM128" s="200"/>
      <c r="DN128" s="200"/>
      <c r="DO128" s="200"/>
      <c r="DP128" s="200"/>
      <c r="DQ128" s="200"/>
      <c r="DR128" s="200"/>
      <c r="DS128" s="200"/>
      <c r="DT128" s="200"/>
      <c r="DU128" s="200"/>
      <c r="DV128" s="200"/>
      <c r="DW128" s="200"/>
      <c r="DX128" s="200"/>
      <c r="DY128" s="200"/>
      <c r="DZ128" s="200"/>
      <c r="EA128" s="200"/>
      <c r="EB128" s="200"/>
      <c r="EC128" s="200"/>
      <c r="ED128" s="200"/>
      <c r="EE128" s="200"/>
      <c r="EF128" s="200"/>
      <c r="EG128" s="200"/>
      <c r="EH128" s="200"/>
      <c r="EI128" s="200"/>
      <c r="EJ128" s="200"/>
      <c r="EK128" s="200"/>
      <c r="EL128" s="200"/>
      <c r="EM128" s="200"/>
      <c r="EN128" s="200"/>
      <c r="EO128" s="200"/>
      <c r="EP128" s="200"/>
      <c r="EQ128" s="200"/>
      <c r="ER128" s="200"/>
      <c r="ES128" s="200"/>
      <c r="ET128" s="200"/>
      <c r="EU128" s="200"/>
      <c r="EV128" s="200"/>
      <c r="EW128" s="200"/>
      <c r="EX128" s="200"/>
      <c r="EY128" s="200"/>
      <c r="EZ128" s="200"/>
      <c r="FA128" s="200"/>
      <c r="FB128" s="200"/>
      <c r="FC128" s="200"/>
      <c r="FD128" s="200"/>
      <c r="FE128" s="200"/>
      <c r="FF128" s="200"/>
      <c r="FG128" s="200"/>
      <c r="FH128" s="200"/>
      <c r="FI128" s="200"/>
      <c r="FJ128" s="200"/>
      <c r="FK128" s="200"/>
      <c r="FL128" s="200"/>
      <c r="FM128" s="200"/>
      <c r="FN128" s="200"/>
      <c r="FO128" s="200"/>
      <c r="FP128" s="200"/>
      <c r="FQ128" s="200"/>
      <c r="FR128" s="200"/>
      <c r="FS128" s="200"/>
      <c r="FT128" s="200"/>
      <c r="FU128" s="200"/>
      <c r="FV128" s="200"/>
      <c r="FW128" s="200"/>
      <c r="FX128" s="200"/>
      <c r="FY128" s="200"/>
      <c r="FZ128" s="200"/>
      <c r="GA128" s="200"/>
      <c r="GB128" s="200"/>
      <c r="GC128" s="200"/>
      <c r="GD128" s="200"/>
      <c r="GE128" s="200"/>
      <c r="GF128" s="200"/>
      <c r="GG128" s="200"/>
      <c r="GH128" s="200"/>
      <c r="GI128" s="200"/>
      <c r="GJ128" s="200"/>
      <c r="GK128" s="200"/>
      <c r="GL128" s="200"/>
      <c r="GM128" s="200"/>
      <c r="GN128" s="200"/>
      <c r="GO128" s="200"/>
      <c r="GP128" s="200"/>
      <c r="GQ128" s="200"/>
      <c r="GR128" s="200"/>
      <c r="GS128" s="200"/>
      <c r="GT128" s="200"/>
      <c r="GU128" s="200"/>
      <c r="GV128" s="200"/>
      <c r="GW128" s="200"/>
      <c r="GX128" s="200"/>
      <c r="GY128" s="200"/>
      <c r="GZ128" s="200"/>
      <c r="HA128" s="200"/>
      <c r="HB128" s="200"/>
      <c r="HC128" s="200"/>
      <c r="HD128" s="200"/>
      <c r="HE128" s="200"/>
      <c r="HF128" s="200"/>
      <c r="HG128" s="200"/>
      <c r="HH128" s="200"/>
      <c r="HI128" s="200"/>
      <c r="HJ128" s="200"/>
      <c r="HK128" s="200"/>
      <c r="HL128" s="200"/>
      <c r="HM128" s="200"/>
      <c r="HN128" s="200"/>
      <c r="HO128" s="200"/>
      <c r="HP128" s="200"/>
      <c r="HQ128" s="200"/>
      <c r="HR128" s="200"/>
      <c r="HS128" s="200"/>
      <c r="HT128" s="200"/>
      <c r="HU128" s="200"/>
      <c r="HV128" s="200"/>
      <c r="HW128" s="200"/>
      <c r="HX128" s="200"/>
      <c r="HY128" s="200"/>
      <c r="HZ128" s="200"/>
      <c r="IA128" s="200"/>
      <c r="IB128" s="200"/>
      <c r="IC128" s="200"/>
      <c r="ID128" s="200"/>
      <c r="IE128" s="200"/>
      <c r="IF128" s="200"/>
      <c r="IG128" s="200"/>
      <c r="IH128" s="200"/>
      <c r="II128" s="200"/>
      <c r="IJ128" s="200"/>
      <c r="IK128" s="200"/>
      <c r="IL128" s="200"/>
      <c r="IM128" s="200"/>
      <c r="IN128" s="200"/>
      <c r="IO128" s="200"/>
      <c r="IP128" s="200"/>
      <c r="IQ128" s="200"/>
      <c r="IR128" s="200"/>
      <c r="IS128" s="200"/>
      <c r="IT128" s="200"/>
      <c r="IU128" s="201"/>
      <c r="IV128" s="201"/>
    </row>
    <row r="129" s="10" customFormat="1" ht="15.95" customHeight="1" spans="1:256">
      <c r="A129" s="199">
        <v>15</v>
      </c>
      <c r="B129" s="20" t="s">
        <v>2165</v>
      </c>
      <c r="C129" s="199" t="s">
        <v>2167</v>
      </c>
      <c r="D129" s="199">
        <v>4015</v>
      </c>
      <c r="E129" s="199">
        <f>'05版台时'!R230</f>
        <v>49.7902786907524</v>
      </c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200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200"/>
      <c r="BB129" s="200"/>
      <c r="BC129" s="200"/>
      <c r="BD129" s="200"/>
      <c r="BE129" s="200"/>
      <c r="BF129" s="200"/>
      <c r="BG129" s="200"/>
      <c r="BH129" s="200"/>
      <c r="BI129" s="200"/>
      <c r="BJ129" s="200"/>
      <c r="BK129" s="200"/>
      <c r="BL129" s="200"/>
      <c r="BM129" s="200"/>
      <c r="BN129" s="200"/>
      <c r="BO129" s="200"/>
      <c r="BP129" s="200"/>
      <c r="BQ129" s="200"/>
      <c r="BR129" s="200"/>
      <c r="BS129" s="200"/>
      <c r="BT129" s="200"/>
      <c r="BU129" s="200"/>
      <c r="BV129" s="200"/>
      <c r="BW129" s="200"/>
      <c r="BX129" s="200"/>
      <c r="BY129" s="200"/>
      <c r="BZ129" s="200"/>
      <c r="CA129" s="200"/>
      <c r="CB129" s="200"/>
      <c r="CC129" s="200"/>
      <c r="CD129" s="200"/>
      <c r="CE129" s="200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  <c r="CR129" s="200"/>
      <c r="CS129" s="200"/>
      <c r="CT129" s="200"/>
      <c r="CU129" s="200"/>
      <c r="CV129" s="200"/>
      <c r="CW129" s="200"/>
      <c r="CX129" s="200"/>
      <c r="CY129" s="200"/>
      <c r="CZ129" s="200"/>
      <c r="DA129" s="200"/>
      <c r="DB129" s="200"/>
      <c r="DC129" s="200"/>
      <c r="DD129" s="200"/>
      <c r="DE129" s="200"/>
      <c r="DF129" s="200"/>
      <c r="DG129" s="200"/>
      <c r="DH129" s="200"/>
      <c r="DI129" s="200"/>
      <c r="DJ129" s="200"/>
      <c r="DK129" s="200"/>
      <c r="DL129" s="200"/>
      <c r="DM129" s="200"/>
      <c r="DN129" s="200"/>
      <c r="DO129" s="200"/>
      <c r="DP129" s="200"/>
      <c r="DQ129" s="200"/>
      <c r="DR129" s="200"/>
      <c r="DS129" s="200"/>
      <c r="DT129" s="200"/>
      <c r="DU129" s="200"/>
      <c r="DV129" s="200"/>
      <c r="DW129" s="200"/>
      <c r="DX129" s="200"/>
      <c r="DY129" s="200"/>
      <c r="DZ129" s="200"/>
      <c r="EA129" s="200"/>
      <c r="EB129" s="200"/>
      <c r="EC129" s="200"/>
      <c r="ED129" s="200"/>
      <c r="EE129" s="200"/>
      <c r="EF129" s="200"/>
      <c r="EG129" s="200"/>
      <c r="EH129" s="200"/>
      <c r="EI129" s="200"/>
      <c r="EJ129" s="200"/>
      <c r="EK129" s="200"/>
      <c r="EL129" s="200"/>
      <c r="EM129" s="200"/>
      <c r="EN129" s="200"/>
      <c r="EO129" s="200"/>
      <c r="EP129" s="200"/>
      <c r="EQ129" s="200"/>
      <c r="ER129" s="200"/>
      <c r="ES129" s="200"/>
      <c r="ET129" s="200"/>
      <c r="EU129" s="200"/>
      <c r="EV129" s="200"/>
      <c r="EW129" s="200"/>
      <c r="EX129" s="200"/>
      <c r="EY129" s="200"/>
      <c r="EZ129" s="200"/>
      <c r="FA129" s="200"/>
      <c r="FB129" s="200"/>
      <c r="FC129" s="200"/>
      <c r="FD129" s="200"/>
      <c r="FE129" s="200"/>
      <c r="FF129" s="200"/>
      <c r="FG129" s="200"/>
      <c r="FH129" s="200"/>
      <c r="FI129" s="200"/>
      <c r="FJ129" s="200"/>
      <c r="FK129" s="200"/>
      <c r="FL129" s="200"/>
      <c r="FM129" s="200"/>
      <c r="FN129" s="200"/>
      <c r="FO129" s="200"/>
      <c r="FP129" s="200"/>
      <c r="FQ129" s="200"/>
      <c r="FR129" s="200"/>
      <c r="FS129" s="200"/>
      <c r="FT129" s="200"/>
      <c r="FU129" s="200"/>
      <c r="FV129" s="200"/>
      <c r="FW129" s="200"/>
      <c r="FX129" s="200"/>
      <c r="FY129" s="200"/>
      <c r="FZ129" s="200"/>
      <c r="GA129" s="200"/>
      <c r="GB129" s="200"/>
      <c r="GC129" s="200"/>
      <c r="GD129" s="200"/>
      <c r="GE129" s="200"/>
      <c r="GF129" s="200"/>
      <c r="GG129" s="200"/>
      <c r="GH129" s="200"/>
      <c r="GI129" s="200"/>
      <c r="GJ129" s="200"/>
      <c r="GK129" s="200"/>
      <c r="GL129" s="200"/>
      <c r="GM129" s="200"/>
      <c r="GN129" s="200"/>
      <c r="GO129" s="200"/>
      <c r="GP129" s="200"/>
      <c r="GQ129" s="200"/>
      <c r="GR129" s="200"/>
      <c r="GS129" s="200"/>
      <c r="GT129" s="200"/>
      <c r="GU129" s="200"/>
      <c r="GV129" s="200"/>
      <c r="GW129" s="200"/>
      <c r="GX129" s="200"/>
      <c r="GY129" s="200"/>
      <c r="GZ129" s="200"/>
      <c r="HA129" s="200"/>
      <c r="HB129" s="200"/>
      <c r="HC129" s="200"/>
      <c r="HD129" s="200"/>
      <c r="HE129" s="200"/>
      <c r="HF129" s="200"/>
      <c r="HG129" s="200"/>
      <c r="HH129" s="200"/>
      <c r="HI129" s="200"/>
      <c r="HJ129" s="200"/>
      <c r="HK129" s="200"/>
      <c r="HL129" s="200"/>
      <c r="HM129" s="200"/>
      <c r="HN129" s="200"/>
      <c r="HO129" s="200"/>
      <c r="HP129" s="200"/>
      <c r="HQ129" s="200"/>
      <c r="HR129" s="200"/>
      <c r="HS129" s="200"/>
      <c r="HT129" s="200"/>
      <c r="HU129" s="200"/>
      <c r="HV129" s="200"/>
      <c r="HW129" s="200"/>
      <c r="HX129" s="200"/>
      <c r="HY129" s="200"/>
      <c r="HZ129" s="200"/>
      <c r="IA129" s="200"/>
      <c r="IB129" s="200"/>
      <c r="IC129" s="200"/>
      <c r="ID129" s="200"/>
      <c r="IE129" s="200"/>
      <c r="IF129" s="200"/>
      <c r="IG129" s="200"/>
      <c r="IH129" s="200"/>
      <c r="II129" s="200"/>
      <c r="IJ129" s="200"/>
      <c r="IK129" s="200"/>
      <c r="IL129" s="200"/>
      <c r="IM129" s="200"/>
      <c r="IN129" s="200"/>
      <c r="IO129" s="200"/>
      <c r="IP129" s="200"/>
      <c r="IQ129" s="200"/>
      <c r="IR129" s="200"/>
      <c r="IS129" s="200"/>
      <c r="IT129" s="200"/>
      <c r="IU129" s="201"/>
      <c r="IV129" s="201"/>
    </row>
    <row r="130" s="10" customFormat="1" ht="15.95" customHeight="1" spans="1:256">
      <c r="A130" s="199">
        <v>16</v>
      </c>
      <c r="B130" s="20" t="s">
        <v>2165</v>
      </c>
      <c r="C130" s="199" t="s">
        <v>2168</v>
      </c>
      <c r="D130" s="199">
        <v>4016</v>
      </c>
      <c r="E130" s="199">
        <f>'05版台时'!S230</f>
        <v>64.0453429109359</v>
      </c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0"/>
      <c r="BD130" s="200"/>
      <c r="BE130" s="200"/>
      <c r="BF130" s="200"/>
      <c r="BG130" s="200"/>
      <c r="BH130" s="200"/>
      <c r="BI130" s="200"/>
      <c r="BJ130" s="200"/>
      <c r="BK130" s="200"/>
      <c r="BL130" s="200"/>
      <c r="BM130" s="200"/>
      <c r="BN130" s="200"/>
      <c r="BO130" s="200"/>
      <c r="BP130" s="200"/>
      <c r="BQ130" s="200"/>
      <c r="BR130" s="200"/>
      <c r="BS130" s="200"/>
      <c r="BT130" s="200"/>
      <c r="BU130" s="200"/>
      <c r="BV130" s="200"/>
      <c r="BW130" s="200"/>
      <c r="BX130" s="200"/>
      <c r="BY130" s="200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200"/>
      <c r="CX130" s="200"/>
      <c r="CY130" s="200"/>
      <c r="CZ130" s="200"/>
      <c r="DA130" s="200"/>
      <c r="DB130" s="200"/>
      <c r="DC130" s="200"/>
      <c r="DD130" s="200"/>
      <c r="DE130" s="200"/>
      <c r="DF130" s="200"/>
      <c r="DG130" s="200"/>
      <c r="DH130" s="200"/>
      <c r="DI130" s="200"/>
      <c r="DJ130" s="200"/>
      <c r="DK130" s="200"/>
      <c r="DL130" s="200"/>
      <c r="DM130" s="200"/>
      <c r="DN130" s="200"/>
      <c r="DO130" s="200"/>
      <c r="DP130" s="200"/>
      <c r="DQ130" s="200"/>
      <c r="DR130" s="200"/>
      <c r="DS130" s="200"/>
      <c r="DT130" s="200"/>
      <c r="DU130" s="200"/>
      <c r="DV130" s="200"/>
      <c r="DW130" s="200"/>
      <c r="DX130" s="200"/>
      <c r="DY130" s="200"/>
      <c r="DZ130" s="200"/>
      <c r="EA130" s="200"/>
      <c r="EB130" s="200"/>
      <c r="EC130" s="200"/>
      <c r="ED130" s="200"/>
      <c r="EE130" s="200"/>
      <c r="EF130" s="200"/>
      <c r="EG130" s="200"/>
      <c r="EH130" s="200"/>
      <c r="EI130" s="200"/>
      <c r="EJ130" s="200"/>
      <c r="EK130" s="200"/>
      <c r="EL130" s="200"/>
      <c r="EM130" s="200"/>
      <c r="EN130" s="200"/>
      <c r="EO130" s="200"/>
      <c r="EP130" s="200"/>
      <c r="EQ130" s="200"/>
      <c r="ER130" s="200"/>
      <c r="ES130" s="200"/>
      <c r="ET130" s="200"/>
      <c r="EU130" s="200"/>
      <c r="EV130" s="200"/>
      <c r="EW130" s="200"/>
      <c r="EX130" s="200"/>
      <c r="EY130" s="200"/>
      <c r="EZ130" s="200"/>
      <c r="FA130" s="200"/>
      <c r="FB130" s="200"/>
      <c r="FC130" s="200"/>
      <c r="FD130" s="200"/>
      <c r="FE130" s="200"/>
      <c r="FF130" s="200"/>
      <c r="FG130" s="200"/>
      <c r="FH130" s="200"/>
      <c r="FI130" s="200"/>
      <c r="FJ130" s="200"/>
      <c r="FK130" s="200"/>
      <c r="FL130" s="200"/>
      <c r="FM130" s="200"/>
      <c r="FN130" s="200"/>
      <c r="FO130" s="200"/>
      <c r="FP130" s="200"/>
      <c r="FQ130" s="200"/>
      <c r="FR130" s="200"/>
      <c r="FS130" s="200"/>
      <c r="FT130" s="200"/>
      <c r="FU130" s="200"/>
      <c r="FV130" s="200"/>
      <c r="FW130" s="200"/>
      <c r="FX130" s="200"/>
      <c r="FY130" s="200"/>
      <c r="FZ130" s="200"/>
      <c r="GA130" s="200"/>
      <c r="GB130" s="200"/>
      <c r="GC130" s="200"/>
      <c r="GD130" s="200"/>
      <c r="GE130" s="200"/>
      <c r="GF130" s="200"/>
      <c r="GG130" s="200"/>
      <c r="GH130" s="200"/>
      <c r="GI130" s="200"/>
      <c r="GJ130" s="200"/>
      <c r="GK130" s="200"/>
      <c r="GL130" s="200"/>
      <c r="GM130" s="200"/>
      <c r="GN130" s="200"/>
      <c r="GO130" s="200"/>
      <c r="GP130" s="200"/>
      <c r="GQ130" s="200"/>
      <c r="GR130" s="200"/>
      <c r="GS130" s="200"/>
      <c r="GT130" s="200"/>
      <c r="GU130" s="200"/>
      <c r="GV130" s="200"/>
      <c r="GW130" s="200"/>
      <c r="GX130" s="200"/>
      <c r="GY130" s="200"/>
      <c r="GZ130" s="200"/>
      <c r="HA130" s="200"/>
      <c r="HB130" s="200"/>
      <c r="HC130" s="200"/>
      <c r="HD130" s="200"/>
      <c r="HE130" s="200"/>
      <c r="HF130" s="200"/>
      <c r="HG130" s="200"/>
      <c r="HH130" s="200"/>
      <c r="HI130" s="200"/>
      <c r="HJ130" s="200"/>
      <c r="HK130" s="200"/>
      <c r="HL130" s="200"/>
      <c r="HM130" s="200"/>
      <c r="HN130" s="200"/>
      <c r="HO130" s="200"/>
      <c r="HP130" s="200"/>
      <c r="HQ130" s="200"/>
      <c r="HR130" s="200"/>
      <c r="HS130" s="200"/>
      <c r="HT130" s="200"/>
      <c r="HU130" s="200"/>
      <c r="HV130" s="200"/>
      <c r="HW130" s="200"/>
      <c r="HX130" s="200"/>
      <c r="HY130" s="200"/>
      <c r="HZ130" s="200"/>
      <c r="IA130" s="200"/>
      <c r="IB130" s="200"/>
      <c r="IC130" s="200"/>
      <c r="ID130" s="200"/>
      <c r="IE130" s="200"/>
      <c r="IF130" s="200"/>
      <c r="IG130" s="200"/>
      <c r="IH130" s="200"/>
      <c r="II130" s="200"/>
      <c r="IJ130" s="200"/>
      <c r="IK130" s="200"/>
      <c r="IL130" s="200"/>
      <c r="IM130" s="200"/>
      <c r="IN130" s="200"/>
      <c r="IO130" s="200"/>
      <c r="IP130" s="200"/>
      <c r="IQ130" s="200"/>
      <c r="IR130" s="200"/>
      <c r="IS130" s="200"/>
      <c r="IT130" s="200"/>
      <c r="IU130" s="201"/>
      <c r="IV130" s="201"/>
    </row>
    <row r="131" s="10" customFormat="1" ht="15.95" customHeight="1" spans="1:256">
      <c r="A131" s="199">
        <v>17</v>
      </c>
      <c r="B131" s="20" t="s">
        <v>2169</v>
      </c>
      <c r="C131" s="199" t="s">
        <v>2124</v>
      </c>
      <c r="D131" s="199">
        <v>4017</v>
      </c>
      <c r="E131" s="199">
        <f>'05版台时'!T230</f>
        <v>65.9383940739833</v>
      </c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200"/>
      <c r="BO131" s="200"/>
      <c r="BP131" s="200"/>
      <c r="BQ131" s="200"/>
      <c r="BR131" s="200"/>
      <c r="BS131" s="200"/>
      <c r="BT131" s="200"/>
      <c r="BU131" s="200"/>
      <c r="BV131" s="200"/>
      <c r="BW131" s="200"/>
      <c r="BX131" s="200"/>
      <c r="BY131" s="200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200"/>
      <c r="CX131" s="200"/>
      <c r="CY131" s="200"/>
      <c r="CZ131" s="200"/>
      <c r="DA131" s="200"/>
      <c r="DB131" s="200"/>
      <c r="DC131" s="200"/>
      <c r="DD131" s="200"/>
      <c r="DE131" s="200"/>
      <c r="DF131" s="200"/>
      <c r="DG131" s="200"/>
      <c r="DH131" s="200"/>
      <c r="DI131" s="200"/>
      <c r="DJ131" s="200"/>
      <c r="DK131" s="200"/>
      <c r="DL131" s="200"/>
      <c r="DM131" s="200"/>
      <c r="DN131" s="200"/>
      <c r="DO131" s="200"/>
      <c r="DP131" s="200"/>
      <c r="DQ131" s="200"/>
      <c r="DR131" s="200"/>
      <c r="DS131" s="200"/>
      <c r="DT131" s="200"/>
      <c r="DU131" s="200"/>
      <c r="DV131" s="200"/>
      <c r="DW131" s="200"/>
      <c r="DX131" s="200"/>
      <c r="DY131" s="200"/>
      <c r="DZ131" s="200"/>
      <c r="EA131" s="200"/>
      <c r="EB131" s="200"/>
      <c r="EC131" s="200"/>
      <c r="ED131" s="200"/>
      <c r="EE131" s="200"/>
      <c r="EF131" s="200"/>
      <c r="EG131" s="200"/>
      <c r="EH131" s="200"/>
      <c r="EI131" s="200"/>
      <c r="EJ131" s="200"/>
      <c r="EK131" s="200"/>
      <c r="EL131" s="200"/>
      <c r="EM131" s="200"/>
      <c r="EN131" s="200"/>
      <c r="EO131" s="200"/>
      <c r="EP131" s="200"/>
      <c r="EQ131" s="200"/>
      <c r="ER131" s="200"/>
      <c r="ES131" s="200"/>
      <c r="ET131" s="200"/>
      <c r="EU131" s="200"/>
      <c r="EV131" s="200"/>
      <c r="EW131" s="200"/>
      <c r="EX131" s="200"/>
      <c r="EY131" s="200"/>
      <c r="EZ131" s="200"/>
      <c r="FA131" s="200"/>
      <c r="FB131" s="200"/>
      <c r="FC131" s="200"/>
      <c r="FD131" s="200"/>
      <c r="FE131" s="200"/>
      <c r="FF131" s="200"/>
      <c r="FG131" s="200"/>
      <c r="FH131" s="200"/>
      <c r="FI131" s="200"/>
      <c r="FJ131" s="200"/>
      <c r="FK131" s="200"/>
      <c r="FL131" s="200"/>
      <c r="FM131" s="200"/>
      <c r="FN131" s="200"/>
      <c r="FO131" s="200"/>
      <c r="FP131" s="200"/>
      <c r="FQ131" s="200"/>
      <c r="FR131" s="200"/>
      <c r="FS131" s="200"/>
      <c r="FT131" s="200"/>
      <c r="FU131" s="200"/>
      <c r="FV131" s="200"/>
      <c r="FW131" s="200"/>
      <c r="FX131" s="200"/>
      <c r="FY131" s="200"/>
      <c r="FZ131" s="200"/>
      <c r="GA131" s="200"/>
      <c r="GB131" s="200"/>
      <c r="GC131" s="200"/>
      <c r="GD131" s="200"/>
      <c r="GE131" s="200"/>
      <c r="GF131" s="200"/>
      <c r="GG131" s="200"/>
      <c r="GH131" s="200"/>
      <c r="GI131" s="200"/>
      <c r="GJ131" s="200"/>
      <c r="GK131" s="200"/>
      <c r="GL131" s="200"/>
      <c r="GM131" s="200"/>
      <c r="GN131" s="200"/>
      <c r="GO131" s="200"/>
      <c r="GP131" s="200"/>
      <c r="GQ131" s="200"/>
      <c r="GR131" s="200"/>
      <c r="GS131" s="200"/>
      <c r="GT131" s="200"/>
      <c r="GU131" s="200"/>
      <c r="GV131" s="200"/>
      <c r="GW131" s="200"/>
      <c r="GX131" s="200"/>
      <c r="GY131" s="200"/>
      <c r="GZ131" s="200"/>
      <c r="HA131" s="200"/>
      <c r="HB131" s="200"/>
      <c r="HC131" s="200"/>
      <c r="HD131" s="200"/>
      <c r="HE131" s="200"/>
      <c r="HF131" s="200"/>
      <c r="HG131" s="200"/>
      <c r="HH131" s="200"/>
      <c r="HI131" s="200"/>
      <c r="HJ131" s="200"/>
      <c r="HK131" s="200"/>
      <c r="HL131" s="200"/>
      <c r="HM131" s="200"/>
      <c r="HN131" s="200"/>
      <c r="HO131" s="200"/>
      <c r="HP131" s="200"/>
      <c r="HQ131" s="200"/>
      <c r="HR131" s="200"/>
      <c r="HS131" s="200"/>
      <c r="HT131" s="200"/>
      <c r="HU131" s="200"/>
      <c r="HV131" s="200"/>
      <c r="HW131" s="200"/>
      <c r="HX131" s="200"/>
      <c r="HY131" s="200"/>
      <c r="HZ131" s="200"/>
      <c r="IA131" s="200"/>
      <c r="IB131" s="200"/>
      <c r="IC131" s="200"/>
      <c r="ID131" s="200"/>
      <c r="IE131" s="200"/>
      <c r="IF131" s="200"/>
      <c r="IG131" s="200"/>
      <c r="IH131" s="200"/>
      <c r="II131" s="200"/>
      <c r="IJ131" s="200"/>
      <c r="IK131" s="200"/>
      <c r="IL131" s="200"/>
      <c r="IM131" s="200"/>
      <c r="IN131" s="200"/>
      <c r="IO131" s="200"/>
      <c r="IP131" s="200"/>
      <c r="IQ131" s="200"/>
      <c r="IR131" s="200"/>
      <c r="IS131" s="200"/>
      <c r="IT131" s="200"/>
      <c r="IU131" s="201"/>
      <c r="IV131" s="201"/>
    </row>
    <row r="132" s="10" customFormat="1" ht="15.95" customHeight="1" spans="1:256">
      <c r="A132" s="199">
        <v>18</v>
      </c>
      <c r="B132" s="20" t="s">
        <v>2169</v>
      </c>
      <c r="C132" s="199" t="s">
        <v>2061</v>
      </c>
      <c r="D132" s="199">
        <v>4018</v>
      </c>
      <c r="E132" s="199">
        <f>'05版台时'!U230</f>
        <v>90.2281499575094</v>
      </c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200"/>
      <c r="AM132" s="200"/>
      <c r="AN132" s="200"/>
      <c r="AO132" s="200"/>
      <c r="AP132" s="200"/>
      <c r="AQ132" s="200"/>
      <c r="AR132" s="200"/>
      <c r="AS132" s="200"/>
      <c r="AT132" s="200"/>
      <c r="AU132" s="200"/>
      <c r="AV132" s="200"/>
      <c r="AW132" s="200"/>
      <c r="AX132" s="200"/>
      <c r="AY132" s="200"/>
      <c r="AZ132" s="200"/>
      <c r="BA132" s="200"/>
      <c r="BB132" s="200"/>
      <c r="BC132" s="200"/>
      <c r="BD132" s="200"/>
      <c r="BE132" s="200"/>
      <c r="BF132" s="200"/>
      <c r="BG132" s="200"/>
      <c r="BH132" s="200"/>
      <c r="BI132" s="200"/>
      <c r="BJ132" s="200"/>
      <c r="BK132" s="200"/>
      <c r="BL132" s="200"/>
      <c r="BM132" s="200"/>
      <c r="BN132" s="200"/>
      <c r="BO132" s="200"/>
      <c r="BP132" s="200"/>
      <c r="BQ132" s="200"/>
      <c r="BR132" s="200"/>
      <c r="BS132" s="200"/>
      <c r="BT132" s="200"/>
      <c r="BU132" s="200"/>
      <c r="BV132" s="200"/>
      <c r="BW132" s="200"/>
      <c r="BX132" s="200"/>
      <c r="BY132" s="200"/>
      <c r="BZ132" s="200"/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200"/>
      <c r="CX132" s="200"/>
      <c r="CY132" s="200"/>
      <c r="CZ132" s="200"/>
      <c r="DA132" s="200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00"/>
      <c r="DN132" s="200"/>
      <c r="DO132" s="200"/>
      <c r="DP132" s="200"/>
      <c r="DQ132" s="200"/>
      <c r="DR132" s="200"/>
      <c r="DS132" s="200"/>
      <c r="DT132" s="200"/>
      <c r="DU132" s="200"/>
      <c r="DV132" s="200"/>
      <c r="DW132" s="200"/>
      <c r="DX132" s="200"/>
      <c r="DY132" s="200"/>
      <c r="DZ132" s="200"/>
      <c r="EA132" s="200"/>
      <c r="EB132" s="200"/>
      <c r="EC132" s="200"/>
      <c r="ED132" s="200"/>
      <c r="EE132" s="200"/>
      <c r="EF132" s="200"/>
      <c r="EG132" s="200"/>
      <c r="EH132" s="200"/>
      <c r="EI132" s="200"/>
      <c r="EJ132" s="200"/>
      <c r="EK132" s="200"/>
      <c r="EL132" s="200"/>
      <c r="EM132" s="200"/>
      <c r="EN132" s="200"/>
      <c r="EO132" s="200"/>
      <c r="EP132" s="200"/>
      <c r="EQ132" s="200"/>
      <c r="ER132" s="200"/>
      <c r="ES132" s="200"/>
      <c r="ET132" s="200"/>
      <c r="EU132" s="200"/>
      <c r="EV132" s="200"/>
      <c r="EW132" s="200"/>
      <c r="EX132" s="200"/>
      <c r="EY132" s="200"/>
      <c r="EZ132" s="200"/>
      <c r="FA132" s="200"/>
      <c r="FB132" s="200"/>
      <c r="FC132" s="200"/>
      <c r="FD132" s="200"/>
      <c r="FE132" s="200"/>
      <c r="FF132" s="200"/>
      <c r="FG132" s="200"/>
      <c r="FH132" s="200"/>
      <c r="FI132" s="200"/>
      <c r="FJ132" s="200"/>
      <c r="FK132" s="200"/>
      <c r="FL132" s="200"/>
      <c r="FM132" s="200"/>
      <c r="FN132" s="200"/>
      <c r="FO132" s="200"/>
      <c r="FP132" s="200"/>
      <c r="FQ132" s="200"/>
      <c r="FR132" s="200"/>
      <c r="FS132" s="200"/>
      <c r="FT132" s="200"/>
      <c r="FU132" s="200"/>
      <c r="FV132" s="200"/>
      <c r="FW132" s="200"/>
      <c r="FX132" s="200"/>
      <c r="FY132" s="200"/>
      <c r="FZ132" s="200"/>
      <c r="GA132" s="200"/>
      <c r="GB132" s="200"/>
      <c r="GC132" s="200"/>
      <c r="GD132" s="200"/>
      <c r="GE132" s="200"/>
      <c r="GF132" s="200"/>
      <c r="GG132" s="200"/>
      <c r="GH132" s="200"/>
      <c r="GI132" s="200"/>
      <c r="GJ132" s="200"/>
      <c r="GK132" s="200"/>
      <c r="GL132" s="200"/>
      <c r="GM132" s="200"/>
      <c r="GN132" s="200"/>
      <c r="GO132" s="200"/>
      <c r="GP132" s="200"/>
      <c r="GQ132" s="200"/>
      <c r="GR132" s="200"/>
      <c r="GS132" s="200"/>
      <c r="GT132" s="200"/>
      <c r="GU132" s="200"/>
      <c r="GV132" s="200"/>
      <c r="GW132" s="200"/>
      <c r="GX132" s="200"/>
      <c r="GY132" s="200"/>
      <c r="GZ132" s="200"/>
      <c r="HA132" s="200"/>
      <c r="HB132" s="200"/>
      <c r="HC132" s="200"/>
      <c r="HD132" s="200"/>
      <c r="HE132" s="200"/>
      <c r="HF132" s="200"/>
      <c r="HG132" s="200"/>
      <c r="HH132" s="200"/>
      <c r="HI132" s="200"/>
      <c r="HJ132" s="200"/>
      <c r="HK132" s="200"/>
      <c r="HL132" s="200"/>
      <c r="HM132" s="200"/>
      <c r="HN132" s="200"/>
      <c r="HO132" s="200"/>
      <c r="HP132" s="200"/>
      <c r="HQ132" s="200"/>
      <c r="HR132" s="200"/>
      <c r="HS132" s="200"/>
      <c r="HT132" s="200"/>
      <c r="HU132" s="200"/>
      <c r="HV132" s="200"/>
      <c r="HW132" s="200"/>
      <c r="HX132" s="200"/>
      <c r="HY132" s="200"/>
      <c r="HZ132" s="200"/>
      <c r="IA132" s="200"/>
      <c r="IB132" s="200"/>
      <c r="IC132" s="200"/>
      <c r="ID132" s="200"/>
      <c r="IE132" s="200"/>
      <c r="IF132" s="200"/>
      <c r="IG132" s="200"/>
      <c r="IH132" s="200"/>
      <c r="II132" s="200"/>
      <c r="IJ132" s="200"/>
      <c r="IK132" s="200"/>
      <c r="IL132" s="200"/>
      <c r="IM132" s="200"/>
      <c r="IN132" s="200"/>
      <c r="IO132" s="200"/>
      <c r="IP132" s="200"/>
      <c r="IQ132" s="200"/>
      <c r="IR132" s="200"/>
      <c r="IS132" s="200"/>
      <c r="IT132" s="200"/>
      <c r="IU132" s="201"/>
      <c r="IV132" s="201"/>
    </row>
    <row r="133" s="10" customFormat="1" ht="15.95" customHeight="1" spans="1:256">
      <c r="A133" s="199">
        <v>19</v>
      </c>
      <c r="B133" s="20" t="s">
        <v>2169</v>
      </c>
      <c r="C133" s="199" t="s">
        <v>2129</v>
      </c>
      <c r="D133" s="199">
        <v>4019</v>
      </c>
      <c r="E133" s="199">
        <f>'05版台时'!V230</f>
        <v>109.870554425</v>
      </c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200"/>
      <c r="BQ133" s="200"/>
      <c r="BR133" s="200"/>
      <c r="BS133" s="200"/>
      <c r="BT133" s="200"/>
      <c r="BU133" s="200"/>
      <c r="BV133" s="200"/>
      <c r="BW133" s="200"/>
      <c r="BX133" s="200"/>
      <c r="BY133" s="200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  <c r="CR133" s="200"/>
      <c r="CS133" s="200"/>
      <c r="CT133" s="200"/>
      <c r="CU133" s="200"/>
      <c r="CV133" s="200"/>
      <c r="CW133" s="200"/>
      <c r="CX133" s="200"/>
      <c r="CY133" s="200"/>
      <c r="CZ133" s="200"/>
      <c r="DA133" s="200"/>
      <c r="DB133" s="200"/>
      <c r="DC133" s="200"/>
      <c r="DD133" s="200"/>
      <c r="DE133" s="200"/>
      <c r="DF133" s="200"/>
      <c r="DG133" s="200"/>
      <c r="DH133" s="200"/>
      <c r="DI133" s="200"/>
      <c r="DJ133" s="200"/>
      <c r="DK133" s="200"/>
      <c r="DL133" s="200"/>
      <c r="DM133" s="200"/>
      <c r="DN133" s="200"/>
      <c r="DO133" s="200"/>
      <c r="DP133" s="200"/>
      <c r="DQ133" s="200"/>
      <c r="DR133" s="200"/>
      <c r="DS133" s="200"/>
      <c r="DT133" s="200"/>
      <c r="DU133" s="200"/>
      <c r="DV133" s="200"/>
      <c r="DW133" s="200"/>
      <c r="DX133" s="200"/>
      <c r="DY133" s="200"/>
      <c r="DZ133" s="200"/>
      <c r="EA133" s="200"/>
      <c r="EB133" s="200"/>
      <c r="EC133" s="200"/>
      <c r="ED133" s="200"/>
      <c r="EE133" s="200"/>
      <c r="EF133" s="200"/>
      <c r="EG133" s="200"/>
      <c r="EH133" s="200"/>
      <c r="EI133" s="200"/>
      <c r="EJ133" s="200"/>
      <c r="EK133" s="200"/>
      <c r="EL133" s="200"/>
      <c r="EM133" s="200"/>
      <c r="EN133" s="200"/>
      <c r="EO133" s="200"/>
      <c r="EP133" s="200"/>
      <c r="EQ133" s="200"/>
      <c r="ER133" s="200"/>
      <c r="ES133" s="200"/>
      <c r="ET133" s="200"/>
      <c r="EU133" s="200"/>
      <c r="EV133" s="200"/>
      <c r="EW133" s="200"/>
      <c r="EX133" s="200"/>
      <c r="EY133" s="200"/>
      <c r="EZ133" s="200"/>
      <c r="FA133" s="200"/>
      <c r="FB133" s="200"/>
      <c r="FC133" s="200"/>
      <c r="FD133" s="200"/>
      <c r="FE133" s="200"/>
      <c r="FF133" s="200"/>
      <c r="FG133" s="200"/>
      <c r="FH133" s="200"/>
      <c r="FI133" s="200"/>
      <c r="FJ133" s="200"/>
      <c r="FK133" s="200"/>
      <c r="FL133" s="200"/>
      <c r="FM133" s="200"/>
      <c r="FN133" s="200"/>
      <c r="FO133" s="200"/>
      <c r="FP133" s="200"/>
      <c r="FQ133" s="200"/>
      <c r="FR133" s="200"/>
      <c r="FS133" s="200"/>
      <c r="FT133" s="200"/>
      <c r="FU133" s="200"/>
      <c r="FV133" s="200"/>
      <c r="FW133" s="200"/>
      <c r="FX133" s="200"/>
      <c r="FY133" s="200"/>
      <c r="FZ133" s="200"/>
      <c r="GA133" s="200"/>
      <c r="GB133" s="200"/>
      <c r="GC133" s="200"/>
      <c r="GD133" s="200"/>
      <c r="GE133" s="200"/>
      <c r="GF133" s="200"/>
      <c r="GG133" s="200"/>
      <c r="GH133" s="200"/>
      <c r="GI133" s="200"/>
      <c r="GJ133" s="200"/>
      <c r="GK133" s="200"/>
      <c r="GL133" s="200"/>
      <c r="GM133" s="200"/>
      <c r="GN133" s="200"/>
      <c r="GO133" s="200"/>
      <c r="GP133" s="200"/>
      <c r="GQ133" s="200"/>
      <c r="GR133" s="200"/>
      <c r="GS133" s="200"/>
      <c r="GT133" s="200"/>
      <c r="GU133" s="200"/>
      <c r="GV133" s="200"/>
      <c r="GW133" s="200"/>
      <c r="GX133" s="200"/>
      <c r="GY133" s="200"/>
      <c r="GZ133" s="200"/>
      <c r="HA133" s="200"/>
      <c r="HB133" s="200"/>
      <c r="HC133" s="200"/>
      <c r="HD133" s="200"/>
      <c r="HE133" s="200"/>
      <c r="HF133" s="200"/>
      <c r="HG133" s="200"/>
      <c r="HH133" s="200"/>
      <c r="HI133" s="200"/>
      <c r="HJ133" s="200"/>
      <c r="HK133" s="200"/>
      <c r="HL133" s="200"/>
      <c r="HM133" s="200"/>
      <c r="HN133" s="200"/>
      <c r="HO133" s="200"/>
      <c r="HP133" s="200"/>
      <c r="HQ133" s="200"/>
      <c r="HR133" s="200"/>
      <c r="HS133" s="200"/>
      <c r="HT133" s="200"/>
      <c r="HU133" s="200"/>
      <c r="HV133" s="200"/>
      <c r="HW133" s="200"/>
      <c r="HX133" s="200"/>
      <c r="HY133" s="200"/>
      <c r="HZ133" s="200"/>
      <c r="IA133" s="200"/>
      <c r="IB133" s="200"/>
      <c r="IC133" s="200"/>
      <c r="ID133" s="200"/>
      <c r="IE133" s="200"/>
      <c r="IF133" s="200"/>
      <c r="IG133" s="200"/>
      <c r="IH133" s="200"/>
      <c r="II133" s="200"/>
      <c r="IJ133" s="200"/>
      <c r="IK133" s="200"/>
      <c r="IL133" s="200"/>
      <c r="IM133" s="200"/>
      <c r="IN133" s="200"/>
      <c r="IO133" s="200"/>
      <c r="IP133" s="200"/>
      <c r="IQ133" s="200"/>
      <c r="IR133" s="200"/>
      <c r="IS133" s="200"/>
      <c r="IT133" s="200"/>
      <c r="IU133" s="201"/>
      <c r="IV133" s="201"/>
    </row>
    <row r="134" s="10" customFormat="1" ht="15.95" customHeight="1" spans="1:256">
      <c r="A134" s="199">
        <v>20</v>
      </c>
      <c r="B134" s="20" t="s">
        <v>2169</v>
      </c>
      <c r="C134" s="199" t="s">
        <v>2131</v>
      </c>
      <c r="D134" s="199">
        <v>4020</v>
      </c>
      <c r="E134" s="199">
        <f>'05版台时'!W230</f>
        <v>118.916491800349</v>
      </c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0"/>
      <c r="BN134" s="200"/>
      <c r="BO134" s="200"/>
      <c r="BP134" s="200"/>
      <c r="BQ134" s="200"/>
      <c r="BR134" s="200"/>
      <c r="BS134" s="200"/>
      <c r="BT134" s="200"/>
      <c r="BU134" s="200"/>
      <c r="BV134" s="200"/>
      <c r="BW134" s="200"/>
      <c r="BX134" s="200"/>
      <c r="BY134" s="200"/>
      <c r="BZ134" s="200"/>
      <c r="CA134" s="200"/>
      <c r="CB134" s="200"/>
      <c r="CC134" s="200"/>
      <c r="CD134" s="200"/>
      <c r="CE134" s="20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  <c r="CR134" s="200"/>
      <c r="CS134" s="200"/>
      <c r="CT134" s="200"/>
      <c r="CU134" s="200"/>
      <c r="CV134" s="200"/>
      <c r="CW134" s="200"/>
      <c r="CX134" s="200"/>
      <c r="CY134" s="200"/>
      <c r="CZ134" s="200"/>
      <c r="DA134" s="200"/>
      <c r="DB134" s="200"/>
      <c r="DC134" s="200"/>
      <c r="DD134" s="200"/>
      <c r="DE134" s="200"/>
      <c r="DF134" s="200"/>
      <c r="DG134" s="200"/>
      <c r="DH134" s="200"/>
      <c r="DI134" s="200"/>
      <c r="DJ134" s="200"/>
      <c r="DK134" s="200"/>
      <c r="DL134" s="200"/>
      <c r="DM134" s="200"/>
      <c r="DN134" s="200"/>
      <c r="DO134" s="200"/>
      <c r="DP134" s="200"/>
      <c r="DQ134" s="200"/>
      <c r="DR134" s="200"/>
      <c r="DS134" s="200"/>
      <c r="DT134" s="200"/>
      <c r="DU134" s="200"/>
      <c r="DV134" s="200"/>
      <c r="DW134" s="200"/>
      <c r="DX134" s="200"/>
      <c r="DY134" s="200"/>
      <c r="DZ134" s="200"/>
      <c r="EA134" s="200"/>
      <c r="EB134" s="200"/>
      <c r="EC134" s="200"/>
      <c r="ED134" s="200"/>
      <c r="EE134" s="200"/>
      <c r="EF134" s="200"/>
      <c r="EG134" s="200"/>
      <c r="EH134" s="200"/>
      <c r="EI134" s="200"/>
      <c r="EJ134" s="200"/>
      <c r="EK134" s="200"/>
      <c r="EL134" s="200"/>
      <c r="EM134" s="200"/>
      <c r="EN134" s="200"/>
      <c r="EO134" s="200"/>
      <c r="EP134" s="200"/>
      <c r="EQ134" s="200"/>
      <c r="ER134" s="200"/>
      <c r="ES134" s="200"/>
      <c r="ET134" s="200"/>
      <c r="EU134" s="200"/>
      <c r="EV134" s="200"/>
      <c r="EW134" s="200"/>
      <c r="EX134" s="200"/>
      <c r="EY134" s="200"/>
      <c r="EZ134" s="200"/>
      <c r="FA134" s="200"/>
      <c r="FB134" s="200"/>
      <c r="FC134" s="200"/>
      <c r="FD134" s="200"/>
      <c r="FE134" s="200"/>
      <c r="FF134" s="200"/>
      <c r="FG134" s="200"/>
      <c r="FH134" s="200"/>
      <c r="FI134" s="200"/>
      <c r="FJ134" s="200"/>
      <c r="FK134" s="200"/>
      <c r="FL134" s="200"/>
      <c r="FM134" s="200"/>
      <c r="FN134" s="200"/>
      <c r="FO134" s="200"/>
      <c r="FP134" s="200"/>
      <c r="FQ134" s="200"/>
      <c r="FR134" s="200"/>
      <c r="FS134" s="200"/>
      <c r="FT134" s="200"/>
      <c r="FU134" s="200"/>
      <c r="FV134" s="200"/>
      <c r="FW134" s="200"/>
      <c r="FX134" s="200"/>
      <c r="FY134" s="200"/>
      <c r="FZ134" s="200"/>
      <c r="GA134" s="200"/>
      <c r="GB134" s="200"/>
      <c r="GC134" s="200"/>
      <c r="GD134" s="200"/>
      <c r="GE134" s="200"/>
      <c r="GF134" s="200"/>
      <c r="GG134" s="200"/>
      <c r="GH134" s="200"/>
      <c r="GI134" s="200"/>
      <c r="GJ134" s="200"/>
      <c r="GK134" s="200"/>
      <c r="GL134" s="200"/>
      <c r="GM134" s="200"/>
      <c r="GN134" s="200"/>
      <c r="GO134" s="200"/>
      <c r="GP134" s="200"/>
      <c r="GQ134" s="200"/>
      <c r="GR134" s="200"/>
      <c r="GS134" s="200"/>
      <c r="GT134" s="200"/>
      <c r="GU134" s="200"/>
      <c r="GV134" s="200"/>
      <c r="GW134" s="200"/>
      <c r="GX134" s="200"/>
      <c r="GY134" s="200"/>
      <c r="GZ134" s="200"/>
      <c r="HA134" s="200"/>
      <c r="HB134" s="200"/>
      <c r="HC134" s="200"/>
      <c r="HD134" s="200"/>
      <c r="HE134" s="200"/>
      <c r="HF134" s="200"/>
      <c r="HG134" s="200"/>
      <c r="HH134" s="200"/>
      <c r="HI134" s="200"/>
      <c r="HJ134" s="200"/>
      <c r="HK134" s="200"/>
      <c r="HL134" s="200"/>
      <c r="HM134" s="200"/>
      <c r="HN134" s="200"/>
      <c r="HO134" s="200"/>
      <c r="HP134" s="200"/>
      <c r="HQ134" s="200"/>
      <c r="HR134" s="200"/>
      <c r="HS134" s="200"/>
      <c r="HT134" s="200"/>
      <c r="HU134" s="200"/>
      <c r="HV134" s="200"/>
      <c r="HW134" s="200"/>
      <c r="HX134" s="200"/>
      <c r="HY134" s="200"/>
      <c r="HZ134" s="200"/>
      <c r="IA134" s="200"/>
      <c r="IB134" s="200"/>
      <c r="IC134" s="200"/>
      <c r="ID134" s="200"/>
      <c r="IE134" s="200"/>
      <c r="IF134" s="200"/>
      <c r="IG134" s="200"/>
      <c r="IH134" s="200"/>
      <c r="II134" s="200"/>
      <c r="IJ134" s="200"/>
      <c r="IK134" s="200"/>
      <c r="IL134" s="200"/>
      <c r="IM134" s="200"/>
      <c r="IN134" s="200"/>
      <c r="IO134" s="200"/>
      <c r="IP134" s="200"/>
      <c r="IQ134" s="200"/>
      <c r="IR134" s="200"/>
      <c r="IS134" s="200"/>
      <c r="IT134" s="200"/>
      <c r="IU134" s="201"/>
      <c r="IV134" s="201"/>
    </row>
    <row r="135" s="10" customFormat="1" ht="15.95" customHeight="1" spans="1:256">
      <c r="A135" s="199">
        <v>21</v>
      </c>
      <c r="B135" s="20" t="s">
        <v>2169</v>
      </c>
      <c r="C135" s="199" t="s">
        <v>2160</v>
      </c>
      <c r="D135" s="199">
        <v>4021</v>
      </c>
      <c r="E135" s="199">
        <f>'05版台时'!X230</f>
        <v>129.211288369955</v>
      </c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200"/>
      <c r="BQ135" s="200"/>
      <c r="BR135" s="200"/>
      <c r="BS135" s="200"/>
      <c r="BT135" s="200"/>
      <c r="BU135" s="200"/>
      <c r="BV135" s="200"/>
      <c r="BW135" s="200"/>
      <c r="BX135" s="200"/>
      <c r="BY135" s="200"/>
      <c r="BZ135" s="200"/>
      <c r="CA135" s="200"/>
      <c r="CB135" s="200"/>
      <c r="CC135" s="200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0"/>
      <c r="CN135" s="200"/>
      <c r="CO135" s="200"/>
      <c r="CP135" s="200"/>
      <c r="CQ135" s="200"/>
      <c r="CR135" s="200"/>
      <c r="CS135" s="200"/>
      <c r="CT135" s="200"/>
      <c r="CU135" s="200"/>
      <c r="CV135" s="200"/>
      <c r="CW135" s="200"/>
      <c r="CX135" s="200"/>
      <c r="CY135" s="200"/>
      <c r="CZ135" s="200"/>
      <c r="DA135" s="200"/>
      <c r="DB135" s="200"/>
      <c r="DC135" s="200"/>
      <c r="DD135" s="200"/>
      <c r="DE135" s="200"/>
      <c r="DF135" s="200"/>
      <c r="DG135" s="200"/>
      <c r="DH135" s="200"/>
      <c r="DI135" s="200"/>
      <c r="DJ135" s="200"/>
      <c r="DK135" s="200"/>
      <c r="DL135" s="200"/>
      <c r="DM135" s="200"/>
      <c r="DN135" s="200"/>
      <c r="DO135" s="200"/>
      <c r="DP135" s="200"/>
      <c r="DQ135" s="200"/>
      <c r="DR135" s="200"/>
      <c r="DS135" s="200"/>
      <c r="DT135" s="200"/>
      <c r="DU135" s="200"/>
      <c r="DV135" s="200"/>
      <c r="DW135" s="200"/>
      <c r="DX135" s="200"/>
      <c r="DY135" s="200"/>
      <c r="DZ135" s="200"/>
      <c r="EA135" s="200"/>
      <c r="EB135" s="200"/>
      <c r="EC135" s="200"/>
      <c r="ED135" s="200"/>
      <c r="EE135" s="200"/>
      <c r="EF135" s="200"/>
      <c r="EG135" s="200"/>
      <c r="EH135" s="200"/>
      <c r="EI135" s="200"/>
      <c r="EJ135" s="200"/>
      <c r="EK135" s="200"/>
      <c r="EL135" s="200"/>
      <c r="EM135" s="200"/>
      <c r="EN135" s="200"/>
      <c r="EO135" s="200"/>
      <c r="EP135" s="200"/>
      <c r="EQ135" s="200"/>
      <c r="ER135" s="200"/>
      <c r="ES135" s="200"/>
      <c r="ET135" s="200"/>
      <c r="EU135" s="200"/>
      <c r="EV135" s="200"/>
      <c r="EW135" s="200"/>
      <c r="EX135" s="200"/>
      <c r="EY135" s="200"/>
      <c r="EZ135" s="200"/>
      <c r="FA135" s="200"/>
      <c r="FB135" s="200"/>
      <c r="FC135" s="200"/>
      <c r="FD135" s="200"/>
      <c r="FE135" s="200"/>
      <c r="FF135" s="200"/>
      <c r="FG135" s="200"/>
      <c r="FH135" s="200"/>
      <c r="FI135" s="200"/>
      <c r="FJ135" s="200"/>
      <c r="FK135" s="200"/>
      <c r="FL135" s="200"/>
      <c r="FM135" s="200"/>
      <c r="FN135" s="200"/>
      <c r="FO135" s="200"/>
      <c r="FP135" s="200"/>
      <c r="FQ135" s="200"/>
      <c r="FR135" s="200"/>
      <c r="FS135" s="200"/>
      <c r="FT135" s="200"/>
      <c r="FU135" s="200"/>
      <c r="FV135" s="200"/>
      <c r="FW135" s="200"/>
      <c r="FX135" s="200"/>
      <c r="FY135" s="200"/>
      <c r="FZ135" s="200"/>
      <c r="GA135" s="200"/>
      <c r="GB135" s="200"/>
      <c r="GC135" s="200"/>
      <c r="GD135" s="200"/>
      <c r="GE135" s="200"/>
      <c r="GF135" s="200"/>
      <c r="GG135" s="200"/>
      <c r="GH135" s="200"/>
      <c r="GI135" s="200"/>
      <c r="GJ135" s="200"/>
      <c r="GK135" s="200"/>
      <c r="GL135" s="200"/>
      <c r="GM135" s="200"/>
      <c r="GN135" s="200"/>
      <c r="GO135" s="200"/>
      <c r="GP135" s="200"/>
      <c r="GQ135" s="200"/>
      <c r="GR135" s="200"/>
      <c r="GS135" s="200"/>
      <c r="GT135" s="200"/>
      <c r="GU135" s="200"/>
      <c r="GV135" s="200"/>
      <c r="GW135" s="200"/>
      <c r="GX135" s="200"/>
      <c r="GY135" s="200"/>
      <c r="GZ135" s="200"/>
      <c r="HA135" s="200"/>
      <c r="HB135" s="200"/>
      <c r="HC135" s="200"/>
      <c r="HD135" s="200"/>
      <c r="HE135" s="200"/>
      <c r="HF135" s="200"/>
      <c r="HG135" s="200"/>
      <c r="HH135" s="200"/>
      <c r="HI135" s="200"/>
      <c r="HJ135" s="200"/>
      <c r="HK135" s="200"/>
      <c r="HL135" s="200"/>
      <c r="HM135" s="200"/>
      <c r="HN135" s="200"/>
      <c r="HO135" s="200"/>
      <c r="HP135" s="200"/>
      <c r="HQ135" s="200"/>
      <c r="HR135" s="200"/>
      <c r="HS135" s="200"/>
      <c r="HT135" s="200"/>
      <c r="HU135" s="200"/>
      <c r="HV135" s="200"/>
      <c r="HW135" s="200"/>
      <c r="HX135" s="200"/>
      <c r="HY135" s="200"/>
      <c r="HZ135" s="200"/>
      <c r="IA135" s="200"/>
      <c r="IB135" s="200"/>
      <c r="IC135" s="200"/>
      <c r="ID135" s="200"/>
      <c r="IE135" s="200"/>
      <c r="IF135" s="200"/>
      <c r="IG135" s="200"/>
      <c r="IH135" s="200"/>
      <c r="II135" s="200"/>
      <c r="IJ135" s="200"/>
      <c r="IK135" s="200"/>
      <c r="IL135" s="200"/>
      <c r="IM135" s="200"/>
      <c r="IN135" s="200"/>
      <c r="IO135" s="200"/>
      <c r="IP135" s="200"/>
      <c r="IQ135" s="200"/>
      <c r="IR135" s="200"/>
      <c r="IS135" s="200"/>
      <c r="IT135" s="200"/>
      <c r="IU135" s="201"/>
      <c r="IV135" s="201"/>
    </row>
    <row r="136" s="10" customFormat="1" ht="15.95" customHeight="1" spans="1:256">
      <c r="A136" s="199">
        <v>22</v>
      </c>
      <c r="B136" s="20" t="s">
        <v>2169</v>
      </c>
      <c r="C136" s="199" t="s">
        <v>2133</v>
      </c>
      <c r="D136" s="199">
        <v>4022</v>
      </c>
      <c r="E136" s="199">
        <f>'05版台时'!Y230</f>
        <v>157.488676882121</v>
      </c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0"/>
      <c r="BM136" s="200"/>
      <c r="BN136" s="200"/>
      <c r="BO136" s="200"/>
      <c r="BP136" s="200"/>
      <c r="BQ136" s="200"/>
      <c r="BR136" s="200"/>
      <c r="BS136" s="200"/>
      <c r="BT136" s="200"/>
      <c r="BU136" s="200"/>
      <c r="BV136" s="200"/>
      <c r="BW136" s="200"/>
      <c r="BX136" s="200"/>
      <c r="BY136" s="200"/>
      <c r="BZ136" s="200"/>
      <c r="CA136" s="200"/>
      <c r="CB136" s="200"/>
      <c r="CC136" s="200"/>
      <c r="CD136" s="200"/>
      <c r="CE136" s="200"/>
      <c r="CF136" s="200"/>
      <c r="CG136" s="200"/>
      <c r="CH136" s="200"/>
      <c r="CI136" s="200"/>
      <c r="CJ136" s="200"/>
      <c r="CK136" s="200"/>
      <c r="CL136" s="200"/>
      <c r="CM136" s="200"/>
      <c r="CN136" s="200"/>
      <c r="CO136" s="200"/>
      <c r="CP136" s="200"/>
      <c r="CQ136" s="200"/>
      <c r="CR136" s="200"/>
      <c r="CS136" s="200"/>
      <c r="CT136" s="200"/>
      <c r="CU136" s="200"/>
      <c r="CV136" s="200"/>
      <c r="CW136" s="200"/>
      <c r="CX136" s="200"/>
      <c r="CY136" s="200"/>
      <c r="CZ136" s="200"/>
      <c r="DA136" s="200"/>
      <c r="DB136" s="200"/>
      <c r="DC136" s="200"/>
      <c r="DD136" s="200"/>
      <c r="DE136" s="200"/>
      <c r="DF136" s="200"/>
      <c r="DG136" s="200"/>
      <c r="DH136" s="200"/>
      <c r="DI136" s="200"/>
      <c r="DJ136" s="200"/>
      <c r="DK136" s="200"/>
      <c r="DL136" s="200"/>
      <c r="DM136" s="200"/>
      <c r="DN136" s="200"/>
      <c r="DO136" s="200"/>
      <c r="DP136" s="200"/>
      <c r="DQ136" s="200"/>
      <c r="DR136" s="200"/>
      <c r="DS136" s="200"/>
      <c r="DT136" s="200"/>
      <c r="DU136" s="200"/>
      <c r="DV136" s="200"/>
      <c r="DW136" s="200"/>
      <c r="DX136" s="200"/>
      <c r="DY136" s="200"/>
      <c r="DZ136" s="200"/>
      <c r="EA136" s="200"/>
      <c r="EB136" s="200"/>
      <c r="EC136" s="200"/>
      <c r="ED136" s="200"/>
      <c r="EE136" s="200"/>
      <c r="EF136" s="200"/>
      <c r="EG136" s="200"/>
      <c r="EH136" s="200"/>
      <c r="EI136" s="200"/>
      <c r="EJ136" s="200"/>
      <c r="EK136" s="200"/>
      <c r="EL136" s="200"/>
      <c r="EM136" s="200"/>
      <c r="EN136" s="200"/>
      <c r="EO136" s="200"/>
      <c r="EP136" s="200"/>
      <c r="EQ136" s="200"/>
      <c r="ER136" s="200"/>
      <c r="ES136" s="200"/>
      <c r="ET136" s="200"/>
      <c r="EU136" s="200"/>
      <c r="EV136" s="200"/>
      <c r="EW136" s="200"/>
      <c r="EX136" s="200"/>
      <c r="EY136" s="200"/>
      <c r="EZ136" s="200"/>
      <c r="FA136" s="200"/>
      <c r="FB136" s="200"/>
      <c r="FC136" s="200"/>
      <c r="FD136" s="200"/>
      <c r="FE136" s="200"/>
      <c r="FF136" s="200"/>
      <c r="FG136" s="200"/>
      <c r="FH136" s="200"/>
      <c r="FI136" s="200"/>
      <c r="FJ136" s="200"/>
      <c r="FK136" s="200"/>
      <c r="FL136" s="200"/>
      <c r="FM136" s="200"/>
      <c r="FN136" s="200"/>
      <c r="FO136" s="200"/>
      <c r="FP136" s="200"/>
      <c r="FQ136" s="200"/>
      <c r="FR136" s="200"/>
      <c r="FS136" s="200"/>
      <c r="FT136" s="200"/>
      <c r="FU136" s="200"/>
      <c r="FV136" s="200"/>
      <c r="FW136" s="200"/>
      <c r="FX136" s="200"/>
      <c r="FY136" s="200"/>
      <c r="FZ136" s="200"/>
      <c r="GA136" s="200"/>
      <c r="GB136" s="200"/>
      <c r="GC136" s="200"/>
      <c r="GD136" s="200"/>
      <c r="GE136" s="200"/>
      <c r="GF136" s="200"/>
      <c r="GG136" s="200"/>
      <c r="GH136" s="200"/>
      <c r="GI136" s="200"/>
      <c r="GJ136" s="200"/>
      <c r="GK136" s="200"/>
      <c r="GL136" s="200"/>
      <c r="GM136" s="200"/>
      <c r="GN136" s="200"/>
      <c r="GO136" s="200"/>
      <c r="GP136" s="200"/>
      <c r="GQ136" s="200"/>
      <c r="GR136" s="200"/>
      <c r="GS136" s="200"/>
      <c r="GT136" s="200"/>
      <c r="GU136" s="200"/>
      <c r="GV136" s="200"/>
      <c r="GW136" s="200"/>
      <c r="GX136" s="200"/>
      <c r="GY136" s="200"/>
      <c r="GZ136" s="200"/>
      <c r="HA136" s="200"/>
      <c r="HB136" s="200"/>
      <c r="HC136" s="200"/>
      <c r="HD136" s="200"/>
      <c r="HE136" s="200"/>
      <c r="HF136" s="200"/>
      <c r="HG136" s="200"/>
      <c r="HH136" s="200"/>
      <c r="HI136" s="200"/>
      <c r="HJ136" s="200"/>
      <c r="HK136" s="200"/>
      <c r="HL136" s="200"/>
      <c r="HM136" s="200"/>
      <c r="HN136" s="200"/>
      <c r="HO136" s="200"/>
      <c r="HP136" s="200"/>
      <c r="HQ136" s="200"/>
      <c r="HR136" s="200"/>
      <c r="HS136" s="200"/>
      <c r="HT136" s="200"/>
      <c r="HU136" s="200"/>
      <c r="HV136" s="200"/>
      <c r="HW136" s="200"/>
      <c r="HX136" s="200"/>
      <c r="HY136" s="200"/>
      <c r="HZ136" s="200"/>
      <c r="IA136" s="200"/>
      <c r="IB136" s="200"/>
      <c r="IC136" s="200"/>
      <c r="ID136" s="200"/>
      <c r="IE136" s="200"/>
      <c r="IF136" s="200"/>
      <c r="IG136" s="200"/>
      <c r="IH136" s="200"/>
      <c r="II136" s="200"/>
      <c r="IJ136" s="200"/>
      <c r="IK136" s="200"/>
      <c r="IL136" s="200"/>
      <c r="IM136" s="200"/>
      <c r="IN136" s="200"/>
      <c r="IO136" s="200"/>
      <c r="IP136" s="200"/>
      <c r="IQ136" s="200"/>
      <c r="IR136" s="200"/>
      <c r="IS136" s="200"/>
      <c r="IT136" s="200"/>
      <c r="IU136" s="201"/>
      <c r="IV136" s="201"/>
    </row>
    <row r="137" s="10" customFormat="1" ht="15.95" customHeight="1" spans="1:256">
      <c r="A137" s="199">
        <v>23</v>
      </c>
      <c r="B137" s="20" t="s">
        <v>2169</v>
      </c>
      <c r="C137" s="199" t="s">
        <v>2134</v>
      </c>
      <c r="D137" s="199">
        <v>4023</v>
      </c>
      <c r="E137" s="199">
        <f>'05版台时'!Z230</f>
        <v>183.987189048056</v>
      </c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200"/>
      <c r="BO137" s="200"/>
      <c r="BP137" s="200"/>
      <c r="BQ137" s="200"/>
      <c r="BR137" s="200"/>
      <c r="BS137" s="200"/>
      <c r="BT137" s="200"/>
      <c r="BU137" s="200"/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200"/>
      <c r="CX137" s="200"/>
      <c r="CY137" s="200"/>
      <c r="CZ137" s="200"/>
      <c r="DA137" s="200"/>
      <c r="DB137" s="200"/>
      <c r="DC137" s="200"/>
      <c r="DD137" s="200"/>
      <c r="DE137" s="200"/>
      <c r="DF137" s="200"/>
      <c r="DG137" s="200"/>
      <c r="DH137" s="200"/>
      <c r="DI137" s="200"/>
      <c r="DJ137" s="200"/>
      <c r="DK137" s="200"/>
      <c r="DL137" s="200"/>
      <c r="DM137" s="200"/>
      <c r="DN137" s="200"/>
      <c r="DO137" s="200"/>
      <c r="DP137" s="200"/>
      <c r="DQ137" s="200"/>
      <c r="DR137" s="200"/>
      <c r="DS137" s="200"/>
      <c r="DT137" s="200"/>
      <c r="DU137" s="200"/>
      <c r="DV137" s="200"/>
      <c r="DW137" s="200"/>
      <c r="DX137" s="200"/>
      <c r="DY137" s="200"/>
      <c r="DZ137" s="200"/>
      <c r="EA137" s="200"/>
      <c r="EB137" s="200"/>
      <c r="EC137" s="200"/>
      <c r="ED137" s="200"/>
      <c r="EE137" s="200"/>
      <c r="EF137" s="200"/>
      <c r="EG137" s="200"/>
      <c r="EH137" s="200"/>
      <c r="EI137" s="200"/>
      <c r="EJ137" s="200"/>
      <c r="EK137" s="200"/>
      <c r="EL137" s="200"/>
      <c r="EM137" s="200"/>
      <c r="EN137" s="200"/>
      <c r="EO137" s="200"/>
      <c r="EP137" s="200"/>
      <c r="EQ137" s="200"/>
      <c r="ER137" s="200"/>
      <c r="ES137" s="200"/>
      <c r="ET137" s="200"/>
      <c r="EU137" s="200"/>
      <c r="EV137" s="200"/>
      <c r="EW137" s="200"/>
      <c r="EX137" s="200"/>
      <c r="EY137" s="200"/>
      <c r="EZ137" s="200"/>
      <c r="FA137" s="200"/>
      <c r="FB137" s="200"/>
      <c r="FC137" s="200"/>
      <c r="FD137" s="200"/>
      <c r="FE137" s="200"/>
      <c r="FF137" s="200"/>
      <c r="FG137" s="200"/>
      <c r="FH137" s="200"/>
      <c r="FI137" s="200"/>
      <c r="FJ137" s="200"/>
      <c r="FK137" s="200"/>
      <c r="FL137" s="200"/>
      <c r="FM137" s="200"/>
      <c r="FN137" s="200"/>
      <c r="FO137" s="200"/>
      <c r="FP137" s="200"/>
      <c r="FQ137" s="200"/>
      <c r="FR137" s="200"/>
      <c r="FS137" s="200"/>
      <c r="FT137" s="200"/>
      <c r="FU137" s="200"/>
      <c r="FV137" s="200"/>
      <c r="FW137" s="200"/>
      <c r="FX137" s="200"/>
      <c r="FY137" s="200"/>
      <c r="FZ137" s="200"/>
      <c r="GA137" s="200"/>
      <c r="GB137" s="200"/>
      <c r="GC137" s="200"/>
      <c r="GD137" s="200"/>
      <c r="GE137" s="200"/>
      <c r="GF137" s="200"/>
      <c r="GG137" s="200"/>
      <c r="GH137" s="200"/>
      <c r="GI137" s="200"/>
      <c r="GJ137" s="200"/>
      <c r="GK137" s="200"/>
      <c r="GL137" s="200"/>
      <c r="GM137" s="200"/>
      <c r="GN137" s="200"/>
      <c r="GO137" s="200"/>
      <c r="GP137" s="200"/>
      <c r="GQ137" s="200"/>
      <c r="GR137" s="200"/>
      <c r="GS137" s="200"/>
      <c r="GT137" s="200"/>
      <c r="GU137" s="200"/>
      <c r="GV137" s="200"/>
      <c r="GW137" s="200"/>
      <c r="GX137" s="200"/>
      <c r="GY137" s="200"/>
      <c r="GZ137" s="200"/>
      <c r="HA137" s="200"/>
      <c r="HB137" s="200"/>
      <c r="HC137" s="200"/>
      <c r="HD137" s="200"/>
      <c r="HE137" s="200"/>
      <c r="HF137" s="200"/>
      <c r="HG137" s="200"/>
      <c r="HH137" s="200"/>
      <c r="HI137" s="200"/>
      <c r="HJ137" s="200"/>
      <c r="HK137" s="200"/>
      <c r="HL137" s="200"/>
      <c r="HM137" s="200"/>
      <c r="HN137" s="200"/>
      <c r="HO137" s="200"/>
      <c r="HP137" s="200"/>
      <c r="HQ137" s="200"/>
      <c r="HR137" s="200"/>
      <c r="HS137" s="200"/>
      <c r="HT137" s="200"/>
      <c r="HU137" s="200"/>
      <c r="HV137" s="200"/>
      <c r="HW137" s="200"/>
      <c r="HX137" s="200"/>
      <c r="HY137" s="200"/>
      <c r="HZ137" s="200"/>
      <c r="IA137" s="200"/>
      <c r="IB137" s="200"/>
      <c r="IC137" s="200"/>
      <c r="ID137" s="200"/>
      <c r="IE137" s="200"/>
      <c r="IF137" s="200"/>
      <c r="IG137" s="200"/>
      <c r="IH137" s="200"/>
      <c r="II137" s="200"/>
      <c r="IJ137" s="200"/>
      <c r="IK137" s="200"/>
      <c r="IL137" s="200"/>
      <c r="IM137" s="200"/>
      <c r="IN137" s="200"/>
      <c r="IO137" s="200"/>
      <c r="IP137" s="200"/>
      <c r="IQ137" s="200"/>
      <c r="IR137" s="200"/>
      <c r="IS137" s="200"/>
      <c r="IT137" s="200"/>
      <c r="IU137" s="201"/>
      <c r="IV137" s="201"/>
    </row>
    <row r="138" s="10" customFormat="1" ht="15.95" customHeight="1" spans="1:256">
      <c r="A138" s="199">
        <v>24</v>
      </c>
      <c r="B138" s="20" t="s">
        <v>2169</v>
      </c>
      <c r="C138" s="199" t="s">
        <v>2170</v>
      </c>
      <c r="D138" s="199">
        <v>4024</v>
      </c>
      <c r="E138" s="199">
        <f>'05版台时'!AA230</f>
        <v>210.819202610082</v>
      </c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0"/>
      <c r="BN138" s="200"/>
      <c r="BO138" s="200"/>
      <c r="BP138" s="200"/>
      <c r="BQ138" s="200"/>
      <c r="BR138" s="200"/>
      <c r="BS138" s="200"/>
      <c r="BT138" s="200"/>
      <c r="BU138" s="200"/>
      <c r="BV138" s="200"/>
      <c r="BW138" s="200"/>
      <c r="BX138" s="200"/>
      <c r="BY138" s="200"/>
      <c r="BZ138" s="200"/>
      <c r="CA138" s="200"/>
      <c r="CB138" s="200"/>
      <c r="CC138" s="200"/>
      <c r="CD138" s="200"/>
      <c r="CE138" s="200"/>
      <c r="CF138" s="200"/>
      <c r="CG138" s="200"/>
      <c r="CH138" s="200"/>
      <c r="CI138" s="200"/>
      <c r="CJ138" s="200"/>
      <c r="CK138" s="200"/>
      <c r="CL138" s="200"/>
      <c r="CM138" s="200"/>
      <c r="CN138" s="200"/>
      <c r="CO138" s="200"/>
      <c r="CP138" s="200"/>
      <c r="CQ138" s="200"/>
      <c r="CR138" s="200"/>
      <c r="CS138" s="200"/>
      <c r="CT138" s="200"/>
      <c r="CU138" s="200"/>
      <c r="CV138" s="200"/>
      <c r="CW138" s="200"/>
      <c r="CX138" s="200"/>
      <c r="CY138" s="200"/>
      <c r="CZ138" s="200"/>
      <c r="DA138" s="200"/>
      <c r="DB138" s="200"/>
      <c r="DC138" s="200"/>
      <c r="DD138" s="200"/>
      <c r="DE138" s="200"/>
      <c r="DF138" s="200"/>
      <c r="DG138" s="200"/>
      <c r="DH138" s="200"/>
      <c r="DI138" s="200"/>
      <c r="DJ138" s="200"/>
      <c r="DK138" s="200"/>
      <c r="DL138" s="200"/>
      <c r="DM138" s="200"/>
      <c r="DN138" s="200"/>
      <c r="DO138" s="200"/>
      <c r="DP138" s="200"/>
      <c r="DQ138" s="200"/>
      <c r="DR138" s="200"/>
      <c r="DS138" s="200"/>
      <c r="DT138" s="200"/>
      <c r="DU138" s="200"/>
      <c r="DV138" s="200"/>
      <c r="DW138" s="200"/>
      <c r="DX138" s="200"/>
      <c r="DY138" s="200"/>
      <c r="DZ138" s="200"/>
      <c r="EA138" s="200"/>
      <c r="EB138" s="200"/>
      <c r="EC138" s="200"/>
      <c r="ED138" s="200"/>
      <c r="EE138" s="200"/>
      <c r="EF138" s="200"/>
      <c r="EG138" s="200"/>
      <c r="EH138" s="200"/>
      <c r="EI138" s="200"/>
      <c r="EJ138" s="200"/>
      <c r="EK138" s="200"/>
      <c r="EL138" s="200"/>
      <c r="EM138" s="200"/>
      <c r="EN138" s="200"/>
      <c r="EO138" s="200"/>
      <c r="EP138" s="200"/>
      <c r="EQ138" s="200"/>
      <c r="ER138" s="200"/>
      <c r="ES138" s="200"/>
      <c r="ET138" s="200"/>
      <c r="EU138" s="200"/>
      <c r="EV138" s="200"/>
      <c r="EW138" s="200"/>
      <c r="EX138" s="200"/>
      <c r="EY138" s="200"/>
      <c r="EZ138" s="200"/>
      <c r="FA138" s="200"/>
      <c r="FB138" s="200"/>
      <c r="FC138" s="200"/>
      <c r="FD138" s="200"/>
      <c r="FE138" s="200"/>
      <c r="FF138" s="200"/>
      <c r="FG138" s="200"/>
      <c r="FH138" s="200"/>
      <c r="FI138" s="200"/>
      <c r="FJ138" s="200"/>
      <c r="FK138" s="200"/>
      <c r="FL138" s="200"/>
      <c r="FM138" s="200"/>
      <c r="FN138" s="200"/>
      <c r="FO138" s="200"/>
      <c r="FP138" s="200"/>
      <c r="FQ138" s="200"/>
      <c r="FR138" s="200"/>
      <c r="FS138" s="200"/>
      <c r="FT138" s="200"/>
      <c r="FU138" s="200"/>
      <c r="FV138" s="200"/>
      <c r="FW138" s="200"/>
      <c r="FX138" s="200"/>
      <c r="FY138" s="200"/>
      <c r="FZ138" s="200"/>
      <c r="GA138" s="200"/>
      <c r="GB138" s="200"/>
      <c r="GC138" s="200"/>
      <c r="GD138" s="200"/>
      <c r="GE138" s="200"/>
      <c r="GF138" s="200"/>
      <c r="GG138" s="200"/>
      <c r="GH138" s="200"/>
      <c r="GI138" s="200"/>
      <c r="GJ138" s="200"/>
      <c r="GK138" s="200"/>
      <c r="GL138" s="200"/>
      <c r="GM138" s="200"/>
      <c r="GN138" s="200"/>
      <c r="GO138" s="200"/>
      <c r="GP138" s="200"/>
      <c r="GQ138" s="200"/>
      <c r="GR138" s="200"/>
      <c r="GS138" s="200"/>
      <c r="GT138" s="200"/>
      <c r="GU138" s="200"/>
      <c r="GV138" s="200"/>
      <c r="GW138" s="200"/>
      <c r="GX138" s="200"/>
      <c r="GY138" s="200"/>
      <c r="GZ138" s="200"/>
      <c r="HA138" s="200"/>
      <c r="HB138" s="200"/>
      <c r="HC138" s="200"/>
      <c r="HD138" s="200"/>
      <c r="HE138" s="200"/>
      <c r="HF138" s="200"/>
      <c r="HG138" s="200"/>
      <c r="HH138" s="200"/>
      <c r="HI138" s="200"/>
      <c r="HJ138" s="200"/>
      <c r="HK138" s="200"/>
      <c r="HL138" s="200"/>
      <c r="HM138" s="200"/>
      <c r="HN138" s="200"/>
      <c r="HO138" s="200"/>
      <c r="HP138" s="200"/>
      <c r="HQ138" s="200"/>
      <c r="HR138" s="200"/>
      <c r="HS138" s="200"/>
      <c r="HT138" s="200"/>
      <c r="HU138" s="200"/>
      <c r="HV138" s="200"/>
      <c r="HW138" s="200"/>
      <c r="HX138" s="200"/>
      <c r="HY138" s="200"/>
      <c r="HZ138" s="200"/>
      <c r="IA138" s="200"/>
      <c r="IB138" s="200"/>
      <c r="IC138" s="200"/>
      <c r="ID138" s="200"/>
      <c r="IE138" s="200"/>
      <c r="IF138" s="200"/>
      <c r="IG138" s="200"/>
      <c r="IH138" s="200"/>
      <c r="II138" s="200"/>
      <c r="IJ138" s="200"/>
      <c r="IK138" s="200"/>
      <c r="IL138" s="200"/>
      <c r="IM138" s="200"/>
      <c r="IN138" s="200"/>
      <c r="IO138" s="200"/>
      <c r="IP138" s="200"/>
      <c r="IQ138" s="200"/>
      <c r="IR138" s="200"/>
      <c r="IS138" s="200"/>
      <c r="IT138" s="200"/>
      <c r="IU138" s="201"/>
      <c r="IV138" s="201"/>
    </row>
    <row r="139" s="10" customFormat="1" ht="15.95" customHeight="1" spans="1:256">
      <c r="A139" s="199">
        <v>25</v>
      </c>
      <c r="B139" s="20" t="s">
        <v>2169</v>
      </c>
      <c r="C139" s="199" t="s">
        <v>2171</v>
      </c>
      <c r="D139" s="199">
        <v>4025</v>
      </c>
      <c r="E139" s="199">
        <f>'05版台时'!AB230</f>
        <v>432.930882705814</v>
      </c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200"/>
      <c r="BO139" s="200"/>
      <c r="BP139" s="200"/>
      <c r="BQ139" s="200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0"/>
      <c r="DA139" s="200"/>
      <c r="DB139" s="200"/>
      <c r="DC139" s="200"/>
      <c r="DD139" s="200"/>
      <c r="DE139" s="200"/>
      <c r="DF139" s="200"/>
      <c r="DG139" s="200"/>
      <c r="DH139" s="200"/>
      <c r="DI139" s="200"/>
      <c r="DJ139" s="200"/>
      <c r="DK139" s="200"/>
      <c r="DL139" s="200"/>
      <c r="DM139" s="200"/>
      <c r="DN139" s="200"/>
      <c r="DO139" s="200"/>
      <c r="DP139" s="200"/>
      <c r="DQ139" s="200"/>
      <c r="DR139" s="200"/>
      <c r="DS139" s="200"/>
      <c r="DT139" s="200"/>
      <c r="DU139" s="200"/>
      <c r="DV139" s="200"/>
      <c r="DW139" s="200"/>
      <c r="DX139" s="200"/>
      <c r="DY139" s="200"/>
      <c r="DZ139" s="200"/>
      <c r="EA139" s="200"/>
      <c r="EB139" s="200"/>
      <c r="EC139" s="200"/>
      <c r="ED139" s="200"/>
      <c r="EE139" s="200"/>
      <c r="EF139" s="200"/>
      <c r="EG139" s="200"/>
      <c r="EH139" s="200"/>
      <c r="EI139" s="200"/>
      <c r="EJ139" s="200"/>
      <c r="EK139" s="200"/>
      <c r="EL139" s="200"/>
      <c r="EM139" s="200"/>
      <c r="EN139" s="200"/>
      <c r="EO139" s="200"/>
      <c r="EP139" s="200"/>
      <c r="EQ139" s="200"/>
      <c r="ER139" s="200"/>
      <c r="ES139" s="200"/>
      <c r="ET139" s="200"/>
      <c r="EU139" s="200"/>
      <c r="EV139" s="200"/>
      <c r="EW139" s="200"/>
      <c r="EX139" s="200"/>
      <c r="EY139" s="200"/>
      <c r="EZ139" s="200"/>
      <c r="FA139" s="200"/>
      <c r="FB139" s="200"/>
      <c r="FC139" s="200"/>
      <c r="FD139" s="200"/>
      <c r="FE139" s="200"/>
      <c r="FF139" s="200"/>
      <c r="FG139" s="200"/>
      <c r="FH139" s="200"/>
      <c r="FI139" s="200"/>
      <c r="FJ139" s="200"/>
      <c r="FK139" s="200"/>
      <c r="FL139" s="200"/>
      <c r="FM139" s="200"/>
      <c r="FN139" s="200"/>
      <c r="FO139" s="200"/>
      <c r="FP139" s="200"/>
      <c r="FQ139" s="200"/>
      <c r="FR139" s="200"/>
      <c r="FS139" s="200"/>
      <c r="FT139" s="200"/>
      <c r="FU139" s="200"/>
      <c r="FV139" s="200"/>
      <c r="FW139" s="200"/>
      <c r="FX139" s="200"/>
      <c r="FY139" s="200"/>
      <c r="FZ139" s="200"/>
      <c r="GA139" s="200"/>
      <c r="GB139" s="200"/>
      <c r="GC139" s="200"/>
      <c r="GD139" s="200"/>
      <c r="GE139" s="200"/>
      <c r="GF139" s="200"/>
      <c r="GG139" s="200"/>
      <c r="GH139" s="200"/>
      <c r="GI139" s="200"/>
      <c r="GJ139" s="200"/>
      <c r="GK139" s="200"/>
      <c r="GL139" s="200"/>
      <c r="GM139" s="200"/>
      <c r="GN139" s="200"/>
      <c r="GO139" s="200"/>
      <c r="GP139" s="200"/>
      <c r="GQ139" s="200"/>
      <c r="GR139" s="200"/>
      <c r="GS139" s="200"/>
      <c r="GT139" s="200"/>
      <c r="GU139" s="200"/>
      <c r="GV139" s="200"/>
      <c r="GW139" s="200"/>
      <c r="GX139" s="200"/>
      <c r="GY139" s="200"/>
      <c r="GZ139" s="200"/>
      <c r="HA139" s="200"/>
      <c r="HB139" s="200"/>
      <c r="HC139" s="200"/>
      <c r="HD139" s="200"/>
      <c r="HE139" s="200"/>
      <c r="HF139" s="200"/>
      <c r="HG139" s="200"/>
      <c r="HH139" s="200"/>
      <c r="HI139" s="200"/>
      <c r="HJ139" s="200"/>
      <c r="HK139" s="200"/>
      <c r="HL139" s="200"/>
      <c r="HM139" s="200"/>
      <c r="HN139" s="200"/>
      <c r="HO139" s="200"/>
      <c r="HP139" s="200"/>
      <c r="HQ139" s="200"/>
      <c r="HR139" s="200"/>
      <c r="HS139" s="200"/>
      <c r="HT139" s="200"/>
      <c r="HU139" s="200"/>
      <c r="HV139" s="200"/>
      <c r="HW139" s="200"/>
      <c r="HX139" s="200"/>
      <c r="HY139" s="200"/>
      <c r="HZ139" s="200"/>
      <c r="IA139" s="200"/>
      <c r="IB139" s="200"/>
      <c r="IC139" s="200"/>
      <c r="ID139" s="200"/>
      <c r="IE139" s="200"/>
      <c r="IF139" s="200"/>
      <c r="IG139" s="200"/>
      <c r="IH139" s="200"/>
      <c r="II139" s="200"/>
      <c r="IJ139" s="200"/>
      <c r="IK139" s="200"/>
      <c r="IL139" s="200"/>
      <c r="IM139" s="200"/>
      <c r="IN139" s="200"/>
      <c r="IO139" s="200"/>
      <c r="IP139" s="200"/>
      <c r="IQ139" s="200"/>
      <c r="IR139" s="200"/>
      <c r="IS139" s="200"/>
      <c r="IT139" s="200"/>
      <c r="IU139" s="201"/>
      <c r="IV139" s="201"/>
    </row>
    <row r="140" s="10" customFormat="1" ht="15.95" customHeight="1" spans="1:256">
      <c r="A140" s="199">
        <v>26</v>
      </c>
      <c r="B140" s="20" t="s">
        <v>2169</v>
      </c>
      <c r="C140" s="199" t="s">
        <v>2172</v>
      </c>
      <c r="D140" s="199">
        <v>4026</v>
      </c>
      <c r="E140" s="199">
        <f>'05版台时'!AC230</f>
        <v>601.226266032499</v>
      </c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  <c r="BW140" s="200"/>
      <c r="BX140" s="200"/>
      <c r="BY140" s="200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200"/>
      <c r="CX140" s="200"/>
      <c r="CY140" s="200"/>
      <c r="CZ140" s="200"/>
      <c r="DA140" s="200"/>
      <c r="DB140" s="200"/>
      <c r="DC140" s="200"/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0"/>
      <c r="EJ140" s="200"/>
      <c r="EK140" s="200"/>
      <c r="EL140" s="200"/>
      <c r="EM140" s="200"/>
      <c r="EN140" s="200"/>
      <c r="EO140" s="200"/>
      <c r="EP140" s="200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00"/>
      <c r="FC140" s="200"/>
      <c r="FD140" s="200"/>
      <c r="FE140" s="200"/>
      <c r="FF140" s="200"/>
      <c r="FG140" s="200"/>
      <c r="FH140" s="200"/>
      <c r="FI140" s="200"/>
      <c r="FJ140" s="200"/>
      <c r="FK140" s="200"/>
      <c r="FL140" s="200"/>
      <c r="FM140" s="200"/>
      <c r="FN140" s="200"/>
      <c r="FO140" s="200"/>
      <c r="FP140" s="200"/>
      <c r="FQ140" s="200"/>
      <c r="FR140" s="200"/>
      <c r="FS140" s="200"/>
      <c r="FT140" s="200"/>
      <c r="FU140" s="200"/>
      <c r="FV140" s="200"/>
      <c r="FW140" s="200"/>
      <c r="FX140" s="200"/>
      <c r="FY140" s="200"/>
      <c r="FZ140" s="200"/>
      <c r="GA140" s="200"/>
      <c r="GB140" s="200"/>
      <c r="GC140" s="200"/>
      <c r="GD140" s="200"/>
      <c r="GE140" s="200"/>
      <c r="GF140" s="200"/>
      <c r="GG140" s="200"/>
      <c r="GH140" s="200"/>
      <c r="GI140" s="200"/>
      <c r="GJ140" s="200"/>
      <c r="GK140" s="200"/>
      <c r="GL140" s="200"/>
      <c r="GM140" s="200"/>
      <c r="GN140" s="200"/>
      <c r="GO140" s="200"/>
      <c r="GP140" s="200"/>
      <c r="GQ140" s="200"/>
      <c r="GR140" s="200"/>
      <c r="GS140" s="200"/>
      <c r="GT140" s="200"/>
      <c r="GU140" s="200"/>
      <c r="GV140" s="200"/>
      <c r="GW140" s="200"/>
      <c r="GX140" s="200"/>
      <c r="GY140" s="200"/>
      <c r="GZ140" s="200"/>
      <c r="HA140" s="200"/>
      <c r="HB140" s="200"/>
      <c r="HC140" s="200"/>
      <c r="HD140" s="200"/>
      <c r="HE140" s="200"/>
      <c r="HF140" s="200"/>
      <c r="HG140" s="200"/>
      <c r="HH140" s="200"/>
      <c r="HI140" s="200"/>
      <c r="HJ140" s="200"/>
      <c r="HK140" s="200"/>
      <c r="HL140" s="200"/>
      <c r="HM140" s="200"/>
      <c r="HN140" s="200"/>
      <c r="HO140" s="200"/>
      <c r="HP140" s="200"/>
      <c r="HQ140" s="200"/>
      <c r="HR140" s="200"/>
      <c r="HS140" s="200"/>
      <c r="HT140" s="200"/>
      <c r="HU140" s="200"/>
      <c r="HV140" s="200"/>
      <c r="HW140" s="200"/>
      <c r="HX140" s="200"/>
      <c r="HY140" s="200"/>
      <c r="HZ140" s="200"/>
      <c r="IA140" s="200"/>
      <c r="IB140" s="200"/>
      <c r="IC140" s="200"/>
      <c r="ID140" s="200"/>
      <c r="IE140" s="200"/>
      <c r="IF140" s="200"/>
      <c r="IG140" s="200"/>
      <c r="IH140" s="200"/>
      <c r="II140" s="200"/>
      <c r="IJ140" s="200"/>
      <c r="IK140" s="200"/>
      <c r="IL140" s="200"/>
      <c r="IM140" s="200"/>
      <c r="IN140" s="200"/>
      <c r="IO140" s="200"/>
      <c r="IP140" s="200"/>
      <c r="IQ140" s="200"/>
      <c r="IR140" s="200"/>
      <c r="IS140" s="200"/>
      <c r="IT140" s="200"/>
      <c r="IU140" s="201"/>
      <c r="IV140" s="201"/>
    </row>
    <row r="141" s="10" customFormat="1" ht="15.95" customHeight="1" spans="1:256">
      <c r="A141" s="199">
        <v>27</v>
      </c>
      <c r="B141" s="20" t="s">
        <v>2173</v>
      </c>
      <c r="C141" s="199" t="s">
        <v>2124</v>
      </c>
      <c r="D141" s="199">
        <v>4027</v>
      </c>
      <c r="E141" s="199">
        <f>'05版台时'!D263</f>
        <v>62.3352710655807</v>
      </c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200"/>
      <c r="CX141" s="200"/>
      <c r="CY141" s="200"/>
      <c r="CZ141" s="200"/>
      <c r="DA141" s="200"/>
      <c r="DB141" s="200"/>
      <c r="DC141" s="200"/>
      <c r="DD141" s="200"/>
      <c r="DE141" s="200"/>
      <c r="DF141" s="200"/>
      <c r="DG141" s="200"/>
      <c r="DH141" s="200"/>
      <c r="DI141" s="200"/>
      <c r="DJ141" s="200"/>
      <c r="DK141" s="200"/>
      <c r="DL141" s="200"/>
      <c r="DM141" s="200"/>
      <c r="DN141" s="200"/>
      <c r="DO141" s="200"/>
      <c r="DP141" s="200"/>
      <c r="DQ141" s="200"/>
      <c r="DR141" s="200"/>
      <c r="DS141" s="200"/>
      <c r="DT141" s="200"/>
      <c r="DU141" s="200"/>
      <c r="DV141" s="200"/>
      <c r="DW141" s="200"/>
      <c r="DX141" s="200"/>
      <c r="DY141" s="200"/>
      <c r="DZ141" s="200"/>
      <c r="EA141" s="200"/>
      <c r="EB141" s="200"/>
      <c r="EC141" s="200"/>
      <c r="ED141" s="200"/>
      <c r="EE141" s="200"/>
      <c r="EF141" s="200"/>
      <c r="EG141" s="200"/>
      <c r="EH141" s="200"/>
      <c r="EI141" s="200"/>
      <c r="EJ141" s="200"/>
      <c r="EK141" s="200"/>
      <c r="EL141" s="200"/>
      <c r="EM141" s="200"/>
      <c r="EN141" s="200"/>
      <c r="EO141" s="200"/>
      <c r="EP141" s="200"/>
      <c r="EQ141" s="200"/>
      <c r="ER141" s="200"/>
      <c r="ES141" s="200"/>
      <c r="ET141" s="200"/>
      <c r="EU141" s="200"/>
      <c r="EV141" s="200"/>
      <c r="EW141" s="200"/>
      <c r="EX141" s="200"/>
      <c r="EY141" s="200"/>
      <c r="EZ141" s="200"/>
      <c r="FA141" s="200"/>
      <c r="FB141" s="200"/>
      <c r="FC141" s="200"/>
      <c r="FD141" s="200"/>
      <c r="FE141" s="200"/>
      <c r="FF141" s="200"/>
      <c r="FG141" s="200"/>
      <c r="FH141" s="200"/>
      <c r="FI141" s="200"/>
      <c r="FJ141" s="200"/>
      <c r="FK141" s="200"/>
      <c r="FL141" s="200"/>
      <c r="FM141" s="200"/>
      <c r="FN141" s="200"/>
      <c r="FO141" s="200"/>
      <c r="FP141" s="200"/>
      <c r="FQ141" s="200"/>
      <c r="FR141" s="200"/>
      <c r="FS141" s="200"/>
      <c r="FT141" s="200"/>
      <c r="FU141" s="200"/>
      <c r="FV141" s="200"/>
      <c r="FW141" s="200"/>
      <c r="FX141" s="200"/>
      <c r="FY141" s="200"/>
      <c r="FZ141" s="200"/>
      <c r="GA141" s="200"/>
      <c r="GB141" s="200"/>
      <c r="GC141" s="200"/>
      <c r="GD141" s="200"/>
      <c r="GE141" s="200"/>
      <c r="GF141" s="200"/>
      <c r="GG141" s="200"/>
      <c r="GH141" s="200"/>
      <c r="GI141" s="200"/>
      <c r="GJ141" s="200"/>
      <c r="GK141" s="200"/>
      <c r="GL141" s="200"/>
      <c r="GM141" s="200"/>
      <c r="GN141" s="200"/>
      <c r="GO141" s="200"/>
      <c r="GP141" s="200"/>
      <c r="GQ141" s="200"/>
      <c r="GR141" s="200"/>
      <c r="GS141" s="200"/>
      <c r="GT141" s="200"/>
      <c r="GU141" s="200"/>
      <c r="GV141" s="200"/>
      <c r="GW141" s="200"/>
      <c r="GX141" s="200"/>
      <c r="GY141" s="200"/>
      <c r="GZ141" s="200"/>
      <c r="HA141" s="200"/>
      <c r="HB141" s="200"/>
      <c r="HC141" s="200"/>
      <c r="HD141" s="200"/>
      <c r="HE141" s="200"/>
      <c r="HF141" s="200"/>
      <c r="HG141" s="200"/>
      <c r="HH141" s="200"/>
      <c r="HI141" s="200"/>
      <c r="HJ141" s="200"/>
      <c r="HK141" s="200"/>
      <c r="HL141" s="200"/>
      <c r="HM141" s="200"/>
      <c r="HN141" s="200"/>
      <c r="HO141" s="200"/>
      <c r="HP141" s="200"/>
      <c r="HQ141" s="200"/>
      <c r="HR141" s="200"/>
      <c r="HS141" s="200"/>
      <c r="HT141" s="200"/>
      <c r="HU141" s="200"/>
      <c r="HV141" s="200"/>
      <c r="HW141" s="200"/>
      <c r="HX141" s="200"/>
      <c r="HY141" s="200"/>
      <c r="HZ141" s="200"/>
      <c r="IA141" s="200"/>
      <c r="IB141" s="200"/>
      <c r="IC141" s="200"/>
      <c r="ID141" s="200"/>
      <c r="IE141" s="200"/>
      <c r="IF141" s="200"/>
      <c r="IG141" s="200"/>
      <c r="IH141" s="200"/>
      <c r="II141" s="200"/>
      <c r="IJ141" s="200"/>
      <c r="IK141" s="200"/>
      <c r="IL141" s="200"/>
      <c r="IM141" s="200"/>
      <c r="IN141" s="200"/>
      <c r="IO141" s="200"/>
      <c r="IP141" s="200"/>
      <c r="IQ141" s="200"/>
      <c r="IR141" s="200"/>
      <c r="IS141" s="200"/>
      <c r="IT141" s="200"/>
      <c r="IU141" s="201"/>
      <c r="IV141" s="201"/>
    </row>
    <row r="142" s="10" customFormat="1" ht="15.95" customHeight="1" spans="1:256">
      <c r="A142" s="199">
        <v>28</v>
      </c>
      <c r="B142" s="20" t="s">
        <v>2173</v>
      </c>
      <c r="C142" s="199" t="s">
        <v>2174</v>
      </c>
      <c r="D142" s="199">
        <v>4028</v>
      </c>
      <c r="E142" s="199">
        <f>'05版台时'!E263</f>
        <v>66.7892993862827</v>
      </c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200"/>
      <c r="BN142" s="200"/>
      <c r="BO142" s="200"/>
      <c r="BP142" s="200"/>
      <c r="BQ142" s="200"/>
      <c r="BR142" s="200"/>
      <c r="BS142" s="200"/>
      <c r="BT142" s="200"/>
      <c r="BU142" s="200"/>
      <c r="BV142" s="200"/>
      <c r="BW142" s="200"/>
      <c r="BX142" s="200"/>
      <c r="BY142" s="200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200"/>
      <c r="CX142" s="200"/>
      <c r="CY142" s="200"/>
      <c r="CZ142" s="200"/>
      <c r="DA142" s="200"/>
      <c r="DB142" s="200"/>
      <c r="DC142" s="200"/>
      <c r="DD142" s="200"/>
      <c r="DE142" s="200"/>
      <c r="DF142" s="200"/>
      <c r="DG142" s="200"/>
      <c r="DH142" s="200"/>
      <c r="DI142" s="200"/>
      <c r="DJ142" s="200"/>
      <c r="DK142" s="200"/>
      <c r="DL142" s="200"/>
      <c r="DM142" s="200"/>
      <c r="DN142" s="200"/>
      <c r="DO142" s="200"/>
      <c r="DP142" s="200"/>
      <c r="DQ142" s="200"/>
      <c r="DR142" s="200"/>
      <c r="DS142" s="200"/>
      <c r="DT142" s="200"/>
      <c r="DU142" s="200"/>
      <c r="DV142" s="200"/>
      <c r="DW142" s="200"/>
      <c r="DX142" s="200"/>
      <c r="DY142" s="200"/>
      <c r="DZ142" s="200"/>
      <c r="EA142" s="200"/>
      <c r="EB142" s="200"/>
      <c r="EC142" s="200"/>
      <c r="ED142" s="200"/>
      <c r="EE142" s="200"/>
      <c r="EF142" s="200"/>
      <c r="EG142" s="200"/>
      <c r="EH142" s="200"/>
      <c r="EI142" s="200"/>
      <c r="EJ142" s="200"/>
      <c r="EK142" s="200"/>
      <c r="EL142" s="200"/>
      <c r="EM142" s="200"/>
      <c r="EN142" s="200"/>
      <c r="EO142" s="200"/>
      <c r="EP142" s="200"/>
      <c r="EQ142" s="200"/>
      <c r="ER142" s="200"/>
      <c r="ES142" s="200"/>
      <c r="ET142" s="200"/>
      <c r="EU142" s="200"/>
      <c r="EV142" s="200"/>
      <c r="EW142" s="200"/>
      <c r="EX142" s="200"/>
      <c r="EY142" s="200"/>
      <c r="EZ142" s="200"/>
      <c r="FA142" s="200"/>
      <c r="FB142" s="200"/>
      <c r="FC142" s="200"/>
      <c r="FD142" s="200"/>
      <c r="FE142" s="200"/>
      <c r="FF142" s="200"/>
      <c r="FG142" s="200"/>
      <c r="FH142" s="200"/>
      <c r="FI142" s="200"/>
      <c r="FJ142" s="200"/>
      <c r="FK142" s="200"/>
      <c r="FL142" s="200"/>
      <c r="FM142" s="200"/>
      <c r="FN142" s="200"/>
      <c r="FO142" s="200"/>
      <c r="FP142" s="200"/>
      <c r="FQ142" s="200"/>
      <c r="FR142" s="200"/>
      <c r="FS142" s="200"/>
      <c r="FT142" s="200"/>
      <c r="FU142" s="200"/>
      <c r="FV142" s="200"/>
      <c r="FW142" s="200"/>
      <c r="FX142" s="200"/>
      <c r="FY142" s="200"/>
      <c r="FZ142" s="200"/>
      <c r="GA142" s="200"/>
      <c r="GB142" s="200"/>
      <c r="GC142" s="200"/>
      <c r="GD142" s="200"/>
      <c r="GE142" s="200"/>
      <c r="GF142" s="200"/>
      <c r="GG142" s="200"/>
      <c r="GH142" s="200"/>
      <c r="GI142" s="200"/>
      <c r="GJ142" s="200"/>
      <c r="GK142" s="200"/>
      <c r="GL142" s="200"/>
      <c r="GM142" s="200"/>
      <c r="GN142" s="200"/>
      <c r="GO142" s="200"/>
      <c r="GP142" s="200"/>
      <c r="GQ142" s="200"/>
      <c r="GR142" s="200"/>
      <c r="GS142" s="200"/>
      <c r="GT142" s="200"/>
      <c r="GU142" s="200"/>
      <c r="GV142" s="200"/>
      <c r="GW142" s="200"/>
      <c r="GX142" s="200"/>
      <c r="GY142" s="200"/>
      <c r="GZ142" s="200"/>
      <c r="HA142" s="200"/>
      <c r="HB142" s="200"/>
      <c r="HC142" s="200"/>
      <c r="HD142" s="200"/>
      <c r="HE142" s="200"/>
      <c r="HF142" s="200"/>
      <c r="HG142" s="200"/>
      <c r="HH142" s="200"/>
      <c r="HI142" s="200"/>
      <c r="HJ142" s="200"/>
      <c r="HK142" s="200"/>
      <c r="HL142" s="200"/>
      <c r="HM142" s="200"/>
      <c r="HN142" s="200"/>
      <c r="HO142" s="200"/>
      <c r="HP142" s="200"/>
      <c r="HQ142" s="200"/>
      <c r="HR142" s="200"/>
      <c r="HS142" s="200"/>
      <c r="HT142" s="200"/>
      <c r="HU142" s="200"/>
      <c r="HV142" s="200"/>
      <c r="HW142" s="200"/>
      <c r="HX142" s="200"/>
      <c r="HY142" s="200"/>
      <c r="HZ142" s="200"/>
      <c r="IA142" s="200"/>
      <c r="IB142" s="200"/>
      <c r="IC142" s="200"/>
      <c r="ID142" s="200"/>
      <c r="IE142" s="200"/>
      <c r="IF142" s="200"/>
      <c r="IG142" s="200"/>
      <c r="IH142" s="200"/>
      <c r="II142" s="200"/>
      <c r="IJ142" s="200"/>
      <c r="IK142" s="200"/>
      <c r="IL142" s="200"/>
      <c r="IM142" s="200"/>
      <c r="IN142" s="200"/>
      <c r="IO142" s="200"/>
      <c r="IP142" s="200"/>
      <c r="IQ142" s="200"/>
      <c r="IR142" s="200"/>
      <c r="IS142" s="200"/>
      <c r="IT142" s="200"/>
      <c r="IU142" s="201"/>
      <c r="IV142" s="201"/>
    </row>
    <row r="143" s="10" customFormat="1" ht="15.95" customHeight="1" spans="1:256">
      <c r="A143" s="199">
        <v>29</v>
      </c>
      <c r="B143" s="20" t="s">
        <v>2173</v>
      </c>
      <c r="C143" s="199" t="s">
        <v>2127</v>
      </c>
      <c r="D143" s="199">
        <v>4029</v>
      </c>
      <c r="E143" s="199">
        <f>'05版台时'!F263</f>
        <v>76.5174473719229</v>
      </c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200"/>
      <c r="AI143" s="200"/>
      <c r="AJ143" s="200"/>
      <c r="AK143" s="200"/>
      <c r="AL143" s="200"/>
      <c r="AM143" s="200"/>
      <c r="AN143" s="200"/>
      <c r="AO143" s="200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200"/>
      <c r="BO143" s="200"/>
      <c r="BP143" s="200"/>
      <c r="BQ143" s="200"/>
      <c r="BR143" s="200"/>
      <c r="BS143" s="200"/>
      <c r="BT143" s="200"/>
      <c r="BU143" s="200"/>
      <c r="BV143" s="200"/>
      <c r="BW143" s="200"/>
      <c r="BX143" s="200"/>
      <c r="BY143" s="20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200"/>
      <c r="CX143" s="200"/>
      <c r="CY143" s="200"/>
      <c r="CZ143" s="200"/>
      <c r="DA143" s="200"/>
      <c r="DB143" s="200"/>
      <c r="DC143" s="200"/>
      <c r="DD143" s="200"/>
      <c r="DE143" s="200"/>
      <c r="DF143" s="200"/>
      <c r="DG143" s="200"/>
      <c r="DH143" s="200"/>
      <c r="DI143" s="200"/>
      <c r="DJ143" s="200"/>
      <c r="DK143" s="200"/>
      <c r="DL143" s="200"/>
      <c r="DM143" s="200"/>
      <c r="DN143" s="200"/>
      <c r="DO143" s="200"/>
      <c r="DP143" s="200"/>
      <c r="DQ143" s="200"/>
      <c r="DR143" s="200"/>
      <c r="DS143" s="200"/>
      <c r="DT143" s="200"/>
      <c r="DU143" s="200"/>
      <c r="DV143" s="200"/>
      <c r="DW143" s="200"/>
      <c r="DX143" s="200"/>
      <c r="DY143" s="200"/>
      <c r="DZ143" s="200"/>
      <c r="EA143" s="200"/>
      <c r="EB143" s="200"/>
      <c r="EC143" s="200"/>
      <c r="ED143" s="200"/>
      <c r="EE143" s="200"/>
      <c r="EF143" s="200"/>
      <c r="EG143" s="200"/>
      <c r="EH143" s="200"/>
      <c r="EI143" s="200"/>
      <c r="EJ143" s="200"/>
      <c r="EK143" s="200"/>
      <c r="EL143" s="200"/>
      <c r="EM143" s="200"/>
      <c r="EN143" s="200"/>
      <c r="EO143" s="200"/>
      <c r="EP143" s="200"/>
      <c r="EQ143" s="200"/>
      <c r="ER143" s="200"/>
      <c r="ES143" s="200"/>
      <c r="ET143" s="200"/>
      <c r="EU143" s="200"/>
      <c r="EV143" s="200"/>
      <c r="EW143" s="200"/>
      <c r="EX143" s="200"/>
      <c r="EY143" s="200"/>
      <c r="EZ143" s="200"/>
      <c r="FA143" s="200"/>
      <c r="FB143" s="200"/>
      <c r="FC143" s="200"/>
      <c r="FD143" s="200"/>
      <c r="FE143" s="200"/>
      <c r="FF143" s="200"/>
      <c r="FG143" s="200"/>
      <c r="FH143" s="200"/>
      <c r="FI143" s="200"/>
      <c r="FJ143" s="200"/>
      <c r="FK143" s="200"/>
      <c r="FL143" s="200"/>
      <c r="FM143" s="200"/>
      <c r="FN143" s="200"/>
      <c r="FO143" s="200"/>
      <c r="FP143" s="200"/>
      <c r="FQ143" s="200"/>
      <c r="FR143" s="200"/>
      <c r="FS143" s="200"/>
      <c r="FT143" s="200"/>
      <c r="FU143" s="200"/>
      <c r="FV143" s="200"/>
      <c r="FW143" s="200"/>
      <c r="FX143" s="200"/>
      <c r="FY143" s="200"/>
      <c r="FZ143" s="200"/>
      <c r="GA143" s="200"/>
      <c r="GB143" s="200"/>
      <c r="GC143" s="200"/>
      <c r="GD143" s="200"/>
      <c r="GE143" s="200"/>
      <c r="GF143" s="200"/>
      <c r="GG143" s="200"/>
      <c r="GH143" s="200"/>
      <c r="GI143" s="200"/>
      <c r="GJ143" s="200"/>
      <c r="GK143" s="200"/>
      <c r="GL143" s="200"/>
      <c r="GM143" s="200"/>
      <c r="GN143" s="200"/>
      <c r="GO143" s="200"/>
      <c r="GP143" s="200"/>
      <c r="GQ143" s="200"/>
      <c r="GR143" s="200"/>
      <c r="GS143" s="200"/>
      <c r="GT143" s="200"/>
      <c r="GU143" s="200"/>
      <c r="GV143" s="200"/>
      <c r="GW143" s="200"/>
      <c r="GX143" s="200"/>
      <c r="GY143" s="200"/>
      <c r="GZ143" s="200"/>
      <c r="HA143" s="200"/>
      <c r="HB143" s="200"/>
      <c r="HC143" s="200"/>
      <c r="HD143" s="200"/>
      <c r="HE143" s="200"/>
      <c r="HF143" s="200"/>
      <c r="HG143" s="200"/>
      <c r="HH143" s="200"/>
      <c r="HI143" s="200"/>
      <c r="HJ143" s="200"/>
      <c r="HK143" s="200"/>
      <c r="HL143" s="200"/>
      <c r="HM143" s="200"/>
      <c r="HN143" s="200"/>
      <c r="HO143" s="200"/>
      <c r="HP143" s="200"/>
      <c r="HQ143" s="200"/>
      <c r="HR143" s="200"/>
      <c r="HS143" s="200"/>
      <c r="HT143" s="200"/>
      <c r="HU143" s="200"/>
      <c r="HV143" s="200"/>
      <c r="HW143" s="200"/>
      <c r="HX143" s="200"/>
      <c r="HY143" s="200"/>
      <c r="HZ143" s="200"/>
      <c r="IA143" s="200"/>
      <c r="IB143" s="200"/>
      <c r="IC143" s="200"/>
      <c r="ID143" s="200"/>
      <c r="IE143" s="200"/>
      <c r="IF143" s="200"/>
      <c r="IG143" s="200"/>
      <c r="IH143" s="200"/>
      <c r="II143" s="200"/>
      <c r="IJ143" s="200"/>
      <c r="IK143" s="200"/>
      <c r="IL143" s="200"/>
      <c r="IM143" s="200"/>
      <c r="IN143" s="200"/>
      <c r="IO143" s="200"/>
      <c r="IP143" s="200"/>
      <c r="IQ143" s="200"/>
      <c r="IR143" s="200"/>
      <c r="IS143" s="200"/>
      <c r="IT143" s="200"/>
      <c r="IU143" s="201"/>
      <c r="IV143" s="201"/>
    </row>
    <row r="144" s="10" customFormat="1" ht="15.95" customHeight="1" spans="1:256">
      <c r="A144" s="199">
        <v>30</v>
      </c>
      <c r="B144" s="20" t="s">
        <v>2173</v>
      </c>
      <c r="C144" s="199" t="s">
        <v>2061</v>
      </c>
      <c r="D144" s="199">
        <v>4030</v>
      </c>
      <c r="E144" s="199">
        <f>'05版台时'!G263</f>
        <v>82.7118630081415</v>
      </c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200"/>
      <c r="BD144" s="200"/>
      <c r="BE144" s="200"/>
      <c r="BF144" s="200"/>
      <c r="BG144" s="200"/>
      <c r="BH144" s="200"/>
      <c r="BI144" s="200"/>
      <c r="BJ144" s="200"/>
      <c r="BK144" s="200"/>
      <c r="BL144" s="200"/>
      <c r="BM144" s="200"/>
      <c r="BN144" s="200"/>
      <c r="BO144" s="200"/>
      <c r="BP144" s="200"/>
      <c r="BQ144" s="200"/>
      <c r="BR144" s="200"/>
      <c r="BS144" s="200"/>
      <c r="BT144" s="200"/>
      <c r="BU144" s="200"/>
      <c r="BV144" s="200"/>
      <c r="BW144" s="200"/>
      <c r="BX144" s="200"/>
      <c r="BY144" s="200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200"/>
      <c r="CX144" s="200"/>
      <c r="CY144" s="200"/>
      <c r="CZ144" s="200"/>
      <c r="DA144" s="200"/>
      <c r="DB144" s="200"/>
      <c r="DC144" s="200"/>
      <c r="DD144" s="200"/>
      <c r="DE144" s="200"/>
      <c r="DF144" s="200"/>
      <c r="DG144" s="200"/>
      <c r="DH144" s="200"/>
      <c r="DI144" s="200"/>
      <c r="DJ144" s="200"/>
      <c r="DK144" s="200"/>
      <c r="DL144" s="200"/>
      <c r="DM144" s="200"/>
      <c r="DN144" s="200"/>
      <c r="DO144" s="200"/>
      <c r="DP144" s="200"/>
      <c r="DQ144" s="200"/>
      <c r="DR144" s="200"/>
      <c r="DS144" s="200"/>
      <c r="DT144" s="200"/>
      <c r="DU144" s="200"/>
      <c r="DV144" s="200"/>
      <c r="DW144" s="200"/>
      <c r="DX144" s="200"/>
      <c r="DY144" s="200"/>
      <c r="DZ144" s="200"/>
      <c r="EA144" s="200"/>
      <c r="EB144" s="200"/>
      <c r="EC144" s="200"/>
      <c r="ED144" s="200"/>
      <c r="EE144" s="200"/>
      <c r="EF144" s="200"/>
      <c r="EG144" s="200"/>
      <c r="EH144" s="200"/>
      <c r="EI144" s="200"/>
      <c r="EJ144" s="200"/>
      <c r="EK144" s="200"/>
      <c r="EL144" s="200"/>
      <c r="EM144" s="200"/>
      <c r="EN144" s="200"/>
      <c r="EO144" s="200"/>
      <c r="EP144" s="200"/>
      <c r="EQ144" s="200"/>
      <c r="ER144" s="200"/>
      <c r="ES144" s="200"/>
      <c r="ET144" s="200"/>
      <c r="EU144" s="200"/>
      <c r="EV144" s="200"/>
      <c r="EW144" s="200"/>
      <c r="EX144" s="200"/>
      <c r="EY144" s="200"/>
      <c r="EZ144" s="200"/>
      <c r="FA144" s="200"/>
      <c r="FB144" s="200"/>
      <c r="FC144" s="200"/>
      <c r="FD144" s="200"/>
      <c r="FE144" s="200"/>
      <c r="FF144" s="200"/>
      <c r="FG144" s="200"/>
      <c r="FH144" s="200"/>
      <c r="FI144" s="200"/>
      <c r="FJ144" s="200"/>
      <c r="FK144" s="200"/>
      <c r="FL144" s="200"/>
      <c r="FM144" s="200"/>
      <c r="FN144" s="200"/>
      <c r="FO144" s="200"/>
      <c r="FP144" s="200"/>
      <c r="FQ144" s="200"/>
      <c r="FR144" s="200"/>
      <c r="FS144" s="200"/>
      <c r="FT144" s="200"/>
      <c r="FU144" s="200"/>
      <c r="FV144" s="200"/>
      <c r="FW144" s="200"/>
      <c r="FX144" s="200"/>
      <c r="FY144" s="200"/>
      <c r="FZ144" s="200"/>
      <c r="GA144" s="200"/>
      <c r="GB144" s="200"/>
      <c r="GC144" s="200"/>
      <c r="GD144" s="200"/>
      <c r="GE144" s="200"/>
      <c r="GF144" s="200"/>
      <c r="GG144" s="200"/>
      <c r="GH144" s="200"/>
      <c r="GI144" s="200"/>
      <c r="GJ144" s="200"/>
      <c r="GK144" s="200"/>
      <c r="GL144" s="200"/>
      <c r="GM144" s="200"/>
      <c r="GN144" s="200"/>
      <c r="GO144" s="200"/>
      <c r="GP144" s="200"/>
      <c r="GQ144" s="200"/>
      <c r="GR144" s="200"/>
      <c r="GS144" s="200"/>
      <c r="GT144" s="200"/>
      <c r="GU144" s="200"/>
      <c r="GV144" s="200"/>
      <c r="GW144" s="200"/>
      <c r="GX144" s="200"/>
      <c r="GY144" s="200"/>
      <c r="GZ144" s="200"/>
      <c r="HA144" s="200"/>
      <c r="HB144" s="200"/>
      <c r="HC144" s="200"/>
      <c r="HD144" s="200"/>
      <c r="HE144" s="200"/>
      <c r="HF144" s="200"/>
      <c r="HG144" s="200"/>
      <c r="HH144" s="200"/>
      <c r="HI144" s="200"/>
      <c r="HJ144" s="200"/>
      <c r="HK144" s="200"/>
      <c r="HL144" s="200"/>
      <c r="HM144" s="200"/>
      <c r="HN144" s="200"/>
      <c r="HO144" s="200"/>
      <c r="HP144" s="200"/>
      <c r="HQ144" s="200"/>
      <c r="HR144" s="200"/>
      <c r="HS144" s="200"/>
      <c r="HT144" s="200"/>
      <c r="HU144" s="200"/>
      <c r="HV144" s="200"/>
      <c r="HW144" s="200"/>
      <c r="HX144" s="200"/>
      <c r="HY144" s="200"/>
      <c r="HZ144" s="200"/>
      <c r="IA144" s="200"/>
      <c r="IB144" s="200"/>
      <c r="IC144" s="200"/>
      <c r="ID144" s="200"/>
      <c r="IE144" s="200"/>
      <c r="IF144" s="200"/>
      <c r="IG144" s="200"/>
      <c r="IH144" s="200"/>
      <c r="II144" s="200"/>
      <c r="IJ144" s="200"/>
      <c r="IK144" s="200"/>
      <c r="IL144" s="200"/>
      <c r="IM144" s="200"/>
      <c r="IN144" s="200"/>
      <c r="IO144" s="200"/>
      <c r="IP144" s="200"/>
      <c r="IQ144" s="200"/>
      <c r="IR144" s="200"/>
      <c r="IS144" s="200"/>
      <c r="IT144" s="200"/>
      <c r="IU144" s="201"/>
      <c r="IV144" s="201"/>
    </row>
    <row r="145" s="10" customFormat="1" ht="15.95" customHeight="1" spans="1:256">
      <c r="A145" s="199">
        <v>31</v>
      </c>
      <c r="B145" s="20" t="s">
        <v>2173</v>
      </c>
      <c r="C145" s="199" t="s">
        <v>2063</v>
      </c>
      <c r="D145" s="199">
        <v>4031</v>
      </c>
      <c r="E145" s="199">
        <f>'05版台时'!H263</f>
        <v>111.782210834228</v>
      </c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200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200"/>
      <c r="BD145" s="200"/>
      <c r="BE145" s="200"/>
      <c r="BF145" s="200"/>
      <c r="BG145" s="200"/>
      <c r="BH145" s="200"/>
      <c r="BI145" s="200"/>
      <c r="BJ145" s="200"/>
      <c r="BK145" s="200"/>
      <c r="BL145" s="200"/>
      <c r="BM145" s="200"/>
      <c r="BN145" s="200"/>
      <c r="BO145" s="200"/>
      <c r="BP145" s="200"/>
      <c r="BQ145" s="200"/>
      <c r="BR145" s="200"/>
      <c r="BS145" s="200"/>
      <c r="BT145" s="200"/>
      <c r="BU145" s="200"/>
      <c r="BV145" s="200"/>
      <c r="BW145" s="200"/>
      <c r="BX145" s="200"/>
      <c r="BY145" s="200"/>
      <c r="BZ145" s="200"/>
      <c r="CA145" s="200"/>
      <c r="CB145" s="200"/>
      <c r="CC145" s="200"/>
      <c r="CD145" s="200"/>
      <c r="CE145" s="200"/>
      <c r="CF145" s="200"/>
      <c r="CG145" s="200"/>
      <c r="CH145" s="200"/>
      <c r="CI145" s="200"/>
      <c r="CJ145" s="200"/>
      <c r="CK145" s="200"/>
      <c r="CL145" s="200"/>
      <c r="CM145" s="200"/>
      <c r="CN145" s="200"/>
      <c r="CO145" s="200"/>
      <c r="CP145" s="200"/>
      <c r="CQ145" s="200"/>
      <c r="CR145" s="200"/>
      <c r="CS145" s="200"/>
      <c r="CT145" s="200"/>
      <c r="CU145" s="200"/>
      <c r="CV145" s="200"/>
      <c r="CW145" s="200"/>
      <c r="CX145" s="200"/>
      <c r="CY145" s="200"/>
      <c r="CZ145" s="200"/>
      <c r="DA145" s="200"/>
      <c r="DB145" s="200"/>
      <c r="DC145" s="200"/>
      <c r="DD145" s="200"/>
      <c r="DE145" s="200"/>
      <c r="DF145" s="200"/>
      <c r="DG145" s="200"/>
      <c r="DH145" s="200"/>
      <c r="DI145" s="200"/>
      <c r="DJ145" s="200"/>
      <c r="DK145" s="200"/>
      <c r="DL145" s="200"/>
      <c r="DM145" s="200"/>
      <c r="DN145" s="200"/>
      <c r="DO145" s="200"/>
      <c r="DP145" s="200"/>
      <c r="DQ145" s="200"/>
      <c r="DR145" s="200"/>
      <c r="DS145" s="200"/>
      <c r="DT145" s="200"/>
      <c r="DU145" s="200"/>
      <c r="DV145" s="200"/>
      <c r="DW145" s="200"/>
      <c r="DX145" s="200"/>
      <c r="DY145" s="200"/>
      <c r="DZ145" s="200"/>
      <c r="EA145" s="200"/>
      <c r="EB145" s="200"/>
      <c r="EC145" s="200"/>
      <c r="ED145" s="200"/>
      <c r="EE145" s="200"/>
      <c r="EF145" s="200"/>
      <c r="EG145" s="200"/>
      <c r="EH145" s="200"/>
      <c r="EI145" s="200"/>
      <c r="EJ145" s="200"/>
      <c r="EK145" s="200"/>
      <c r="EL145" s="200"/>
      <c r="EM145" s="200"/>
      <c r="EN145" s="200"/>
      <c r="EO145" s="200"/>
      <c r="EP145" s="200"/>
      <c r="EQ145" s="200"/>
      <c r="ER145" s="200"/>
      <c r="ES145" s="200"/>
      <c r="ET145" s="200"/>
      <c r="EU145" s="200"/>
      <c r="EV145" s="200"/>
      <c r="EW145" s="200"/>
      <c r="EX145" s="200"/>
      <c r="EY145" s="200"/>
      <c r="EZ145" s="200"/>
      <c r="FA145" s="200"/>
      <c r="FB145" s="200"/>
      <c r="FC145" s="200"/>
      <c r="FD145" s="200"/>
      <c r="FE145" s="200"/>
      <c r="FF145" s="200"/>
      <c r="FG145" s="200"/>
      <c r="FH145" s="200"/>
      <c r="FI145" s="200"/>
      <c r="FJ145" s="200"/>
      <c r="FK145" s="200"/>
      <c r="FL145" s="200"/>
      <c r="FM145" s="200"/>
      <c r="FN145" s="200"/>
      <c r="FO145" s="200"/>
      <c r="FP145" s="200"/>
      <c r="FQ145" s="200"/>
      <c r="FR145" s="200"/>
      <c r="FS145" s="200"/>
      <c r="FT145" s="200"/>
      <c r="FU145" s="200"/>
      <c r="FV145" s="200"/>
      <c r="FW145" s="200"/>
      <c r="FX145" s="200"/>
      <c r="FY145" s="200"/>
      <c r="FZ145" s="200"/>
      <c r="GA145" s="200"/>
      <c r="GB145" s="200"/>
      <c r="GC145" s="200"/>
      <c r="GD145" s="200"/>
      <c r="GE145" s="200"/>
      <c r="GF145" s="200"/>
      <c r="GG145" s="200"/>
      <c r="GH145" s="200"/>
      <c r="GI145" s="200"/>
      <c r="GJ145" s="200"/>
      <c r="GK145" s="200"/>
      <c r="GL145" s="200"/>
      <c r="GM145" s="200"/>
      <c r="GN145" s="200"/>
      <c r="GO145" s="200"/>
      <c r="GP145" s="200"/>
      <c r="GQ145" s="200"/>
      <c r="GR145" s="200"/>
      <c r="GS145" s="200"/>
      <c r="GT145" s="200"/>
      <c r="GU145" s="200"/>
      <c r="GV145" s="200"/>
      <c r="GW145" s="200"/>
      <c r="GX145" s="200"/>
      <c r="GY145" s="200"/>
      <c r="GZ145" s="200"/>
      <c r="HA145" s="200"/>
      <c r="HB145" s="200"/>
      <c r="HC145" s="200"/>
      <c r="HD145" s="200"/>
      <c r="HE145" s="200"/>
      <c r="HF145" s="200"/>
      <c r="HG145" s="200"/>
      <c r="HH145" s="200"/>
      <c r="HI145" s="200"/>
      <c r="HJ145" s="200"/>
      <c r="HK145" s="200"/>
      <c r="HL145" s="200"/>
      <c r="HM145" s="200"/>
      <c r="HN145" s="200"/>
      <c r="HO145" s="200"/>
      <c r="HP145" s="200"/>
      <c r="HQ145" s="200"/>
      <c r="HR145" s="200"/>
      <c r="HS145" s="200"/>
      <c r="HT145" s="200"/>
      <c r="HU145" s="200"/>
      <c r="HV145" s="200"/>
      <c r="HW145" s="200"/>
      <c r="HX145" s="200"/>
      <c r="HY145" s="200"/>
      <c r="HZ145" s="200"/>
      <c r="IA145" s="200"/>
      <c r="IB145" s="200"/>
      <c r="IC145" s="200"/>
      <c r="ID145" s="200"/>
      <c r="IE145" s="200"/>
      <c r="IF145" s="200"/>
      <c r="IG145" s="200"/>
      <c r="IH145" s="200"/>
      <c r="II145" s="200"/>
      <c r="IJ145" s="200"/>
      <c r="IK145" s="200"/>
      <c r="IL145" s="200"/>
      <c r="IM145" s="200"/>
      <c r="IN145" s="200"/>
      <c r="IO145" s="200"/>
      <c r="IP145" s="200"/>
      <c r="IQ145" s="200"/>
      <c r="IR145" s="200"/>
      <c r="IS145" s="200"/>
      <c r="IT145" s="200"/>
      <c r="IU145" s="201"/>
      <c r="IV145" s="201"/>
    </row>
    <row r="146" s="10" customFormat="1" ht="15.95" customHeight="1" spans="1:256">
      <c r="A146" s="199">
        <v>32</v>
      </c>
      <c r="B146" s="20" t="s">
        <v>2173</v>
      </c>
      <c r="C146" s="199" t="s">
        <v>2131</v>
      </c>
      <c r="D146" s="199">
        <v>4032</v>
      </c>
      <c r="E146" s="199">
        <f>'05版台时'!I263</f>
        <v>123.227190890072</v>
      </c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200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  <c r="BD146" s="200"/>
      <c r="BE146" s="200"/>
      <c r="BF146" s="200"/>
      <c r="BG146" s="200"/>
      <c r="BH146" s="200"/>
      <c r="BI146" s="200"/>
      <c r="BJ146" s="200"/>
      <c r="BK146" s="200"/>
      <c r="BL146" s="200"/>
      <c r="BM146" s="200"/>
      <c r="BN146" s="200"/>
      <c r="BO146" s="200"/>
      <c r="BP146" s="200"/>
      <c r="BQ146" s="200"/>
      <c r="BR146" s="200"/>
      <c r="BS146" s="200"/>
      <c r="BT146" s="200"/>
      <c r="BU146" s="200"/>
      <c r="BV146" s="200"/>
      <c r="BW146" s="200"/>
      <c r="BX146" s="200"/>
      <c r="BY146" s="200"/>
      <c r="BZ146" s="200"/>
      <c r="CA146" s="200"/>
      <c r="CB146" s="200"/>
      <c r="CC146" s="200"/>
      <c r="CD146" s="200"/>
      <c r="CE146" s="200"/>
      <c r="CF146" s="200"/>
      <c r="CG146" s="200"/>
      <c r="CH146" s="200"/>
      <c r="CI146" s="200"/>
      <c r="CJ146" s="200"/>
      <c r="CK146" s="200"/>
      <c r="CL146" s="200"/>
      <c r="CM146" s="200"/>
      <c r="CN146" s="200"/>
      <c r="CO146" s="200"/>
      <c r="CP146" s="200"/>
      <c r="CQ146" s="200"/>
      <c r="CR146" s="200"/>
      <c r="CS146" s="200"/>
      <c r="CT146" s="200"/>
      <c r="CU146" s="200"/>
      <c r="CV146" s="200"/>
      <c r="CW146" s="200"/>
      <c r="CX146" s="200"/>
      <c r="CY146" s="200"/>
      <c r="CZ146" s="200"/>
      <c r="DA146" s="200"/>
      <c r="DB146" s="200"/>
      <c r="DC146" s="200"/>
      <c r="DD146" s="200"/>
      <c r="DE146" s="200"/>
      <c r="DF146" s="200"/>
      <c r="DG146" s="200"/>
      <c r="DH146" s="200"/>
      <c r="DI146" s="200"/>
      <c r="DJ146" s="200"/>
      <c r="DK146" s="200"/>
      <c r="DL146" s="200"/>
      <c r="DM146" s="200"/>
      <c r="DN146" s="200"/>
      <c r="DO146" s="200"/>
      <c r="DP146" s="200"/>
      <c r="DQ146" s="200"/>
      <c r="DR146" s="200"/>
      <c r="DS146" s="200"/>
      <c r="DT146" s="200"/>
      <c r="DU146" s="200"/>
      <c r="DV146" s="200"/>
      <c r="DW146" s="200"/>
      <c r="DX146" s="200"/>
      <c r="DY146" s="200"/>
      <c r="DZ146" s="200"/>
      <c r="EA146" s="200"/>
      <c r="EB146" s="200"/>
      <c r="EC146" s="200"/>
      <c r="ED146" s="200"/>
      <c r="EE146" s="200"/>
      <c r="EF146" s="200"/>
      <c r="EG146" s="200"/>
      <c r="EH146" s="200"/>
      <c r="EI146" s="200"/>
      <c r="EJ146" s="200"/>
      <c r="EK146" s="200"/>
      <c r="EL146" s="200"/>
      <c r="EM146" s="200"/>
      <c r="EN146" s="200"/>
      <c r="EO146" s="200"/>
      <c r="EP146" s="200"/>
      <c r="EQ146" s="200"/>
      <c r="ER146" s="200"/>
      <c r="ES146" s="200"/>
      <c r="ET146" s="200"/>
      <c r="EU146" s="200"/>
      <c r="EV146" s="200"/>
      <c r="EW146" s="200"/>
      <c r="EX146" s="200"/>
      <c r="EY146" s="200"/>
      <c r="EZ146" s="200"/>
      <c r="FA146" s="200"/>
      <c r="FB146" s="200"/>
      <c r="FC146" s="200"/>
      <c r="FD146" s="200"/>
      <c r="FE146" s="200"/>
      <c r="FF146" s="200"/>
      <c r="FG146" s="200"/>
      <c r="FH146" s="200"/>
      <c r="FI146" s="200"/>
      <c r="FJ146" s="200"/>
      <c r="FK146" s="200"/>
      <c r="FL146" s="200"/>
      <c r="FM146" s="200"/>
      <c r="FN146" s="200"/>
      <c r="FO146" s="200"/>
      <c r="FP146" s="200"/>
      <c r="FQ146" s="200"/>
      <c r="FR146" s="200"/>
      <c r="FS146" s="200"/>
      <c r="FT146" s="200"/>
      <c r="FU146" s="200"/>
      <c r="FV146" s="200"/>
      <c r="FW146" s="200"/>
      <c r="FX146" s="200"/>
      <c r="FY146" s="200"/>
      <c r="FZ146" s="200"/>
      <c r="GA146" s="200"/>
      <c r="GB146" s="200"/>
      <c r="GC146" s="200"/>
      <c r="GD146" s="200"/>
      <c r="GE146" s="200"/>
      <c r="GF146" s="200"/>
      <c r="GG146" s="200"/>
      <c r="GH146" s="200"/>
      <c r="GI146" s="200"/>
      <c r="GJ146" s="200"/>
      <c r="GK146" s="200"/>
      <c r="GL146" s="200"/>
      <c r="GM146" s="200"/>
      <c r="GN146" s="200"/>
      <c r="GO146" s="200"/>
      <c r="GP146" s="200"/>
      <c r="GQ146" s="200"/>
      <c r="GR146" s="200"/>
      <c r="GS146" s="200"/>
      <c r="GT146" s="200"/>
      <c r="GU146" s="200"/>
      <c r="GV146" s="200"/>
      <c r="GW146" s="200"/>
      <c r="GX146" s="200"/>
      <c r="GY146" s="200"/>
      <c r="GZ146" s="200"/>
      <c r="HA146" s="200"/>
      <c r="HB146" s="200"/>
      <c r="HC146" s="200"/>
      <c r="HD146" s="200"/>
      <c r="HE146" s="200"/>
      <c r="HF146" s="200"/>
      <c r="HG146" s="200"/>
      <c r="HH146" s="200"/>
      <c r="HI146" s="200"/>
      <c r="HJ146" s="200"/>
      <c r="HK146" s="200"/>
      <c r="HL146" s="200"/>
      <c r="HM146" s="200"/>
      <c r="HN146" s="200"/>
      <c r="HO146" s="200"/>
      <c r="HP146" s="200"/>
      <c r="HQ146" s="200"/>
      <c r="HR146" s="200"/>
      <c r="HS146" s="200"/>
      <c r="HT146" s="200"/>
      <c r="HU146" s="200"/>
      <c r="HV146" s="200"/>
      <c r="HW146" s="200"/>
      <c r="HX146" s="200"/>
      <c r="HY146" s="200"/>
      <c r="HZ146" s="200"/>
      <c r="IA146" s="200"/>
      <c r="IB146" s="200"/>
      <c r="IC146" s="200"/>
      <c r="ID146" s="200"/>
      <c r="IE146" s="200"/>
      <c r="IF146" s="200"/>
      <c r="IG146" s="200"/>
      <c r="IH146" s="200"/>
      <c r="II146" s="200"/>
      <c r="IJ146" s="200"/>
      <c r="IK146" s="200"/>
      <c r="IL146" s="200"/>
      <c r="IM146" s="200"/>
      <c r="IN146" s="200"/>
      <c r="IO146" s="200"/>
      <c r="IP146" s="200"/>
      <c r="IQ146" s="200"/>
      <c r="IR146" s="200"/>
      <c r="IS146" s="200"/>
      <c r="IT146" s="200"/>
      <c r="IU146" s="201"/>
      <c r="IV146" s="201"/>
    </row>
    <row r="147" s="10" customFormat="1" ht="15.95" customHeight="1" spans="1:256">
      <c r="A147" s="199">
        <v>33</v>
      </c>
      <c r="B147" s="20" t="s">
        <v>2173</v>
      </c>
      <c r="C147" s="199" t="s">
        <v>2160</v>
      </c>
      <c r="D147" s="199">
        <v>4033</v>
      </c>
      <c r="E147" s="199">
        <f>'05版台时'!J263</f>
        <v>160.832992246275</v>
      </c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200"/>
      <c r="AL147" s="200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200"/>
      <c r="BD147" s="200"/>
      <c r="BE147" s="200"/>
      <c r="BF147" s="200"/>
      <c r="BG147" s="200"/>
      <c r="BH147" s="200"/>
      <c r="BI147" s="200"/>
      <c r="BJ147" s="200"/>
      <c r="BK147" s="200"/>
      <c r="BL147" s="200"/>
      <c r="BM147" s="200"/>
      <c r="BN147" s="200"/>
      <c r="BO147" s="200"/>
      <c r="BP147" s="200"/>
      <c r="BQ147" s="200"/>
      <c r="BR147" s="200"/>
      <c r="BS147" s="200"/>
      <c r="BT147" s="200"/>
      <c r="BU147" s="200"/>
      <c r="BV147" s="200"/>
      <c r="BW147" s="200"/>
      <c r="BX147" s="200"/>
      <c r="BY147" s="200"/>
      <c r="BZ147" s="200"/>
      <c r="CA147" s="200"/>
      <c r="CB147" s="200"/>
      <c r="CC147" s="200"/>
      <c r="CD147" s="200"/>
      <c r="CE147" s="200"/>
      <c r="CF147" s="200"/>
      <c r="CG147" s="200"/>
      <c r="CH147" s="200"/>
      <c r="CI147" s="200"/>
      <c r="CJ147" s="200"/>
      <c r="CK147" s="200"/>
      <c r="CL147" s="200"/>
      <c r="CM147" s="200"/>
      <c r="CN147" s="200"/>
      <c r="CO147" s="200"/>
      <c r="CP147" s="200"/>
      <c r="CQ147" s="200"/>
      <c r="CR147" s="200"/>
      <c r="CS147" s="200"/>
      <c r="CT147" s="200"/>
      <c r="CU147" s="200"/>
      <c r="CV147" s="200"/>
      <c r="CW147" s="200"/>
      <c r="CX147" s="200"/>
      <c r="CY147" s="200"/>
      <c r="CZ147" s="200"/>
      <c r="DA147" s="200"/>
      <c r="DB147" s="200"/>
      <c r="DC147" s="200"/>
      <c r="DD147" s="200"/>
      <c r="DE147" s="200"/>
      <c r="DF147" s="200"/>
      <c r="DG147" s="200"/>
      <c r="DH147" s="200"/>
      <c r="DI147" s="200"/>
      <c r="DJ147" s="200"/>
      <c r="DK147" s="200"/>
      <c r="DL147" s="200"/>
      <c r="DM147" s="200"/>
      <c r="DN147" s="200"/>
      <c r="DO147" s="200"/>
      <c r="DP147" s="200"/>
      <c r="DQ147" s="200"/>
      <c r="DR147" s="200"/>
      <c r="DS147" s="200"/>
      <c r="DT147" s="200"/>
      <c r="DU147" s="200"/>
      <c r="DV147" s="200"/>
      <c r="DW147" s="200"/>
      <c r="DX147" s="200"/>
      <c r="DY147" s="200"/>
      <c r="DZ147" s="200"/>
      <c r="EA147" s="200"/>
      <c r="EB147" s="200"/>
      <c r="EC147" s="200"/>
      <c r="ED147" s="200"/>
      <c r="EE147" s="200"/>
      <c r="EF147" s="200"/>
      <c r="EG147" s="200"/>
      <c r="EH147" s="200"/>
      <c r="EI147" s="200"/>
      <c r="EJ147" s="200"/>
      <c r="EK147" s="200"/>
      <c r="EL147" s="200"/>
      <c r="EM147" s="200"/>
      <c r="EN147" s="200"/>
      <c r="EO147" s="200"/>
      <c r="EP147" s="200"/>
      <c r="EQ147" s="200"/>
      <c r="ER147" s="200"/>
      <c r="ES147" s="200"/>
      <c r="ET147" s="200"/>
      <c r="EU147" s="200"/>
      <c r="EV147" s="200"/>
      <c r="EW147" s="200"/>
      <c r="EX147" s="200"/>
      <c r="EY147" s="200"/>
      <c r="EZ147" s="200"/>
      <c r="FA147" s="200"/>
      <c r="FB147" s="200"/>
      <c r="FC147" s="200"/>
      <c r="FD147" s="200"/>
      <c r="FE147" s="200"/>
      <c r="FF147" s="200"/>
      <c r="FG147" s="200"/>
      <c r="FH147" s="200"/>
      <c r="FI147" s="200"/>
      <c r="FJ147" s="200"/>
      <c r="FK147" s="200"/>
      <c r="FL147" s="200"/>
      <c r="FM147" s="200"/>
      <c r="FN147" s="200"/>
      <c r="FO147" s="200"/>
      <c r="FP147" s="200"/>
      <c r="FQ147" s="200"/>
      <c r="FR147" s="200"/>
      <c r="FS147" s="200"/>
      <c r="FT147" s="200"/>
      <c r="FU147" s="200"/>
      <c r="FV147" s="200"/>
      <c r="FW147" s="200"/>
      <c r="FX147" s="200"/>
      <c r="FY147" s="200"/>
      <c r="FZ147" s="200"/>
      <c r="GA147" s="200"/>
      <c r="GB147" s="200"/>
      <c r="GC147" s="200"/>
      <c r="GD147" s="200"/>
      <c r="GE147" s="200"/>
      <c r="GF147" s="200"/>
      <c r="GG147" s="200"/>
      <c r="GH147" s="200"/>
      <c r="GI147" s="200"/>
      <c r="GJ147" s="200"/>
      <c r="GK147" s="200"/>
      <c r="GL147" s="200"/>
      <c r="GM147" s="200"/>
      <c r="GN147" s="200"/>
      <c r="GO147" s="200"/>
      <c r="GP147" s="200"/>
      <c r="GQ147" s="200"/>
      <c r="GR147" s="200"/>
      <c r="GS147" s="200"/>
      <c r="GT147" s="200"/>
      <c r="GU147" s="200"/>
      <c r="GV147" s="200"/>
      <c r="GW147" s="200"/>
      <c r="GX147" s="200"/>
      <c r="GY147" s="200"/>
      <c r="GZ147" s="200"/>
      <c r="HA147" s="200"/>
      <c r="HB147" s="200"/>
      <c r="HC147" s="200"/>
      <c r="HD147" s="200"/>
      <c r="HE147" s="200"/>
      <c r="HF147" s="200"/>
      <c r="HG147" s="200"/>
      <c r="HH147" s="200"/>
      <c r="HI147" s="200"/>
      <c r="HJ147" s="200"/>
      <c r="HK147" s="200"/>
      <c r="HL147" s="200"/>
      <c r="HM147" s="200"/>
      <c r="HN147" s="200"/>
      <c r="HO147" s="200"/>
      <c r="HP147" s="200"/>
      <c r="HQ147" s="200"/>
      <c r="HR147" s="200"/>
      <c r="HS147" s="200"/>
      <c r="HT147" s="200"/>
      <c r="HU147" s="200"/>
      <c r="HV147" s="200"/>
      <c r="HW147" s="200"/>
      <c r="HX147" s="200"/>
      <c r="HY147" s="200"/>
      <c r="HZ147" s="200"/>
      <c r="IA147" s="200"/>
      <c r="IB147" s="200"/>
      <c r="IC147" s="200"/>
      <c r="ID147" s="200"/>
      <c r="IE147" s="200"/>
      <c r="IF147" s="200"/>
      <c r="IG147" s="200"/>
      <c r="IH147" s="200"/>
      <c r="II147" s="200"/>
      <c r="IJ147" s="200"/>
      <c r="IK147" s="200"/>
      <c r="IL147" s="200"/>
      <c r="IM147" s="200"/>
      <c r="IN147" s="200"/>
      <c r="IO147" s="200"/>
      <c r="IP147" s="200"/>
      <c r="IQ147" s="200"/>
      <c r="IR147" s="200"/>
      <c r="IS147" s="200"/>
      <c r="IT147" s="200"/>
      <c r="IU147" s="201"/>
      <c r="IV147" s="201"/>
    </row>
    <row r="148" s="10" customFormat="1" ht="15.95" customHeight="1" spans="1:256">
      <c r="A148" s="199">
        <v>34</v>
      </c>
      <c r="B148" s="20" t="s">
        <v>2173</v>
      </c>
      <c r="C148" s="199" t="s">
        <v>2133</v>
      </c>
      <c r="D148" s="199">
        <v>4034</v>
      </c>
      <c r="E148" s="199">
        <f>'05版台时'!K263</f>
        <v>181.598863407025</v>
      </c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0"/>
      <c r="BL148" s="200"/>
      <c r="BM148" s="200"/>
      <c r="BN148" s="200"/>
      <c r="BO148" s="200"/>
      <c r="BP148" s="200"/>
      <c r="BQ148" s="200"/>
      <c r="BR148" s="200"/>
      <c r="BS148" s="200"/>
      <c r="BT148" s="200"/>
      <c r="BU148" s="200"/>
      <c r="BV148" s="200"/>
      <c r="BW148" s="200"/>
      <c r="BX148" s="200"/>
      <c r="BY148" s="200"/>
      <c r="BZ148" s="200"/>
      <c r="CA148" s="200"/>
      <c r="CB148" s="200"/>
      <c r="CC148" s="200"/>
      <c r="CD148" s="200"/>
      <c r="CE148" s="200"/>
      <c r="CF148" s="200"/>
      <c r="CG148" s="200"/>
      <c r="CH148" s="200"/>
      <c r="CI148" s="200"/>
      <c r="CJ148" s="200"/>
      <c r="CK148" s="200"/>
      <c r="CL148" s="200"/>
      <c r="CM148" s="200"/>
      <c r="CN148" s="200"/>
      <c r="CO148" s="200"/>
      <c r="CP148" s="200"/>
      <c r="CQ148" s="200"/>
      <c r="CR148" s="200"/>
      <c r="CS148" s="200"/>
      <c r="CT148" s="200"/>
      <c r="CU148" s="200"/>
      <c r="CV148" s="200"/>
      <c r="CW148" s="200"/>
      <c r="CX148" s="200"/>
      <c r="CY148" s="200"/>
      <c r="CZ148" s="200"/>
      <c r="DA148" s="200"/>
      <c r="DB148" s="200"/>
      <c r="DC148" s="200"/>
      <c r="DD148" s="200"/>
      <c r="DE148" s="200"/>
      <c r="DF148" s="200"/>
      <c r="DG148" s="200"/>
      <c r="DH148" s="200"/>
      <c r="DI148" s="200"/>
      <c r="DJ148" s="200"/>
      <c r="DK148" s="200"/>
      <c r="DL148" s="200"/>
      <c r="DM148" s="200"/>
      <c r="DN148" s="200"/>
      <c r="DO148" s="200"/>
      <c r="DP148" s="200"/>
      <c r="DQ148" s="200"/>
      <c r="DR148" s="200"/>
      <c r="DS148" s="200"/>
      <c r="DT148" s="200"/>
      <c r="DU148" s="200"/>
      <c r="DV148" s="200"/>
      <c r="DW148" s="200"/>
      <c r="DX148" s="200"/>
      <c r="DY148" s="200"/>
      <c r="DZ148" s="200"/>
      <c r="EA148" s="200"/>
      <c r="EB148" s="200"/>
      <c r="EC148" s="200"/>
      <c r="ED148" s="200"/>
      <c r="EE148" s="200"/>
      <c r="EF148" s="200"/>
      <c r="EG148" s="200"/>
      <c r="EH148" s="200"/>
      <c r="EI148" s="200"/>
      <c r="EJ148" s="200"/>
      <c r="EK148" s="200"/>
      <c r="EL148" s="200"/>
      <c r="EM148" s="200"/>
      <c r="EN148" s="200"/>
      <c r="EO148" s="200"/>
      <c r="EP148" s="200"/>
      <c r="EQ148" s="200"/>
      <c r="ER148" s="200"/>
      <c r="ES148" s="200"/>
      <c r="ET148" s="200"/>
      <c r="EU148" s="200"/>
      <c r="EV148" s="200"/>
      <c r="EW148" s="200"/>
      <c r="EX148" s="200"/>
      <c r="EY148" s="200"/>
      <c r="EZ148" s="200"/>
      <c r="FA148" s="200"/>
      <c r="FB148" s="200"/>
      <c r="FC148" s="200"/>
      <c r="FD148" s="200"/>
      <c r="FE148" s="200"/>
      <c r="FF148" s="200"/>
      <c r="FG148" s="200"/>
      <c r="FH148" s="200"/>
      <c r="FI148" s="200"/>
      <c r="FJ148" s="200"/>
      <c r="FK148" s="200"/>
      <c r="FL148" s="200"/>
      <c r="FM148" s="200"/>
      <c r="FN148" s="200"/>
      <c r="FO148" s="200"/>
      <c r="FP148" s="200"/>
      <c r="FQ148" s="200"/>
      <c r="FR148" s="200"/>
      <c r="FS148" s="200"/>
      <c r="FT148" s="200"/>
      <c r="FU148" s="200"/>
      <c r="FV148" s="200"/>
      <c r="FW148" s="200"/>
      <c r="FX148" s="200"/>
      <c r="FY148" s="200"/>
      <c r="FZ148" s="200"/>
      <c r="GA148" s="200"/>
      <c r="GB148" s="200"/>
      <c r="GC148" s="200"/>
      <c r="GD148" s="200"/>
      <c r="GE148" s="200"/>
      <c r="GF148" s="200"/>
      <c r="GG148" s="200"/>
      <c r="GH148" s="200"/>
      <c r="GI148" s="200"/>
      <c r="GJ148" s="200"/>
      <c r="GK148" s="200"/>
      <c r="GL148" s="200"/>
      <c r="GM148" s="200"/>
      <c r="GN148" s="200"/>
      <c r="GO148" s="200"/>
      <c r="GP148" s="200"/>
      <c r="GQ148" s="200"/>
      <c r="GR148" s="200"/>
      <c r="GS148" s="200"/>
      <c r="GT148" s="200"/>
      <c r="GU148" s="200"/>
      <c r="GV148" s="200"/>
      <c r="GW148" s="200"/>
      <c r="GX148" s="200"/>
      <c r="GY148" s="200"/>
      <c r="GZ148" s="200"/>
      <c r="HA148" s="200"/>
      <c r="HB148" s="200"/>
      <c r="HC148" s="200"/>
      <c r="HD148" s="200"/>
      <c r="HE148" s="200"/>
      <c r="HF148" s="200"/>
      <c r="HG148" s="200"/>
      <c r="HH148" s="200"/>
      <c r="HI148" s="200"/>
      <c r="HJ148" s="200"/>
      <c r="HK148" s="200"/>
      <c r="HL148" s="200"/>
      <c r="HM148" s="200"/>
      <c r="HN148" s="200"/>
      <c r="HO148" s="200"/>
      <c r="HP148" s="200"/>
      <c r="HQ148" s="200"/>
      <c r="HR148" s="200"/>
      <c r="HS148" s="200"/>
      <c r="HT148" s="200"/>
      <c r="HU148" s="200"/>
      <c r="HV148" s="200"/>
      <c r="HW148" s="200"/>
      <c r="HX148" s="200"/>
      <c r="HY148" s="200"/>
      <c r="HZ148" s="200"/>
      <c r="IA148" s="200"/>
      <c r="IB148" s="200"/>
      <c r="IC148" s="200"/>
      <c r="ID148" s="200"/>
      <c r="IE148" s="200"/>
      <c r="IF148" s="200"/>
      <c r="IG148" s="200"/>
      <c r="IH148" s="200"/>
      <c r="II148" s="200"/>
      <c r="IJ148" s="200"/>
      <c r="IK148" s="200"/>
      <c r="IL148" s="200"/>
      <c r="IM148" s="200"/>
      <c r="IN148" s="200"/>
      <c r="IO148" s="200"/>
      <c r="IP148" s="200"/>
      <c r="IQ148" s="200"/>
      <c r="IR148" s="200"/>
      <c r="IS148" s="200"/>
      <c r="IT148" s="200"/>
      <c r="IU148" s="201"/>
      <c r="IV148" s="201"/>
    </row>
    <row r="149" s="10" customFormat="1" ht="15.95" customHeight="1" spans="1:256">
      <c r="A149" s="199">
        <v>35</v>
      </c>
      <c r="B149" s="20" t="s">
        <v>2173</v>
      </c>
      <c r="C149" s="199" t="s">
        <v>2134</v>
      </c>
      <c r="D149" s="199">
        <v>4035</v>
      </c>
      <c r="E149" s="199">
        <f>'05版台时'!L263</f>
        <v>299.33418291241</v>
      </c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200"/>
      <c r="AL149" s="200"/>
      <c r="AM149" s="200"/>
      <c r="AN149" s="200"/>
      <c r="AO149" s="200"/>
      <c r="AP149" s="200"/>
      <c r="AQ149" s="200"/>
      <c r="AR149" s="200"/>
      <c r="AS149" s="200"/>
      <c r="AT149" s="200"/>
      <c r="AU149" s="200"/>
      <c r="AV149" s="200"/>
      <c r="AW149" s="200"/>
      <c r="AX149" s="200"/>
      <c r="AY149" s="200"/>
      <c r="AZ149" s="200"/>
      <c r="BA149" s="200"/>
      <c r="BB149" s="200"/>
      <c r="BC149" s="200"/>
      <c r="BD149" s="200"/>
      <c r="BE149" s="200"/>
      <c r="BF149" s="200"/>
      <c r="BG149" s="200"/>
      <c r="BH149" s="200"/>
      <c r="BI149" s="200"/>
      <c r="BJ149" s="200"/>
      <c r="BK149" s="200"/>
      <c r="BL149" s="200"/>
      <c r="BM149" s="200"/>
      <c r="BN149" s="200"/>
      <c r="BO149" s="200"/>
      <c r="BP149" s="200"/>
      <c r="BQ149" s="200"/>
      <c r="BR149" s="200"/>
      <c r="BS149" s="200"/>
      <c r="BT149" s="200"/>
      <c r="BU149" s="200"/>
      <c r="BV149" s="200"/>
      <c r="BW149" s="200"/>
      <c r="BX149" s="200"/>
      <c r="BY149" s="200"/>
      <c r="BZ149" s="200"/>
      <c r="CA149" s="200"/>
      <c r="CB149" s="200"/>
      <c r="CC149" s="200"/>
      <c r="CD149" s="200"/>
      <c r="CE149" s="200"/>
      <c r="CF149" s="200"/>
      <c r="CG149" s="200"/>
      <c r="CH149" s="200"/>
      <c r="CI149" s="200"/>
      <c r="CJ149" s="200"/>
      <c r="CK149" s="200"/>
      <c r="CL149" s="200"/>
      <c r="CM149" s="200"/>
      <c r="CN149" s="200"/>
      <c r="CO149" s="200"/>
      <c r="CP149" s="200"/>
      <c r="CQ149" s="200"/>
      <c r="CR149" s="200"/>
      <c r="CS149" s="200"/>
      <c r="CT149" s="200"/>
      <c r="CU149" s="200"/>
      <c r="CV149" s="200"/>
      <c r="CW149" s="200"/>
      <c r="CX149" s="200"/>
      <c r="CY149" s="200"/>
      <c r="CZ149" s="200"/>
      <c r="DA149" s="200"/>
      <c r="DB149" s="200"/>
      <c r="DC149" s="200"/>
      <c r="DD149" s="200"/>
      <c r="DE149" s="200"/>
      <c r="DF149" s="200"/>
      <c r="DG149" s="200"/>
      <c r="DH149" s="200"/>
      <c r="DI149" s="200"/>
      <c r="DJ149" s="200"/>
      <c r="DK149" s="200"/>
      <c r="DL149" s="200"/>
      <c r="DM149" s="200"/>
      <c r="DN149" s="200"/>
      <c r="DO149" s="200"/>
      <c r="DP149" s="200"/>
      <c r="DQ149" s="200"/>
      <c r="DR149" s="200"/>
      <c r="DS149" s="200"/>
      <c r="DT149" s="200"/>
      <c r="DU149" s="200"/>
      <c r="DV149" s="200"/>
      <c r="DW149" s="200"/>
      <c r="DX149" s="200"/>
      <c r="DY149" s="200"/>
      <c r="DZ149" s="200"/>
      <c r="EA149" s="200"/>
      <c r="EB149" s="200"/>
      <c r="EC149" s="200"/>
      <c r="ED149" s="200"/>
      <c r="EE149" s="200"/>
      <c r="EF149" s="200"/>
      <c r="EG149" s="200"/>
      <c r="EH149" s="200"/>
      <c r="EI149" s="200"/>
      <c r="EJ149" s="200"/>
      <c r="EK149" s="200"/>
      <c r="EL149" s="200"/>
      <c r="EM149" s="200"/>
      <c r="EN149" s="200"/>
      <c r="EO149" s="200"/>
      <c r="EP149" s="200"/>
      <c r="EQ149" s="200"/>
      <c r="ER149" s="200"/>
      <c r="ES149" s="200"/>
      <c r="ET149" s="200"/>
      <c r="EU149" s="200"/>
      <c r="EV149" s="200"/>
      <c r="EW149" s="200"/>
      <c r="EX149" s="200"/>
      <c r="EY149" s="200"/>
      <c r="EZ149" s="200"/>
      <c r="FA149" s="200"/>
      <c r="FB149" s="200"/>
      <c r="FC149" s="200"/>
      <c r="FD149" s="200"/>
      <c r="FE149" s="200"/>
      <c r="FF149" s="200"/>
      <c r="FG149" s="200"/>
      <c r="FH149" s="200"/>
      <c r="FI149" s="200"/>
      <c r="FJ149" s="200"/>
      <c r="FK149" s="200"/>
      <c r="FL149" s="200"/>
      <c r="FM149" s="200"/>
      <c r="FN149" s="200"/>
      <c r="FO149" s="200"/>
      <c r="FP149" s="200"/>
      <c r="FQ149" s="200"/>
      <c r="FR149" s="200"/>
      <c r="FS149" s="200"/>
      <c r="FT149" s="200"/>
      <c r="FU149" s="200"/>
      <c r="FV149" s="200"/>
      <c r="FW149" s="200"/>
      <c r="FX149" s="200"/>
      <c r="FY149" s="200"/>
      <c r="FZ149" s="200"/>
      <c r="GA149" s="200"/>
      <c r="GB149" s="200"/>
      <c r="GC149" s="200"/>
      <c r="GD149" s="200"/>
      <c r="GE149" s="200"/>
      <c r="GF149" s="200"/>
      <c r="GG149" s="200"/>
      <c r="GH149" s="200"/>
      <c r="GI149" s="200"/>
      <c r="GJ149" s="200"/>
      <c r="GK149" s="200"/>
      <c r="GL149" s="200"/>
      <c r="GM149" s="200"/>
      <c r="GN149" s="200"/>
      <c r="GO149" s="200"/>
      <c r="GP149" s="200"/>
      <c r="GQ149" s="200"/>
      <c r="GR149" s="200"/>
      <c r="GS149" s="200"/>
      <c r="GT149" s="200"/>
      <c r="GU149" s="200"/>
      <c r="GV149" s="200"/>
      <c r="GW149" s="200"/>
      <c r="GX149" s="200"/>
      <c r="GY149" s="200"/>
      <c r="GZ149" s="200"/>
      <c r="HA149" s="200"/>
      <c r="HB149" s="200"/>
      <c r="HC149" s="200"/>
      <c r="HD149" s="200"/>
      <c r="HE149" s="200"/>
      <c r="HF149" s="200"/>
      <c r="HG149" s="200"/>
      <c r="HH149" s="200"/>
      <c r="HI149" s="200"/>
      <c r="HJ149" s="200"/>
      <c r="HK149" s="200"/>
      <c r="HL149" s="200"/>
      <c r="HM149" s="200"/>
      <c r="HN149" s="200"/>
      <c r="HO149" s="200"/>
      <c r="HP149" s="200"/>
      <c r="HQ149" s="200"/>
      <c r="HR149" s="200"/>
      <c r="HS149" s="200"/>
      <c r="HT149" s="200"/>
      <c r="HU149" s="200"/>
      <c r="HV149" s="200"/>
      <c r="HW149" s="200"/>
      <c r="HX149" s="200"/>
      <c r="HY149" s="200"/>
      <c r="HZ149" s="200"/>
      <c r="IA149" s="200"/>
      <c r="IB149" s="200"/>
      <c r="IC149" s="200"/>
      <c r="ID149" s="200"/>
      <c r="IE149" s="200"/>
      <c r="IF149" s="200"/>
      <c r="IG149" s="200"/>
      <c r="IH149" s="200"/>
      <c r="II149" s="200"/>
      <c r="IJ149" s="200"/>
      <c r="IK149" s="200"/>
      <c r="IL149" s="200"/>
      <c r="IM149" s="200"/>
      <c r="IN149" s="200"/>
      <c r="IO149" s="200"/>
      <c r="IP149" s="200"/>
      <c r="IQ149" s="200"/>
      <c r="IR149" s="200"/>
      <c r="IS149" s="200"/>
      <c r="IT149" s="200"/>
      <c r="IU149" s="201"/>
      <c r="IV149" s="201"/>
    </row>
    <row r="150" s="10" customFormat="1" ht="15.95" customHeight="1" spans="1:256">
      <c r="A150" s="199">
        <v>36</v>
      </c>
      <c r="B150" s="20" t="s">
        <v>2173</v>
      </c>
      <c r="C150" s="199" t="s">
        <v>2170</v>
      </c>
      <c r="D150" s="199">
        <v>4036</v>
      </c>
      <c r="E150" s="199">
        <f>'05版台时'!M263</f>
        <v>373.944896913207</v>
      </c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200"/>
      <c r="BO150" s="200"/>
      <c r="BP150" s="200"/>
      <c r="BQ150" s="200"/>
      <c r="BR150" s="200"/>
      <c r="BS150" s="200"/>
      <c r="BT150" s="200"/>
      <c r="BU150" s="200"/>
      <c r="BV150" s="200"/>
      <c r="BW150" s="200"/>
      <c r="BX150" s="200"/>
      <c r="BY150" s="200"/>
      <c r="BZ150" s="200"/>
      <c r="CA150" s="200"/>
      <c r="CB150" s="200"/>
      <c r="CC150" s="200"/>
      <c r="CD150" s="200"/>
      <c r="CE150" s="200"/>
      <c r="CF150" s="200"/>
      <c r="CG150" s="200"/>
      <c r="CH150" s="200"/>
      <c r="CI150" s="200"/>
      <c r="CJ150" s="200"/>
      <c r="CK150" s="200"/>
      <c r="CL150" s="200"/>
      <c r="CM150" s="200"/>
      <c r="CN150" s="200"/>
      <c r="CO150" s="200"/>
      <c r="CP150" s="200"/>
      <c r="CQ150" s="200"/>
      <c r="CR150" s="200"/>
      <c r="CS150" s="200"/>
      <c r="CT150" s="200"/>
      <c r="CU150" s="200"/>
      <c r="CV150" s="200"/>
      <c r="CW150" s="200"/>
      <c r="CX150" s="200"/>
      <c r="CY150" s="200"/>
      <c r="CZ150" s="200"/>
      <c r="DA150" s="200"/>
      <c r="DB150" s="200"/>
      <c r="DC150" s="200"/>
      <c r="DD150" s="200"/>
      <c r="DE150" s="200"/>
      <c r="DF150" s="200"/>
      <c r="DG150" s="200"/>
      <c r="DH150" s="200"/>
      <c r="DI150" s="200"/>
      <c r="DJ150" s="200"/>
      <c r="DK150" s="200"/>
      <c r="DL150" s="200"/>
      <c r="DM150" s="200"/>
      <c r="DN150" s="200"/>
      <c r="DO150" s="200"/>
      <c r="DP150" s="200"/>
      <c r="DQ150" s="200"/>
      <c r="DR150" s="200"/>
      <c r="DS150" s="200"/>
      <c r="DT150" s="200"/>
      <c r="DU150" s="200"/>
      <c r="DV150" s="200"/>
      <c r="DW150" s="200"/>
      <c r="DX150" s="200"/>
      <c r="DY150" s="200"/>
      <c r="DZ150" s="200"/>
      <c r="EA150" s="200"/>
      <c r="EB150" s="200"/>
      <c r="EC150" s="200"/>
      <c r="ED150" s="200"/>
      <c r="EE150" s="200"/>
      <c r="EF150" s="200"/>
      <c r="EG150" s="200"/>
      <c r="EH150" s="200"/>
      <c r="EI150" s="200"/>
      <c r="EJ150" s="200"/>
      <c r="EK150" s="200"/>
      <c r="EL150" s="200"/>
      <c r="EM150" s="200"/>
      <c r="EN150" s="200"/>
      <c r="EO150" s="200"/>
      <c r="EP150" s="200"/>
      <c r="EQ150" s="200"/>
      <c r="ER150" s="200"/>
      <c r="ES150" s="200"/>
      <c r="ET150" s="200"/>
      <c r="EU150" s="200"/>
      <c r="EV150" s="200"/>
      <c r="EW150" s="200"/>
      <c r="EX150" s="200"/>
      <c r="EY150" s="200"/>
      <c r="EZ150" s="200"/>
      <c r="FA150" s="200"/>
      <c r="FB150" s="200"/>
      <c r="FC150" s="200"/>
      <c r="FD150" s="200"/>
      <c r="FE150" s="200"/>
      <c r="FF150" s="200"/>
      <c r="FG150" s="200"/>
      <c r="FH150" s="200"/>
      <c r="FI150" s="200"/>
      <c r="FJ150" s="200"/>
      <c r="FK150" s="200"/>
      <c r="FL150" s="200"/>
      <c r="FM150" s="200"/>
      <c r="FN150" s="200"/>
      <c r="FO150" s="200"/>
      <c r="FP150" s="200"/>
      <c r="FQ150" s="200"/>
      <c r="FR150" s="200"/>
      <c r="FS150" s="200"/>
      <c r="FT150" s="200"/>
      <c r="FU150" s="200"/>
      <c r="FV150" s="200"/>
      <c r="FW150" s="200"/>
      <c r="FX150" s="200"/>
      <c r="FY150" s="200"/>
      <c r="FZ150" s="200"/>
      <c r="GA150" s="200"/>
      <c r="GB150" s="200"/>
      <c r="GC150" s="200"/>
      <c r="GD150" s="200"/>
      <c r="GE150" s="200"/>
      <c r="GF150" s="200"/>
      <c r="GG150" s="200"/>
      <c r="GH150" s="200"/>
      <c r="GI150" s="200"/>
      <c r="GJ150" s="200"/>
      <c r="GK150" s="200"/>
      <c r="GL150" s="200"/>
      <c r="GM150" s="200"/>
      <c r="GN150" s="200"/>
      <c r="GO150" s="200"/>
      <c r="GP150" s="200"/>
      <c r="GQ150" s="200"/>
      <c r="GR150" s="200"/>
      <c r="GS150" s="200"/>
      <c r="GT150" s="200"/>
      <c r="GU150" s="200"/>
      <c r="GV150" s="200"/>
      <c r="GW150" s="200"/>
      <c r="GX150" s="200"/>
      <c r="GY150" s="200"/>
      <c r="GZ150" s="200"/>
      <c r="HA150" s="200"/>
      <c r="HB150" s="200"/>
      <c r="HC150" s="200"/>
      <c r="HD150" s="200"/>
      <c r="HE150" s="200"/>
      <c r="HF150" s="200"/>
      <c r="HG150" s="200"/>
      <c r="HH150" s="200"/>
      <c r="HI150" s="200"/>
      <c r="HJ150" s="200"/>
      <c r="HK150" s="200"/>
      <c r="HL150" s="200"/>
      <c r="HM150" s="200"/>
      <c r="HN150" s="200"/>
      <c r="HO150" s="200"/>
      <c r="HP150" s="200"/>
      <c r="HQ150" s="200"/>
      <c r="HR150" s="200"/>
      <c r="HS150" s="200"/>
      <c r="HT150" s="200"/>
      <c r="HU150" s="200"/>
      <c r="HV150" s="200"/>
      <c r="HW150" s="200"/>
      <c r="HX150" s="200"/>
      <c r="HY150" s="200"/>
      <c r="HZ150" s="200"/>
      <c r="IA150" s="200"/>
      <c r="IB150" s="200"/>
      <c r="IC150" s="200"/>
      <c r="ID150" s="200"/>
      <c r="IE150" s="200"/>
      <c r="IF150" s="200"/>
      <c r="IG150" s="200"/>
      <c r="IH150" s="200"/>
      <c r="II150" s="200"/>
      <c r="IJ150" s="200"/>
      <c r="IK150" s="200"/>
      <c r="IL150" s="200"/>
      <c r="IM150" s="200"/>
      <c r="IN150" s="200"/>
      <c r="IO150" s="200"/>
      <c r="IP150" s="200"/>
      <c r="IQ150" s="200"/>
      <c r="IR150" s="200"/>
      <c r="IS150" s="200"/>
      <c r="IT150" s="200"/>
      <c r="IU150" s="201"/>
      <c r="IV150" s="201"/>
    </row>
    <row r="151" s="10" customFormat="1" ht="15.95" customHeight="1" spans="1:256">
      <c r="A151" s="199">
        <v>37</v>
      </c>
      <c r="B151" s="20" t="s">
        <v>2173</v>
      </c>
      <c r="C151" s="199" t="s">
        <v>2175</v>
      </c>
      <c r="D151" s="199">
        <v>4037</v>
      </c>
      <c r="E151" s="199">
        <f>'05版台时'!N263</f>
        <v>539.375153395058</v>
      </c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0"/>
      <c r="BL151" s="200"/>
      <c r="BM151" s="200"/>
      <c r="BN151" s="200"/>
      <c r="BO151" s="200"/>
      <c r="BP151" s="200"/>
      <c r="BQ151" s="200"/>
      <c r="BR151" s="200"/>
      <c r="BS151" s="200"/>
      <c r="BT151" s="200"/>
      <c r="BU151" s="200"/>
      <c r="BV151" s="200"/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0"/>
      <c r="CN151" s="200"/>
      <c r="CO151" s="200"/>
      <c r="CP151" s="200"/>
      <c r="CQ151" s="200"/>
      <c r="CR151" s="200"/>
      <c r="CS151" s="200"/>
      <c r="CT151" s="200"/>
      <c r="CU151" s="200"/>
      <c r="CV151" s="200"/>
      <c r="CW151" s="200"/>
      <c r="CX151" s="200"/>
      <c r="CY151" s="200"/>
      <c r="CZ151" s="200"/>
      <c r="DA151" s="200"/>
      <c r="DB151" s="200"/>
      <c r="DC151" s="200"/>
      <c r="DD151" s="200"/>
      <c r="DE151" s="200"/>
      <c r="DF151" s="200"/>
      <c r="DG151" s="200"/>
      <c r="DH151" s="200"/>
      <c r="DI151" s="200"/>
      <c r="DJ151" s="200"/>
      <c r="DK151" s="200"/>
      <c r="DL151" s="200"/>
      <c r="DM151" s="200"/>
      <c r="DN151" s="200"/>
      <c r="DO151" s="200"/>
      <c r="DP151" s="200"/>
      <c r="DQ151" s="200"/>
      <c r="DR151" s="200"/>
      <c r="DS151" s="200"/>
      <c r="DT151" s="200"/>
      <c r="DU151" s="200"/>
      <c r="DV151" s="200"/>
      <c r="DW151" s="200"/>
      <c r="DX151" s="200"/>
      <c r="DY151" s="200"/>
      <c r="DZ151" s="200"/>
      <c r="EA151" s="200"/>
      <c r="EB151" s="200"/>
      <c r="EC151" s="200"/>
      <c r="ED151" s="200"/>
      <c r="EE151" s="200"/>
      <c r="EF151" s="200"/>
      <c r="EG151" s="200"/>
      <c r="EH151" s="200"/>
      <c r="EI151" s="200"/>
      <c r="EJ151" s="200"/>
      <c r="EK151" s="200"/>
      <c r="EL151" s="200"/>
      <c r="EM151" s="200"/>
      <c r="EN151" s="200"/>
      <c r="EO151" s="200"/>
      <c r="EP151" s="200"/>
      <c r="EQ151" s="200"/>
      <c r="ER151" s="200"/>
      <c r="ES151" s="200"/>
      <c r="ET151" s="200"/>
      <c r="EU151" s="200"/>
      <c r="EV151" s="200"/>
      <c r="EW151" s="200"/>
      <c r="EX151" s="200"/>
      <c r="EY151" s="200"/>
      <c r="EZ151" s="200"/>
      <c r="FA151" s="200"/>
      <c r="FB151" s="200"/>
      <c r="FC151" s="200"/>
      <c r="FD151" s="200"/>
      <c r="FE151" s="200"/>
      <c r="FF151" s="200"/>
      <c r="FG151" s="200"/>
      <c r="FH151" s="200"/>
      <c r="FI151" s="200"/>
      <c r="FJ151" s="200"/>
      <c r="FK151" s="200"/>
      <c r="FL151" s="200"/>
      <c r="FM151" s="200"/>
      <c r="FN151" s="200"/>
      <c r="FO151" s="200"/>
      <c r="FP151" s="200"/>
      <c r="FQ151" s="200"/>
      <c r="FR151" s="200"/>
      <c r="FS151" s="200"/>
      <c r="FT151" s="200"/>
      <c r="FU151" s="200"/>
      <c r="FV151" s="200"/>
      <c r="FW151" s="200"/>
      <c r="FX151" s="200"/>
      <c r="FY151" s="200"/>
      <c r="FZ151" s="200"/>
      <c r="GA151" s="200"/>
      <c r="GB151" s="200"/>
      <c r="GC151" s="200"/>
      <c r="GD151" s="200"/>
      <c r="GE151" s="200"/>
      <c r="GF151" s="200"/>
      <c r="GG151" s="200"/>
      <c r="GH151" s="200"/>
      <c r="GI151" s="200"/>
      <c r="GJ151" s="200"/>
      <c r="GK151" s="200"/>
      <c r="GL151" s="200"/>
      <c r="GM151" s="200"/>
      <c r="GN151" s="200"/>
      <c r="GO151" s="200"/>
      <c r="GP151" s="200"/>
      <c r="GQ151" s="200"/>
      <c r="GR151" s="200"/>
      <c r="GS151" s="200"/>
      <c r="GT151" s="200"/>
      <c r="GU151" s="200"/>
      <c r="GV151" s="200"/>
      <c r="GW151" s="200"/>
      <c r="GX151" s="200"/>
      <c r="GY151" s="200"/>
      <c r="GZ151" s="200"/>
      <c r="HA151" s="200"/>
      <c r="HB151" s="200"/>
      <c r="HC151" s="200"/>
      <c r="HD151" s="200"/>
      <c r="HE151" s="200"/>
      <c r="HF151" s="200"/>
      <c r="HG151" s="200"/>
      <c r="HH151" s="200"/>
      <c r="HI151" s="200"/>
      <c r="HJ151" s="200"/>
      <c r="HK151" s="200"/>
      <c r="HL151" s="200"/>
      <c r="HM151" s="200"/>
      <c r="HN151" s="200"/>
      <c r="HO151" s="200"/>
      <c r="HP151" s="200"/>
      <c r="HQ151" s="200"/>
      <c r="HR151" s="200"/>
      <c r="HS151" s="200"/>
      <c r="HT151" s="200"/>
      <c r="HU151" s="200"/>
      <c r="HV151" s="200"/>
      <c r="HW151" s="200"/>
      <c r="HX151" s="200"/>
      <c r="HY151" s="200"/>
      <c r="HZ151" s="200"/>
      <c r="IA151" s="200"/>
      <c r="IB151" s="200"/>
      <c r="IC151" s="200"/>
      <c r="ID151" s="200"/>
      <c r="IE151" s="200"/>
      <c r="IF151" s="200"/>
      <c r="IG151" s="200"/>
      <c r="IH151" s="200"/>
      <c r="II151" s="200"/>
      <c r="IJ151" s="200"/>
      <c r="IK151" s="200"/>
      <c r="IL151" s="200"/>
      <c r="IM151" s="200"/>
      <c r="IN151" s="200"/>
      <c r="IO151" s="200"/>
      <c r="IP151" s="200"/>
      <c r="IQ151" s="200"/>
      <c r="IR151" s="200"/>
      <c r="IS151" s="200"/>
      <c r="IT151" s="200"/>
      <c r="IU151" s="201"/>
      <c r="IV151" s="201"/>
    </row>
    <row r="152" s="10" customFormat="1" ht="15.95" customHeight="1" spans="1:256">
      <c r="A152" s="199">
        <v>38</v>
      </c>
      <c r="B152" s="20" t="s">
        <v>2173</v>
      </c>
      <c r="C152" s="199" t="s">
        <v>2171</v>
      </c>
      <c r="D152" s="199">
        <v>4038</v>
      </c>
      <c r="E152" s="199">
        <f>'05版台时'!O263</f>
        <v>630.337977487599</v>
      </c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0"/>
      <c r="BN152" s="200"/>
      <c r="BO152" s="200"/>
      <c r="BP152" s="200"/>
      <c r="BQ152" s="200"/>
      <c r="BR152" s="200"/>
      <c r="BS152" s="200"/>
      <c r="BT152" s="200"/>
      <c r="BU152" s="200"/>
      <c r="BV152" s="200"/>
      <c r="BW152" s="200"/>
      <c r="BX152" s="200"/>
      <c r="BY152" s="200"/>
      <c r="BZ152" s="200"/>
      <c r="CA152" s="200"/>
      <c r="CB152" s="200"/>
      <c r="CC152" s="200"/>
      <c r="CD152" s="200"/>
      <c r="CE152" s="200"/>
      <c r="CF152" s="200"/>
      <c r="CG152" s="200"/>
      <c r="CH152" s="200"/>
      <c r="CI152" s="200"/>
      <c r="CJ152" s="200"/>
      <c r="CK152" s="200"/>
      <c r="CL152" s="200"/>
      <c r="CM152" s="200"/>
      <c r="CN152" s="200"/>
      <c r="CO152" s="200"/>
      <c r="CP152" s="200"/>
      <c r="CQ152" s="200"/>
      <c r="CR152" s="200"/>
      <c r="CS152" s="200"/>
      <c r="CT152" s="200"/>
      <c r="CU152" s="200"/>
      <c r="CV152" s="200"/>
      <c r="CW152" s="200"/>
      <c r="CX152" s="200"/>
      <c r="CY152" s="200"/>
      <c r="CZ152" s="200"/>
      <c r="DA152" s="200"/>
      <c r="DB152" s="200"/>
      <c r="DC152" s="200"/>
      <c r="DD152" s="200"/>
      <c r="DE152" s="200"/>
      <c r="DF152" s="200"/>
      <c r="DG152" s="200"/>
      <c r="DH152" s="200"/>
      <c r="DI152" s="200"/>
      <c r="DJ152" s="200"/>
      <c r="DK152" s="200"/>
      <c r="DL152" s="200"/>
      <c r="DM152" s="200"/>
      <c r="DN152" s="200"/>
      <c r="DO152" s="200"/>
      <c r="DP152" s="200"/>
      <c r="DQ152" s="200"/>
      <c r="DR152" s="200"/>
      <c r="DS152" s="200"/>
      <c r="DT152" s="200"/>
      <c r="DU152" s="200"/>
      <c r="DV152" s="200"/>
      <c r="DW152" s="200"/>
      <c r="DX152" s="200"/>
      <c r="DY152" s="200"/>
      <c r="DZ152" s="200"/>
      <c r="EA152" s="200"/>
      <c r="EB152" s="200"/>
      <c r="EC152" s="200"/>
      <c r="ED152" s="200"/>
      <c r="EE152" s="200"/>
      <c r="EF152" s="200"/>
      <c r="EG152" s="200"/>
      <c r="EH152" s="200"/>
      <c r="EI152" s="200"/>
      <c r="EJ152" s="200"/>
      <c r="EK152" s="200"/>
      <c r="EL152" s="200"/>
      <c r="EM152" s="200"/>
      <c r="EN152" s="200"/>
      <c r="EO152" s="200"/>
      <c r="EP152" s="200"/>
      <c r="EQ152" s="200"/>
      <c r="ER152" s="200"/>
      <c r="ES152" s="200"/>
      <c r="ET152" s="200"/>
      <c r="EU152" s="200"/>
      <c r="EV152" s="200"/>
      <c r="EW152" s="200"/>
      <c r="EX152" s="200"/>
      <c r="EY152" s="200"/>
      <c r="EZ152" s="200"/>
      <c r="FA152" s="200"/>
      <c r="FB152" s="200"/>
      <c r="FC152" s="200"/>
      <c r="FD152" s="200"/>
      <c r="FE152" s="200"/>
      <c r="FF152" s="200"/>
      <c r="FG152" s="200"/>
      <c r="FH152" s="200"/>
      <c r="FI152" s="200"/>
      <c r="FJ152" s="200"/>
      <c r="FK152" s="200"/>
      <c r="FL152" s="200"/>
      <c r="FM152" s="200"/>
      <c r="FN152" s="200"/>
      <c r="FO152" s="200"/>
      <c r="FP152" s="200"/>
      <c r="FQ152" s="200"/>
      <c r="FR152" s="200"/>
      <c r="FS152" s="200"/>
      <c r="FT152" s="200"/>
      <c r="FU152" s="200"/>
      <c r="FV152" s="200"/>
      <c r="FW152" s="200"/>
      <c r="FX152" s="200"/>
      <c r="FY152" s="200"/>
      <c r="FZ152" s="200"/>
      <c r="GA152" s="200"/>
      <c r="GB152" s="200"/>
      <c r="GC152" s="200"/>
      <c r="GD152" s="200"/>
      <c r="GE152" s="200"/>
      <c r="GF152" s="200"/>
      <c r="GG152" s="200"/>
      <c r="GH152" s="200"/>
      <c r="GI152" s="200"/>
      <c r="GJ152" s="200"/>
      <c r="GK152" s="200"/>
      <c r="GL152" s="200"/>
      <c r="GM152" s="200"/>
      <c r="GN152" s="200"/>
      <c r="GO152" s="200"/>
      <c r="GP152" s="200"/>
      <c r="GQ152" s="200"/>
      <c r="GR152" s="200"/>
      <c r="GS152" s="200"/>
      <c r="GT152" s="200"/>
      <c r="GU152" s="200"/>
      <c r="GV152" s="200"/>
      <c r="GW152" s="200"/>
      <c r="GX152" s="200"/>
      <c r="GY152" s="200"/>
      <c r="GZ152" s="200"/>
      <c r="HA152" s="200"/>
      <c r="HB152" s="200"/>
      <c r="HC152" s="200"/>
      <c r="HD152" s="200"/>
      <c r="HE152" s="200"/>
      <c r="HF152" s="200"/>
      <c r="HG152" s="200"/>
      <c r="HH152" s="200"/>
      <c r="HI152" s="200"/>
      <c r="HJ152" s="200"/>
      <c r="HK152" s="200"/>
      <c r="HL152" s="200"/>
      <c r="HM152" s="200"/>
      <c r="HN152" s="200"/>
      <c r="HO152" s="200"/>
      <c r="HP152" s="200"/>
      <c r="HQ152" s="200"/>
      <c r="HR152" s="200"/>
      <c r="HS152" s="200"/>
      <c r="HT152" s="200"/>
      <c r="HU152" s="200"/>
      <c r="HV152" s="200"/>
      <c r="HW152" s="200"/>
      <c r="HX152" s="200"/>
      <c r="HY152" s="200"/>
      <c r="HZ152" s="200"/>
      <c r="IA152" s="200"/>
      <c r="IB152" s="200"/>
      <c r="IC152" s="200"/>
      <c r="ID152" s="200"/>
      <c r="IE152" s="200"/>
      <c r="IF152" s="200"/>
      <c r="IG152" s="200"/>
      <c r="IH152" s="200"/>
      <c r="II152" s="200"/>
      <c r="IJ152" s="200"/>
      <c r="IK152" s="200"/>
      <c r="IL152" s="200"/>
      <c r="IM152" s="200"/>
      <c r="IN152" s="200"/>
      <c r="IO152" s="200"/>
      <c r="IP152" s="200"/>
      <c r="IQ152" s="200"/>
      <c r="IR152" s="200"/>
      <c r="IS152" s="200"/>
      <c r="IT152" s="200"/>
      <c r="IU152" s="201"/>
      <c r="IV152" s="201"/>
    </row>
    <row r="153" s="10" customFormat="1" ht="15.95" customHeight="1" spans="1:256">
      <c r="A153" s="199">
        <v>39</v>
      </c>
      <c r="B153" s="20" t="s">
        <v>2173</v>
      </c>
      <c r="C153" s="199" t="s">
        <v>2172</v>
      </c>
      <c r="D153" s="199">
        <v>4039</v>
      </c>
      <c r="E153" s="199">
        <f>'05版台时'!P263</f>
        <v>721.264104332433</v>
      </c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200"/>
      <c r="AM153" s="200"/>
      <c r="AN153" s="200"/>
      <c r="AO153" s="200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200"/>
      <c r="BO153" s="200"/>
      <c r="BP153" s="200"/>
      <c r="BQ153" s="200"/>
      <c r="BR153" s="200"/>
      <c r="BS153" s="200"/>
      <c r="BT153" s="200"/>
      <c r="BU153" s="200"/>
      <c r="BV153" s="200"/>
      <c r="BW153" s="200"/>
      <c r="BX153" s="200"/>
      <c r="BY153" s="200"/>
      <c r="BZ153" s="200"/>
      <c r="CA153" s="200"/>
      <c r="CB153" s="200"/>
      <c r="CC153" s="200"/>
      <c r="CD153" s="200"/>
      <c r="CE153" s="200"/>
      <c r="CF153" s="200"/>
      <c r="CG153" s="200"/>
      <c r="CH153" s="200"/>
      <c r="CI153" s="200"/>
      <c r="CJ153" s="200"/>
      <c r="CK153" s="200"/>
      <c r="CL153" s="200"/>
      <c r="CM153" s="200"/>
      <c r="CN153" s="200"/>
      <c r="CO153" s="200"/>
      <c r="CP153" s="200"/>
      <c r="CQ153" s="200"/>
      <c r="CR153" s="200"/>
      <c r="CS153" s="200"/>
      <c r="CT153" s="200"/>
      <c r="CU153" s="200"/>
      <c r="CV153" s="200"/>
      <c r="CW153" s="200"/>
      <c r="CX153" s="200"/>
      <c r="CY153" s="200"/>
      <c r="CZ153" s="200"/>
      <c r="DA153" s="200"/>
      <c r="DB153" s="200"/>
      <c r="DC153" s="200"/>
      <c r="DD153" s="200"/>
      <c r="DE153" s="200"/>
      <c r="DF153" s="200"/>
      <c r="DG153" s="200"/>
      <c r="DH153" s="200"/>
      <c r="DI153" s="200"/>
      <c r="DJ153" s="200"/>
      <c r="DK153" s="200"/>
      <c r="DL153" s="200"/>
      <c r="DM153" s="200"/>
      <c r="DN153" s="200"/>
      <c r="DO153" s="200"/>
      <c r="DP153" s="200"/>
      <c r="DQ153" s="200"/>
      <c r="DR153" s="200"/>
      <c r="DS153" s="200"/>
      <c r="DT153" s="200"/>
      <c r="DU153" s="200"/>
      <c r="DV153" s="200"/>
      <c r="DW153" s="200"/>
      <c r="DX153" s="200"/>
      <c r="DY153" s="200"/>
      <c r="DZ153" s="200"/>
      <c r="EA153" s="200"/>
      <c r="EB153" s="200"/>
      <c r="EC153" s="200"/>
      <c r="ED153" s="200"/>
      <c r="EE153" s="200"/>
      <c r="EF153" s="200"/>
      <c r="EG153" s="200"/>
      <c r="EH153" s="200"/>
      <c r="EI153" s="200"/>
      <c r="EJ153" s="200"/>
      <c r="EK153" s="200"/>
      <c r="EL153" s="200"/>
      <c r="EM153" s="200"/>
      <c r="EN153" s="200"/>
      <c r="EO153" s="200"/>
      <c r="EP153" s="200"/>
      <c r="EQ153" s="200"/>
      <c r="ER153" s="200"/>
      <c r="ES153" s="200"/>
      <c r="ET153" s="200"/>
      <c r="EU153" s="200"/>
      <c r="EV153" s="200"/>
      <c r="EW153" s="200"/>
      <c r="EX153" s="200"/>
      <c r="EY153" s="200"/>
      <c r="EZ153" s="200"/>
      <c r="FA153" s="200"/>
      <c r="FB153" s="200"/>
      <c r="FC153" s="200"/>
      <c r="FD153" s="200"/>
      <c r="FE153" s="200"/>
      <c r="FF153" s="200"/>
      <c r="FG153" s="200"/>
      <c r="FH153" s="200"/>
      <c r="FI153" s="200"/>
      <c r="FJ153" s="200"/>
      <c r="FK153" s="200"/>
      <c r="FL153" s="200"/>
      <c r="FM153" s="200"/>
      <c r="FN153" s="200"/>
      <c r="FO153" s="200"/>
      <c r="FP153" s="200"/>
      <c r="FQ153" s="200"/>
      <c r="FR153" s="200"/>
      <c r="FS153" s="200"/>
      <c r="FT153" s="200"/>
      <c r="FU153" s="200"/>
      <c r="FV153" s="200"/>
      <c r="FW153" s="200"/>
      <c r="FX153" s="200"/>
      <c r="FY153" s="200"/>
      <c r="FZ153" s="200"/>
      <c r="GA153" s="200"/>
      <c r="GB153" s="200"/>
      <c r="GC153" s="200"/>
      <c r="GD153" s="200"/>
      <c r="GE153" s="200"/>
      <c r="GF153" s="200"/>
      <c r="GG153" s="200"/>
      <c r="GH153" s="200"/>
      <c r="GI153" s="200"/>
      <c r="GJ153" s="200"/>
      <c r="GK153" s="200"/>
      <c r="GL153" s="200"/>
      <c r="GM153" s="200"/>
      <c r="GN153" s="200"/>
      <c r="GO153" s="200"/>
      <c r="GP153" s="200"/>
      <c r="GQ153" s="200"/>
      <c r="GR153" s="200"/>
      <c r="GS153" s="200"/>
      <c r="GT153" s="200"/>
      <c r="GU153" s="200"/>
      <c r="GV153" s="200"/>
      <c r="GW153" s="200"/>
      <c r="GX153" s="200"/>
      <c r="GY153" s="200"/>
      <c r="GZ153" s="200"/>
      <c r="HA153" s="200"/>
      <c r="HB153" s="200"/>
      <c r="HC153" s="200"/>
      <c r="HD153" s="200"/>
      <c r="HE153" s="200"/>
      <c r="HF153" s="200"/>
      <c r="HG153" s="200"/>
      <c r="HH153" s="200"/>
      <c r="HI153" s="200"/>
      <c r="HJ153" s="200"/>
      <c r="HK153" s="200"/>
      <c r="HL153" s="200"/>
      <c r="HM153" s="200"/>
      <c r="HN153" s="200"/>
      <c r="HO153" s="200"/>
      <c r="HP153" s="200"/>
      <c r="HQ153" s="200"/>
      <c r="HR153" s="200"/>
      <c r="HS153" s="200"/>
      <c r="HT153" s="200"/>
      <c r="HU153" s="200"/>
      <c r="HV153" s="200"/>
      <c r="HW153" s="200"/>
      <c r="HX153" s="200"/>
      <c r="HY153" s="200"/>
      <c r="HZ153" s="200"/>
      <c r="IA153" s="200"/>
      <c r="IB153" s="200"/>
      <c r="IC153" s="200"/>
      <c r="ID153" s="200"/>
      <c r="IE153" s="200"/>
      <c r="IF153" s="200"/>
      <c r="IG153" s="200"/>
      <c r="IH153" s="200"/>
      <c r="II153" s="200"/>
      <c r="IJ153" s="200"/>
      <c r="IK153" s="200"/>
      <c r="IL153" s="200"/>
      <c r="IM153" s="200"/>
      <c r="IN153" s="200"/>
      <c r="IO153" s="200"/>
      <c r="IP153" s="200"/>
      <c r="IQ153" s="200"/>
      <c r="IR153" s="200"/>
      <c r="IS153" s="200"/>
      <c r="IT153" s="200"/>
      <c r="IU153" s="201"/>
      <c r="IV153" s="201"/>
    </row>
    <row r="154" s="10" customFormat="1" ht="15.95" customHeight="1" spans="1:256">
      <c r="A154" s="199">
        <v>40</v>
      </c>
      <c r="B154" s="20" t="s">
        <v>2176</v>
      </c>
      <c r="C154" s="199" t="s">
        <v>2127</v>
      </c>
      <c r="D154" s="199">
        <v>4040</v>
      </c>
      <c r="E154" s="199">
        <f>'05版台时'!Q263</f>
        <v>63.6399202008281</v>
      </c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0"/>
      <c r="BN154" s="200"/>
      <c r="BO154" s="200"/>
      <c r="BP154" s="200"/>
      <c r="BQ154" s="200"/>
      <c r="BR154" s="200"/>
      <c r="BS154" s="200"/>
      <c r="BT154" s="200"/>
      <c r="BU154" s="200"/>
      <c r="BV154" s="200"/>
      <c r="BW154" s="200"/>
      <c r="BX154" s="200"/>
      <c r="BY154" s="200"/>
      <c r="BZ154" s="200"/>
      <c r="CA154" s="200"/>
      <c r="CB154" s="200"/>
      <c r="CC154" s="200"/>
      <c r="CD154" s="200"/>
      <c r="CE154" s="200"/>
      <c r="CF154" s="200"/>
      <c r="CG154" s="200"/>
      <c r="CH154" s="200"/>
      <c r="CI154" s="200"/>
      <c r="CJ154" s="200"/>
      <c r="CK154" s="200"/>
      <c r="CL154" s="200"/>
      <c r="CM154" s="200"/>
      <c r="CN154" s="200"/>
      <c r="CO154" s="200"/>
      <c r="CP154" s="200"/>
      <c r="CQ154" s="200"/>
      <c r="CR154" s="200"/>
      <c r="CS154" s="200"/>
      <c r="CT154" s="200"/>
      <c r="CU154" s="200"/>
      <c r="CV154" s="200"/>
      <c r="CW154" s="200"/>
      <c r="CX154" s="200"/>
      <c r="CY154" s="200"/>
      <c r="CZ154" s="200"/>
      <c r="DA154" s="200"/>
      <c r="DB154" s="200"/>
      <c r="DC154" s="200"/>
      <c r="DD154" s="200"/>
      <c r="DE154" s="200"/>
      <c r="DF154" s="200"/>
      <c r="DG154" s="200"/>
      <c r="DH154" s="200"/>
      <c r="DI154" s="200"/>
      <c r="DJ154" s="200"/>
      <c r="DK154" s="200"/>
      <c r="DL154" s="200"/>
      <c r="DM154" s="200"/>
      <c r="DN154" s="200"/>
      <c r="DO154" s="200"/>
      <c r="DP154" s="200"/>
      <c r="DQ154" s="200"/>
      <c r="DR154" s="200"/>
      <c r="DS154" s="200"/>
      <c r="DT154" s="200"/>
      <c r="DU154" s="200"/>
      <c r="DV154" s="200"/>
      <c r="DW154" s="200"/>
      <c r="DX154" s="200"/>
      <c r="DY154" s="200"/>
      <c r="DZ154" s="200"/>
      <c r="EA154" s="200"/>
      <c r="EB154" s="200"/>
      <c r="EC154" s="200"/>
      <c r="ED154" s="200"/>
      <c r="EE154" s="200"/>
      <c r="EF154" s="200"/>
      <c r="EG154" s="200"/>
      <c r="EH154" s="200"/>
      <c r="EI154" s="200"/>
      <c r="EJ154" s="200"/>
      <c r="EK154" s="200"/>
      <c r="EL154" s="200"/>
      <c r="EM154" s="200"/>
      <c r="EN154" s="200"/>
      <c r="EO154" s="200"/>
      <c r="EP154" s="200"/>
      <c r="EQ154" s="200"/>
      <c r="ER154" s="200"/>
      <c r="ES154" s="200"/>
      <c r="ET154" s="200"/>
      <c r="EU154" s="200"/>
      <c r="EV154" s="200"/>
      <c r="EW154" s="200"/>
      <c r="EX154" s="200"/>
      <c r="EY154" s="200"/>
      <c r="EZ154" s="200"/>
      <c r="FA154" s="200"/>
      <c r="FB154" s="200"/>
      <c r="FC154" s="200"/>
      <c r="FD154" s="200"/>
      <c r="FE154" s="200"/>
      <c r="FF154" s="200"/>
      <c r="FG154" s="200"/>
      <c r="FH154" s="200"/>
      <c r="FI154" s="200"/>
      <c r="FJ154" s="200"/>
      <c r="FK154" s="200"/>
      <c r="FL154" s="200"/>
      <c r="FM154" s="200"/>
      <c r="FN154" s="200"/>
      <c r="FO154" s="200"/>
      <c r="FP154" s="200"/>
      <c r="FQ154" s="200"/>
      <c r="FR154" s="200"/>
      <c r="FS154" s="200"/>
      <c r="FT154" s="200"/>
      <c r="FU154" s="200"/>
      <c r="FV154" s="200"/>
      <c r="FW154" s="200"/>
      <c r="FX154" s="200"/>
      <c r="FY154" s="200"/>
      <c r="FZ154" s="200"/>
      <c r="GA154" s="200"/>
      <c r="GB154" s="200"/>
      <c r="GC154" s="200"/>
      <c r="GD154" s="200"/>
      <c r="GE154" s="200"/>
      <c r="GF154" s="200"/>
      <c r="GG154" s="200"/>
      <c r="GH154" s="200"/>
      <c r="GI154" s="200"/>
      <c r="GJ154" s="200"/>
      <c r="GK154" s="200"/>
      <c r="GL154" s="200"/>
      <c r="GM154" s="200"/>
      <c r="GN154" s="200"/>
      <c r="GO154" s="200"/>
      <c r="GP154" s="200"/>
      <c r="GQ154" s="200"/>
      <c r="GR154" s="200"/>
      <c r="GS154" s="200"/>
      <c r="GT154" s="200"/>
      <c r="GU154" s="200"/>
      <c r="GV154" s="200"/>
      <c r="GW154" s="200"/>
      <c r="GX154" s="200"/>
      <c r="GY154" s="200"/>
      <c r="GZ154" s="200"/>
      <c r="HA154" s="200"/>
      <c r="HB154" s="200"/>
      <c r="HC154" s="200"/>
      <c r="HD154" s="200"/>
      <c r="HE154" s="200"/>
      <c r="HF154" s="200"/>
      <c r="HG154" s="200"/>
      <c r="HH154" s="200"/>
      <c r="HI154" s="200"/>
      <c r="HJ154" s="200"/>
      <c r="HK154" s="200"/>
      <c r="HL154" s="200"/>
      <c r="HM154" s="200"/>
      <c r="HN154" s="200"/>
      <c r="HO154" s="200"/>
      <c r="HP154" s="200"/>
      <c r="HQ154" s="200"/>
      <c r="HR154" s="200"/>
      <c r="HS154" s="200"/>
      <c r="HT154" s="200"/>
      <c r="HU154" s="200"/>
      <c r="HV154" s="200"/>
      <c r="HW154" s="200"/>
      <c r="HX154" s="200"/>
      <c r="HY154" s="200"/>
      <c r="HZ154" s="200"/>
      <c r="IA154" s="200"/>
      <c r="IB154" s="200"/>
      <c r="IC154" s="200"/>
      <c r="ID154" s="200"/>
      <c r="IE154" s="200"/>
      <c r="IF154" s="200"/>
      <c r="IG154" s="200"/>
      <c r="IH154" s="200"/>
      <c r="II154" s="200"/>
      <c r="IJ154" s="200"/>
      <c r="IK154" s="200"/>
      <c r="IL154" s="200"/>
      <c r="IM154" s="200"/>
      <c r="IN154" s="200"/>
      <c r="IO154" s="200"/>
      <c r="IP154" s="200"/>
      <c r="IQ154" s="200"/>
      <c r="IR154" s="200"/>
      <c r="IS154" s="200"/>
      <c r="IT154" s="200"/>
      <c r="IU154" s="201"/>
      <c r="IV154" s="201"/>
    </row>
    <row r="155" s="10" customFormat="1" ht="15.95" customHeight="1" spans="1:256">
      <c r="A155" s="199">
        <v>41</v>
      </c>
      <c r="B155" s="20" t="s">
        <v>2176</v>
      </c>
      <c r="C155" s="199" t="s">
        <v>2061</v>
      </c>
      <c r="D155" s="199">
        <v>4041</v>
      </c>
      <c r="E155" s="199">
        <f>'05版台时'!R263</f>
        <v>66.4510091517655</v>
      </c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0"/>
      <c r="CN155" s="200"/>
      <c r="CO155" s="200"/>
      <c r="CP155" s="200"/>
      <c r="CQ155" s="200"/>
      <c r="CR155" s="200"/>
      <c r="CS155" s="200"/>
      <c r="CT155" s="200"/>
      <c r="CU155" s="200"/>
      <c r="CV155" s="200"/>
      <c r="CW155" s="200"/>
      <c r="CX155" s="200"/>
      <c r="CY155" s="200"/>
      <c r="CZ155" s="200"/>
      <c r="DA155" s="200"/>
      <c r="DB155" s="200"/>
      <c r="DC155" s="200"/>
      <c r="DD155" s="200"/>
      <c r="DE155" s="200"/>
      <c r="DF155" s="200"/>
      <c r="DG155" s="200"/>
      <c r="DH155" s="200"/>
      <c r="DI155" s="200"/>
      <c r="DJ155" s="200"/>
      <c r="DK155" s="200"/>
      <c r="DL155" s="200"/>
      <c r="DM155" s="200"/>
      <c r="DN155" s="200"/>
      <c r="DO155" s="200"/>
      <c r="DP155" s="200"/>
      <c r="DQ155" s="200"/>
      <c r="DR155" s="200"/>
      <c r="DS155" s="200"/>
      <c r="DT155" s="200"/>
      <c r="DU155" s="200"/>
      <c r="DV155" s="200"/>
      <c r="DW155" s="200"/>
      <c r="DX155" s="200"/>
      <c r="DY155" s="200"/>
      <c r="DZ155" s="200"/>
      <c r="EA155" s="200"/>
      <c r="EB155" s="200"/>
      <c r="EC155" s="200"/>
      <c r="ED155" s="200"/>
      <c r="EE155" s="200"/>
      <c r="EF155" s="200"/>
      <c r="EG155" s="200"/>
      <c r="EH155" s="200"/>
      <c r="EI155" s="200"/>
      <c r="EJ155" s="200"/>
      <c r="EK155" s="200"/>
      <c r="EL155" s="200"/>
      <c r="EM155" s="200"/>
      <c r="EN155" s="200"/>
      <c r="EO155" s="200"/>
      <c r="EP155" s="200"/>
      <c r="EQ155" s="200"/>
      <c r="ER155" s="200"/>
      <c r="ES155" s="200"/>
      <c r="ET155" s="200"/>
      <c r="EU155" s="200"/>
      <c r="EV155" s="200"/>
      <c r="EW155" s="200"/>
      <c r="EX155" s="200"/>
      <c r="EY155" s="200"/>
      <c r="EZ155" s="200"/>
      <c r="FA155" s="200"/>
      <c r="FB155" s="200"/>
      <c r="FC155" s="200"/>
      <c r="FD155" s="200"/>
      <c r="FE155" s="200"/>
      <c r="FF155" s="200"/>
      <c r="FG155" s="200"/>
      <c r="FH155" s="200"/>
      <c r="FI155" s="200"/>
      <c r="FJ155" s="200"/>
      <c r="FK155" s="200"/>
      <c r="FL155" s="200"/>
      <c r="FM155" s="200"/>
      <c r="FN155" s="200"/>
      <c r="FO155" s="200"/>
      <c r="FP155" s="200"/>
      <c r="FQ155" s="200"/>
      <c r="FR155" s="200"/>
      <c r="FS155" s="200"/>
      <c r="FT155" s="200"/>
      <c r="FU155" s="200"/>
      <c r="FV155" s="200"/>
      <c r="FW155" s="200"/>
      <c r="FX155" s="200"/>
      <c r="FY155" s="200"/>
      <c r="FZ155" s="200"/>
      <c r="GA155" s="200"/>
      <c r="GB155" s="200"/>
      <c r="GC155" s="200"/>
      <c r="GD155" s="200"/>
      <c r="GE155" s="200"/>
      <c r="GF155" s="200"/>
      <c r="GG155" s="200"/>
      <c r="GH155" s="200"/>
      <c r="GI155" s="200"/>
      <c r="GJ155" s="200"/>
      <c r="GK155" s="200"/>
      <c r="GL155" s="200"/>
      <c r="GM155" s="200"/>
      <c r="GN155" s="200"/>
      <c r="GO155" s="200"/>
      <c r="GP155" s="200"/>
      <c r="GQ155" s="200"/>
      <c r="GR155" s="200"/>
      <c r="GS155" s="200"/>
      <c r="GT155" s="200"/>
      <c r="GU155" s="200"/>
      <c r="GV155" s="200"/>
      <c r="GW155" s="200"/>
      <c r="GX155" s="200"/>
      <c r="GY155" s="200"/>
      <c r="GZ155" s="200"/>
      <c r="HA155" s="200"/>
      <c r="HB155" s="200"/>
      <c r="HC155" s="200"/>
      <c r="HD155" s="200"/>
      <c r="HE155" s="200"/>
      <c r="HF155" s="200"/>
      <c r="HG155" s="200"/>
      <c r="HH155" s="200"/>
      <c r="HI155" s="200"/>
      <c r="HJ155" s="200"/>
      <c r="HK155" s="200"/>
      <c r="HL155" s="200"/>
      <c r="HM155" s="200"/>
      <c r="HN155" s="200"/>
      <c r="HO155" s="200"/>
      <c r="HP155" s="200"/>
      <c r="HQ155" s="200"/>
      <c r="HR155" s="200"/>
      <c r="HS155" s="200"/>
      <c r="HT155" s="200"/>
      <c r="HU155" s="200"/>
      <c r="HV155" s="200"/>
      <c r="HW155" s="200"/>
      <c r="HX155" s="200"/>
      <c r="HY155" s="200"/>
      <c r="HZ155" s="200"/>
      <c r="IA155" s="200"/>
      <c r="IB155" s="200"/>
      <c r="IC155" s="200"/>
      <c r="ID155" s="200"/>
      <c r="IE155" s="200"/>
      <c r="IF155" s="200"/>
      <c r="IG155" s="200"/>
      <c r="IH155" s="200"/>
      <c r="II155" s="200"/>
      <c r="IJ155" s="200"/>
      <c r="IK155" s="200"/>
      <c r="IL155" s="200"/>
      <c r="IM155" s="200"/>
      <c r="IN155" s="200"/>
      <c r="IO155" s="200"/>
      <c r="IP155" s="200"/>
      <c r="IQ155" s="200"/>
      <c r="IR155" s="200"/>
      <c r="IS155" s="200"/>
      <c r="IT155" s="200"/>
      <c r="IU155" s="201"/>
      <c r="IV155" s="201"/>
    </row>
    <row r="156" s="10" customFormat="1" ht="15.95" customHeight="1" spans="1:256">
      <c r="A156" s="199">
        <v>42</v>
      </c>
      <c r="B156" s="20" t="s">
        <v>2176</v>
      </c>
      <c r="C156" s="199" t="s">
        <v>2129</v>
      </c>
      <c r="D156" s="199">
        <v>4042</v>
      </c>
      <c r="E156" s="199">
        <f>'05版台时'!S263</f>
        <v>70.981333443748</v>
      </c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0"/>
      <c r="BM156" s="200"/>
      <c r="BN156" s="200"/>
      <c r="BO156" s="200"/>
      <c r="BP156" s="200"/>
      <c r="BQ156" s="200"/>
      <c r="BR156" s="200"/>
      <c r="BS156" s="200"/>
      <c r="BT156" s="200"/>
      <c r="BU156" s="200"/>
      <c r="BV156" s="200"/>
      <c r="BW156" s="200"/>
      <c r="BX156" s="200"/>
      <c r="BY156" s="200"/>
      <c r="BZ156" s="200"/>
      <c r="CA156" s="200"/>
      <c r="CB156" s="200"/>
      <c r="CC156" s="200"/>
      <c r="CD156" s="200"/>
      <c r="CE156" s="200"/>
      <c r="CF156" s="200"/>
      <c r="CG156" s="200"/>
      <c r="CH156" s="200"/>
      <c r="CI156" s="200"/>
      <c r="CJ156" s="200"/>
      <c r="CK156" s="200"/>
      <c r="CL156" s="200"/>
      <c r="CM156" s="200"/>
      <c r="CN156" s="200"/>
      <c r="CO156" s="200"/>
      <c r="CP156" s="200"/>
      <c r="CQ156" s="200"/>
      <c r="CR156" s="200"/>
      <c r="CS156" s="200"/>
      <c r="CT156" s="200"/>
      <c r="CU156" s="200"/>
      <c r="CV156" s="200"/>
      <c r="CW156" s="200"/>
      <c r="CX156" s="200"/>
      <c r="CY156" s="200"/>
      <c r="CZ156" s="200"/>
      <c r="DA156" s="200"/>
      <c r="DB156" s="200"/>
      <c r="DC156" s="200"/>
      <c r="DD156" s="200"/>
      <c r="DE156" s="200"/>
      <c r="DF156" s="200"/>
      <c r="DG156" s="200"/>
      <c r="DH156" s="200"/>
      <c r="DI156" s="200"/>
      <c r="DJ156" s="200"/>
      <c r="DK156" s="200"/>
      <c r="DL156" s="200"/>
      <c r="DM156" s="200"/>
      <c r="DN156" s="200"/>
      <c r="DO156" s="200"/>
      <c r="DP156" s="200"/>
      <c r="DQ156" s="200"/>
      <c r="DR156" s="200"/>
      <c r="DS156" s="200"/>
      <c r="DT156" s="200"/>
      <c r="DU156" s="200"/>
      <c r="DV156" s="200"/>
      <c r="DW156" s="200"/>
      <c r="DX156" s="200"/>
      <c r="DY156" s="200"/>
      <c r="DZ156" s="200"/>
      <c r="EA156" s="200"/>
      <c r="EB156" s="200"/>
      <c r="EC156" s="200"/>
      <c r="ED156" s="200"/>
      <c r="EE156" s="200"/>
      <c r="EF156" s="200"/>
      <c r="EG156" s="200"/>
      <c r="EH156" s="200"/>
      <c r="EI156" s="200"/>
      <c r="EJ156" s="200"/>
      <c r="EK156" s="200"/>
      <c r="EL156" s="200"/>
      <c r="EM156" s="200"/>
      <c r="EN156" s="200"/>
      <c r="EO156" s="200"/>
      <c r="EP156" s="200"/>
      <c r="EQ156" s="200"/>
      <c r="ER156" s="200"/>
      <c r="ES156" s="200"/>
      <c r="ET156" s="200"/>
      <c r="EU156" s="200"/>
      <c r="EV156" s="200"/>
      <c r="EW156" s="200"/>
      <c r="EX156" s="200"/>
      <c r="EY156" s="200"/>
      <c r="EZ156" s="200"/>
      <c r="FA156" s="200"/>
      <c r="FB156" s="200"/>
      <c r="FC156" s="200"/>
      <c r="FD156" s="200"/>
      <c r="FE156" s="200"/>
      <c r="FF156" s="200"/>
      <c r="FG156" s="200"/>
      <c r="FH156" s="200"/>
      <c r="FI156" s="200"/>
      <c r="FJ156" s="200"/>
      <c r="FK156" s="200"/>
      <c r="FL156" s="200"/>
      <c r="FM156" s="200"/>
      <c r="FN156" s="200"/>
      <c r="FO156" s="200"/>
      <c r="FP156" s="200"/>
      <c r="FQ156" s="200"/>
      <c r="FR156" s="200"/>
      <c r="FS156" s="200"/>
      <c r="FT156" s="200"/>
      <c r="FU156" s="200"/>
      <c r="FV156" s="200"/>
      <c r="FW156" s="200"/>
      <c r="FX156" s="200"/>
      <c r="FY156" s="200"/>
      <c r="FZ156" s="200"/>
      <c r="GA156" s="200"/>
      <c r="GB156" s="200"/>
      <c r="GC156" s="200"/>
      <c r="GD156" s="200"/>
      <c r="GE156" s="200"/>
      <c r="GF156" s="200"/>
      <c r="GG156" s="200"/>
      <c r="GH156" s="200"/>
      <c r="GI156" s="200"/>
      <c r="GJ156" s="200"/>
      <c r="GK156" s="200"/>
      <c r="GL156" s="200"/>
      <c r="GM156" s="200"/>
      <c r="GN156" s="200"/>
      <c r="GO156" s="200"/>
      <c r="GP156" s="200"/>
      <c r="GQ156" s="200"/>
      <c r="GR156" s="200"/>
      <c r="GS156" s="200"/>
      <c r="GT156" s="200"/>
      <c r="GU156" s="200"/>
      <c r="GV156" s="200"/>
      <c r="GW156" s="200"/>
      <c r="GX156" s="200"/>
      <c r="GY156" s="200"/>
      <c r="GZ156" s="200"/>
      <c r="HA156" s="200"/>
      <c r="HB156" s="200"/>
      <c r="HC156" s="200"/>
      <c r="HD156" s="200"/>
      <c r="HE156" s="200"/>
      <c r="HF156" s="200"/>
      <c r="HG156" s="200"/>
      <c r="HH156" s="200"/>
      <c r="HI156" s="200"/>
      <c r="HJ156" s="200"/>
      <c r="HK156" s="200"/>
      <c r="HL156" s="200"/>
      <c r="HM156" s="200"/>
      <c r="HN156" s="200"/>
      <c r="HO156" s="200"/>
      <c r="HP156" s="200"/>
      <c r="HQ156" s="200"/>
      <c r="HR156" s="200"/>
      <c r="HS156" s="200"/>
      <c r="HT156" s="200"/>
      <c r="HU156" s="200"/>
      <c r="HV156" s="200"/>
      <c r="HW156" s="200"/>
      <c r="HX156" s="200"/>
      <c r="HY156" s="200"/>
      <c r="HZ156" s="200"/>
      <c r="IA156" s="200"/>
      <c r="IB156" s="200"/>
      <c r="IC156" s="200"/>
      <c r="ID156" s="200"/>
      <c r="IE156" s="200"/>
      <c r="IF156" s="200"/>
      <c r="IG156" s="200"/>
      <c r="IH156" s="200"/>
      <c r="II156" s="200"/>
      <c r="IJ156" s="200"/>
      <c r="IK156" s="200"/>
      <c r="IL156" s="200"/>
      <c r="IM156" s="200"/>
      <c r="IN156" s="200"/>
      <c r="IO156" s="200"/>
      <c r="IP156" s="200"/>
      <c r="IQ156" s="200"/>
      <c r="IR156" s="200"/>
      <c r="IS156" s="200"/>
      <c r="IT156" s="200"/>
      <c r="IU156" s="201"/>
      <c r="IV156" s="201"/>
    </row>
    <row r="157" s="10" customFormat="1" ht="15.95" customHeight="1" spans="1:256">
      <c r="A157" s="199">
        <v>43</v>
      </c>
      <c r="B157" s="20" t="s">
        <v>2176</v>
      </c>
      <c r="C157" s="199" t="s">
        <v>2131</v>
      </c>
      <c r="D157" s="199">
        <v>4043</v>
      </c>
      <c r="E157" s="199">
        <f>'05版台时'!T263</f>
        <v>88.5191762837958</v>
      </c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200"/>
      <c r="BO157" s="200"/>
      <c r="BP157" s="200"/>
      <c r="BQ157" s="200"/>
      <c r="BR157" s="200"/>
      <c r="BS157" s="200"/>
      <c r="BT157" s="200"/>
      <c r="BU157" s="200"/>
      <c r="BV157" s="200"/>
      <c r="BW157" s="200"/>
      <c r="BX157" s="200"/>
      <c r="BY157" s="200"/>
      <c r="BZ157" s="200"/>
      <c r="CA157" s="200"/>
      <c r="CB157" s="200"/>
      <c r="CC157" s="200"/>
      <c r="CD157" s="200"/>
      <c r="CE157" s="200"/>
      <c r="CF157" s="200"/>
      <c r="CG157" s="200"/>
      <c r="CH157" s="200"/>
      <c r="CI157" s="200"/>
      <c r="CJ157" s="200"/>
      <c r="CK157" s="200"/>
      <c r="CL157" s="200"/>
      <c r="CM157" s="200"/>
      <c r="CN157" s="200"/>
      <c r="CO157" s="200"/>
      <c r="CP157" s="200"/>
      <c r="CQ157" s="200"/>
      <c r="CR157" s="200"/>
      <c r="CS157" s="200"/>
      <c r="CT157" s="200"/>
      <c r="CU157" s="200"/>
      <c r="CV157" s="200"/>
      <c r="CW157" s="200"/>
      <c r="CX157" s="200"/>
      <c r="CY157" s="200"/>
      <c r="CZ157" s="200"/>
      <c r="DA157" s="200"/>
      <c r="DB157" s="200"/>
      <c r="DC157" s="200"/>
      <c r="DD157" s="200"/>
      <c r="DE157" s="200"/>
      <c r="DF157" s="200"/>
      <c r="DG157" s="200"/>
      <c r="DH157" s="200"/>
      <c r="DI157" s="200"/>
      <c r="DJ157" s="200"/>
      <c r="DK157" s="200"/>
      <c r="DL157" s="200"/>
      <c r="DM157" s="200"/>
      <c r="DN157" s="200"/>
      <c r="DO157" s="200"/>
      <c r="DP157" s="200"/>
      <c r="DQ157" s="200"/>
      <c r="DR157" s="200"/>
      <c r="DS157" s="200"/>
      <c r="DT157" s="200"/>
      <c r="DU157" s="200"/>
      <c r="DV157" s="200"/>
      <c r="DW157" s="200"/>
      <c r="DX157" s="200"/>
      <c r="DY157" s="200"/>
      <c r="DZ157" s="200"/>
      <c r="EA157" s="200"/>
      <c r="EB157" s="200"/>
      <c r="EC157" s="200"/>
      <c r="ED157" s="200"/>
      <c r="EE157" s="200"/>
      <c r="EF157" s="200"/>
      <c r="EG157" s="200"/>
      <c r="EH157" s="200"/>
      <c r="EI157" s="200"/>
      <c r="EJ157" s="200"/>
      <c r="EK157" s="200"/>
      <c r="EL157" s="200"/>
      <c r="EM157" s="200"/>
      <c r="EN157" s="200"/>
      <c r="EO157" s="200"/>
      <c r="EP157" s="200"/>
      <c r="EQ157" s="200"/>
      <c r="ER157" s="200"/>
      <c r="ES157" s="200"/>
      <c r="ET157" s="200"/>
      <c r="EU157" s="200"/>
      <c r="EV157" s="200"/>
      <c r="EW157" s="200"/>
      <c r="EX157" s="200"/>
      <c r="EY157" s="200"/>
      <c r="EZ157" s="200"/>
      <c r="FA157" s="200"/>
      <c r="FB157" s="200"/>
      <c r="FC157" s="200"/>
      <c r="FD157" s="200"/>
      <c r="FE157" s="200"/>
      <c r="FF157" s="200"/>
      <c r="FG157" s="200"/>
      <c r="FH157" s="200"/>
      <c r="FI157" s="200"/>
      <c r="FJ157" s="200"/>
      <c r="FK157" s="200"/>
      <c r="FL157" s="200"/>
      <c r="FM157" s="200"/>
      <c r="FN157" s="200"/>
      <c r="FO157" s="200"/>
      <c r="FP157" s="200"/>
      <c r="FQ157" s="200"/>
      <c r="FR157" s="200"/>
      <c r="FS157" s="200"/>
      <c r="FT157" s="200"/>
      <c r="FU157" s="200"/>
      <c r="FV157" s="200"/>
      <c r="FW157" s="200"/>
      <c r="FX157" s="200"/>
      <c r="FY157" s="200"/>
      <c r="FZ157" s="200"/>
      <c r="GA157" s="200"/>
      <c r="GB157" s="200"/>
      <c r="GC157" s="200"/>
      <c r="GD157" s="200"/>
      <c r="GE157" s="200"/>
      <c r="GF157" s="200"/>
      <c r="GG157" s="200"/>
      <c r="GH157" s="200"/>
      <c r="GI157" s="200"/>
      <c r="GJ157" s="200"/>
      <c r="GK157" s="200"/>
      <c r="GL157" s="200"/>
      <c r="GM157" s="200"/>
      <c r="GN157" s="200"/>
      <c r="GO157" s="200"/>
      <c r="GP157" s="200"/>
      <c r="GQ157" s="200"/>
      <c r="GR157" s="200"/>
      <c r="GS157" s="200"/>
      <c r="GT157" s="200"/>
      <c r="GU157" s="200"/>
      <c r="GV157" s="200"/>
      <c r="GW157" s="200"/>
      <c r="GX157" s="200"/>
      <c r="GY157" s="200"/>
      <c r="GZ157" s="200"/>
      <c r="HA157" s="200"/>
      <c r="HB157" s="200"/>
      <c r="HC157" s="200"/>
      <c r="HD157" s="200"/>
      <c r="HE157" s="200"/>
      <c r="HF157" s="200"/>
      <c r="HG157" s="200"/>
      <c r="HH157" s="200"/>
      <c r="HI157" s="200"/>
      <c r="HJ157" s="200"/>
      <c r="HK157" s="200"/>
      <c r="HL157" s="200"/>
      <c r="HM157" s="200"/>
      <c r="HN157" s="200"/>
      <c r="HO157" s="200"/>
      <c r="HP157" s="200"/>
      <c r="HQ157" s="200"/>
      <c r="HR157" s="200"/>
      <c r="HS157" s="200"/>
      <c r="HT157" s="200"/>
      <c r="HU157" s="200"/>
      <c r="HV157" s="200"/>
      <c r="HW157" s="200"/>
      <c r="HX157" s="200"/>
      <c r="HY157" s="200"/>
      <c r="HZ157" s="200"/>
      <c r="IA157" s="200"/>
      <c r="IB157" s="200"/>
      <c r="IC157" s="200"/>
      <c r="ID157" s="200"/>
      <c r="IE157" s="200"/>
      <c r="IF157" s="200"/>
      <c r="IG157" s="200"/>
      <c r="IH157" s="200"/>
      <c r="II157" s="200"/>
      <c r="IJ157" s="200"/>
      <c r="IK157" s="200"/>
      <c r="IL157" s="200"/>
      <c r="IM157" s="200"/>
      <c r="IN157" s="200"/>
      <c r="IO157" s="200"/>
      <c r="IP157" s="200"/>
      <c r="IQ157" s="200"/>
      <c r="IR157" s="200"/>
      <c r="IS157" s="200"/>
      <c r="IT157" s="200"/>
      <c r="IU157" s="201"/>
      <c r="IV157" s="201"/>
    </row>
    <row r="158" s="10" customFormat="1" ht="15.95" customHeight="1" spans="1:256">
      <c r="A158" s="199">
        <v>44</v>
      </c>
      <c r="B158" s="20" t="s">
        <v>2176</v>
      </c>
      <c r="C158" s="199" t="s">
        <v>2160</v>
      </c>
      <c r="D158" s="199">
        <v>4044</v>
      </c>
      <c r="E158" s="199">
        <f>'05版台时'!U263</f>
        <v>117.576394472866</v>
      </c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200"/>
      <c r="BN158" s="200"/>
      <c r="BO158" s="200"/>
      <c r="BP158" s="200"/>
      <c r="BQ158" s="200"/>
      <c r="BR158" s="200"/>
      <c r="BS158" s="200"/>
      <c r="BT158" s="200"/>
      <c r="BU158" s="200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0"/>
      <c r="CG158" s="200"/>
      <c r="CH158" s="200"/>
      <c r="CI158" s="200"/>
      <c r="CJ158" s="200"/>
      <c r="CK158" s="200"/>
      <c r="CL158" s="200"/>
      <c r="CM158" s="200"/>
      <c r="CN158" s="200"/>
      <c r="CO158" s="200"/>
      <c r="CP158" s="200"/>
      <c r="CQ158" s="200"/>
      <c r="CR158" s="200"/>
      <c r="CS158" s="200"/>
      <c r="CT158" s="200"/>
      <c r="CU158" s="200"/>
      <c r="CV158" s="200"/>
      <c r="CW158" s="200"/>
      <c r="CX158" s="200"/>
      <c r="CY158" s="200"/>
      <c r="CZ158" s="200"/>
      <c r="DA158" s="200"/>
      <c r="DB158" s="200"/>
      <c r="DC158" s="200"/>
      <c r="DD158" s="200"/>
      <c r="DE158" s="200"/>
      <c r="DF158" s="200"/>
      <c r="DG158" s="200"/>
      <c r="DH158" s="200"/>
      <c r="DI158" s="200"/>
      <c r="DJ158" s="200"/>
      <c r="DK158" s="200"/>
      <c r="DL158" s="200"/>
      <c r="DM158" s="200"/>
      <c r="DN158" s="200"/>
      <c r="DO158" s="200"/>
      <c r="DP158" s="200"/>
      <c r="DQ158" s="200"/>
      <c r="DR158" s="200"/>
      <c r="DS158" s="200"/>
      <c r="DT158" s="200"/>
      <c r="DU158" s="200"/>
      <c r="DV158" s="200"/>
      <c r="DW158" s="200"/>
      <c r="DX158" s="200"/>
      <c r="DY158" s="200"/>
      <c r="DZ158" s="200"/>
      <c r="EA158" s="200"/>
      <c r="EB158" s="200"/>
      <c r="EC158" s="200"/>
      <c r="ED158" s="200"/>
      <c r="EE158" s="200"/>
      <c r="EF158" s="200"/>
      <c r="EG158" s="200"/>
      <c r="EH158" s="200"/>
      <c r="EI158" s="200"/>
      <c r="EJ158" s="200"/>
      <c r="EK158" s="200"/>
      <c r="EL158" s="200"/>
      <c r="EM158" s="200"/>
      <c r="EN158" s="200"/>
      <c r="EO158" s="200"/>
      <c r="EP158" s="200"/>
      <c r="EQ158" s="200"/>
      <c r="ER158" s="200"/>
      <c r="ES158" s="200"/>
      <c r="ET158" s="200"/>
      <c r="EU158" s="200"/>
      <c r="EV158" s="200"/>
      <c r="EW158" s="200"/>
      <c r="EX158" s="200"/>
      <c r="EY158" s="200"/>
      <c r="EZ158" s="200"/>
      <c r="FA158" s="200"/>
      <c r="FB158" s="200"/>
      <c r="FC158" s="200"/>
      <c r="FD158" s="200"/>
      <c r="FE158" s="200"/>
      <c r="FF158" s="200"/>
      <c r="FG158" s="200"/>
      <c r="FH158" s="200"/>
      <c r="FI158" s="200"/>
      <c r="FJ158" s="200"/>
      <c r="FK158" s="200"/>
      <c r="FL158" s="200"/>
      <c r="FM158" s="200"/>
      <c r="FN158" s="200"/>
      <c r="FO158" s="200"/>
      <c r="FP158" s="200"/>
      <c r="FQ158" s="200"/>
      <c r="FR158" s="200"/>
      <c r="FS158" s="200"/>
      <c r="FT158" s="200"/>
      <c r="FU158" s="200"/>
      <c r="FV158" s="200"/>
      <c r="FW158" s="200"/>
      <c r="FX158" s="200"/>
      <c r="FY158" s="200"/>
      <c r="FZ158" s="200"/>
      <c r="GA158" s="200"/>
      <c r="GB158" s="200"/>
      <c r="GC158" s="200"/>
      <c r="GD158" s="200"/>
      <c r="GE158" s="200"/>
      <c r="GF158" s="200"/>
      <c r="GG158" s="200"/>
      <c r="GH158" s="200"/>
      <c r="GI158" s="200"/>
      <c r="GJ158" s="200"/>
      <c r="GK158" s="200"/>
      <c r="GL158" s="200"/>
      <c r="GM158" s="200"/>
      <c r="GN158" s="200"/>
      <c r="GO158" s="200"/>
      <c r="GP158" s="200"/>
      <c r="GQ158" s="200"/>
      <c r="GR158" s="200"/>
      <c r="GS158" s="200"/>
      <c r="GT158" s="200"/>
      <c r="GU158" s="200"/>
      <c r="GV158" s="200"/>
      <c r="GW158" s="200"/>
      <c r="GX158" s="200"/>
      <c r="GY158" s="200"/>
      <c r="GZ158" s="200"/>
      <c r="HA158" s="200"/>
      <c r="HB158" s="200"/>
      <c r="HC158" s="200"/>
      <c r="HD158" s="200"/>
      <c r="HE158" s="200"/>
      <c r="HF158" s="200"/>
      <c r="HG158" s="200"/>
      <c r="HH158" s="200"/>
      <c r="HI158" s="200"/>
      <c r="HJ158" s="200"/>
      <c r="HK158" s="200"/>
      <c r="HL158" s="200"/>
      <c r="HM158" s="200"/>
      <c r="HN158" s="200"/>
      <c r="HO158" s="200"/>
      <c r="HP158" s="200"/>
      <c r="HQ158" s="200"/>
      <c r="HR158" s="200"/>
      <c r="HS158" s="200"/>
      <c r="HT158" s="200"/>
      <c r="HU158" s="200"/>
      <c r="HV158" s="200"/>
      <c r="HW158" s="200"/>
      <c r="HX158" s="200"/>
      <c r="HY158" s="200"/>
      <c r="HZ158" s="200"/>
      <c r="IA158" s="200"/>
      <c r="IB158" s="200"/>
      <c r="IC158" s="200"/>
      <c r="ID158" s="200"/>
      <c r="IE158" s="200"/>
      <c r="IF158" s="200"/>
      <c r="IG158" s="200"/>
      <c r="IH158" s="200"/>
      <c r="II158" s="200"/>
      <c r="IJ158" s="200"/>
      <c r="IK158" s="200"/>
      <c r="IL158" s="200"/>
      <c r="IM158" s="200"/>
      <c r="IN158" s="200"/>
      <c r="IO158" s="200"/>
      <c r="IP158" s="200"/>
      <c r="IQ158" s="200"/>
      <c r="IR158" s="200"/>
      <c r="IS158" s="200"/>
      <c r="IT158" s="200"/>
      <c r="IU158" s="201"/>
      <c r="IV158" s="201"/>
    </row>
    <row r="159" s="10" customFormat="1" ht="15.95" customHeight="1" spans="1:256">
      <c r="A159" s="199">
        <v>45</v>
      </c>
      <c r="B159" s="20" t="s">
        <v>2176</v>
      </c>
      <c r="C159" s="199" t="s">
        <v>2177</v>
      </c>
      <c r="D159" s="199">
        <v>4045</v>
      </c>
      <c r="E159" s="199">
        <f>'05版台时'!V263</f>
        <v>146.365346208008</v>
      </c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200"/>
      <c r="BO159" s="200"/>
      <c r="BP159" s="200"/>
      <c r="BQ159" s="200"/>
      <c r="BR159" s="200"/>
      <c r="BS159" s="200"/>
      <c r="BT159" s="200"/>
      <c r="BU159" s="200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0"/>
      <c r="CN159" s="200"/>
      <c r="CO159" s="200"/>
      <c r="CP159" s="200"/>
      <c r="CQ159" s="200"/>
      <c r="CR159" s="200"/>
      <c r="CS159" s="200"/>
      <c r="CT159" s="200"/>
      <c r="CU159" s="200"/>
      <c r="CV159" s="200"/>
      <c r="CW159" s="200"/>
      <c r="CX159" s="200"/>
      <c r="CY159" s="200"/>
      <c r="CZ159" s="200"/>
      <c r="DA159" s="200"/>
      <c r="DB159" s="200"/>
      <c r="DC159" s="200"/>
      <c r="DD159" s="200"/>
      <c r="DE159" s="200"/>
      <c r="DF159" s="200"/>
      <c r="DG159" s="200"/>
      <c r="DH159" s="200"/>
      <c r="DI159" s="200"/>
      <c r="DJ159" s="200"/>
      <c r="DK159" s="200"/>
      <c r="DL159" s="200"/>
      <c r="DM159" s="200"/>
      <c r="DN159" s="200"/>
      <c r="DO159" s="200"/>
      <c r="DP159" s="200"/>
      <c r="DQ159" s="200"/>
      <c r="DR159" s="200"/>
      <c r="DS159" s="200"/>
      <c r="DT159" s="200"/>
      <c r="DU159" s="200"/>
      <c r="DV159" s="200"/>
      <c r="DW159" s="200"/>
      <c r="DX159" s="200"/>
      <c r="DY159" s="200"/>
      <c r="DZ159" s="200"/>
      <c r="EA159" s="200"/>
      <c r="EB159" s="200"/>
      <c r="EC159" s="200"/>
      <c r="ED159" s="200"/>
      <c r="EE159" s="200"/>
      <c r="EF159" s="200"/>
      <c r="EG159" s="200"/>
      <c r="EH159" s="200"/>
      <c r="EI159" s="200"/>
      <c r="EJ159" s="200"/>
      <c r="EK159" s="200"/>
      <c r="EL159" s="200"/>
      <c r="EM159" s="200"/>
      <c r="EN159" s="200"/>
      <c r="EO159" s="200"/>
      <c r="EP159" s="200"/>
      <c r="EQ159" s="200"/>
      <c r="ER159" s="200"/>
      <c r="ES159" s="200"/>
      <c r="ET159" s="200"/>
      <c r="EU159" s="200"/>
      <c r="EV159" s="200"/>
      <c r="EW159" s="200"/>
      <c r="EX159" s="200"/>
      <c r="EY159" s="200"/>
      <c r="EZ159" s="200"/>
      <c r="FA159" s="200"/>
      <c r="FB159" s="200"/>
      <c r="FC159" s="200"/>
      <c r="FD159" s="200"/>
      <c r="FE159" s="200"/>
      <c r="FF159" s="200"/>
      <c r="FG159" s="200"/>
      <c r="FH159" s="200"/>
      <c r="FI159" s="200"/>
      <c r="FJ159" s="200"/>
      <c r="FK159" s="200"/>
      <c r="FL159" s="200"/>
      <c r="FM159" s="200"/>
      <c r="FN159" s="200"/>
      <c r="FO159" s="200"/>
      <c r="FP159" s="200"/>
      <c r="FQ159" s="200"/>
      <c r="FR159" s="200"/>
      <c r="FS159" s="200"/>
      <c r="FT159" s="200"/>
      <c r="FU159" s="200"/>
      <c r="FV159" s="200"/>
      <c r="FW159" s="200"/>
      <c r="FX159" s="200"/>
      <c r="FY159" s="200"/>
      <c r="FZ159" s="200"/>
      <c r="GA159" s="200"/>
      <c r="GB159" s="200"/>
      <c r="GC159" s="200"/>
      <c r="GD159" s="200"/>
      <c r="GE159" s="200"/>
      <c r="GF159" s="200"/>
      <c r="GG159" s="200"/>
      <c r="GH159" s="200"/>
      <c r="GI159" s="200"/>
      <c r="GJ159" s="200"/>
      <c r="GK159" s="200"/>
      <c r="GL159" s="200"/>
      <c r="GM159" s="200"/>
      <c r="GN159" s="200"/>
      <c r="GO159" s="200"/>
      <c r="GP159" s="200"/>
      <c r="GQ159" s="200"/>
      <c r="GR159" s="200"/>
      <c r="GS159" s="200"/>
      <c r="GT159" s="200"/>
      <c r="GU159" s="200"/>
      <c r="GV159" s="200"/>
      <c r="GW159" s="200"/>
      <c r="GX159" s="200"/>
      <c r="GY159" s="200"/>
      <c r="GZ159" s="200"/>
      <c r="HA159" s="200"/>
      <c r="HB159" s="200"/>
      <c r="HC159" s="200"/>
      <c r="HD159" s="200"/>
      <c r="HE159" s="200"/>
      <c r="HF159" s="200"/>
      <c r="HG159" s="200"/>
      <c r="HH159" s="200"/>
      <c r="HI159" s="200"/>
      <c r="HJ159" s="200"/>
      <c r="HK159" s="200"/>
      <c r="HL159" s="200"/>
      <c r="HM159" s="200"/>
      <c r="HN159" s="200"/>
      <c r="HO159" s="200"/>
      <c r="HP159" s="200"/>
      <c r="HQ159" s="200"/>
      <c r="HR159" s="200"/>
      <c r="HS159" s="200"/>
      <c r="HT159" s="200"/>
      <c r="HU159" s="200"/>
      <c r="HV159" s="200"/>
      <c r="HW159" s="200"/>
      <c r="HX159" s="200"/>
      <c r="HY159" s="200"/>
      <c r="HZ159" s="200"/>
      <c r="IA159" s="200"/>
      <c r="IB159" s="200"/>
      <c r="IC159" s="200"/>
      <c r="ID159" s="200"/>
      <c r="IE159" s="200"/>
      <c r="IF159" s="200"/>
      <c r="IG159" s="200"/>
      <c r="IH159" s="200"/>
      <c r="II159" s="200"/>
      <c r="IJ159" s="200"/>
      <c r="IK159" s="200"/>
      <c r="IL159" s="200"/>
      <c r="IM159" s="200"/>
      <c r="IN159" s="200"/>
      <c r="IO159" s="200"/>
      <c r="IP159" s="200"/>
      <c r="IQ159" s="200"/>
      <c r="IR159" s="200"/>
      <c r="IS159" s="200"/>
      <c r="IT159" s="200"/>
      <c r="IU159" s="201"/>
      <c r="IV159" s="201"/>
    </row>
    <row r="160" s="10" customFormat="1" ht="15.95" customHeight="1" spans="1:256">
      <c r="A160" s="199">
        <v>46</v>
      </c>
      <c r="B160" s="20" t="s">
        <v>2176</v>
      </c>
      <c r="C160" s="199" t="s">
        <v>2134</v>
      </c>
      <c r="D160" s="199">
        <v>4046</v>
      </c>
      <c r="E160" s="199">
        <f>'05版台时'!W263</f>
        <v>165.905582346819</v>
      </c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0"/>
      <c r="CR160" s="200"/>
      <c r="CS160" s="200"/>
      <c r="CT160" s="200"/>
      <c r="CU160" s="200"/>
      <c r="CV160" s="200"/>
      <c r="CW160" s="200"/>
      <c r="CX160" s="200"/>
      <c r="CY160" s="200"/>
      <c r="CZ160" s="200"/>
      <c r="DA160" s="200"/>
      <c r="DB160" s="200"/>
      <c r="DC160" s="200"/>
      <c r="DD160" s="200"/>
      <c r="DE160" s="200"/>
      <c r="DF160" s="200"/>
      <c r="DG160" s="200"/>
      <c r="DH160" s="200"/>
      <c r="DI160" s="200"/>
      <c r="DJ160" s="200"/>
      <c r="DK160" s="200"/>
      <c r="DL160" s="200"/>
      <c r="DM160" s="200"/>
      <c r="DN160" s="200"/>
      <c r="DO160" s="200"/>
      <c r="DP160" s="200"/>
      <c r="DQ160" s="200"/>
      <c r="DR160" s="200"/>
      <c r="DS160" s="200"/>
      <c r="DT160" s="200"/>
      <c r="DU160" s="200"/>
      <c r="DV160" s="200"/>
      <c r="DW160" s="200"/>
      <c r="DX160" s="200"/>
      <c r="DY160" s="200"/>
      <c r="DZ160" s="200"/>
      <c r="EA160" s="200"/>
      <c r="EB160" s="200"/>
      <c r="EC160" s="200"/>
      <c r="ED160" s="200"/>
      <c r="EE160" s="200"/>
      <c r="EF160" s="200"/>
      <c r="EG160" s="200"/>
      <c r="EH160" s="200"/>
      <c r="EI160" s="200"/>
      <c r="EJ160" s="200"/>
      <c r="EK160" s="200"/>
      <c r="EL160" s="200"/>
      <c r="EM160" s="200"/>
      <c r="EN160" s="200"/>
      <c r="EO160" s="200"/>
      <c r="EP160" s="200"/>
      <c r="EQ160" s="200"/>
      <c r="ER160" s="200"/>
      <c r="ES160" s="200"/>
      <c r="ET160" s="200"/>
      <c r="EU160" s="200"/>
      <c r="EV160" s="200"/>
      <c r="EW160" s="200"/>
      <c r="EX160" s="200"/>
      <c r="EY160" s="200"/>
      <c r="EZ160" s="200"/>
      <c r="FA160" s="200"/>
      <c r="FB160" s="200"/>
      <c r="FC160" s="200"/>
      <c r="FD160" s="200"/>
      <c r="FE160" s="200"/>
      <c r="FF160" s="200"/>
      <c r="FG160" s="200"/>
      <c r="FH160" s="200"/>
      <c r="FI160" s="200"/>
      <c r="FJ160" s="200"/>
      <c r="FK160" s="200"/>
      <c r="FL160" s="200"/>
      <c r="FM160" s="200"/>
      <c r="FN160" s="200"/>
      <c r="FO160" s="200"/>
      <c r="FP160" s="200"/>
      <c r="FQ160" s="200"/>
      <c r="FR160" s="200"/>
      <c r="FS160" s="200"/>
      <c r="FT160" s="200"/>
      <c r="FU160" s="200"/>
      <c r="FV160" s="200"/>
      <c r="FW160" s="200"/>
      <c r="FX160" s="200"/>
      <c r="FY160" s="200"/>
      <c r="FZ160" s="200"/>
      <c r="GA160" s="200"/>
      <c r="GB160" s="200"/>
      <c r="GC160" s="200"/>
      <c r="GD160" s="200"/>
      <c r="GE160" s="200"/>
      <c r="GF160" s="200"/>
      <c r="GG160" s="200"/>
      <c r="GH160" s="200"/>
      <c r="GI160" s="200"/>
      <c r="GJ160" s="200"/>
      <c r="GK160" s="200"/>
      <c r="GL160" s="200"/>
      <c r="GM160" s="200"/>
      <c r="GN160" s="200"/>
      <c r="GO160" s="200"/>
      <c r="GP160" s="200"/>
      <c r="GQ160" s="200"/>
      <c r="GR160" s="200"/>
      <c r="GS160" s="200"/>
      <c r="GT160" s="200"/>
      <c r="GU160" s="200"/>
      <c r="GV160" s="200"/>
      <c r="GW160" s="200"/>
      <c r="GX160" s="200"/>
      <c r="GY160" s="200"/>
      <c r="GZ160" s="200"/>
      <c r="HA160" s="200"/>
      <c r="HB160" s="200"/>
      <c r="HC160" s="200"/>
      <c r="HD160" s="200"/>
      <c r="HE160" s="200"/>
      <c r="HF160" s="200"/>
      <c r="HG160" s="200"/>
      <c r="HH160" s="200"/>
      <c r="HI160" s="200"/>
      <c r="HJ160" s="200"/>
      <c r="HK160" s="200"/>
      <c r="HL160" s="200"/>
      <c r="HM160" s="200"/>
      <c r="HN160" s="200"/>
      <c r="HO160" s="200"/>
      <c r="HP160" s="200"/>
      <c r="HQ160" s="200"/>
      <c r="HR160" s="200"/>
      <c r="HS160" s="200"/>
      <c r="HT160" s="200"/>
      <c r="HU160" s="200"/>
      <c r="HV160" s="200"/>
      <c r="HW160" s="200"/>
      <c r="HX160" s="200"/>
      <c r="HY160" s="200"/>
      <c r="HZ160" s="200"/>
      <c r="IA160" s="200"/>
      <c r="IB160" s="200"/>
      <c r="IC160" s="200"/>
      <c r="ID160" s="200"/>
      <c r="IE160" s="200"/>
      <c r="IF160" s="200"/>
      <c r="IG160" s="200"/>
      <c r="IH160" s="200"/>
      <c r="II160" s="200"/>
      <c r="IJ160" s="200"/>
      <c r="IK160" s="200"/>
      <c r="IL160" s="200"/>
      <c r="IM160" s="200"/>
      <c r="IN160" s="200"/>
      <c r="IO160" s="200"/>
      <c r="IP160" s="200"/>
      <c r="IQ160" s="200"/>
      <c r="IR160" s="200"/>
      <c r="IS160" s="200"/>
      <c r="IT160" s="200"/>
      <c r="IU160" s="201"/>
      <c r="IV160" s="201"/>
    </row>
    <row r="161" s="10" customFormat="1" ht="15.95" customHeight="1" spans="1:256">
      <c r="A161" s="199">
        <v>47</v>
      </c>
      <c r="B161" s="20" t="s">
        <v>2176</v>
      </c>
      <c r="C161" s="199" t="s">
        <v>2178</v>
      </c>
      <c r="D161" s="199">
        <v>4047</v>
      </c>
      <c r="E161" s="199">
        <f>'05版台时'!X263</f>
        <v>518.254052477627</v>
      </c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200"/>
      <c r="BD161" s="200"/>
      <c r="BE161" s="200"/>
      <c r="BF161" s="200"/>
      <c r="BG161" s="200"/>
      <c r="BH161" s="200"/>
      <c r="BI161" s="200"/>
      <c r="BJ161" s="200"/>
      <c r="BK161" s="200"/>
      <c r="BL161" s="200"/>
      <c r="BM161" s="200"/>
      <c r="BN161" s="200"/>
      <c r="BO161" s="200"/>
      <c r="BP161" s="200"/>
      <c r="BQ161" s="200"/>
      <c r="BR161" s="200"/>
      <c r="BS161" s="200"/>
      <c r="BT161" s="200"/>
      <c r="BU161" s="200"/>
      <c r="BV161" s="200"/>
      <c r="BW161" s="200"/>
      <c r="BX161" s="200"/>
      <c r="BY161" s="200"/>
      <c r="BZ161" s="200"/>
      <c r="CA161" s="200"/>
      <c r="CB161" s="200"/>
      <c r="CC161" s="200"/>
      <c r="CD161" s="200"/>
      <c r="CE161" s="200"/>
      <c r="CF161" s="200"/>
      <c r="CG161" s="200"/>
      <c r="CH161" s="200"/>
      <c r="CI161" s="200"/>
      <c r="CJ161" s="200"/>
      <c r="CK161" s="200"/>
      <c r="CL161" s="200"/>
      <c r="CM161" s="200"/>
      <c r="CN161" s="200"/>
      <c r="CO161" s="200"/>
      <c r="CP161" s="200"/>
      <c r="CQ161" s="200"/>
      <c r="CR161" s="200"/>
      <c r="CS161" s="200"/>
      <c r="CT161" s="200"/>
      <c r="CU161" s="200"/>
      <c r="CV161" s="200"/>
      <c r="CW161" s="200"/>
      <c r="CX161" s="200"/>
      <c r="CY161" s="200"/>
      <c r="CZ161" s="200"/>
      <c r="DA161" s="200"/>
      <c r="DB161" s="200"/>
      <c r="DC161" s="200"/>
      <c r="DD161" s="200"/>
      <c r="DE161" s="200"/>
      <c r="DF161" s="200"/>
      <c r="DG161" s="200"/>
      <c r="DH161" s="200"/>
      <c r="DI161" s="200"/>
      <c r="DJ161" s="200"/>
      <c r="DK161" s="200"/>
      <c r="DL161" s="200"/>
      <c r="DM161" s="200"/>
      <c r="DN161" s="200"/>
      <c r="DO161" s="200"/>
      <c r="DP161" s="200"/>
      <c r="DQ161" s="200"/>
      <c r="DR161" s="200"/>
      <c r="DS161" s="200"/>
      <c r="DT161" s="200"/>
      <c r="DU161" s="200"/>
      <c r="DV161" s="200"/>
      <c r="DW161" s="200"/>
      <c r="DX161" s="200"/>
      <c r="DY161" s="200"/>
      <c r="DZ161" s="200"/>
      <c r="EA161" s="200"/>
      <c r="EB161" s="200"/>
      <c r="EC161" s="200"/>
      <c r="ED161" s="200"/>
      <c r="EE161" s="200"/>
      <c r="EF161" s="200"/>
      <c r="EG161" s="200"/>
      <c r="EH161" s="200"/>
      <c r="EI161" s="200"/>
      <c r="EJ161" s="200"/>
      <c r="EK161" s="200"/>
      <c r="EL161" s="200"/>
      <c r="EM161" s="200"/>
      <c r="EN161" s="200"/>
      <c r="EO161" s="200"/>
      <c r="EP161" s="200"/>
      <c r="EQ161" s="200"/>
      <c r="ER161" s="200"/>
      <c r="ES161" s="200"/>
      <c r="ET161" s="200"/>
      <c r="EU161" s="200"/>
      <c r="EV161" s="200"/>
      <c r="EW161" s="200"/>
      <c r="EX161" s="200"/>
      <c r="EY161" s="200"/>
      <c r="EZ161" s="200"/>
      <c r="FA161" s="200"/>
      <c r="FB161" s="200"/>
      <c r="FC161" s="200"/>
      <c r="FD161" s="200"/>
      <c r="FE161" s="200"/>
      <c r="FF161" s="200"/>
      <c r="FG161" s="200"/>
      <c r="FH161" s="200"/>
      <c r="FI161" s="200"/>
      <c r="FJ161" s="200"/>
      <c r="FK161" s="200"/>
      <c r="FL161" s="200"/>
      <c r="FM161" s="200"/>
      <c r="FN161" s="200"/>
      <c r="FO161" s="200"/>
      <c r="FP161" s="200"/>
      <c r="FQ161" s="200"/>
      <c r="FR161" s="200"/>
      <c r="FS161" s="200"/>
      <c r="FT161" s="200"/>
      <c r="FU161" s="200"/>
      <c r="FV161" s="200"/>
      <c r="FW161" s="200"/>
      <c r="FX161" s="200"/>
      <c r="FY161" s="200"/>
      <c r="FZ161" s="200"/>
      <c r="GA161" s="200"/>
      <c r="GB161" s="200"/>
      <c r="GC161" s="200"/>
      <c r="GD161" s="200"/>
      <c r="GE161" s="200"/>
      <c r="GF161" s="200"/>
      <c r="GG161" s="200"/>
      <c r="GH161" s="200"/>
      <c r="GI161" s="200"/>
      <c r="GJ161" s="200"/>
      <c r="GK161" s="200"/>
      <c r="GL161" s="200"/>
      <c r="GM161" s="200"/>
      <c r="GN161" s="200"/>
      <c r="GO161" s="200"/>
      <c r="GP161" s="200"/>
      <c r="GQ161" s="200"/>
      <c r="GR161" s="200"/>
      <c r="GS161" s="200"/>
      <c r="GT161" s="200"/>
      <c r="GU161" s="200"/>
      <c r="GV161" s="200"/>
      <c r="GW161" s="200"/>
      <c r="GX161" s="200"/>
      <c r="GY161" s="200"/>
      <c r="GZ161" s="200"/>
      <c r="HA161" s="200"/>
      <c r="HB161" s="200"/>
      <c r="HC161" s="200"/>
      <c r="HD161" s="200"/>
      <c r="HE161" s="200"/>
      <c r="HF161" s="200"/>
      <c r="HG161" s="200"/>
      <c r="HH161" s="200"/>
      <c r="HI161" s="200"/>
      <c r="HJ161" s="200"/>
      <c r="HK161" s="200"/>
      <c r="HL161" s="200"/>
      <c r="HM161" s="200"/>
      <c r="HN161" s="200"/>
      <c r="HO161" s="200"/>
      <c r="HP161" s="200"/>
      <c r="HQ161" s="200"/>
      <c r="HR161" s="200"/>
      <c r="HS161" s="200"/>
      <c r="HT161" s="200"/>
      <c r="HU161" s="200"/>
      <c r="HV161" s="200"/>
      <c r="HW161" s="200"/>
      <c r="HX161" s="200"/>
      <c r="HY161" s="200"/>
      <c r="HZ161" s="200"/>
      <c r="IA161" s="200"/>
      <c r="IB161" s="200"/>
      <c r="IC161" s="200"/>
      <c r="ID161" s="200"/>
      <c r="IE161" s="200"/>
      <c r="IF161" s="200"/>
      <c r="IG161" s="200"/>
      <c r="IH161" s="200"/>
      <c r="II161" s="200"/>
      <c r="IJ161" s="200"/>
      <c r="IK161" s="200"/>
      <c r="IL161" s="200"/>
      <c r="IM161" s="200"/>
      <c r="IN161" s="200"/>
      <c r="IO161" s="200"/>
      <c r="IP161" s="200"/>
      <c r="IQ161" s="200"/>
      <c r="IR161" s="200"/>
      <c r="IS161" s="200"/>
      <c r="IT161" s="200"/>
      <c r="IU161" s="201"/>
      <c r="IV161" s="201"/>
    </row>
    <row r="162" s="10" customFormat="1" ht="15.95" customHeight="1" spans="1:256">
      <c r="A162" s="199">
        <v>48</v>
      </c>
      <c r="B162" s="20" t="s">
        <v>2179</v>
      </c>
      <c r="C162" s="199" t="s">
        <v>2180</v>
      </c>
      <c r="D162" s="199">
        <v>4048</v>
      </c>
      <c r="E162" s="199">
        <f>'05版台时'!Y263</f>
        <v>32.6728642511832</v>
      </c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200"/>
      <c r="BE162" s="200"/>
      <c r="BF162" s="200"/>
      <c r="BG162" s="200"/>
      <c r="BH162" s="200"/>
      <c r="BI162" s="200"/>
      <c r="BJ162" s="200"/>
      <c r="BK162" s="200"/>
      <c r="BL162" s="200"/>
      <c r="BM162" s="200"/>
      <c r="BN162" s="200"/>
      <c r="BO162" s="200"/>
      <c r="BP162" s="200"/>
      <c r="BQ162" s="200"/>
      <c r="BR162" s="200"/>
      <c r="BS162" s="200"/>
      <c r="BT162" s="200"/>
      <c r="BU162" s="200"/>
      <c r="BV162" s="200"/>
      <c r="BW162" s="200"/>
      <c r="BX162" s="200"/>
      <c r="BY162" s="200"/>
      <c r="BZ162" s="200"/>
      <c r="CA162" s="200"/>
      <c r="CB162" s="200"/>
      <c r="CC162" s="200"/>
      <c r="CD162" s="200"/>
      <c r="CE162" s="200"/>
      <c r="CF162" s="200"/>
      <c r="CG162" s="200"/>
      <c r="CH162" s="200"/>
      <c r="CI162" s="200"/>
      <c r="CJ162" s="200"/>
      <c r="CK162" s="200"/>
      <c r="CL162" s="200"/>
      <c r="CM162" s="200"/>
      <c r="CN162" s="200"/>
      <c r="CO162" s="200"/>
      <c r="CP162" s="200"/>
      <c r="CQ162" s="200"/>
      <c r="CR162" s="200"/>
      <c r="CS162" s="200"/>
      <c r="CT162" s="200"/>
      <c r="CU162" s="200"/>
      <c r="CV162" s="200"/>
      <c r="CW162" s="200"/>
      <c r="CX162" s="200"/>
      <c r="CY162" s="200"/>
      <c r="CZ162" s="200"/>
      <c r="DA162" s="200"/>
      <c r="DB162" s="200"/>
      <c r="DC162" s="200"/>
      <c r="DD162" s="200"/>
      <c r="DE162" s="200"/>
      <c r="DF162" s="200"/>
      <c r="DG162" s="200"/>
      <c r="DH162" s="200"/>
      <c r="DI162" s="200"/>
      <c r="DJ162" s="200"/>
      <c r="DK162" s="200"/>
      <c r="DL162" s="200"/>
      <c r="DM162" s="200"/>
      <c r="DN162" s="200"/>
      <c r="DO162" s="200"/>
      <c r="DP162" s="200"/>
      <c r="DQ162" s="200"/>
      <c r="DR162" s="200"/>
      <c r="DS162" s="200"/>
      <c r="DT162" s="200"/>
      <c r="DU162" s="200"/>
      <c r="DV162" s="200"/>
      <c r="DW162" s="200"/>
      <c r="DX162" s="200"/>
      <c r="DY162" s="200"/>
      <c r="DZ162" s="200"/>
      <c r="EA162" s="200"/>
      <c r="EB162" s="200"/>
      <c r="EC162" s="200"/>
      <c r="ED162" s="200"/>
      <c r="EE162" s="200"/>
      <c r="EF162" s="200"/>
      <c r="EG162" s="200"/>
      <c r="EH162" s="200"/>
      <c r="EI162" s="200"/>
      <c r="EJ162" s="200"/>
      <c r="EK162" s="200"/>
      <c r="EL162" s="200"/>
      <c r="EM162" s="200"/>
      <c r="EN162" s="200"/>
      <c r="EO162" s="200"/>
      <c r="EP162" s="200"/>
      <c r="EQ162" s="200"/>
      <c r="ER162" s="200"/>
      <c r="ES162" s="200"/>
      <c r="ET162" s="200"/>
      <c r="EU162" s="200"/>
      <c r="EV162" s="200"/>
      <c r="EW162" s="200"/>
      <c r="EX162" s="200"/>
      <c r="EY162" s="200"/>
      <c r="EZ162" s="200"/>
      <c r="FA162" s="200"/>
      <c r="FB162" s="200"/>
      <c r="FC162" s="200"/>
      <c r="FD162" s="200"/>
      <c r="FE162" s="200"/>
      <c r="FF162" s="200"/>
      <c r="FG162" s="200"/>
      <c r="FH162" s="200"/>
      <c r="FI162" s="200"/>
      <c r="FJ162" s="200"/>
      <c r="FK162" s="200"/>
      <c r="FL162" s="200"/>
      <c r="FM162" s="200"/>
      <c r="FN162" s="200"/>
      <c r="FO162" s="200"/>
      <c r="FP162" s="200"/>
      <c r="FQ162" s="200"/>
      <c r="FR162" s="200"/>
      <c r="FS162" s="200"/>
      <c r="FT162" s="200"/>
      <c r="FU162" s="200"/>
      <c r="FV162" s="200"/>
      <c r="FW162" s="200"/>
      <c r="FX162" s="200"/>
      <c r="FY162" s="200"/>
      <c r="FZ162" s="200"/>
      <c r="GA162" s="200"/>
      <c r="GB162" s="200"/>
      <c r="GC162" s="200"/>
      <c r="GD162" s="200"/>
      <c r="GE162" s="200"/>
      <c r="GF162" s="200"/>
      <c r="GG162" s="200"/>
      <c r="GH162" s="200"/>
      <c r="GI162" s="200"/>
      <c r="GJ162" s="200"/>
      <c r="GK162" s="200"/>
      <c r="GL162" s="200"/>
      <c r="GM162" s="200"/>
      <c r="GN162" s="200"/>
      <c r="GO162" s="200"/>
      <c r="GP162" s="200"/>
      <c r="GQ162" s="200"/>
      <c r="GR162" s="200"/>
      <c r="GS162" s="200"/>
      <c r="GT162" s="200"/>
      <c r="GU162" s="200"/>
      <c r="GV162" s="200"/>
      <c r="GW162" s="200"/>
      <c r="GX162" s="200"/>
      <c r="GY162" s="200"/>
      <c r="GZ162" s="200"/>
      <c r="HA162" s="200"/>
      <c r="HB162" s="200"/>
      <c r="HC162" s="200"/>
      <c r="HD162" s="200"/>
      <c r="HE162" s="200"/>
      <c r="HF162" s="200"/>
      <c r="HG162" s="200"/>
      <c r="HH162" s="200"/>
      <c r="HI162" s="200"/>
      <c r="HJ162" s="200"/>
      <c r="HK162" s="200"/>
      <c r="HL162" s="200"/>
      <c r="HM162" s="200"/>
      <c r="HN162" s="200"/>
      <c r="HO162" s="200"/>
      <c r="HP162" s="200"/>
      <c r="HQ162" s="200"/>
      <c r="HR162" s="200"/>
      <c r="HS162" s="200"/>
      <c r="HT162" s="200"/>
      <c r="HU162" s="200"/>
      <c r="HV162" s="200"/>
      <c r="HW162" s="200"/>
      <c r="HX162" s="200"/>
      <c r="HY162" s="200"/>
      <c r="HZ162" s="200"/>
      <c r="IA162" s="200"/>
      <c r="IB162" s="200"/>
      <c r="IC162" s="200"/>
      <c r="ID162" s="200"/>
      <c r="IE162" s="200"/>
      <c r="IF162" s="200"/>
      <c r="IG162" s="200"/>
      <c r="IH162" s="200"/>
      <c r="II162" s="200"/>
      <c r="IJ162" s="200"/>
      <c r="IK162" s="200"/>
      <c r="IL162" s="200"/>
      <c r="IM162" s="200"/>
      <c r="IN162" s="200"/>
      <c r="IO162" s="200"/>
      <c r="IP162" s="200"/>
      <c r="IQ162" s="200"/>
      <c r="IR162" s="200"/>
      <c r="IS162" s="200"/>
      <c r="IT162" s="200"/>
      <c r="IU162" s="201"/>
      <c r="IV162" s="201"/>
    </row>
    <row r="163" s="10" customFormat="1" ht="15.95" customHeight="1" spans="1:256">
      <c r="A163" s="199">
        <v>49</v>
      </c>
      <c r="B163" s="20" t="s">
        <v>2179</v>
      </c>
      <c r="C163" s="199" t="s">
        <v>2181</v>
      </c>
      <c r="D163" s="199">
        <v>4049</v>
      </c>
      <c r="E163" s="199">
        <f>'05版台时'!Z263</f>
        <v>37.130036169811</v>
      </c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  <c r="AK163" s="200"/>
      <c r="AL163" s="200"/>
      <c r="AM163" s="200"/>
      <c r="AN163" s="200"/>
      <c r="AO163" s="200"/>
      <c r="AP163" s="200"/>
      <c r="AQ163" s="200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  <c r="BD163" s="200"/>
      <c r="BE163" s="200"/>
      <c r="BF163" s="200"/>
      <c r="BG163" s="200"/>
      <c r="BH163" s="200"/>
      <c r="BI163" s="200"/>
      <c r="BJ163" s="200"/>
      <c r="BK163" s="200"/>
      <c r="BL163" s="200"/>
      <c r="BM163" s="200"/>
      <c r="BN163" s="200"/>
      <c r="BO163" s="200"/>
      <c r="BP163" s="200"/>
      <c r="BQ163" s="200"/>
      <c r="BR163" s="200"/>
      <c r="BS163" s="200"/>
      <c r="BT163" s="200"/>
      <c r="BU163" s="200"/>
      <c r="BV163" s="200"/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0"/>
      <c r="CN163" s="200"/>
      <c r="CO163" s="200"/>
      <c r="CP163" s="200"/>
      <c r="CQ163" s="200"/>
      <c r="CR163" s="200"/>
      <c r="CS163" s="200"/>
      <c r="CT163" s="200"/>
      <c r="CU163" s="200"/>
      <c r="CV163" s="200"/>
      <c r="CW163" s="200"/>
      <c r="CX163" s="200"/>
      <c r="CY163" s="200"/>
      <c r="CZ163" s="200"/>
      <c r="DA163" s="200"/>
      <c r="DB163" s="200"/>
      <c r="DC163" s="200"/>
      <c r="DD163" s="200"/>
      <c r="DE163" s="200"/>
      <c r="DF163" s="200"/>
      <c r="DG163" s="200"/>
      <c r="DH163" s="200"/>
      <c r="DI163" s="200"/>
      <c r="DJ163" s="200"/>
      <c r="DK163" s="200"/>
      <c r="DL163" s="200"/>
      <c r="DM163" s="200"/>
      <c r="DN163" s="200"/>
      <c r="DO163" s="200"/>
      <c r="DP163" s="200"/>
      <c r="DQ163" s="200"/>
      <c r="DR163" s="200"/>
      <c r="DS163" s="200"/>
      <c r="DT163" s="200"/>
      <c r="DU163" s="200"/>
      <c r="DV163" s="200"/>
      <c r="DW163" s="200"/>
      <c r="DX163" s="200"/>
      <c r="DY163" s="200"/>
      <c r="DZ163" s="200"/>
      <c r="EA163" s="200"/>
      <c r="EB163" s="200"/>
      <c r="EC163" s="200"/>
      <c r="ED163" s="200"/>
      <c r="EE163" s="200"/>
      <c r="EF163" s="200"/>
      <c r="EG163" s="200"/>
      <c r="EH163" s="200"/>
      <c r="EI163" s="200"/>
      <c r="EJ163" s="200"/>
      <c r="EK163" s="200"/>
      <c r="EL163" s="200"/>
      <c r="EM163" s="200"/>
      <c r="EN163" s="200"/>
      <c r="EO163" s="200"/>
      <c r="EP163" s="200"/>
      <c r="EQ163" s="200"/>
      <c r="ER163" s="200"/>
      <c r="ES163" s="200"/>
      <c r="ET163" s="200"/>
      <c r="EU163" s="200"/>
      <c r="EV163" s="200"/>
      <c r="EW163" s="200"/>
      <c r="EX163" s="200"/>
      <c r="EY163" s="200"/>
      <c r="EZ163" s="200"/>
      <c r="FA163" s="200"/>
      <c r="FB163" s="200"/>
      <c r="FC163" s="200"/>
      <c r="FD163" s="200"/>
      <c r="FE163" s="200"/>
      <c r="FF163" s="200"/>
      <c r="FG163" s="200"/>
      <c r="FH163" s="200"/>
      <c r="FI163" s="200"/>
      <c r="FJ163" s="200"/>
      <c r="FK163" s="200"/>
      <c r="FL163" s="200"/>
      <c r="FM163" s="200"/>
      <c r="FN163" s="200"/>
      <c r="FO163" s="200"/>
      <c r="FP163" s="200"/>
      <c r="FQ163" s="200"/>
      <c r="FR163" s="200"/>
      <c r="FS163" s="200"/>
      <c r="FT163" s="200"/>
      <c r="FU163" s="200"/>
      <c r="FV163" s="200"/>
      <c r="FW163" s="200"/>
      <c r="FX163" s="200"/>
      <c r="FY163" s="200"/>
      <c r="FZ163" s="200"/>
      <c r="GA163" s="200"/>
      <c r="GB163" s="200"/>
      <c r="GC163" s="200"/>
      <c r="GD163" s="200"/>
      <c r="GE163" s="200"/>
      <c r="GF163" s="200"/>
      <c r="GG163" s="200"/>
      <c r="GH163" s="200"/>
      <c r="GI163" s="200"/>
      <c r="GJ163" s="200"/>
      <c r="GK163" s="200"/>
      <c r="GL163" s="200"/>
      <c r="GM163" s="200"/>
      <c r="GN163" s="200"/>
      <c r="GO163" s="200"/>
      <c r="GP163" s="200"/>
      <c r="GQ163" s="200"/>
      <c r="GR163" s="200"/>
      <c r="GS163" s="200"/>
      <c r="GT163" s="200"/>
      <c r="GU163" s="200"/>
      <c r="GV163" s="200"/>
      <c r="GW163" s="200"/>
      <c r="GX163" s="200"/>
      <c r="GY163" s="200"/>
      <c r="GZ163" s="200"/>
      <c r="HA163" s="200"/>
      <c r="HB163" s="200"/>
      <c r="HC163" s="200"/>
      <c r="HD163" s="200"/>
      <c r="HE163" s="200"/>
      <c r="HF163" s="200"/>
      <c r="HG163" s="200"/>
      <c r="HH163" s="200"/>
      <c r="HI163" s="200"/>
      <c r="HJ163" s="200"/>
      <c r="HK163" s="200"/>
      <c r="HL163" s="200"/>
      <c r="HM163" s="200"/>
      <c r="HN163" s="200"/>
      <c r="HO163" s="200"/>
      <c r="HP163" s="200"/>
      <c r="HQ163" s="200"/>
      <c r="HR163" s="200"/>
      <c r="HS163" s="200"/>
      <c r="HT163" s="200"/>
      <c r="HU163" s="200"/>
      <c r="HV163" s="200"/>
      <c r="HW163" s="200"/>
      <c r="HX163" s="200"/>
      <c r="HY163" s="200"/>
      <c r="HZ163" s="200"/>
      <c r="IA163" s="200"/>
      <c r="IB163" s="200"/>
      <c r="IC163" s="200"/>
      <c r="ID163" s="200"/>
      <c r="IE163" s="200"/>
      <c r="IF163" s="200"/>
      <c r="IG163" s="200"/>
      <c r="IH163" s="200"/>
      <c r="II163" s="200"/>
      <c r="IJ163" s="200"/>
      <c r="IK163" s="200"/>
      <c r="IL163" s="200"/>
      <c r="IM163" s="200"/>
      <c r="IN163" s="200"/>
      <c r="IO163" s="200"/>
      <c r="IP163" s="200"/>
      <c r="IQ163" s="200"/>
      <c r="IR163" s="200"/>
      <c r="IS163" s="200"/>
      <c r="IT163" s="200"/>
      <c r="IU163" s="201"/>
      <c r="IV163" s="201"/>
    </row>
    <row r="164" s="10" customFormat="1" ht="15.95" customHeight="1" spans="1:256">
      <c r="A164" s="199">
        <v>50</v>
      </c>
      <c r="B164" s="20" t="s">
        <v>2179</v>
      </c>
      <c r="C164" s="199" t="s">
        <v>2182</v>
      </c>
      <c r="D164" s="199">
        <v>4050</v>
      </c>
      <c r="E164" s="199">
        <f>'05版台时'!AA263</f>
        <v>44.6448235651042</v>
      </c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200"/>
      <c r="BD164" s="200"/>
      <c r="BE164" s="200"/>
      <c r="BF164" s="200"/>
      <c r="BG164" s="200"/>
      <c r="BH164" s="200"/>
      <c r="BI164" s="200"/>
      <c r="BJ164" s="200"/>
      <c r="BK164" s="200"/>
      <c r="BL164" s="200"/>
      <c r="BM164" s="200"/>
      <c r="BN164" s="200"/>
      <c r="BO164" s="200"/>
      <c r="BP164" s="200"/>
      <c r="BQ164" s="200"/>
      <c r="BR164" s="200"/>
      <c r="BS164" s="200"/>
      <c r="BT164" s="200"/>
      <c r="BU164" s="200"/>
      <c r="BV164" s="200"/>
      <c r="BW164" s="200"/>
      <c r="BX164" s="200"/>
      <c r="BY164" s="200"/>
      <c r="BZ164" s="200"/>
      <c r="CA164" s="200"/>
      <c r="CB164" s="200"/>
      <c r="CC164" s="200"/>
      <c r="CD164" s="200"/>
      <c r="CE164" s="200"/>
      <c r="CF164" s="200"/>
      <c r="CG164" s="200"/>
      <c r="CH164" s="200"/>
      <c r="CI164" s="200"/>
      <c r="CJ164" s="200"/>
      <c r="CK164" s="200"/>
      <c r="CL164" s="200"/>
      <c r="CM164" s="200"/>
      <c r="CN164" s="200"/>
      <c r="CO164" s="200"/>
      <c r="CP164" s="200"/>
      <c r="CQ164" s="200"/>
      <c r="CR164" s="200"/>
      <c r="CS164" s="200"/>
      <c r="CT164" s="200"/>
      <c r="CU164" s="200"/>
      <c r="CV164" s="200"/>
      <c r="CW164" s="200"/>
      <c r="CX164" s="200"/>
      <c r="CY164" s="200"/>
      <c r="CZ164" s="200"/>
      <c r="DA164" s="200"/>
      <c r="DB164" s="200"/>
      <c r="DC164" s="200"/>
      <c r="DD164" s="200"/>
      <c r="DE164" s="200"/>
      <c r="DF164" s="200"/>
      <c r="DG164" s="200"/>
      <c r="DH164" s="200"/>
      <c r="DI164" s="200"/>
      <c r="DJ164" s="200"/>
      <c r="DK164" s="200"/>
      <c r="DL164" s="200"/>
      <c r="DM164" s="200"/>
      <c r="DN164" s="200"/>
      <c r="DO164" s="200"/>
      <c r="DP164" s="200"/>
      <c r="DQ164" s="200"/>
      <c r="DR164" s="200"/>
      <c r="DS164" s="200"/>
      <c r="DT164" s="200"/>
      <c r="DU164" s="200"/>
      <c r="DV164" s="200"/>
      <c r="DW164" s="200"/>
      <c r="DX164" s="200"/>
      <c r="DY164" s="200"/>
      <c r="DZ164" s="200"/>
      <c r="EA164" s="200"/>
      <c r="EB164" s="200"/>
      <c r="EC164" s="200"/>
      <c r="ED164" s="200"/>
      <c r="EE164" s="200"/>
      <c r="EF164" s="200"/>
      <c r="EG164" s="200"/>
      <c r="EH164" s="200"/>
      <c r="EI164" s="200"/>
      <c r="EJ164" s="200"/>
      <c r="EK164" s="200"/>
      <c r="EL164" s="200"/>
      <c r="EM164" s="200"/>
      <c r="EN164" s="200"/>
      <c r="EO164" s="200"/>
      <c r="EP164" s="200"/>
      <c r="EQ164" s="200"/>
      <c r="ER164" s="200"/>
      <c r="ES164" s="200"/>
      <c r="ET164" s="200"/>
      <c r="EU164" s="200"/>
      <c r="EV164" s="200"/>
      <c r="EW164" s="200"/>
      <c r="EX164" s="200"/>
      <c r="EY164" s="200"/>
      <c r="EZ164" s="200"/>
      <c r="FA164" s="200"/>
      <c r="FB164" s="200"/>
      <c r="FC164" s="200"/>
      <c r="FD164" s="200"/>
      <c r="FE164" s="200"/>
      <c r="FF164" s="200"/>
      <c r="FG164" s="200"/>
      <c r="FH164" s="200"/>
      <c r="FI164" s="200"/>
      <c r="FJ164" s="200"/>
      <c r="FK164" s="200"/>
      <c r="FL164" s="200"/>
      <c r="FM164" s="200"/>
      <c r="FN164" s="200"/>
      <c r="FO164" s="200"/>
      <c r="FP164" s="200"/>
      <c r="FQ164" s="200"/>
      <c r="FR164" s="200"/>
      <c r="FS164" s="200"/>
      <c r="FT164" s="200"/>
      <c r="FU164" s="200"/>
      <c r="FV164" s="200"/>
      <c r="FW164" s="200"/>
      <c r="FX164" s="200"/>
      <c r="FY164" s="200"/>
      <c r="FZ164" s="200"/>
      <c r="GA164" s="200"/>
      <c r="GB164" s="200"/>
      <c r="GC164" s="200"/>
      <c r="GD164" s="200"/>
      <c r="GE164" s="200"/>
      <c r="GF164" s="200"/>
      <c r="GG164" s="200"/>
      <c r="GH164" s="200"/>
      <c r="GI164" s="200"/>
      <c r="GJ164" s="200"/>
      <c r="GK164" s="200"/>
      <c r="GL164" s="200"/>
      <c r="GM164" s="200"/>
      <c r="GN164" s="200"/>
      <c r="GO164" s="200"/>
      <c r="GP164" s="200"/>
      <c r="GQ164" s="200"/>
      <c r="GR164" s="200"/>
      <c r="GS164" s="200"/>
      <c r="GT164" s="200"/>
      <c r="GU164" s="200"/>
      <c r="GV164" s="200"/>
      <c r="GW164" s="200"/>
      <c r="GX164" s="200"/>
      <c r="GY164" s="200"/>
      <c r="GZ164" s="200"/>
      <c r="HA164" s="200"/>
      <c r="HB164" s="200"/>
      <c r="HC164" s="200"/>
      <c r="HD164" s="200"/>
      <c r="HE164" s="200"/>
      <c r="HF164" s="200"/>
      <c r="HG164" s="200"/>
      <c r="HH164" s="200"/>
      <c r="HI164" s="200"/>
      <c r="HJ164" s="200"/>
      <c r="HK164" s="200"/>
      <c r="HL164" s="200"/>
      <c r="HM164" s="200"/>
      <c r="HN164" s="200"/>
      <c r="HO164" s="200"/>
      <c r="HP164" s="200"/>
      <c r="HQ164" s="200"/>
      <c r="HR164" s="200"/>
      <c r="HS164" s="200"/>
      <c r="HT164" s="200"/>
      <c r="HU164" s="200"/>
      <c r="HV164" s="200"/>
      <c r="HW164" s="200"/>
      <c r="HX164" s="200"/>
      <c r="HY164" s="200"/>
      <c r="HZ164" s="200"/>
      <c r="IA164" s="200"/>
      <c r="IB164" s="200"/>
      <c r="IC164" s="200"/>
      <c r="ID164" s="200"/>
      <c r="IE164" s="200"/>
      <c r="IF164" s="200"/>
      <c r="IG164" s="200"/>
      <c r="IH164" s="200"/>
      <c r="II164" s="200"/>
      <c r="IJ164" s="200"/>
      <c r="IK164" s="200"/>
      <c r="IL164" s="200"/>
      <c r="IM164" s="200"/>
      <c r="IN164" s="200"/>
      <c r="IO164" s="200"/>
      <c r="IP164" s="200"/>
      <c r="IQ164" s="200"/>
      <c r="IR164" s="200"/>
      <c r="IS164" s="200"/>
      <c r="IT164" s="200"/>
      <c r="IU164" s="201"/>
      <c r="IV164" s="201"/>
    </row>
    <row r="165" s="10" customFormat="1" ht="15.95" customHeight="1" spans="1:256">
      <c r="A165" s="199">
        <v>51</v>
      </c>
      <c r="B165" s="20" t="s">
        <v>2183</v>
      </c>
      <c r="C165" s="199" t="s">
        <v>1575</v>
      </c>
      <c r="D165" s="199">
        <v>4051</v>
      </c>
      <c r="E165" s="199">
        <f>'05版台时'!D296</f>
        <v>0.0975668129238133</v>
      </c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  <c r="AK165" s="200"/>
      <c r="AL165" s="200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200"/>
      <c r="BD165" s="200"/>
      <c r="BE165" s="200"/>
      <c r="BF165" s="200"/>
      <c r="BG165" s="200"/>
      <c r="BH165" s="200"/>
      <c r="BI165" s="200"/>
      <c r="BJ165" s="200"/>
      <c r="BK165" s="200"/>
      <c r="BL165" s="200"/>
      <c r="BM165" s="200"/>
      <c r="BN165" s="200"/>
      <c r="BO165" s="200"/>
      <c r="BP165" s="200"/>
      <c r="BQ165" s="200"/>
      <c r="BR165" s="200"/>
      <c r="BS165" s="200"/>
      <c r="BT165" s="200"/>
      <c r="BU165" s="200"/>
      <c r="BV165" s="200"/>
      <c r="BW165" s="200"/>
      <c r="BX165" s="200"/>
      <c r="BY165" s="200"/>
      <c r="BZ165" s="200"/>
      <c r="CA165" s="200"/>
      <c r="CB165" s="200"/>
      <c r="CC165" s="200"/>
      <c r="CD165" s="200"/>
      <c r="CE165" s="200"/>
      <c r="CF165" s="200"/>
      <c r="CG165" s="200"/>
      <c r="CH165" s="200"/>
      <c r="CI165" s="200"/>
      <c r="CJ165" s="200"/>
      <c r="CK165" s="200"/>
      <c r="CL165" s="200"/>
      <c r="CM165" s="200"/>
      <c r="CN165" s="200"/>
      <c r="CO165" s="200"/>
      <c r="CP165" s="200"/>
      <c r="CQ165" s="200"/>
      <c r="CR165" s="200"/>
      <c r="CS165" s="200"/>
      <c r="CT165" s="200"/>
      <c r="CU165" s="200"/>
      <c r="CV165" s="200"/>
      <c r="CW165" s="200"/>
      <c r="CX165" s="200"/>
      <c r="CY165" s="200"/>
      <c r="CZ165" s="200"/>
      <c r="DA165" s="200"/>
      <c r="DB165" s="200"/>
      <c r="DC165" s="200"/>
      <c r="DD165" s="200"/>
      <c r="DE165" s="200"/>
      <c r="DF165" s="200"/>
      <c r="DG165" s="200"/>
      <c r="DH165" s="200"/>
      <c r="DI165" s="200"/>
      <c r="DJ165" s="200"/>
      <c r="DK165" s="200"/>
      <c r="DL165" s="200"/>
      <c r="DM165" s="200"/>
      <c r="DN165" s="200"/>
      <c r="DO165" s="200"/>
      <c r="DP165" s="200"/>
      <c r="DQ165" s="200"/>
      <c r="DR165" s="200"/>
      <c r="DS165" s="200"/>
      <c r="DT165" s="200"/>
      <c r="DU165" s="200"/>
      <c r="DV165" s="200"/>
      <c r="DW165" s="200"/>
      <c r="DX165" s="200"/>
      <c r="DY165" s="200"/>
      <c r="DZ165" s="200"/>
      <c r="EA165" s="200"/>
      <c r="EB165" s="200"/>
      <c r="EC165" s="200"/>
      <c r="ED165" s="200"/>
      <c r="EE165" s="200"/>
      <c r="EF165" s="200"/>
      <c r="EG165" s="200"/>
      <c r="EH165" s="200"/>
      <c r="EI165" s="200"/>
      <c r="EJ165" s="200"/>
      <c r="EK165" s="200"/>
      <c r="EL165" s="200"/>
      <c r="EM165" s="200"/>
      <c r="EN165" s="200"/>
      <c r="EO165" s="200"/>
      <c r="EP165" s="200"/>
      <c r="EQ165" s="200"/>
      <c r="ER165" s="200"/>
      <c r="ES165" s="200"/>
      <c r="ET165" s="200"/>
      <c r="EU165" s="200"/>
      <c r="EV165" s="200"/>
      <c r="EW165" s="200"/>
      <c r="EX165" s="200"/>
      <c r="EY165" s="200"/>
      <c r="EZ165" s="200"/>
      <c r="FA165" s="200"/>
      <c r="FB165" s="200"/>
      <c r="FC165" s="200"/>
      <c r="FD165" s="200"/>
      <c r="FE165" s="200"/>
      <c r="FF165" s="200"/>
      <c r="FG165" s="200"/>
      <c r="FH165" s="200"/>
      <c r="FI165" s="200"/>
      <c r="FJ165" s="200"/>
      <c r="FK165" s="200"/>
      <c r="FL165" s="200"/>
      <c r="FM165" s="200"/>
      <c r="FN165" s="200"/>
      <c r="FO165" s="200"/>
      <c r="FP165" s="200"/>
      <c r="FQ165" s="200"/>
      <c r="FR165" s="200"/>
      <c r="FS165" s="200"/>
      <c r="FT165" s="200"/>
      <c r="FU165" s="200"/>
      <c r="FV165" s="200"/>
      <c r="FW165" s="200"/>
      <c r="FX165" s="200"/>
      <c r="FY165" s="200"/>
      <c r="FZ165" s="200"/>
      <c r="GA165" s="200"/>
      <c r="GB165" s="200"/>
      <c r="GC165" s="200"/>
      <c r="GD165" s="200"/>
      <c r="GE165" s="200"/>
      <c r="GF165" s="200"/>
      <c r="GG165" s="200"/>
      <c r="GH165" s="200"/>
      <c r="GI165" s="200"/>
      <c r="GJ165" s="200"/>
      <c r="GK165" s="200"/>
      <c r="GL165" s="200"/>
      <c r="GM165" s="200"/>
      <c r="GN165" s="200"/>
      <c r="GO165" s="200"/>
      <c r="GP165" s="200"/>
      <c r="GQ165" s="200"/>
      <c r="GR165" s="200"/>
      <c r="GS165" s="200"/>
      <c r="GT165" s="200"/>
      <c r="GU165" s="200"/>
      <c r="GV165" s="200"/>
      <c r="GW165" s="200"/>
      <c r="GX165" s="200"/>
      <c r="GY165" s="200"/>
      <c r="GZ165" s="200"/>
      <c r="HA165" s="200"/>
      <c r="HB165" s="200"/>
      <c r="HC165" s="200"/>
      <c r="HD165" s="200"/>
      <c r="HE165" s="200"/>
      <c r="HF165" s="200"/>
      <c r="HG165" s="200"/>
      <c r="HH165" s="200"/>
      <c r="HI165" s="200"/>
      <c r="HJ165" s="200"/>
      <c r="HK165" s="200"/>
      <c r="HL165" s="200"/>
      <c r="HM165" s="200"/>
      <c r="HN165" s="200"/>
      <c r="HO165" s="200"/>
      <c r="HP165" s="200"/>
      <c r="HQ165" s="200"/>
      <c r="HR165" s="200"/>
      <c r="HS165" s="200"/>
      <c r="HT165" s="200"/>
      <c r="HU165" s="200"/>
      <c r="HV165" s="200"/>
      <c r="HW165" s="200"/>
      <c r="HX165" s="200"/>
      <c r="HY165" s="200"/>
      <c r="HZ165" s="200"/>
      <c r="IA165" s="200"/>
      <c r="IB165" s="200"/>
      <c r="IC165" s="200"/>
      <c r="ID165" s="200"/>
      <c r="IE165" s="200"/>
      <c r="IF165" s="200"/>
      <c r="IG165" s="200"/>
      <c r="IH165" s="200"/>
      <c r="II165" s="200"/>
      <c r="IJ165" s="200"/>
      <c r="IK165" s="200"/>
      <c r="IL165" s="200"/>
      <c r="IM165" s="200"/>
      <c r="IN165" s="200"/>
      <c r="IO165" s="200"/>
      <c r="IP165" s="200"/>
      <c r="IQ165" s="200"/>
      <c r="IR165" s="200"/>
      <c r="IS165" s="200"/>
      <c r="IT165" s="200"/>
      <c r="IU165" s="201"/>
      <c r="IV165" s="201"/>
    </row>
    <row r="166" s="10" customFormat="1" ht="15.95" customHeight="1" spans="1:256">
      <c r="A166" s="199">
        <v>52</v>
      </c>
      <c r="B166" s="20" t="s">
        <v>2183</v>
      </c>
      <c r="C166" s="199" t="s">
        <v>2180</v>
      </c>
      <c r="D166" s="199">
        <v>4052</v>
      </c>
      <c r="E166" s="199">
        <f>'05版台时'!E296</f>
        <v>0.158915037893897</v>
      </c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  <c r="AK166" s="200"/>
      <c r="AL166" s="200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200"/>
      <c r="BB166" s="200"/>
      <c r="BC166" s="200"/>
      <c r="BD166" s="200"/>
      <c r="BE166" s="200"/>
      <c r="BF166" s="200"/>
      <c r="BG166" s="200"/>
      <c r="BH166" s="200"/>
      <c r="BI166" s="200"/>
      <c r="BJ166" s="200"/>
      <c r="BK166" s="200"/>
      <c r="BL166" s="200"/>
      <c r="BM166" s="200"/>
      <c r="BN166" s="200"/>
      <c r="BO166" s="200"/>
      <c r="BP166" s="200"/>
      <c r="BQ166" s="200"/>
      <c r="BR166" s="200"/>
      <c r="BS166" s="200"/>
      <c r="BT166" s="200"/>
      <c r="BU166" s="200"/>
      <c r="BV166" s="200"/>
      <c r="BW166" s="200"/>
      <c r="BX166" s="200"/>
      <c r="BY166" s="200"/>
      <c r="BZ166" s="200"/>
      <c r="CA166" s="200"/>
      <c r="CB166" s="200"/>
      <c r="CC166" s="200"/>
      <c r="CD166" s="200"/>
      <c r="CE166" s="200"/>
      <c r="CF166" s="200"/>
      <c r="CG166" s="200"/>
      <c r="CH166" s="200"/>
      <c r="CI166" s="200"/>
      <c r="CJ166" s="200"/>
      <c r="CK166" s="200"/>
      <c r="CL166" s="200"/>
      <c r="CM166" s="200"/>
      <c r="CN166" s="200"/>
      <c r="CO166" s="200"/>
      <c r="CP166" s="200"/>
      <c r="CQ166" s="200"/>
      <c r="CR166" s="200"/>
      <c r="CS166" s="200"/>
      <c r="CT166" s="200"/>
      <c r="CU166" s="200"/>
      <c r="CV166" s="200"/>
      <c r="CW166" s="200"/>
      <c r="CX166" s="200"/>
      <c r="CY166" s="200"/>
      <c r="CZ166" s="200"/>
      <c r="DA166" s="200"/>
      <c r="DB166" s="200"/>
      <c r="DC166" s="200"/>
      <c r="DD166" s="200"/>
      <c r="DE166" s="200"/>
      <c r="DF166" s="200"/>
      <c r="DG166" s="200"/>
      <c r="DH166" s="200"/>
      <c r="DI166" s="200"/>
      <c r="DJ166" s="200"/>
      <c r="DK166" s="200"/>
      <c r="DL166" s="200"/>
      <c r="DM166" s="200"/>
      <c r="DN166" s="200"/>
      <c r="DO166" s="200"/>
      <c r="DP166" s="200"/>
      <c r="DQ166" s="200"/>
      <c r="DR166" s="200"/>
      <c r="DS166" s="200"/>
      <c r="DT166" s="200"/>
      <c r="DU166" s="200"/>
      <c r="DV166" s="200"/>
      <c r="DW166" s="200"/>
      <c r="DX166" s="200"/>
      <c r="DY166" s="200"/>
      <c r="DZ166" s="200"/>
      <c r="EA166" s="200"/>
      <c r="EB166" s="200"/>
      <c r="EC166" s="200"/>
      <c r="ED166" s="200"/>
      <c r="EE166" s="200"/>
      <c r="EF166" s="200"/>
      <c r="EG166" s="200"/>
      <c r="EH166" s="200"/>
      <c r="EI166" s="200"/>
      <c r="EJ166" s="200"/>
      <c r="EK166" s="200"/>
      <c r="EL166" s="200"/>
      <c r="EM166" s="200"/>
      <c r="EN166" s="200"/>
      <c r="EO166" s="200"/>
      <c r="EP166" s="200"/>
      <c r="EQ166" s="200"/>
      <c r="ER166" s="200"/>
      <c r="ES166" s="200"/>
      <c r="ET166" s="200"/>
      <c r="EU166" s="200"/>
      <c r="EV166" s="200"/>
      <c r="EW166" s="200"/>
      <c r="EX166" s="200"/>
      <c r="EY166" s="200"/>
      <c r="EZ166" s="200"/>
      <c r="FA166" s="200"/>
      <c r="FB166" s="200"/>
      <c r="FC166" s="200"/>
      <c r="FD166" s="200"/>
      <c r="FE166" s="200"/>
      <c r="FF166" s="200"/>
      <c r="FG166" s="200"/>
      <c r="FH166" s="200"/>
      <c r="FI166" s="200"/>
      <c r="FJ166" s="200"/>
      <c r="FK166" s="200"/>
      <c r="FL166" s="200"/>
      <c r="FM166" s="200"/>
      <c r="FN166" s="200"/>
      <c r="FO166" s="200"/>
      <c r="FP166" s="200"/>
      <c r="FQ166" s="200"/>
      <c r="FR166" s="200"/>
      <c r="FS166" s="200"/>
      <c r="FT166" s="200"/>
      <c r="FU166" s="200"/>
      <c r="FV166" s="200"/>
      <c r="FW166" s="200"/>
      <c r="FX166" s="200"/>
      <c r="FY166" s="200"/>
      <c r="FZ166" s="200"/>
      <c r="GA166" s="200"/>
      <c r="GB166" s="200"/>
      <c r="GC166" s="200"/>
      <c r="GD166" s="200"/>
      <c r="GE166" s="200"/>
      <c r="GF166" s="200"/>
      <c r="GG166" s="200"/>
      <c r="GH166" s="200"/>
      <c r="GI166" s="200"/>
      <c r="GJ166" s="200"/>
      <c r="GK166" s="200"/>
      <c r="GL166" s="200"/>
      <c r="GM166" s="200"/>
      <c r="GN166" s="200"/>
      <c r="GO166" s="200"/>
      <c r="GP166" s="200"/>
      <c r="GQ166" s="200"/>
      <c r="GR166" s="200"/>
      <c r="GS166" s="200"/>
      <c r="GT166" s="200"/>
      <c r="GU166" s="200"/>
      <c r="GV166" s="200"/>
      <c r="GW166" s="200"/>
      <c r="GX166" s="200"/>
      <c r="GY166" s="200"/>
      <c r="GZ166" s="200"/>
      <c r="HA166" s="200"/>
      <c r="HB166" s="200"/>
      <c r="HC166" s="200"/>
      <c r="HD166" s="200"/>
      <c r="HE166" s="200"/>
      <c r="HF166" s="200"/>
      <c r="HG166" s="200"/>
      <c r="HH166" s="200"/>
      <c r="HI166" s="200"/>
      <c r="HJ166" s="200"/>
      <c r="HK166" s="200"/>
      <c r="HL166" s="200"/>
      <c r="HM166" s="200"/>
      <c r="HN166" s="200"/>
      <c r="HO166" s="200"/>
      <c r="HP166" s="200"/>
      <c r="HQ166" s="200"/>
      <c r="HR166" s="200"/>
      <c r="HS166" s="200"/>
      <c r="HT166" s="200"/>
      <c r="HU166" s="200"/>
      <c r="HV166" s="200"/>
      <c r="HW166" s="200"/>
      <c r="HX166" s="200"/>
      <c r="HY166" s="200"/>
      <c r="HZ166" s="200"/>
      <c r="IA166" s="200"/>
      <c r="IB166" s="200"/>
      <c r="IC166" s="200"/>
      <c r="ID166" s="200"/>
      <c r="IE166" s="200"/>
      <c r="IF166" s="200"/>
      <c r="IG166" s="200"/>
      <c r="IH166" s="200"/>
      <c r="II166" s="200"/>
      <c r="IJ166" s="200"/>
      <c r="IK166" s="200"/>
      <c r="IL166" s="200"/>
      <c r="IM166" s="200"/>
      <c r="IN166" s="200"/>
      <c r="IO166" s="200"/>
      <c r="IP166" s="200"/>
      <c r="IQ166" s="200"/>
      <c r="IR166" s="200"/>
      <c r="IS166" s="200"/>
      <c r="IT166" s="200"/>
      <c r="IU166" s="201"/>
      <c r="IV166" s="201"/>
    </row>
    <row r="167" s="10" customFormat="1" ht="15.95" customHeight="1" spans="1:256">
      <c r="A167" s="199">
        <v>53</v>
      </c>
      <c r="B167" s="20" t="s">
        <v>2183</v>
      </c>
      <c r="C167" s="199" t="s">
        <v>2181</v>
      </c>
      <c r="D167" s="199">
        <v>4053</v>
      </c>
      <c r="E167" s="199">
        <f>'05版台时'!F296</f>
        <v>0.185480654168329</v>
      </c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200"/>
      <c r="BB167" s="200"/>
      <c r="BC167" s="200"/>
      <c r="BD167" s="200"/>
      <c r="BE167" s="200"/>
      <c r="BF167" s="200"/>
      <c r="BG167" s="200"/>
      <c r="BH167" s="200"/>
      <c r="BI167" s="200"/>
      <c r="BJ167" s="200"/>
      <c r="BK167" s="200"/>
      <c r="BL167" s="200"/>
      <c r="BM167" s="200"/>
      <c r="BN167" s="200"/>
      <c r="BO167" s="200"/>
      <c r="BP167" s="200"/>
      <c r="BQ167" s="200"/>
      <c r="BR167" s="200"/>
      <c r="BS167" s="200"/>
      <c r="BT167" s="200"/>
      <c r="BU167" s="200"/>
      <c r="BV167" s="200"/>
      <c r="BW167" s="200"/>
      <c r="BX167" s="200"/>
      <c r="BY167" s="200"/>
      <c r="BZ167" s="200"/>
      <c r="CA167" s="200"/>
      <c r="CB167" s="200"/>
      <c r="CC167" s="200"/>
      <c r="CD167" s="200"/>
      <c r="CE167" s="200"/>
      <c r="CF167" s="200"/>
      <c r="CG167" s="200"/>
      <c r="CH167" s="200"/>
      <c r="CI167" s="200"/>
      <c r="CJ167" s="200"/>
      <c r="CK167" s="200"/>
      <c r="CL167" s="200"/>
      <c r="CM167" s="200"/>
      <c r="CN167" s="200"/>
      <c r="CO167" s="200"/>
      <c r="CP167" s="200"/>
      <c r="CQ167" s="200"/>
      <c r="CR167" s="200"/>
      <c r="CS167" s="200"/>
      <c r="CT167" s="200"/>
      <c r="CU167" s="200"/>
      <c r="CV167" s="200"/>
      <c r="CW167" s="200"/>
      <c r="CX167" s="200"/>
      <c r="CY167" s="200"/>
      <c r="CZ167" s="200"/>
      <c r="DA167" s="200"/>
      <c r="DB167" s="200"/>
      <c r="DC167" s="200"/>
      <c r="DD167" s="200"/>
      <c r="DE167" s="200"/>
      <c r="DF167" s="200"/>
      <c r="DG167" s="200"/>
      <c r="DH167" s="200"/>
      <c r="DI167" s="200"/>
      <c r="DJ167" s="200"/>
      <c r="DK167" s="200"/>
      <c r="DL167" s="200"/>
      <c r="DM167" s="200"/>
      <c r="DN167" s="200"/>
      <c r="DO167" s="200"/>
      <c r="DP167" s="200"/>
      <c r="DQ167" s="200"/>
      <c r="DR167" s="200"/>
      <c r="DS167" s="200"/>
      <c r="DT167" s="200"/>
      <c r="DU167" s="200"/>
      <c r="DV167" s="200"/>
      <c r="DW167" s="200"/>
      <c r="DX167" s="200"/>
      <c r="DY167" s="200"/>
      <c r="DZ167" s="200"/>
      <c r="EA167" s="200"/>
      <c r="EB167" s="200"/>
      <c r="EC167" s="200"/>
      <c r="ED167" s="200"/>
      <c r="EE167" s="200"/>
      <c r="EF167" s="200"/>
      <c r="EG167" s="200"/>
      <c r="EH167" s="200"/>
      <c r="EI167" s="200"/>
      <c r="EJ167" s="200"/>
      <c r="EK167" s="200"/>
      <c r="EL167" s="200"/>
      <c r="EM167" s="200"/>
      <c r="EN167" s="200"/>
      <c r="EO167" s="200"/>
      <c r="EP167" s="200"/>
      <c r="EQ167" s="200"/>
      <c r="ER167" s="200"/>
      <c r="ES167" s="200"/>
      <c r="ET167" s="200"/>
      <c r="EU167" s="200"/>
      <c r="EV167" s="200"/>
      <c r="EW167" s="200"/>
      <c r="EX167" s="200"/>
      <c r="EY167" s="200"/>
      <c r="EZ167" s="200"/>
      <c r="FA167" s="200"/>
      <c r="FB167" s="200"/>
      <c r="FC167" s="200"/>
      <c r="FD167" s="200"/>
      <c r="FE167" s="200"/>
      <c r="FF167" s="200"/>
      <c r="FG167" s="200"/>
      <c r="FH167" s="200"/>
      <c r="FI167" s="200"/>
      <c r="FJ167" s="200"/>
      <c r="FK167" s="200"/>
      <c r="FL167" s="200"/>
      <c r="FM167" s="200"/>
      <c r="FN167" s="200"/>
      <c r="FO167" s="200"/>
      <c r="FP167" s="200"/>
      <c r="FQ167" s="200"/>
      <c r="FR167" s="200"/>
      <c r="FS167" s="200"/>
      <c r="FT167" s="200"/>
      <c r="FU167" s="200"/>
      <c r="FV167" s="200"/>
      <c r="FW167" s="200"/>
      <c r="FX167" s="200"/>
      <c r="FY167" s="200"/>
      <c r="FZ167" s="200"/>
      <c r="GA167" s="200"/>
      <c r="GB167" s="200"/>
      <c r="GC167" s="200"/>
      <c r="GD167" s="200"/>
      <c r="GE167" s="200"/>
      <c r="GF167" s="200"/>
      <c r="GG167" s="200"/>
      <c r="GH167" s="200"/>
      <c r="GI167" s="200"/>
      <c r="GJ167" s="200"/>
      <c r="GK167" s="200"/>
      <c r="GL167" s="200"/>
      <c r="GM167" s="200"/>
      <c r="GN167" s="200"/>
      <c r="GO167" s="200"/>
      <c r="GP167" s="200"/>
      <c r="GQ167" s="200"/>
      <c r="GR167" s="200"/>
      <c r="GS167" s="200"/>
      <c r="GT167" s="200"/>
      <c r="GU167" s="200"/>
      <c r="GV167" s="200"/>
      <c r="GW167" s="200"/>
      <c r="GX167" s="200"/>
      <c r="GY167" s="200"/>
      <c r="GZ167" s="200"/>
      <c r="HA167" s="200"/>
      <c r="HB167" s="200"/>
      <c r="HC167" s="200"/>
      <c r="HD167" s="200"/>
      <c r="HE167" s="200"/>
      <c r="HF167" s="200"/>
      <c r="HG167" s="200"/>
      <c r="HH167" s="200"/>
      <c r="HI167" s="200"/>
      <c r="HJ167" s="200"/>
      <c r="HK167" s="200"/>
      <c r="HL167" s="200"/>
      <c r="HM167" s="200"/>
      <c r="HN167" s="200"/>
      <c r="HO167" s="200"/>
      <c r="HP167" s="200"/>
      <c r="HQ167" s="200"/>
      <c r="HR167" s="200"/>
      <c r="HS167" s="200"/>
      <c r="HT167" s="200"/>
      <c r="HU167" s="200"/>
      <c r="HV167" s="200"/>
      <c r="HW167" s="200"/>
      <c r="HX167" s="200"/>
      <c r="HY167" s="200"/>
      <c r="HZ167" s="200"/>
      <c r="IA167" s="200"/>
      <c r="IB167" s="200"/>
      <c r="IC167" s="200"/>
      <c r="ID167" s="200"/>
      <c r="IE167" s="200"/>
      <c r="IF167" s="200"/>
      <c r="IG167" s="200"/>
      <c r="IH167" s="200"/>
      <c r="II167" s="200"/>
      <c r="IJ167" s="200"/>
      <c r="IK167" s="200"/>
      <c r="IL167" s="200"/>
      <c r="IM167" s="200"/>
      <c r="IN167" s="200"/>
      <c r="IO167" s="200"/>
      <c r="IP167" s="200"/>
      <c r="IQ167" s="200"/>
      <c r="IR167" s="200"/>
      <c r="IS167" s="200"/>
      <c r="IT167" s="200"/>
      <c r="IU167" s="201"/>
      <c r="IV167" s="201"/>
    </row>
    <row r="168" s="10" customFormat="1" ht="15.95" customHeight="1" spans="1:256">
      <c r="A168" s="199">
        <v>54</v>
      </c>
      <c r="B168" s="20" t="s">
        <v>2183</v>
      </c>
      <c r="C168" s="199" t="s">
        <v>2124</v>
      </c>
      <c r="D168" s="199">
        <v>4054</v>
      </c>
      <c r="E168" s="199">
        <f>'05版台时'!G296</f>
        <v>0.282090147586757</v>
      </c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200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200"/>
      <c r="BD168" s="200"/>
      <c r="BE168" s="200"/>
      <c r="BF168" s="200"/>
      <c r="BG168" s="200"/>
      <c r="BH168" s="200"/>
      <c r="BI168" s="200"/>
      <c r="BJ168" s="200"/>
      <c r="BK168" s="200"/>
      <c r="BL168" s="200"/>
      <c r="BM168" s="200"/>
      <c r="BN168" s="200"/>
      <c r="BO168" s="200"/>
      <c r="BP168" s="200"/>
      <c r="BQ168" s="200"/>
      <c r="BR168" s="200"/>
      <c r="BS168" s="200"/>
      <c r="BT168" s="200"/>
      <c r="BU168" s="200"/>
      <c r="BV168" s="200"/>
      <c r="BW168" s="200"/>
      <c r="BX168" s="200"/>
      <c r="BY168" s="200"/>
      <c r="BZ168" s="200"/>
      <c r="CA168" s="200"/>
      <c r="CB168" s="200"/>
      <c r="CC168" s="200"/>
      <c r="CD168" s="200"/>
      <c r="CE168" s="200"/>
      <c r="CF168" s="200"/>
      <c r="CG168" s="200"/>
      <c r="CH168" s="200"/>
      <c r="CI168" s="200"/>
      <c r="CJ168" s="200"/>
      <c r="CK168" s="200"/>
      <c r="CL168" s="200"/>
      <c r="CM168" s="200"/>
      <c r="CN168" s="200"/>
      <c r="CO168" s="200"/>
      <c r="CP168" s="200"/>
      <c r="CQ168" s="200"/>
      <c r="CR168" s="200"/>
      <c r="CS168" s="200"/>
      <c r="CT168" s="200"/>
      <c r="CU168" s="200"/>
      <c r="CV168" s="200"/>
      <c r="CW168" s="200"/>
      <c r="CX168" s="200"/>
      <c r="CY168" s="200"/>
      <c r="CZ168" s="200"/>
      <c r="DA168" s="200"/>
      <c r="DB168" s="200"/>
      <c r="DC168" s="200"/>
      <c r="DD168" s="200"/>
      <c r="DE168" s="200"/>
      <c r="DF168" s="200"/>
      <c r="DG168" s="200"/>
      <c r="DH168" s="200"/>
      <c r="DI168" s="200"/>
      <c r="DJ168" s="200"/>
      <c r="DK168" s="200"/>
      <c r="DL168" s="200"/>
      <c r="DM168" s="200"/>
      <c r="DN168" s="200"/>
      <c r="DO168" s="200"/>
      <c r="DP168" s="200"/>
      <c r="DQ168" s="200"/>
      <c r="DR168" s="200"/>
      <c r="DS168" s="200"/>
      <c r="DT168" s="200"/>
      <c r="DU168" s="200"/>
      <c r="DV168" s="200"/>
      <c r="DW168" s="200"/>
      <c r="DX168" s="200"/>
      <c r="DY168" s="200"/>
      <c r="DZ168" s="200"/>
      <c r="EA168" s="200"/>
      <c r="EB168" s="200"/>
      <c r="EC168" s="200"/>
      <c r="ED168" s="200"/>
      <c r="EE168" s="200"/>
      <c r="EF168" s="200"/>
      <c r="EG168" s="200"/>
      <c r="EH168" s="200"/>
      <c r="EI168" s="200"/>
      <c r="EJ168" s="200"/>
      <c r="EK168" s="200"/>
      <c r="EL168" s="200"/>
      <c r="EM168" s="200"/>
      <c r="EN168" s="200"/>
      <c r="EO168" s="200"/>
      <c r="EP168" s="200"/>
      <c r="EQ168" s="200"/>
      <c r="ER168" s="200"/>
      <c r="ES168" s="200"/>
      <c r="ET168" s="200"/>
      <c r="EU168" s="200"/>
      <c r="EV168" s="200"/>
      <c r="EW168" s="200"/>
      <c r="EX168" s="200"/>
      <c r="EY168" s="200"/>
      <c r="EZ168" s="200"/>
      <c r="FA168" s="200"/>
      <c r="FB168" s="200"/>
      <c r="FC168" s="200"/>
      <c r="FD168" s="200"/>
      <c r="FE168" s="200"/>
      <c r="FF168" s="200"/>
      <c r="FG168" s="200"/>
      <c r="FH168" s="200"/>
      <c r="FI168" s="200"/>
      <c r="FJ168" s="200"/>
      <c r="FK168" s="200"/>
      <c r="FL168" s="200"/>
      <c r="FM168" s="200"/>
      <c r="FN168" s="200"/>
      <c r="FO168" s="200"/>
      <c r="FP168" s="200"/>
      <c r="FQ168" s="200"/>
      <c r="FR168" s="200"/>
      <c r="FS168" s="200"/>
      <c r="FT168" s="200"/>
      <c r="FU168" s="200"/>
      <c r="FV168" s="200"/>
      <c r="FW168" s="200"/>
      <c r="FX168" s="200"/>
      <c r="FY168" s="200"/>
      <c r="FZ168" s="200"/>
      <c r="GA168" s="200"/>
      <c r="GB168" s="200"/>
      <c r="GC168" s="200"/>
      <c r="GD168" s="200"/>
      <c r="GE168" s="200"/>
      <c r="GF168" s="200"/>
      <c r="GG168" s="200"/>
      <c r="GH168" s="200"/>
      <c r="GI168" s="200"/>
      <c r="GJ168" s="200"/>
      <c r="GK168" s="200"/>
      <c r="GL168" s="200"/>
      <c r="GM168" s="200"/>
      <c r="GN168" s="200"/>
      <c r="GO168" s="200"/>
      <c r="GP168" s="200"/>
      <c r="GQ168" s="200"/>
      <c r="GR168" s="200"/>
      <c r="GS168" s="200"/>
      <c r="GT168" s="200"/>
      <c r="GU168" s="200"/>
      <c r="GV168" s="200"/>
      <c r="GW168" s="200"/>
      <c r="GX168" s="200"/>
      <c r="GY168" s="200"/>
      <c r="GZ168" s="200"/>
      <c r="HA168" s="200"/>
      <c r="HB168" s="200"/>
      <c r="HC168" s="200"/>
      <c r="HD168" s="200"/>
      <c r="HE168" s="200"/>
      <c r="HF168" s="200"/>
      <c r="HG168" s="200"/>
      <c r="HH168" s="200"/>
      <c r="HI168" s="200"/>
      <c r="HJ168" s="200"/>
      <c r="HK168" s="200"/>
      <c r="HL168" s="200"/>
      <c r="HM168" s="200"/>
      <c r="HN168" s="200"/>
      <c r="HO168" s="200"/>
      <c r="HP168" s="200"/>
      <c r="HQ168" s="200"/>
      <c r="HR168" s="200"/>
      <c r="HS168" s="200"/>
      <c r="HT168" s="200"/>
      <c r="HU168" s="200"/>
      <c r="HV168" s="200"/>
      <c r="HW168" s="200"/>
      <c r="HX168" s="200"/>
      <c r="HY168" s="200"/>
      <c r="HZ168" s="200"/>
      <c r="IA168" s="200"/>
      <c r="IB168" s="200"/>
      <c r="IC168" s="200"/>
      <c r="ID168" s="200"/>
      <c r="IE168" s="200"/>
      <c r="IF168" s="200"/>
      <c r="IG168" s="200"/>
      <c r="IH168" s="200"/>
      <c r="II168" s="200"/>
      <c r="IJ168" s="200"/>
      <c r="IK168" s="200"/>
      <c r="IL168" s="200"/>
      <c r="IM168" s="200"/>
      <c r="IN168" s="200"/>
      <c r="IO168" s="200"/>
      <c r="IP168" s="200"/>
      <c r="IQ168" s="200"/>
      <c r="IR168" s="200"/>
      <c r="IS168" s="200"/>
      <c r="IT168" s="200"/>
      <c r="IU168" s="201"/>
      <c r="IV168" s="201"/>
    </row>
    <row r="169" s="10" customFormat="1" ht="15.95" customHeight="1" spans="1:256">
      <c r="A169" s="199">
        <v>55</v>
      </c>
      <c r="B169" s="20" t="s">
        <v>2184</v>
      </c>
      <c r="C169" s="199" t="s">
        <v>2124</v>
      </c>
      <c r="D169" s="199">
        <v>4055</v>
      </c>
      <c r="E169" s="199">
        <f>'05版台时'!H296</f>
        <v>42.8007933559937</v>
      </c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0"/>
      <c r="BM169" s="200"/>
      <c r="BN169" s="200"/>
      <c r="BO169" s="200"/>
      <c r="BP169" s="200"/>
      <c r="BQ169" s="200"/>
      <c r="BR169" s="200"/>
      <c r="BS169" s="200"/>
      <c r="BT169" s="200"/>
      <c r="BU169" s="200"/>
      <c r="BV169" s="200"/>
      <c r="BW169" s="200"/>
      <c r="BX169" s="200"/>
      <c r="BY169" s="200"/>
      <c r="BZ169" s="200"/>
      <c r="CA169" s="200"/>
      <c r="CB169" s="200"/>
      <c r="CC169" s="200"/>
      <c r="CD169" s="200"/>
      <c r="CE169" s="200"/>
      <c r="CF169" s="200"/>
      <c r="CG169" s="200"/>
      <c r="CH169" s="200"/>
      <c r="CI169" s="200"/>
      <c r="CJ169" s="200"/>
      <c r="CK169" s="200"/>
      <c r="CL169" s="200"/>
      <c r="CM169" s="200"/>
      <c r="CN169" s="200"/>
      <c r="CO169" s="200"/>
      <c r="CP169" s="200"/>
      <c r="CQ169" s="200"/>
      <c r="CR169" s="200"/>
      <c r="CS169" s="200"/>
      <c r="CT169" s="200"/>
      <c r="CU169" s="200"/>
      <c r="CV169" s="200"/>
      <c r="CW169" s="200"/>
      <c r="CX169" s="200"/>
      <c r="CY169" s="200"/>
      <c r="CZ169" s="200"/>
      <c r="DA169" s="200"/>
      <c r="DB169" s="200"/>
      <c r="DC169" s="200"/>
      <c r="DD169" s="200"/>
      <c r="DE169" s="200"/>
      <c r="DF169" s="200"/>
      <c r="DG169" s="200"/>
      <c r="DH169" s="200"/>
      <c r="DI169" s="200"/>
      <c r="DJ169" s="200"/>
      <c r="DK169" s="200"/>
      <c r="DL169" s="200"/>
      <c r="DM169" s="200"/>
      <c r="DN169" s="200"/>
      <c r="DO169" s="200"/>
      <c r="DP169" s="200"/>
      <c r="DQ169" s="200"/>
      <c r="DR169" s="200"/>
      <c r="DS169" s="200"/>
      <c r="DT169" s="200"/>
      <c r="DU169" s="200"/>
      <c r="DV169" s="200"/>
      <c r="DW169" s="200"/>
      <c r="DX169" s="200"/>
      <c r="DY169" s="200"/>
      <c r="DZ169" s="200"/>
      <c r="EA169" s="200"/>
      <c r="EB169" s="200"/>
      <c r="EC169" s="200"/>
      <c r="ED169" s="200"/>
      <c r="EE169" s="200"/>
      <c r="EF169" s="200"/>
      <c r="EG169" s="200"/>
      <c r="EH169" s="200"/>
      <c r="EI169" s="200"/>
      <c r="EJ169" s="200"/>
      <c r="EK169" s="200"/>
      <c r="EL169" s="200"/>
      <c r="EM169" s="200"/>
      <c r="EN169" s="200"/>
      <c r="EO169" s="200"/>
      <c r="EP169" s="200"/>
      <c r="EQ169" s="200"/>
      <c r="ER169" s="200"/>
      <c r="ES169" s="200"/>
      <c r="ET169" s="200"/>
      <c r="EU169" s="200"/>
      <c r="EV169" s="200"/>
      <c r="EW169" s="200"/>
      <c r="EX169" s="200"/>
      <c r="EY169" s="200"/>
      <c r="EZ169" s="200"/>
      <c r="FA169" s="200"/>
      <c r="FB169" s="200"/>
      <c r="FC169" s="200"/>
      <c r="FD169" s="200"/>
      <c r="FE169" s="200"/>
      <c r="FF169" s="200"/>
      <c r="FG169" s="200"/>
      <c r="FH169" s="200"/>
      <c r="FI169" s="200"/>
      <c r="FJ169" s="200"/>
      <c r="FK169" s="200"/>
      <c r="FL169" s="200"/>
      <c r="FM169" s="200"/>
      <c r="FN169" s="200"/>
      <c r="FO169" s="200"/>
      <c r="FP169" s="200"/>
      <c r="FQ169" s="200"/>
      <c r="FR169" s="200"/>
      <c r="FS169" s="200"/>
      <c r="FT169" s="200"/>
      <c r="FU169" s="200"/>
      <c r="FV169" s="200"/>
      <c r="FW169" s="200"/>
      <c r="FX169" s="200"/>
      <c r="FY169" s="200"/>
      <c r="FZ169" s="200"/>
      <c r="GA169" s="200"/>
      <c r="GB169" s="200"/>
      <c r="GC169" s="200"/>
      <c r="GD169" s="200"/>
      <c r="GE169" s="200"/>
      <c r="GF169" s="200"/>
      <c r="GG169" s="200"/>
      <c r="GH169" s="200"/>
      <c r="GI169" s="200"/>
      <c r="GJ169" s="200"/>
      <c r="GK169" s="200"/>
      <c r="GL169" s="200"/>
      <c r="GM169" s="200"/>
      <c r="GN169" s="200"/>
      <c r="GO169" s="200"/>
      <c r="GP169" s="200"/>
      <c r="GQ169" s="200"/>
      <c r="GR169" s="200"/>
      <c r="GS169" s="200"/>
      <c r="GT169" s="200"/>
      <c r="GU169" s="200"/>
      <c r="GV169" s="200"/>
      <c r="GW169" s="200"/>
      <c r="GX169" s="200"/>
      <c r="GY169" s="200"/>
      <c r="GZ169" s="200"/>
      <c r="HA169" s="200"/>
      <c r="HB169" s="200"/>
      <c r="HC169" s="200"/>
      <c r="HD169" s="200"/>
      <c r="HE169" s="200"/>
      <c r="HF169" s="200"/>
      <c r="HG169" s="200"/>
      <c r="HH169" s="200"/>
      <c r="HI169" s="200"/>
      <c r="HJ169" s="200"/>
      <c r="HK169" s="200"/>
      <c r="HL169" s="200"/>
      <c r="HM169" s="200"/>
      <c r="HN169" s="200"/>
      <c r="HO169" s="200"/>
      <c r="HP169" s="200"/>
      <c r="HQ169" s="200"/>
      <c r="HR169" s="200"/>
      <c r="HS169" s="200"/>
      <c r="HT169" s="200"/>
      <c r="HU169" s="200"/>
      <c r="HV169" s="200"/>
      <c r="HW169" s="200"/>
      <c r="HX169" s="200"/>
      <c r="HY169" s="200"/>
      <c r="HZ169" s="200"/>
      <c r="IA169" s="200"/>
      <c r="IB169" s="200"/>
      <c r="IC169" s="200"/>
      <c r="ID169" s="200"/>
      <c r="IE169" s="200"/>
      <c r="IF169" s="200"/>
      <c r="IG169" s="200"/>
      <c r="IH169" s="200"/>
      <c r="II169" s="200"/>
      <c r="IJ169" s="200"/>
      <c r="IK169" s="200"/>
      <c r="IL169" s="200"/>
      <c r="IM169" s="200"/>
      <c r="IN169" s="200"/>
      <c r="IO169" s="200"/>
      <c r="IP169" s="200"/>
      <c r="IQ169" s="200"/>
      <c r="IR169" s="200"/>
      <c r="IS169" s="200"/>
      <c r="IT169" s="200"/>
      <c r="IU169" s="201"/>
      <c r="IV169" s="201"/>
    </row>
    <row r="170" s="10" customFormat="1" ht="15.95" customHeight="1" spans="1:256">
      <c r="A170" s="199">
        <v>56</v>
      </c>
      <c r="B170" s="20" t="s">
        <v>2184</v>
      </c>
      <c r="C170" s="199" t="s">
        <v>2061</v>
      </c>
      <c r="D170" s="199">
        <v>4056</v>
      </c>
      <c r="E170" s="199">
        <f>'05版台时'!I296</f>
        <v>51.0844535075693</v>
      </c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  <c r="BD170" s="200"/>
      <c r="BE170" s="200"/>
      <c r="BF170" s="200"/>
      <c r="BG170" s="200"/>
      <c r="BH170" s="200"/>
      <c r="BI170" s="200"/>
      <c r="BJ170" s="200"/>
      <c r="BK170" s="200"/>
      <c r="BL170" s="200"/>
      <c r="BM170" s="200"/>
      <c r="BN170" s="200"/>
      <c r="BO170" s="200"/>
      <c r="BP170" s="200"/>
      <c r="BQ170" s="200"/>
      <c r="BR170" s="200"/>
      <c r="BS170" s="200"/>
      <c r="BT170" s="200"/>
      <c r="BU170" s="200"/>
      <c r="BV170" s="200"/>
      <c r="BW170" s="200"/>
      <c r="BX170" s="200"/>
      <c r="BY170" s="200"/>
      <c r="BZ170" s="200"/>
      <c r="CA170" s="200"/>
      <c r="CB170" s="200"/>
      <c r="CC170" s="200"/>
      <c r="CD170" s="200"/>
      <c r="CE170" s="200"/>
      <c r="CF170" s="200"/>
      <c r="CG170" s="200"/>
      <c r="CH170" s="200"/>
      <c r="CI170" s="200"/>
      <c r="CJ170" s="200"/>
      <c r="CK170" s="200"/>
      <c r="CL170" s="200"/>
      <c r="CM170" s="200"/>
      <c r="CN170" s="200"/>
      <c r="CO170" s="200"/>
      <c r="CP170" s="200"/>
      <c r="CQ170" s="200"/>
      <c r="CR170" s="200"/>
      <c r="CS170" s="200"/>
      <c r="CT170" s="200"/>
      <c r="CU170" s="200"/>
      <c r="CV170" s="200"/>
      <c r="CW170" s="200"/>
      <c r="CX170" s="200"/>
      <c r="CY170" s="200"/>
      <c r="CZ170" s="200"/>
      <c r="DA170" s="200"/>
      <c r="DB170" s="200"/>
      <c r="DC170" s="200"/>
      <c r="DD170" s="200"/>
      <c r="DE170" s="200"/>
      <c r="DF170" s="200"/>
      <c r="DG170" s="200"/>
      <c r="DH170" s="200"/>
      <c r="DI170" s="200"/>
      <c r="DJ170" s="200"/>
      <c r="DK170" s="200"/>
      <c r="DL170" s="200"/>
      <c r="DM170" s="200"/>
      <c r="DN170" s="200"/>
      <c r="DO170" s="200"/>
      <c r="DP170" s="200"/>
      <c r="DQ170" s="200"/>
      <c r="DR170" s="200"/>
      <c r="DS170" s="200"/>
      <c r="DT170" s="200"/>
      <c r="DU170" s="200"/>
      <c r="DV170" s="200"/>
      <c r="DW170" s="200"/>
      <c r="DX170" s="200"/>
      <c r="DY170" s="200"/>
      <c r="DZ170" s="200"/>
      <c r="EA170" s="200"/>
      <c r="EB170" s="200"/>
      <c r="EC170" s="200"/>
      <c r="ED170" s="200"/>
      <c r="EE170" s="200"/>
      <c r="EF170" s="200"/>
      <c r="EG170" s="200"/>
      <c r="EH170" s="200"/>
      <c r="EI170" s="200"/>
      <c r="EJ170" s="200"/>
      <c r="EK170" s="200"/>
      <c r="EL170" s="200"/>
      <c r="EM170" s="200"/>
      <c r="EN170" s="200"/>
      <c r="EO170" s="200"/>
      <c r="EP170" s="200"/>
      <c r="EQ170" s="200"/>
      <c r="ER170" s="200"/>
      <c r="ES170" s="200"/>
      <c r="ET170" s="200"/>
      <c r="EU170" s="200"/>
      <c r="EV170" s="200"/>
      <c r="EW170" s="200"/>
      <c r="EX170" s="200"/>
      <c r="EY170" s="200"/>
      <c r="EZ170" s="200"/>
      <c r="FA170" s="200"/>
      <c r="FB170" s="200"/>
      <c r="FC170" s="200"/>
      <c r="FD170" s="200"/>
      <c r="FE170" s="200"/>
      <c r="FF170" s="200"/>
      <c r="FG170" s="200"/>
      <c r="FH170" s="200"/>
      <c r="FI170" s="200"/>
      <c r="FJ170" s="200"/>
      <c r="FK170" s="200"/>
      <c r="FL170" s="200"/>
      <c r="FM170" s="200"/>
      <c r="FN170" s="200"/>
      <c r="FO170" s="200"/>
      <c r="FP170" s="200"/>
      <c r="FQ170" s="200"/>
      <c r="FR170" s="200"/>
      <c r="FS170" s="200"/>
      <c r="FT170" s="200"/>
      <c r="FU170" s="200"/>
      <c r="FV170" s="200"/>
      <c r="FW170" s="200"/>
      <c r="FX170" s="200"/>
      <c r="FY170" s="200"/>
      <c r="FZ170" s="200"/>
      <c r="GA170" s="200"/>
      <c r="GB170" s="200"/>
      <c r="GC170" s="200"/>
      <c r="GD170" s="200"/>
      <c r="GE170" s="200"/>
      <c r="GF170" s="200"/>
      <c r="GG170" s="200"/>
      <c r="GH170" s="200"/>
      <c r="GI170" s="200"/>
      <c r="GJ170" s="200"/>
      <c r="GK170" s="200"/>
      <c r="GL170" s="200"/>
      <c r="GM170" s="200"/>
      <c r="GN170" s="200"/>
      <c r="GO170" s="200"/>
      <c r="GP170" s="200"/>
      <c r="GQ170" s="200"/>
      <c r="GR170" s="200"/>
      <c r="GS170" s="200"/>
      <c r="GT170" s="200"/>
      <c r="GU170" s="200"/>
      <c r="GV170" s="200"/>
      <c r="GW170" s="200"/>
      <c r="GX170" s="200"/>
      <c r="GY170" s="200"/>
      <c r="GZ170" s="200"/>
      <c r="HA170" s="200"/>
      <c r="HB170" s="200"/>
      <c r="HC170" s="200"/>
      <c r="HD170" s="200"/>
      <c r="HE170" s="200"/>
      <c r="HF170" s="200"/>
      <c r="HG170" s="200"/>
      <c r="HH170" s="200"/>
      <c r="HI170" s="200"/>
      <c r="HJ170" s="200"/>
      <c r="HK170" s="200"/>
      <c r="HL170" s="200"/>
      <c r="HM170" s="200"/>
      <c r="HN170" s="200"/>
      <c r="HO170" s="200"/>
      <c r="HP170" s="200"/>
      <c r="HQ170" s="200"/>
      <c r="HR170" s="200"/>
      <c r="HS170" s="200"/>
      <c r="HT170" s="200"/>
      <c r="HU170" s="200"/>
      <c r="HV170" s="200"/>
      <c r="HW170" s="200"/>
      <c r="HX170" s="200"/>
      <c r="HY170" s="200"/>
      <c r="HZ170" s="200"/>
      <c r="IA170" s="200"/>
      <c r="IB170" s="200"/>
      <c r="IC170" s="200"/>
      <c r="ID170" s="200"/>
      <c r="IE170" s="200"/>
      <c r="IF170" s="200"/>
      <c r="IG170" s="200"/>
      <c r="IH170" s="200"/>
      <c r="II170" s="200"/>
      <c r="IJ170" s="200"/>
      <c r="IK170" s="200"/>
      <c r="IL170" s="200"/>
      <c r="IM170" s="200"/>
      <c r="IN170" s="200"/>
      <c r="IO170" s="200"/>
      <c r="IP170" s="200"/>
      <c r="IQ170" s="200"/>
      <c r="IR170" s="200"/>
      <c r="IS170" s="200"/>
      <c r="IT170" s="200"/>
      <c r="IU170" s="201"/>
      <c r="IV170" s="201"/>
    </row>
    <row r="171" s="10" customFormat="1" ht="15.95" customHeight="1" spans="1:256">
      <c r="A171" s="199">
        <v>57</v>
      </c>
      <c r="B171" s="20" t="s">
        <v>2184</v>
      </c>
      <c r="C171" s="199" t="s">
        <v>2129</v>
      </c>
      <c r="D171" s="199">
        <v>4057</v>
      </c>
      <c r="E171" s="199">
        <f>'05版台时'!J296</f>
        <v>64.0659309706726</v>
      </c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0"/>
      <c r="BM171" s="200"/>
      <c r="BN171" s="200"/>
      <c r="BO171" s="200"/>
      <c r="BP171" s="200"/>
      <c r="BQ171" s="200"/>
      <c r="BR171" s="200"/>
      <c r="BS171" s="200"/>
      <c r="BT171" s="200"/>
      <c r="BU171" s="200"/>
      <c r="BV171" s="200"/>
      <c r="BW171" s="200"/>
      <c r="BX171" s="200"/>
      <c r="BY171" s="200"/>
      <c r="BZ171" s="200"/>
      <c r="CA171" s="200"/>
      <c r="CB171" s="200"/>
      <c r="CC171" s="200"/>
      <c r="CD171" s="200"/>
      <c r="CE171" s="200"/>
      <c r="CF171" s="200"/>
      <c r="CG171" s="200"/>
      <c r="CH171" s="200"/>
      <c r="CI171" s="200"/>
      <c r="CJ171" s="200"/>
      <c r="CK171" s="200"/>
      <c r="CL171" s="200"/>
      <c r="CM171" s="200"/>
      <c r="CN171" s="200"/>
      <c r="CO171" s="200"/>
      <c r="CP171" s="200"/>
      <c r="CQ171" s="200"/>
      <c r="CR171" s="200"/>
      <c r="CS171" s="200"/>
      <c r="CT171" s="200"/>
      <c r="CU171" s="200"/>
      <c r="CV171" s="200"/>
      <c r="CW171" s="200"/>
      <c r="CX171" s="200"/>
      <c r="CY171" s="200"/>
      <c r="CZ171" s="200"/>
      <c r="DA171" s="200"/>
      <c r="DB171" s="200"/>
      <c r="DC171" s="200"/>
      <c r="DD171" s="200"/>
      <c r="DE171" s="200"/>
      <c r="DF171" s="200"/>
      <c r="DG171" s="200"/>
      <c r="DH171" s="200"/>
      <c r="DI171" s="200"/>
      <c r="DJ171" s="200"/>
      <c r="DK171" s="200"/>
      <c r="DL171" s="200"/>
      <c r="DM171" s="200"/>
      <c r="DN171" s="200"/>
      <c r="DO171" s="200"/>
      <c r="DP171" s="200"/>
      <c r="DQ171" s="200"/>
      <c r="DR171" s="200"/>
      <c r="DS171" s="200"/>
      <c r="DT171" s="200"/>
      <c r="DU171" s="200"/>
      <c r="DV171" s="200"/>
      <c r="DW171" s="200"/>
      <c r="DX171" s="200"/>
      <c r="DY171" s="200"/>
      <c r="DZ171" s="200"/>
      <c r="EA171" s="200"/>
      <c r="EB171" s="200"/>
      <c r="EC171" s="200"/>
      <c r="ED171" s="200"/>
      <c r="EE171" s="200"/>
      <c r="EF171" s="200"/>
      <c r="EG171" s="200"/>
      <c r="EH171" s="200"/>
      <c r="EI171" s="200"/>
      <c r="EJ171" s="200"/>
      <c r="EK171" s="200"/>
      <c r="EL171" s="200"/>
      <c r="EM171" s="200"/>
      <c r="EN171" s="200"/>
      <c r="EO171" s="200"/>
      <c r="EP171" s="200"/>
      <c r="EQ171" s="200"/>
      <c r="ER171" s="200"/>
      <c r="ES171" s="200"/>
      <c r="ET171" s="200"/>
      <c r="EU171" s="200"/>
      <c r="EV171" s="200"/>
      <c r="EW171" s="200"/>
      <c r="EX171" s="200"/>
      <c r="EY171" s="200"/>
      <c r="EZ171" s="200"/>
      <c r="FA171" s="200"/>
      <c r="FB171" s="200"/>
      <c r="FC171" s="200"/>
      <c r="FD171" s="200"/>
      <c r="FE171" s="200"/>
      <c r="FF171" s="200"/>
      <c r="FG171" s="200"/>
      <c r="FH171" s="200"/>
      <c r="FI171" s="200"/>
      <c r="FJ171" s="200"/>
      <c r="FK171" s="200"/>
      <c r="FL171" s="200"/>
      <c r="FM171" s="200"/>
      <c r="FN171" s="200"/>
      <c r="FO171" s="200"/>
      <c r="FP171" s="200"/>
      <c r="FQ171" s="200"/>
      <c r="FR171" s="200"/>
      <c r="FS171" s="200"/>
      <c r="FT171" s="200"/>
      <c r="FU171" s="200"/>
      <c r="FV171" s="200"/>
      <c r="FW171" s="200"/>
      <c r="FX171" s="200"/>
      <c r="FY171" s="200"/>
      <c r="FZ171" s="200"/>
      <c r="GA171" s="200"/>
      <c r="GB171" s="200"/>
      <c r="GC171" s="200"/>
      <c r="GD171" s="200"/>
      <c r="GE171" s="200"/>
      <c r="GF171" s="200"/>
      <c r="GG171" s="200"/>
      <c r="GH171" s="200"/>
      <c r="GI171" s="200"/>
      <c r="GJ171" s="200"/>
      <c r="GK171" s="200"/>
      <c r="GL171" s="200"/>
      <c r="GM171" s="200"/>
      <c r="GN171" s="200"/>
      <c r="GO171" s="200"/>
      <c r="GP171" s="200"/>
      <c r="GQ171" s="200"/>
      <c r="GR171" s="200"/>
      <c r="GS171" s="200"/>
      <c r="GT171" s="200"/>
      <c r="GU171" s="200"/>
      <c r="GV171" s="200"/>
      <c r="GW171" s="200"/>
      <c r="GX171" s="200"/>
      <c r="GY171" s="200"/>
      <c r="GZ171" s="200"/>
      <c r="HA171" s="200"/>
      <c r="HB171" s="200"/>
      <c r="HC171" s="200"/>
      <c r="HD171" s="200"/>
      <c r="HE171" s="200"/>
      <c r="HF171" s="200"/>
      <c r="HG171" s="200"/>
      <c r="HH171" s="200"/>
      <c r="HI171" s="200"/>
      <c r="HJ171" s="200"/>
      <c r="HK171" s="200"/>
      <c r="HL171" s="200"/>
      <c r="HM171" s="200"/>
      <c r="HN171" s="200"/>
      <c r="HO171" s="200"/>
      <c r="HP171" s="200"/>
      <c r="HQ171" s="200"/>
      <c r="HR171" s="200"/>
      <c r="HS171" s="200"/>
      <c r="HT171" s="200"/>
      <c r="HU171" s="200"/>
      <c r="HV171" s="200"/>
      <c r="HW171" s="200"/>
      <c r="HX171" s="200"/>
      <c r="HY171" s="200"/>
      <c r="HZ171" s="200"/>
      <c r="IA171" s="200"/>
      <c r="IB171" s="200"/>
      <c r="IC171" s="200"/>
      <c r="ID171" s="200"/>
      <c r="IE171" s="200"/>
      <c r="IF171" s="200"/>
      <c r="IG171" s="200"/>
      <c r="IH171" s="200"/>
      <c r="II171" s="200"/>
      <c r="IJ171" s="200"/>
      <c r="IK171" s="200"/>
      <c r="IL171" s="200"/>
      <c r="IM171" s="200"/>
      <c r="IN171" s="200"/>
      <c r="IO171" s="200"/>
      <c r="IP171" s="200"/>
      <c r="IQ171" s="200"/>
      <c r="IR171" s="200"/>
      <c r="IS171" s="200"/>
      <c r="IT171" s="200"/>
      <c r="IU171" s="201"/>
      <c r="IV171" s="201"/>
    </row>
    <row r="172" s="10" customFormat="1" ht="15.95" customHeight="1" spans="1:256">
      <c r="A172" s="199">
        <v>58</v>
      </c>
      <c r="B172" s="20" t="s">
        <v>2184</v>
      </c>
      <c r="C172" s="199" t="s">
        <v>2160</v>
      </c>
      <c r="D172" s="199">
        <v>4058</v>
      </c>
      <c r="E172" s="199">
        <f>'05版台时'!K296</f>
        <v>67.810948122647</v>
      </c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0"/>
      <c r="BM172" s="200"/>
      <c r="BN172" s="200"/>
      <c r="BO172" s="200"/>
      <c r="BP172" s="200"/>
      <c r="BQ172" s="200"/>
      <c r="BR172" s="200"/>
      <c r="BS172" s="200"/>
      <c r="BT172" s="200"/>
      <c r="BU172" s="200"/>
      <c r="BV172" s="200"/>
      <c r="BW172" s="200"/>
      <c r="BX172" s="200"/>
      <c r="BY172" s="200"/>
      <c r="BZ172" s="200"/>
      <c r="CA172" s="200"/>
      <c r="CB172" s="200"/>
      <c r="CC172" s="200"/>
      <c r="CD172" s="200"/>
      <c r="CE172" s="200"/>
      <c r="CF172" s="200"/>
      <c r="CG172" s="200"/>
      <c r="CH172" s="200"/>
      <c r="CI172" s="200"/>
      <c r="CJ172" s="200"/>
      <c r="CK172" s="200"/>
      <c r="CL172" s="200"/>
      <c r="CM172" s="200"/>
      <c r="CN172" s="200"/>
      <c r="CO172" s="200"/>
      <c r="CP172" s="200"/>
      <c r="CQ172" s="200"/>
      <c r="CR172" s="200"/>
      <c r="CS172" s="200"/>
      <c r="CT172" s="200"/>
      <c r="CU172" s="200"/>
      <c r="CV172" s="200"/>
      <c r="CW172" s="200"/>
      <c r="CX172" s="200"/>
      <c r="CY172" s="200"/>
      <c r="CZ172" s="200"/>
      <c r="DA172" s="200"/>
      <c r="DB172" s="200"/>
      <c r="DC172" s="200"/>
      <c r="DD172" s="200"/>
      <c r="DE172" s="200"/>
      <c r="DF172" s="200"/>
      <c r="DG172" s="200"/>
      <c r="DH172" s="200"/>
      <c r="DI172" s="200"/>
      <c r="DJ172" s="200"/>
      <c r="DK172" s="200"/>
      <c r="DL172" s="200"/>
      <c r="DM172" s="200"/>
      <c r="DN172" s="200"/>
      <c r="DO172" s="200"/>
      <c r="DP172" s="200"/>
      <c r="DQ172" s="200"/>
      <c r="DR172" s="200"/>
      <c r="DS172" s="200"/>
      <c r="DT172" s="200"/>
      <c r="DU172" s="200"/>
      <c r="DV172" s="200"/>
      <c r="DW172" s="200"/>
      <c r="DX172" s="200"/>
      <c r="DY172" s="200"/>
      <c r="DZ172" s="200"/>
      <c r="EA172" s="200"/>
      <c r="EB172" s="200"/>
      <c r="EC172" s="200"/>
      <c r="ED172" s="200"/>
      <c r="EE172" s="200"/>
      <c r="EF172" s="200"/>
      <c r="EG172" s="200"/>
      <c r="EH172" s="200"/>
      <c r="EI172" s="200"/>
      <c r="EJ172" s="200"/>
      <c r="EK172" s="200"/>
      <c r="EL172" s="200"/>
      <c r="EM172" s="200"/>
      <c r="EN172" s="200"/>
      <c r="EO172" s="200"/>
      <c r="EP172" s="200"/>
      <c r="EQ172" s="200"/>
      <c r="ER172" s="200"/>
      <c r="ES172" s="200"/>
      <c r="ET172" s="200"/>
      <c r="EU172" s="200"/>
      <c r="EV172" s="200"/>
      <c r="EW172" s="200"/>
      <c r="EX172" s="200"/>
      <c r="EY172" s="200"/>
      <c r="EZ172" s="200"/>
      <c r="FA172" s="200"/>
      <c r="FB172" s="200"/>
      <c r="FC172" s="200"/>
      <c r="FD172" s="200"/>
      <c r="FE172" s="200"/>
      <c r="FF172" s="200"/>
      <c r="FG172" s="200"/>
      <c r="FH172" s="200"/>
      <c r="FI172" s="200"/>
      <c r="FJ172" s="200"/>
      <c r="FK172" s="200"/>
      <c r="FL172" s="200"/>
      <c r="FM172" s="200"/>
      <c r="FN172" s="200"/>
      <c r="FO172" s="200"/>
      <c r="FP172" s="200"/>
      <c r="FQ172" s="200"/>
      <c r="FR172" s="200"/>
      <c r="FS172" s="200"/>
      <c r="FT172" s="200"/>
      <c r="FU172" s="200"/>
      <c r="FV172" s="200"/>
      <c r="FW172" s="200"/>
      <c r="FX172" s="200"/>
      <c r="FY172" s="200"/>
      <c r="FZ172" s="200"/>
      <c r="GA172" s="200"/>
      <c r="GB172" s="200"/>
      <c r="GC172" s="200"/>
      <c r="GD172" s="200"/>
      <c r="GE172" s="200"/>
      <c r="GF172" s="200"/>
      <c r="GG172" s="200"/>
      <c r="GH172" s="200"/>
      <c r="GI172" s="200"/>
      <c r="GJ172" s="200"/>
      <c r="GK172" s="200"/>
      <c r="GL172" s="200"/>
      <c r="GM172" s="200"/>
      <c r="GN172" s="200"/>
      <c r="GO172" s="200"/>
      <c r="GP172" s="200"/>
      <c r="GQ172" s="200"/>
      <c r="GR172" s="200"/>
      <c r="GS172" s="200"/>
      <c r="GT172" s="200"/>
      <c r="GU172" s="200"/>
      <c r="GV172" s="200"/>
      <c r="GW172" s="200"/>
      <c r="GX172" s="200"/>
      <c r="GY172" s="200"/>
      <c r="GZ172" s="200"/>
      <c r="HA172" s="200"/>
      <c r="HB172" s="200"/>
      <c r="HC172" s="200"/>
      <c r="HD172" s="200"/>
      <c r="HE172" s="200"/>
      <c r="HF172" s="200"/>
      <c r="HG172" s="200"/>
      <c r="HH172" s="200"/>
      <c r="HI172" s="200"/>
      <c r="HJ172" s="200"/>
      <c r="HK172" s="200"/>
      <c r="HL172" s="200"/>
      <c r="HM172" s="200"/>
      <c r="HN172" s="200"/>
      <c r="HO172" s="200"/>
      <c r="HP172" s="200"/>
      <c r="HQ172" s="200"/>
      <c r="HR172" s="200"/>
      <c r="HS172" s="200"/>
      <c r="HT172" s="200"/>
      <c r="HU172" s="200"/>
      <c r="HV172" s="200"/>
      <c r="HW172" s="200"/>
      <c r="HX172" s="200"/>
      <c r="HY172" s="200"/>
      <c r="HZ172" s="200"/>
      <c r="IA172" s="200"/>
      <c r="IB172" s="200"/>
      <c r="IC172" s="200"/>
      <c r="ID172" s="200"/>
      <c r="IE172" s="200"/>
      <c r="IF172" s="200"/>
      <c r="IG172" s="200"/>
      <c r="IH172" s="200"/>
      <c r="II172" s="200"/>
      <c r="IJ172" s="200"/>
      <c r="IK172" s="200"/>
      <c r="IL172" s="200"/>
      <c r="IM172" s="200"/>
      <c r="IN172" s="200"/>
      <c r="IO172" s="200"/>
      <c r="IP172" s="200"/>
      <c r="IQ172" s="200"/>
      <c r="IR172" s="200"/>
      <c r="IS172" s="200"/>
      <c r="IT172" s="200"/>
      <c r="IU172" s="201"/>
      <c r="IV172" s="201"/>
    </row>
    <row r="173" s="10" customFormat="1" ht="15.95" customHeight="1" spans="1:256">
      <c r="A173" s="199">
        <v>59</v>
      </c>
      <c r="B173" s="20" t="s">
        <v>2184</v>
      </c>
      <c r="C173" s="199" t="s">
        <v>2134</v>
      </c>
      <c r="D173" s="199">
        <v>4059</v>
      </c>
      <c r="E173" s="199">
        <f>'05版台时'!L296</f>
        <v>82.1229297740232</v>
      </c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  <c r="AK173" s="200"/>
      <c r="AL173" s="200"/>
      <c r="AM173" s="200"/>
      <c r="AN173" s="200"/>
      <c r="AO173" s="200"/>
      <c r="AP173" s="200"/>
      <c r="AQ173" s="200"/>
      <c r="AR173" s="200"/>
      <c r="AS173" s="200"/>
      <c r="AT173" s="200"/>
      <c r="AU173" s="200"/>
      <c r="AV173" s="200"/>
      <c r="AW173" s="200"/>
      <c r="AX173" s="200"/>
      <c r="AY173" s="200"/>
      <c r="AZ173" s="200"/>
      <c r="BA173" s="200"/>
      <c r="BB173" s="200"/>
      <c r="BC173" s="200"/>
      <c r="BD173" s="200"/>
      <c r="BE173" s="200"/>
      <c r="BF173" s="200"/>
      <c r="BG173" s="200"/>
      <c r="BH173" s="200"/>
      <c r="BI173" s="200"/>
      <c r="BJ173" s="200"/>
      <c r="BK173" s="200"/>
      <c r="BL173" s="200"/>
      <c r="BM173" s="200"/>
      <c r="BN173" s="200"/>
      <c r="BO173" s="200"/>
      <c r="BP173" s="200"/>
      <c r="BQ173" s="200"/>
      <c r="BR173" s="200"/>
      <c r="BS173" s="200"/>
      <c r="BT173" s="200"/>
      <c r="BU173" s="200"/>
      <c r="BV173" s="200"/>
      <c r="BW173" s="200"/>
      <c r="BX173" s="200"/>
      <c r="BY173" s="200"/>
      <c r="BZ173" s="200"/>
      <c r="CA173" s="200"/>
      <c r="CB173" s="200"/>
      <c r="CC173" s="200"/>
      <c r="CD173" s="200"/>
      <c r="CE173" s="200"/>
      <c r="CF173" s="200"/>
      <c r="CG173" s="200"/>
      <c r="CH173" s="200"/>
      <c r="CI173" s="200"/>
      <c r="CJ173" s="200"/>
      <c r="CK173" s="200"/>
      <c r="CL173" s="200"/>
      <c r="CM173" s="200"/>
      <c r="CN173" s="200"/>
      <c r="CO173" s="200"/>
      <c r="CP173" s="200"/>
      <c r="CQ173" s="200"/>
      <c r="CR173" s="200"/>
      <c r="CS173" s="200"/>
      <c r="CT173" s="200"/>
      <c r="CU173" s="200"/>
      <c r="CV173" s="200"/>
      <c r="CW173" s="200"/>
      <c r="CX173" s="200"/>
      <c r="CY173" s="200"/>
      <c r="CZ173" s="200"/>
      <c r="DA173" s="200"/>
      <c r="DB173" s="200"/>
      <c r="DC173" s="200"/>
      <c r="DD173" s="200"/>
      <c r="DE173" s="200"/>
      <c r="DF173" s="200"/>
      <c r="DG173" s="200"/>
      <c r="DH173" s="200"/>
      <c r="DI173" s="200"/>
      <c r="DJ173" s="200"/>
      <c r="DK173" s="200"/>
      <c r="DL173" s="200"/>
      <c r="DM173" s="200"/>
      <c r="DN173" s="200"/>
      <c r="DO173" s="200"/>
      <c r="DP173" s="200"/>
      <c r="DQ173" s="200"/>
      <c r="DR173" s="200"/>
      <c r="DS173" s="200"/>
      <c r="DT173" s="200"/>
      <c r="DU173" s="200"/>
      <c r="DV173" s="200"/>
      <c r="DW173" s="200"/>
      <c r="DX173" s="200"/>
      <c r="DY173" s="200"/>
      <c r="DZ173" s="200"/>
      <c r="EA173" s="200"/>
      <c r="EB173" s="200"/>
      <c r="EC173" s="200"/>
      <c r="ED173" s="200"/>
      <c r="EE173" s="200"/>
      <c r="EF173" s="200"/>
      <c r="EG173" s="200"/>
      <c r="EH173" s="200"/>
      <c r="EI173" s="200"/>
      <c r="EJ173" s="200"/>
      <c r="EK173" s="200"/>
      <c r="EL173" s="200"/>
      <c r="EM173" s="200"/>
      <c r="EN173" s="200"/>
      <c r="EO173" s="200"/>
      <c r="EP173" s="200"/>
      <c r="EQ173" s="200"/>
      <c r="ER173" s="200"/>
      <c r="ES173" s="200"/>
      <c r="ET173" s="200"/>
      <c r="EU173" s="200"/>
      <c r="EV173" s="200"/>
      <c r="EW173" s="200"/>
      <c r="EX173" s="200"/>
      <c r="EY173" s="200"/>
      <c r="EZ173" s="200"/>
      <c r="FA173" s="200"/>
      <c r="FB173" s="200"/>
      <c r="FC173" s="200"/>
      <c r="FD173" s="200"/>
      <c r="FE173" s="200"/>
      <c r="FF173" s="200"/>
      <c r="FG173" s="200"/>
      <c r="FH173" s="200"/>
      <c r="FI173" s="200"/>
      <c r="FJ173" s="200"/>
      <c r="FK173" s="200"/>
      <c r="FL173" s="200"/>
      <c r="FM173" s="200"/>
      <c r="FN173" s="200"/>
      <c r="FO173" s="200"/>
      <c r="FP173" s="200"/>
      <c r="FQ173" s="200"/>
      <c r="FR173" s="200"/>
      <c r="FS173" s="200"/>
      <c r="FT173" s="200"/>
      <c r="FU173" s="200"/>
      <c r="FV173" s="200"/>
      <c r="FW173" s="200"/>
      <c r="FX173" s="200"/>
      <c r="FY173" s="200"/>
      <c r="FZ173" s="200"/>
      <c r="GA173" s="200"/>
      <c r="GB173" s="200"/>
      <c r="GC173" s="200"/>
      <c r="GD173" s="200"/>
      <c r="GE173" s="200"/>
      <c r="GF173" s="200"/>
      <c r="GG173" s="200"/>
      <c r="GH173" s="200"/>
      <c r="GI173" s="200"/>
      <c r="GJ173" s="200"/>
      <c r="GK173" s="200"/>
      <c r="GL173" s="200"/>
      <c r="GM173" s="200"/>
      <c r="GN173" s="200"/>
      <c r="GO173" s="200"/>
      <c r="GP173" s="200"/>
      <c r="GQ173" s="200"/>
      <c r="GR173" s="200"/>
      <c r="GS173" s="200"/>
      <c r="GT173" s="200"/>
      <c r="GU173" s="200"/>
      <c r="GV173" s="200"/>
      <c r="GW173" s="200"/>
      <c r="GX173" s="200"/>
      <c r="GY173" s="200"/>
      <c r="GZ173" s="200"/>
      <c r="HA173" s="200"/>
      <c r="HB173" s="200"/>
      <c r="HC173" s="200"/>
      <c r="HD173" s="200"/>
      <c r="HE173" s="200"/>
      <c r="HF173" s="200"/>
      <c r="HG173" s="200"/>
      <c r="HH173" s="200"/>
      <c r="HI173" s="200"/>
      <c r="HJ173" s="200"/>
      <c r="HK173" s="200"/>
      <c r="HL173" s="200"/>
      <c r="HM173" s="200"/>
      <c r="HN173" s="200"/>
      <c r="HO173" s="200"/>
      <c r="HP173" s="200"/>
      <c r="HQ173" s="200"/>
      <c r="HR173" s="200"/>
      <c r="HS173" s="200"/>
      <c r="HT173" s="200"/>
      <c r="HU173" s="200"/>
      <c r="HV173" s="200"/>
      <c r="HW173" s="200"/>
      <c r="HX173" s="200"/>
      <c r="HY173" s="200"/>
      <c r="HZ173" s="200"/>
      <c r="IA173" s="200"/>
      <c r="IB173" s="200"/>
      <c r="IC173" s="200"/>
      <c r="ID173" s="200"/>
      <c r="IE173" s="200"/>
      <c r="IF173" s="200"/>
      <c r="IG173" s="200"/>
      <c r="IH173" s="200"/>
      <c r="II173" s="200"/>
      <c r="IJ173" s="200"/>
      <c r="IK173" s="200"/>
      <c r="IL173" s="200"/>
      <c r="IM173" s="200"/>
      <c r="IN173" s="200"/>
      <c r="IO173" s="200"/>
      <c r="IP173" s="200"/>
      <c r="IQ173" s="200"/>
      <c r="IR173" s="200"/>
      <c r="IS173" s="200"/>
      <c r="IT173" s="200"/>
      <c r="IU173" s="201"/>
      <c r="IV173" s="201"/>
    </row>
    <row r="174" s="10" customFormat="1" ht="15.95" customHeight="1" spans="1:256">
      <c r="A174" s="199">
        <v>60</v>
      </c>
      <c r="B174" s="20" t="s">
        <v>2185</v>
      </c>
      <c r="C174" s="199" t="s">
        <v>2186</v>
      </c>
      <c r="D174" s="199">
        <v>4060</v>
      </c>
      <c r="E174" s="199">
        <f>'05版台时'!M296</f>
        <v>0.0618268847227762</v>
      </c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  <c r="AK174" s="200"/>
      <c r="AL174" s="200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  <c r="BD174" s="200"/>
      <c r="BE174" s="200"/>
      <c r="BF174" s="200"/>
      <c r="BG174" s="200"/>
      <c r="BH174" s="200"/>
      <c r="BI174" s="200"/>
      <c r="BJ174" s="200"/>
      <c r="BK174" s="200"/>
      <c r="BL174" s="200"/>
      <c r="BM174" s="200"/>
      <c r="BN174" s="200"/>
      <c r="BO174" s="200"/>
      <c r="BP174" s="200"/>
      <c r="BQ174" s="200"/>
      <c r="BR174" s="200"/>
      <c r="BS174" s="200"/>
      <c r="BT174" s="200"/>
      <c r="BU174" s="200"/>
      <c r="BV174" s="200"/>
      <c r="BW174" s="200"/>
      <c r="BX174" s="200"/>
      <c r="BY174" s="200"/>
      <c r="BZ174" s="200"/>
      <c r="CA174" s="200"/>
      <c r="CB174" s="200"/>
      <c r="CC174" s="200"/>
      <c r="CD174" s="200"/>
      <c r="CE174" s="200"/>
      <c r="CF174" s="200"/>
      <c r="CG174" s="200"/>
      <c r="CH174" s="200"/>
      <c r="CI174" s="200"/>
      <c r="CJ174" s="200"/>
      <c r="CK174" s="200"/>
      <c r="CL174" s="200"/>
      <c r="CM174" s="200"/>
      <c r="CN174" s="200"/>
      <c r="CO174" s="200"/>
      <c r="CP174" s="200"/>
      <c r="CQ174" s="200"/>
      <c r="CR174" s="200"/>
      <c r="CS174" s="200"/>
      <c r="CT174" s="200"/>
      <c r="CU174" s="200"/>
      <c r="CV174" s="200"/>
      <c r="CW174" s="200"/>
      <c r="CX174" s="200"/>
      <c r="CY174" s="200"/>
      <c r="CZ174" s="200"/>
      <c r="DA174" s="200"/>
      <c r="DB174" s="200"/>
      <c r="DC174" s="200"/>
      <c r="DD174" s="200"/>
      <c r="DE174" s="200"/>
      <c r="DF174" s="200"/>
      <c r="DG174" s="200"/>
      <c r="DH174" s="200"/>
      <c r="DI174" s="200"/>
      <c r="DJ174" s="200"/>
      <c r="DK174" s="200"/>
      <c r="DL174" s="200"/>
      <c r="DM174" s="200"/>
      <c r="DN174" s="200"/>
      <c r="DO174" s="200"/>
      <c r="DP174" s="200"/>
      <c r="DQ174" s="200"/>
      <c r="DR174" s="200"/>
      <c r="DS174" s="200"/>
      <c r="DT174" s="200"/>
      <c r="DU174" s="200"/>
      <c r="DV174" s="200"/>
      <c r="DW174" s="200"/>
      <c r="DX174" s="200"/>
      <c r="DY174" s="200"/>
      <c r="DZ174" s="200"/>
      <c r="EA174" s="200"/>
      <c r="EB174" s="200"/>
      <c r="EC174" s="200"/>
      <c r="ED174" s="200"/>
      <c r="EE174" s="200"/>
      <c r="EF174" s="200"/>
      <c r="EG174" s="200"/>
      <c r="EH174" s="200"/>
      <c r="EI174" s="200"/>
      <c r="EJ174" s="200"/>
      <c r="EK174" s="200"/>
      <c r="EL174" s="200"/>
      <c r="EM174" s="200"/>
      <c r="EN174" s="200"/>
      <c r="EO174" s="200"/>
      <c r="EP174" s="200"/>
      <c r="EQ174" s="200"/>
      <c r="ER174" s="200"/>
      <c r="ES174" s="200"/>
      <c r="ET174" s="200"/>
      <c r="EU174" s="200"/>
      <c r="EV174" s="200"/>
      <c r="EW174" s="200"/>
      <c r="EX174" s="200"/>
      <c r="EY174" s="200"/>
      <c r="EZ174" s="200"/>
      <c r="FA174" s="200"/>
      <c r="FB174" s="200"/>
      <c r="FC174" s="200"/>
      <c r="FD174" s="200"/>
      <c r="FE174" s="200"/>
      <c r="FF174" s="200"/>
      <c r="FG174" s="200"/>
      <c r="FH174" s="200"/>
      <c r="FI174" s="200"/>
      <c r="FJ174" s="200"/>
      <c r="FK174" s="200"/>
      <c r="FL174" s="200"/>
      <c r="FM174" s="200"/>
      <c r="FN174" s="200"/>
      <c r="FO174" s="200"/>
      <c r="FP174" s="200"/>
      <c r="FQ174" s="200"/>
      <c r="FR174" s="200"/>
      <c r="FS174" s="200"/>
      <c r="FT174" s="200"/>
      <c r="FU174" s="200"/>
      <c r="FV174" s="200"/>
      <c r="FW174" s="200"/>
      <c r="FX174" s="200"/>
      <c r="FY174" s="200"/>
      <c r="FZ174" s="200"/>
      <c r="GA174" s="200"/>
      <c r="GB174" s="200"/>
      <c r="GC174" s="200"/>
      <c r="GD174" s="200"/>
      <c r="GE174" s="200"/>
      <c r="GF174" s="200"/>
      <c r="GG174" s="200"/>
      <c r="GH174" s="200"/>
      <c r="GI174" s="200"/>
      <c r="GJ174" s="200"/>
      <c r="GK174" s="200"/>
      <c r="GL174" s="200"/>
      <c r="GM174" s="200"/>
      <c r="GN174" s="200"/>
      <c r="GO174" s="200"/>
      <c r="GP174" s="200"/>
      <c r="GQ174" s="200"/>
      <c r="GR174" s="200"/>
      <c r="GS174" s="200"/>
      <c r="GT174" s="200"/>
      <c r="GU174" s="200"/>
      <c r="GV174" s="200"/>
      <c r="GW174" s="200"/>
      <c r="GX174" s="200"/>
      <c r="GY174" s="200"/>
      <c r="GZ174" s="200"/>
      <c r="HA174" s="200"/>
      <c r="HB174" s="200"/>
      <c r="HC174" s="200"/>
      <c r="HD174" s="200"/>
      <c r="HE174" s="200"/>
      <c r="HF174" s="200"/>
      <c r="HG174" s="200"/>
      <c r="HH174" s="200"/>
      <c r="HI174" s="200"/>
      <c r="HJ174" s="200"/>
      <c r="HK174" s="200"/>
      <c r="HL174" s="200"/>
      <c r="HM174" s="200"/>
      <c r="HN174" s="200"/>
      <c r="HO174" s="200"/>
      <c r="HP174" s="200"/>
      <c r="HQ174" s="200"/>
      <c r="HR174" s="200"/>
      <c r="HS174" s="200"/>
      <c r="HT174" s="200"/>
      <c r="HU174" s="200"/>
      <c r="HV174" s="200"/>
      <c r="HW174" s="200"/>
      <c r="HX174" s="200"/>
      <c r="HY174" s="200"/>
      <c r="HZ174" s="200"/>
      <c r="IA174" s="200"/>
      <c r="IB174" s="200"/>
      <c r="IC174" s="200"/>
      <c r="ID174" s="200"/>
      <c r="IE174" s="200"/>
      <c r="IF174" s="200"/>
      <c r="IG174" s="200"/>
      <c r="IH174" s="200"/>
      <c r="II174" s="200"/>
      <c r="IJ174" s="200"/>
      <c r="IK174" s="200"/>
      <c r="IL174" s="200"/>
      <c r="IM174" s="200"/>
      <c r="IN174" s="200"/>
      <c r="IO174" s="200"/>
      <c r="IP174" s="200"/>
      <c r="IQ174" s="200"/>
      <c r="IR174" s="200"/>
      <c r="IS174" s="200"/>
      <c r="IT174" s="200"/>
      <c r="IU174" s="201"/>
      <c r="IV174" s="201"/>
    </row>
    <row r="175" s="10" customFormat="1" ht="15.95" customHeight="1" spans="1:256">
      <c r="A175" s="199">
        <v>61</v>
      </c>
      <c r="B175" s="20" t="s">
        <v>2185</v>
      </c>
      <c r="C175" s="199" t="s">
        <v>2170</v>
      </c>
      <c r="D175" s="199">
        <v>4061</v>
      </c>
      <c r="E175" s="199">
        <f>'05版台时'!N296</f>
        <v>0.15939369764659</v>
      </c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  <c r="BD175" s="200"/>
      <c r="BE175" s="200"/>
      <c r="BF175" s="200"/>
      <c r="BG175" s="200"/>
      <c r="BH175" s="200"/>
      <c r="BI175" s="200"/>
      <c r="BJ175" s="200"/>
      <c r="BK175" s="200"/>
      <c r="BL175" s="200"/>
      <c r="BM175" s="200"/>
      <c r="BN175" s="200"/>
      <c r="BO175" s="200"/>
      <c r="BP175" s="200"/>
      <c r="BQ175" s="200"/>
      <c r="BR175" s="200"/>
      <c r="BS175" s="200"/>
      <c r="BT175" s="200"/>
      <c r="BU175" s="200"/>
      <c r="BV175" s="200"/>
      <c r="BW175" s="200"/>
      <c r="BX175" s="200"/>
      <c r="BY175" s="200"/>
      <c r="BZ175" s="200"/>
      <c r="CA175" s="200"/>
      <c r="CB175" s="200"/>
      <c r="CC175" s="200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0"/>
      <c r="CN175" s="200"/>
      <c r="CO175" s="200"/>
      <c r="CP175" s="200"/>
      <c r="CQ175" s="200"/>
      <c r="CR175" s="200"/>
      <c r="CS175" s="200"/>
      <c r="CT175" s="200"/>
      <c r="CU175" s="200"/>
      <c r="CV175" s="200"/>
      <c r="CW175" s="200"/>
      <c r="CX175" s="200"/>
      <c r="CY175" s="200"/>
      <c r="CZ175" s="200"/>
      <c r="DA175" s="200"/>
      <c r="DB175" s="200"/>
      <c r="DC175" s="200"/>
      <c r="DD175" s="200"/>
      <c r="DE175" s="200"/>
      <c r="DF175" s="200"/>
      <c r="DG175" s="200"/>
      <c r="DH175" s="200"/>
      <c r="DI175" s="200"/>
      <c r="DJ175" s="200"/>
      <c r="DK175" s="200"/>
      <c r="DL175" s="200"/>
      <c r="DM175" s="200"/>
      <c r="DN175" s="200"/>
      <c r="DO175" s="200"/>
      <c r="DP175" s="200"/>
      <c r="DQ175" s="200"/>
      <c r="DR175" s="200"/>
      <c r="DS175" s="200"/>
      <c r="DT175" s="200"/>
      <c r="DU175" s="200"/>
      <c r="DV175" s="200"/>
      <c r="DW175" s="200"/>
      <c r="DX175" s="200"/>
      <c r="DY175" s="200"/>
      <c r="DZ175" s="200"/>
      <c r="EA175" s="200"/>
      <c r="EB175" s="200"/>
      <c r="EC175" s="200"/>
      <c r="ED175" s="200"/>
      <c r="EE175" s="200"/>
      <c r="EF175" s="200"/>
      <c r="EG175" s="200"/>
      <c r="EH175" s="200"/>
      <c r="EI175" s="200"/>
      <c r="EJ175" s="200"/>
      <c r="EK175" s="200"/>
      <c r="EL175" s="200"/>
      <c r="EM175" s="200"/>
      <c r="EN175" s="200"/>
      <c r="EO175" s="200"/>
      <c r="EP175" s="200"/>
      <c r="EQ175" s="200"/>
      <c r="ER175" s="200"/>
      <c r="ES175" s="200"/>
      <c r="ET175" s="200"/>
      <c r="EU175" s="200"/>
      <c r="EV175" s="200"/>
      <c r="EW175" s="200"/>
      <c r="EX175" s="200"/>
      <c r="EY175" s="200"/>
      <c r="EZ175" s="200"/>
      <c r="FA175" s="200"/>
      <c r="FB175" s="200"/>
      <c r="FC175" s="200"/>
      <c r="FD175" s="200"/>
      <c r="FE175" s="200"/>
      <c r="FF175" s="200"/>
      <c r="FG175" s="200"/>
      <c r="FH175" s="200"/>
      <c r="FI175" s="200"/>
      <c r="FJ175" s="200"/>
      <c r="FK175" s="200"/>
      <c r="FL175" s="200"/>
      <c r="FM175" s="200"/>
      <c r="FN175" s="200"/>
      <c r="FO175" s="200"/>
      <c r="FP175" s="200"/>
      <c r="FQ175" s="200"/>
      <c r="FR175" s="200"/>
      <c r="FS175" s="200"/>
      <c r="FT175" s="200"/>
      <c r="FU175" s="200"/>
      <c r="FV175" s="200"/>
      <c r="FW175" s="200"/>
      <c r="FX175" s="200"/>
      <c r="FY175" s="200"/>
      <c r="FZ175" s="200"/>
      <c r="GA175" s="200"/>
      <c r="GB175" s="200"/>
      <c r="GC175" s="200"/>
      <c r="GD175" s="200"/>
      <c r="GE175" s="200"/>
      <c r="GF175" s="200"/>
      <c r="GG175" s="200"/>
      <c r="GH175" s="200"/>
      <c r="GI175" s="200"/>
      <c r="GJ175" s="200"/>
      <c r="GK175" s="200"/>
      <c r="GL175" s="200"/>
      <c r="GM175" s="200"/>
      <c r="GN175" s="200"/>
      <c r="GO175" s="200"/>
      <c r="GP175" s="200"/>
      <c r="GQ175" s="200"/>
      <c r="GR175" s="200"/>
      <c r="GS175" s="200"/>
      <c r="GT175" s="200"/>
      <c r="GU175" s="200"/>
      <c r="GV175" s="200"/>
      <c r="GW175" s="200"/>
      <c r="GX175" s="200"/>
      <c r="GY175" s="200"/>
      <c r="GZ175" s="200"/>
      <c r="HA175" s="200"/>
      <c r="HB175" s="200"/>
      <c r="HC175" s="200"/>
      <c r="HD175" s="200"/>
      <c r="HE175" s="200"/>
      <c r="HF175" s="200"/>
      <c r="HG175" s="200"/>
      <c r="HH175" s="200"/>
      <c r="HI175" s="200"/>
      <c r="HJ175" s="200"/>
      <c r="HK175" s="200"/>
      <c r="HL175" s="200"/>
      <c r="HM175" s="200"/>
      <c r="HN175" s="200"/>
      <c r="HO175" s="200"/>
      <c r="HP175" s="200"/>
      <c r="HQ175" s="200"/>
      <c r="HR175" s="200"/>
      <c r="HS175" s="200"/>
      <c r="HT175" s="200"/>
      <c r="HU175" s="200"/>
      <c r="HV175" s="200"/>
      <c r="HW175" s="200"/>
      <c r="HX175" s="200"/>
      <c r="HY175" s="200"/>
      <c r="HZ175" s="200"/>
      <c r="IA175" s="200"/>
      <c r="IB175" s="200"/>
      <c r="IC175" s="200"/>
      <c r="ID175" s="200"/>
      <c r="IE175" s="200"/>
      <c r="IF175" s="200"/>
      <c r="IG175" s="200"/>
      <c r="IH175" s="200"/>
      <c r="II175" s="200"/>
      <c r="IJ175" s="200"/>
      <c r="IK175" s="200"/>
      <c r="IL175" s="200"/>
      <c r="IM175" s="200"/>
      <c r="IN175" s="200"/>
      <c r="IO175" s="200"/>
      <c r="IP175" s="200"/>
      <c r="IQ175" s="200"/>
      <c r="IR175" s="200"/>
      <c r="IS175" s="200"/>
      <c r="IT175" s="200"/>
      <c r="IU175" s="201"/>
      <c r="IV175" s="201"/>
    </row>
    <row r="176" s="10" customFormat="1" ht="15.95" customHeight="1" spans="1:256">
      <c r="A176" s="199">
        <v>62</v>
      </c>
      <c r="B176" s="20" t="s">
        <v>2185</v>
      </c>
      <c r="C176" s="199" t="s">
        <v>2172</v>
      </c>
      <c r="D176" s="199">
        <v>4062</v>
      </c>
      <c r="E176" s="199">
        <f>'05版台时'!O296</f>
        <v>0.475309134423614</v>
      </c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200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200"/>
      <c r="BD176" s="200"/>
      <c r="BE176" s="200"/>
      <c r="BF176" s="200"/>
      <c r="BG176" s="200"/>
      <c r="BH176" s="200"/>
      <c r="BI176" s="200"/>
      <c r="BJ176" s="200"/>
      <c r="BK176" s="200"/>
      <c r="BL176" s="200"/>
      <c r="BM176" s="200"/>
      <c r="BN176" s="200"/>
      <c r="BO176" s="200"/>
      <c r="BP176" s="200"/>
      <c r="BQ176" s="200"/>
      <c r="BR176" s="200"/>
      <c r="BS176" s="200"/>
      <c r="BT176" s="200"/>
      <c r="BU176" s="200"/>
      <c r="BV176" s="200"/>
      <c r="BW176" s="200"/>
      <c r="BX176" s="200"/>
      <c r="BY176" s="200"/>
      <c r="BZ176" s="200"/>
      <c r="CA176" s="200"/>
      <c r="CB176" s="200"/>
      <c r="CC176" s="200"/>
      <c r="CD176" s="200"/>
      <c r="CE176" s="200"/>
      <c r="CF176" s="200"/>
      <c r="CG176" s="200"/>
      <c r="CH176" s="200"/>
      <c r="CI176" s="200"/>
      <c r="CJ176" s="200"/>
      <c r="CK176" s="200"/>
      <c r="CL176" s="200"/>
      <c r="CM176" s="200"/>
      <c r="CN176" s="200"/>
      <c r="CO176" s="200"/>
      <c r="CP176" s="200"/>
      <c r="CQ176" s="200"/>
      <c r="CR176" s="200"/>
      <c r="CS176" s="200"/>
      <c r="CT176" s="200"/>
      <c r="CU176" s="200"/>
      <c r="CV176" s="200"/>
      <c r="CW176" s="200"/>
      <c r="CX176" s="200"/>
      <c r="CY176" s="200"/>
      <c r="CZ176" s="200"/>
      <c r="DA176" s="200"/>
      <c r="DB176" s="200"/>
      <c r="DC176" s="200"/>
      <c r="DD176" s="200"/>
      <c r="DE176" s="200"/>
      <c r="DF176" s="200"/>
      <c r="DG176" s="200"/>
      <c r="DH176" s="200"/>
      <c r="DI176" s="200"/>
      <c r="DJ176" s="200"/>
      <c r="DK176" s="200"/>
      <c r="DL176" s="200"/>
      <c r="DM176" s="200"/>
      <c r="DN176" s="200"/>
      <c r="DO176" s="200"/>
      <c r="DP176" s="200"/>
      <c r="DQ176" s="200"/>
      <c r="DR176" s="200"/>
      <c r="DS176" s="200"/>
      <c r="DT176" s="200"/>
      <c r="DU176" s="200"/>
      <c r="DV176" s="200"/>
      <c r="DW176" s="200"/>
      <c r="DX176" s="200"/>
      <c r="DY176" s="200"/>
      <c r="DZ176" s="200"/>
      <c r="EA176" s="200"/>
      <c r="EB176" s="200"/>
      <c r="EC176" s="200"/>
      <c r="ED176" s="200"/>
      <c r="EE176" s="200"/>
      <c r="EF176" s="200"/>
      <c r="EG176" s="200"/>
      <c r="EH176" s="200"/>
      <c r="EI176" s="200"/>
      <c r="EJ176" s="200"/>
      <c r="EK176" s="200"/>
      <c r="EL176" s="200"/>
      <c r="EM176" s="200"/>
      <c r="EN176" s="200"/>
      <c r="EO176" s="200"/>
      <c r="EP176" s="200"/>
      <c r="EQ176" s="200"/>
      <c r="ER176" s="200"/>
      <c r="ES176" s="200"/>
      <c r="ET176" s="200"/>
      <c r="EU176" s="200"/>
      <c r="EV176" s="200"/>
      <c r="EW176" s="200"/>
      <c r="EX176" s="200"/>
      <c r="EY176" s="200"/>
      <c r="EZ176" s="200"/>
      <c r="FA176" s="200"/>
      <c r="FB176" s="200"/>
      <c r="FC176" s="200"/>
      <c r="FD176" s="200"/>
      <c r="FE176" s="200"/>
      <c r="FF176" s="200"/>
      <c r="FG176" s="200"/>
      <c r="FH176" s="200"/>
      <c r="FI176" s="200"/>
      <c r="FJ176" s="200"/>
      <c r="FK176" s="200"/>
      <c r="FL176" s="200"/>
      <c r="FM176" s="200"/>
      <c r="FN176" s="200"/>
      <c r="FO176" s="200"/>
      <c r="FP176" s="200"/>
      <c r="FQ176" s="200"/>
      <c r="FR176" s="200"/>
      <c r="FS176" s="200"/>
      <c r="FT176" s="200"/>
      <c r="FU176" s="200"/>
      <c r="FV176" s="200"/>
      <c r="FW176" s="200"/>
      <c r="FX176" s="200"/>
      <c r="FY176" s="200"/>
      <c r="FZ176" s="200"/>
      <c r="GA176" s="200"/>
      <c r="GB176" s="200"/>
      <c r="GC176" s="200"/>
      <c r="GD176" s="200"/>
      <c r="GE176" s="200"/>
      <c r="GF176" s="200"/>
      <c r="GG176" s="200"/>
      <c r="GH176" s="200"/>
      <c r="GI176" s="200"/>
      <c r="GJ176" s="200"/>
      <c r="GK176" s="200"/>
      <c r="GL176" s="200"/>
      <c r="GM176" s="200"/>
      <c r="GN176" s="200"/>
      <c r="GO176" s="200"/>
      <c r="GP176" s="200"/>
      <c r="GQ176" s="200"/>
      <c r="GR176" s="200"/>
      <c r="GS176" s="200"/>
      <c r="GT176" s="200"/>
      <c r="GU176" s="200"/>
      <c r="GV176" s="200"/>
      <c r="GW176" s="200"/>
      <c r="GX176" s="200"/>
      <c r="GY176" s="200"/>
      <c r="GZ176" s="200"/>
      <c r="HA176" s="200"/>
      <c r="HB176" s="200"/>
      <c r="HC176" s="200"/>
      <c r="HD176" s="200"/>
      <c r="HE176" s="200"/>
      <c r="HF176" s="200"/>
      <c r="HG176" s="200"/>
      <c r="HH176" s="200"/>
      <c r="HI176" s="200"/>
      <c r="HJ176" s="200"/>
      <c r="HK176" s="200"/>
      <c r="HL176" s="200"/>
      <c r="HM176" s="200"/>
      <c r="HN176" s="200"/>
      <c r="HO176" s="200"/>
      <c r="HP176" s="200"/>
      <c r="HQ176" s="200"/>
      <c r="HR176" s="200"/>
      <c r="HS176" s="200"/>
      <c r="HT176" s="200"/>
      <c r="HU176" s="200"/>
      <c r="HV176" s="200"/>
      <c r="HW176" s="200"/>
      <c r="HX176" s="200"/>
      <c r="HY176" s="200"/>
      <c r="HZ176" s="200"/>
      <c r="IA176" s="200"/>
      <c r="IB176" s="200"/>
      <c r="IC176" s="200"/>
      <c r="ID176" s="200"/>
      <c r="IE176" s="200"/>
      <c r="IF176" s="200"/>
      <c r="IG176" s="200"/>
      <c r="IH176" s="200"/>
      <c r="II176" s="200"/>
      <c r="IJ176" s="200"/>
      <c r="IK176" s="200"/>
      <c r="IL176" s="200"/>
      <c r="IM176" s="200"/>
      <c r="IN176" s="200"/>
      <c r="IO176" s="200"/>
      <c r="IP176" s="200"/>
      <c r="IQ176" s="200"/>
      <c r="IR176" s="200"/>
      <c r="IS176" s="200"/>
      <c r="IT176" s="200"/>
      <c r="IU176" s="201"/>
      <c r="IV176" s="201"/>
    </row>
    <row r="177" s="10" customFormat="1" ht="15.95" customHeight="1" spans="1:256">
      <c r="A177" s="199">
        <v>63</v>
      </c>
      <c r="B177" s="20" t="s">
        <v>2187</v>
      </c>
      <c r="C177" s="199" t="s">
        <v>2188</v>
      </c>
      <c r="D177" s="199">
        <v>4063</v>
      </c>
      <c r="E177" s="199">
        <f>'05版台时'!P296</f>
        <v>1.57206222576785</v>
      </c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200"/>
      <c r="BD177" s="200"/>
      <c r="BE177" s="200"/>
      <c r="BF177" s="200"/>
      <c r="BG177" s="200"/>
      <c r="BH177" s="200"/>
      <c r="BI177" s="200"/>
      <c r="BJ177" s="200"/>
      <c r="BK177" s="200"/>
      <c r="BL177" s="200"/>
      <c r="BM177" s="200"/>
      <c r="BN177" s="200"/>
      <c r="BO177" s="200"/>
      <c r="BP177" s="200"/>
      <c r="BQ177" s="200"/>
      <c r="BR177" s="200"/>
      <c r="BS177" s="200"/>
      <c r="BT177" s="200"/>
      <c r="BU177" s="200"/>
      <c r="BV177" s="200"/>
      <c r="BW177" s="200"/>
      <c r="BX177" s="200"/>
      <c r="BY177" s="200"/>
      <c r="BZ177" s="200"/>
      <c r="CA177" s="200"/>
      <c r="CB177" s="200"/>
      <c r="CC177" s="200"/>
      <c r="CD177" s="200"/>
      <c r="CE177" s="200"/>
      <c r="CF177" s="200"/>
      <c r="CG177" s="200"/>
      <c r="CH177" s="200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200"/>
      <c r="CX177" s="200"/>
      <c r="CY177" s="200"/>
      <c r="CZ177" s="200"/>
      <c r="DA177" s="200"/>
      <c r="DB177" s="200"/>
      <c r="DC177" s="200"/>
      <c r="DD177" s="200"/>
      <c r="DE177" s="200"/>
      <c r="DF177" s="200"/>
      <c r="DG177" s="200"/>
      <c r="DH177" s="200"/>
      <c r="DI177" s="200"/>
      <c r="DJ177" s="200"/>
      <c r="DK177" s="200"/>
      <c r="DL177" s="200"/>
      <c r="DM177" s="200"/>
      <c r="DN177" s="200"/>
      <c r="DO177" s="200"/>
      <c r="DP177" s="200"/>
      <c r="DQ177" s="200"/>
      <c r="DR177" s="200"/>
      <c r="DS177" s="200"/>
      <c r="DT177" s="200"/>
      <c r="DU177" s="200"/>
      <c r="DV177" s="200"/>
      <c r="DW177" s="200"/>
      <c r="DX177" s="200"/>
      <c r="DY177" s="200"/>
      <c r="DZ177" s="200"/>
      <c r="EA177" s="200"/>
      <c r="EB177" s="200"/>
      <c r="EC177" s="200"/>
      <c r="ED177" s="200"/>
      <c r="EE177" s="200"/>
      <c r="EF177" s="200"/>
      <c r="EG177" s="200"/>
      <c r="EH177" s="200"/>
      <c r="EI177" s="200"/>
      <c r="EJ177" s="200"/>
      <c r="EK177" s="200"/>
      <c r="EL177" s="200"/>
      <c r="EM177" s="200"/>
      <c r="EN177" s="200"/>
      <c r="EO177" s="200"/>
      <c r="EP177" s="200"/>
      <c r="EQ177" s="200"/>
      <c r="ER177" s="200"/>
      <c r="ES177" s="200"/>
      <c r="ET177" s="200"/>
      <c r="EU177" s="200"/>
      <c r="EV177" s="200"/>
      <c r="EW177" s="200"/>
      <c r="EX177" s="200"/>
      <c r="EY177" s="200"/>
      <c r="EZ177" s="200"/>
      <c r="FA177" s="200"/>
      <c r="FB177" s="200"/>
      <c r="FC177" s="200"/>
      <c r="FD177" s="200"/>
      <c r="FE177" s="200"/>
      <c r="FF177" s="200"/>
      <c r="FG177" s="200"/>
      <c r="FH177" s="200"/>
      <c r="FI177" s="200"/>
      <c r="FJ177" s="200"/>
      <c r="FK177" s="200"/>
      <c r="FL177" s="200"/>
      <c r="FM177" s="200"/>
      <c r="FN177" s="200"/>
      <c r="FO177" s="200"/>
      <c r="FP177" s="200"/>
      <c r="FQ177" s="200"/>
      <c r="FR177" s="200"/>
      <c r="FS177" s="200"/>
      <c r="FT177" s="200"/>
      <c r="FU177" s="200"/>
      <c r="FV177" s="200"/>
      <c r="FW177" s="200"/>
      <c r="FX177" s="200"/>
      <c r="FY177" s="200"/>
      <c r="FZ177" s="200"/>
      <c r="GA177" s="200"/>
      <c r="GB177" s="200"/>
      <c r="GC177" s="200"/>
      <c r="GD177" s="200"/>
      <c r="GE177" s="200"/>
      <c r="GF177" s="200"/>
      <c r="GG177" s="200"/>
      <c r="GH177" s="200"/>
      <c r="GI177" s="200"/>
      <c r="GJ177" s="200"/>
      <c r="GK177" s="200"/>
      <c r="GL177" s="200"/>
      <c r="GM177" s="200"/>
      <c r="GN177" s="200"/>
      <c r="GO177" s="200"/>
      <c r="GP177" s="200"/>
      <c r="GQ177" s="200"/>
      <c r="GR177" s="200"/>
      <c r="GS177" s="200"/>
      <c r="GT177" s="200"/>
      <c r="GU177" s="200"/>
      <c r="GV177" s="200"/>
      <c r="GW177" s="200"/>
      <c r="GX177" s="200"/>
      <c r="GY177" s="200"/>
      <c r="GZ177" s="200"/>
      <c r="HA177" s="200"/>
      <c r="HB177" s="200"/>
      <c r="HC177" s="200"/>
      <c r="HD177" s="200"/>
      <c r="HE177" s="200"/>
      <c r="HF177" s="200"/>
      <c r="HG177" s="200"/>
      <c r="HH177" s="200"/>
      <c r="HI177" s="200"/>
      <c r="HJ177" s="200"/>
      <c r="HK177" s="200"/>
      <c r="HL177" s="200"/>
      <c r="HM177" s="200"/>
      <c r="HN177" s="200"/>
      <c r="HO177" s="200"/>
      <c r="HP177" s="200"/>
      <c r="HQ177" s="200"/>
      <c r="HR177" s="200"/>
      <c r="HS177" s="200"/>
      <c r="HT177" s="200"/>
      <c r="HU177" s="200"/>
      <c r="HV177" s="200"/>
      <c r="HW177" s="200"/>
      <c r="HX177" s="200"/>
      <c r="HY177" s="200"/>
      <c r="HZ177" s="200"/>
      <c r="IA177" s="200"/>
      <c r="IB177" s="200"/>
      <c r="IC177" s="200"/>
      <c r="ID177" s="200"/>
      <c r="IE177" s="200"/>
      <c r="IF177" s="200"/>
      <c r="IG177" s="200"/>
      <c r="IH177" s="200"/>
      <c r="II177" s="200"/>
      <c r="IJ177" s="200"/>
      <c r="IK177" s="200"/>
      <c r="IL177" s="200"/>
      <c r="IM177" s="200"/>
      <c r="IN177" s="200"/>
      <c r="IO177" s="200"/>
      <c r="IP177" s="200"/>
      <c r="IQ177" s="200"/>
      <c r="IR177" s="200"/>
      <c r="IS177" s="200"/>
      <c r="IT177" s="200"/>
      <c r="IU177" s="201"/>
      <c r="IV177" s="201"/>
    </row>
    <row r="178" s="10" customFormat="1" ht="15.95" customHeight="1" spans="1:256">
      <c r="A178" s="199">
        <v>64</v>
      </c>
      <c r="B178" s="20" t="s">
        <v>2187</v>
      </c>
      <c r="C178" s="199" t="s">
        <v>1575</v>
      </c>
      <c r="D178" s="199">
        <v>4064</v>
      </c>
      <c r="E178" s="199">
        <f>'05版台时'!Q296</f>
        <v>2.26506581571599</v>
      </c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  <c r="BD178" s="200"/>
      <c r="BE178" s="200"/>
      <c r="BF178" s="200"/>
      <c r="BG178" s="200"/>
      <c r="BH178" s="200"/>
      <c r="BI178" s="200"/>
      <c r="BJ178" s="200"/>
      <c r="BK178" s="200"/>
      <c r="BL178" s="200"/>
      <c r="BM178" s="200"/>
      <c r="BN178" s="200"/>
      <c r="BO178" s="200"/>
      <c r="BP178" s="200"/>
      <c r="BQ178" s="200"/>
      <c r="BR178" s="200"/>
      <c r="BS178" s="200"/>
      <c r="BT178" s="200"/>
      <c r="BU178" s="200"/>
      <c r="BV178" s="200"/>
      <c r="BW178" s="200"/>
      <c r="BX178" s="200"/>
      <c r="BY178" s="200"/>
      <c r="BZ178" s="200"/>
      <c r="CA178" s="200"/>
      <c r="CB178" s="200"/>
      <c r="CC178" s="200"/>
      <c r="CD178" s="200"/>
      <c r="CE178" s="200"/>
      <c r="CF178" s="200"/>
      <c r="CG178" s="200"/>
      <c r="CH178" s="200"/>
      <c r="CI178" s="200"/>
      <c r="CJ178" s="200"/>
      <c r="CK178" s="200"/>
      <c r="CL178" s="200"/>
      <c r="CM178" s="200"/>
      <c r="CN178" s="200"/>
      <c r="CO178" s="200"/>
      <c r="CP178" s="200"/>
      <c r="CQ178" s="200"/>
      <c r="CR178" s="200"/>
      <c r="CS178" s="200"/>
      <c r="CT178" s="200"/>
      <c r="CU178" s="200"/>
      <c r="CV178" s="200"/>
      <c r="CW178" s="200"/>
      <c r="CX178" s="200"/>
      <c r="CY178" s="200"/>
      <c r="CZ178" s="200"/>
      <c r="DA178" s="200"/>
      <c r="DB178" s="200"/>
      <c r="DC178" s="200"/>
      <c r="DD178" s="200"/>
      <c r="DE178" s="200"/>
      <c r="DF178" s="200"/>
      <c r="DG178" s="200"/>
      <c r="DH178" s="200"/>
      <c r="DI178" s="200"/>
      <c r="DJ178" s="200"/>
      <c r="DK178" s="200"/>
      <c r="DL178" s="200"/>
      <c r="DM178" s="200"/>
      <c r="DN178" s="200"/>
      <c r="DO178" s="200"/>
      <c r="DP178" s="200"/>
      <c r="DQ178" s="200"/>
      <c r="DR178" s="200"/>
      <c r="DS178" s="200"/>
      <c r="DT178" s="200"/>
      <c r="DU178" s="200"/>
      <c r="DV178" s="200"/>
      <c r="DW178" s="200"/>
      <c r="DX178" s="200"/>
      <c r="DY178" s="200"/>
      <c r="DZ178" s="200"/>
      <c r="EA178" s="200"/>
      <c r="EB178" s="200"/>
      <c r="EC178" s="200"/>
      <c r="ED178" s="200"/>
      <c r="EE178" s="200"/>
      <c r="EF178" s="200"/>
      <c r="EG178" s="200"/>
      <c r="EH178" s="200"/>
      <c r="EI178" s="200"/>
      <c r="EJ178" s="200"/>
      <c r="EK178" s="200"/>
      <c r="EL178" s="200"/>
      <c r="EM178" s="200"/>
      <c r="EN178" s="200"/>
      <c r="EO178" s="200"/>
      <c r="EP178" s="200"/>
      <c r="EQ178" s="200"/>
      <c r="ER178" s="200"/>
      <c r="ES178" s="200"/>
      <c r="ET178" s="200"/>
      <c r="EU178" s="200"/>
      <c r="EV178" s="200"/>
      <c r="EW178" s="200"/>
      <c r="EX178" s="200"/>
      <c r="EY178" s="200"/>
      <c r="EZ178" s="200"/>
      <c r="FA178" s="200"/>
      <c r="FB178" s="200"/>
      <c r="FC178" s="200"/>
      <c r="FD178" s="200"/>
      <c r="FE178" s="200"/>
      <c r="FF178" s="200"/>
      <c r="FG178" s="200"/>
      <c r="FH178" s="200"/>
      <c r="FI178" s="200"/>
      <c r="FJ178" s="200"/>
      <c r="FK178" s="200"/>
      <c r="FL178" s="200"/>
      <c r="FM178" s="200"/>
      <c r="FN178" s="200"/>
      <c r="FO178" s="200"/>
      <c r="FP178" s="200"/>
      <c r="FQ178" s="200"/>
      <c r="FR178" s="200"/>
      <c r="FS178" s="200"/>
      <c r="FT178" s="200"/>
      <c r="FU178" s="200"/>
      <c r="FV178" s="200"/>
      <c r="FW178" s="200"/>
      <c r="FX178" s="200"/>
      <c r="FY178" s="200"/>
      <c r="FZ178" s="200"/>
      <c r="GA178" s="200"/>
      <c r="GB178" s="200"/>
      <c r="GC178" s="200"/>
      <c r="GD178" s="200"/>
      <c r="GE178" s="200"/>
      <c r="GF178" s="200"/>
      <c r="GG178" s="200"/>
      <c r="GH178" s="200"/>
      <c r="GI178" s="200"/>
      <c r="GJ178" s="200"/>
      <c r="GK178" s="200"/>
      <c r="GL178" s="200"/>
      <c r="GM178" s="200"/>
      <c r="GN178" s="200"/>
      <c r="GO178" s="200"/>
      <c r="GP178" s="200"/>
      <c r="GQ178" s="200"/>
      <c r="GR178" s="200"/>
      <c r="GS178" s="200"/>
      <c r="GT178" s="200"/>
      <c r="GU178" s="200"/>
      <c r="GV178" s="200"/>
      <c r="GW178" s="200"/>
      <c r="GX178" s="200"/>
      <c r="GY178" s="200"/>
      <c r="GZ178" s="200"/>
      <c r="HA178" s="200"/>
      <c r="HB178" s="200"/>
      <c r="HC178" s="200"/>
      <c r="HD178" s="200"/>
      <c r="HE178" s="200"/>
      <c r="HF178" s="200"/>
      <c r="HG178" s="200"/>
      <c r="HH178" s="200"/>
      <c r="HI178" s="200"/>
      <c r="HJ178" s="200"/>
      <c r="HK178" s="200"/>
      <c r="HL178" s="200"/>
      <c r="HM178" s="200"/>
      <c r="HN178" s="200"/>
      <c r="HO178" s="200"/>
      <c r="HP178" s="200"/>
      <c r="HQ178" s="200"/>
      <c r="HR178" s="200"/>
      <c r="HS178" s="200"/>
      <c r="HT178" s="200"/>
      <c r="HU178" s="200"/>
      <c r="HV178" s="200"/>
      <c r="HW178" s="200"/>
      <c r="HX178" s="200"/>
      <c r="HY178" s="200"/>
      <c r="HZ178" s="200"/>
      <c r="IA178" s="200"/>
      <c r="IB178" s="200"/>
      <c r="IC178" s="200"/>
      <c r="ID178" s="200"/>
      <c r="IE178" s="200"/>
      <c r="IF178" s="200"/>
      <c r="IG178" s="200"/>
      <c r="IH178" s="200"/>
      <c r="II178" s="200"/>
      <c r="IJ178" s="200"/>
      <c r="IK178" s="200"/>
      <c r="IL178" s="200"/>
      <c r="IM178" s="200"/>
      <c r="IN178" s="200"/>
      <c r="IO178" s="200"/>
      <c r="IP178" s="200"/>
      <c r="IQ178" s="200"/>
      <c r="IR178" s="200"/>
      <c r="IS178" s="200"/>
      <c r="IT178" s="200"/>
      <c r="IU178" s="201"/>
      <c r="IV178" s="201"/>
    </row>
    <row r="179" s="10" customFormat="1" ht="15.95" customHeight="1" spans="1:256">
      <c r="A179" s="199">
        <v>65</v>
      </c>
      <c r="B179" s="20" t="s">
        <v>2187</v>
      </c>
      <c r="C179" s="199" t="s">
        <v>2180</v>
      </c>
      <c r="D179" s="199">
        <v>4065</v>
      </c>
      <c r="E179" s="199">
        <f>'05版台时'!R296</f>
        <v>3.01989629038692</v>
      </c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200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/>
      <c r="BB179" s="200"/>
      <c r="BC179" s="200"/>
      <c r="BD179" s="200"/>
      <c r="BE179" s="200"/>
      <c r="BF179" s="200"/>
      <c r="BG179" s="200"/>
      <c r="BH179" s="200"/>
      <c r="BI179" s="200"/>
      <c r="BJ179" s="200"/>
      <c r="BK179" s="200"/>
      <c r="BL179" s="200"/>
      <c r="BM179" s="200"/>
      <c r="BN179" s="200"/>
      <c r="BO179" s="200"/>
      <c r="BP179" s="200"/>
      <c r="BQ179" s="200"/>
      <c r="BR179" s="200"/>
      <c r="BS179" s="200"/>
      <c r="BT179" s="200"/>
      <c r="BU179" s="200"/>
      <c r="BV179" s="200"/>
      <c r="BW179" s="200"/>
      <c r="BX179" s="200"/>
      <c r="BY179" s="200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0"/>
      <c r="CN179" s="200"/>
      <c r="CO179" s="200"/>
      <c r="CP179" s="200"/>
      <c r="CQ179" s="200"/>
      <c r="CR179" s="200"/>
      <c r="CS179" s="200"/>
      <c r="CT179" s="200"/>
      <c r="CU179" s="200"/>
      <c r="CV179" s="200"/>
      <c r="CW179" s="200"/>
      <c r="CX179" s="200"/>
      <c r="CY179" s="200"/>
      <c r="CZ179" s="200"/>
      <c r="DA179" s="200"/>
      <c r="DB179" s="200"/>
      <c r="DC179" s="200"/>
      <c r="DD179" s="200"/>
      <c r="DE179" s="200"/>
      <c r="DF179" s="200"/>
      <c r="DG179" s="200"/>
      <c r="DH179" s="200"/>
      <c r="DI179" s="200"/>
      <c r="DJ179" s="200"/>
      <c r="DK179" s="200"/>
      <c r="DL179" s="200"/>
      <c r="DM179" s="200"/>
      <c r="DN179" s="200"/>
      <c r="DO179" s="200"/>
      <c r="DP179" s="200"/>
      <c r="DQ179" s="200"/>
      <c r="DR179" s="200"/>
      <c r="DS179" s="200"/>
      <c r="DT179" s="200"/>
      <c r="DU179" s="200"/>
      <c r="DV179" s="200"/>
      <c r="DW179" s="200"/>
      <c r="DX179" s="200"/>
      <c r="DY179" s="200"/>
      <c r="DZ179" s="200"/>
      <c r="EA179" s="200"/>
      <c r="EB179" s="200"/>
      <c r="EC179" s="200"/>
      <c r="ED179" s="200"/>
      <c r="EE179" s="200"/>
      <c r="EF179" s="200"/>
      <c r="EG179" s="200"/>
      <c r="EH179" s="200"/>
      <c r="EI179" s="200"/>
      <c r="EJ179" s="200"/>
      <c r="EK179" s="200"/>
      <c r="EL179" s="200"/>
      <c r="EM179" s="200"/>
      <c r="EN179" s="200"/>
      <c r="EO179" s="200"/>
      <c r="EP179" s="200"/>
      <c r="EQ179" s="200"/>
      <c r="ER179" s="200"/>
      <c r="ES179" s="200"/>
      <c r="ET179" s="200"/>
      <c r="EU179" s="200"/>
      <c r="EV179" s="200"/>
      <c r="EW179" s="200"/>
      <c r="EX179" s="200"/>
      <c r="EY179" s="200"/>
      <c r="EZ179" s="200"/>
      <c r="FA179" s="200"/>
      <c r="FB179" s="200"/>
      <c r="FC179" s="200"/>
      <c r="FD179" s="200"/>
      <c r="FE179" s="200"/>
      <c r="FF179" s="200"/>
      <c r="FG179" s="200"/>
      <c r="FH179" s="200"/>
      <c r="FI179" s="200"/>
      <c r="FJ179" s="200"/>
      <c r="FK179" s="200"/>
      <c r="FL179" s="200"/>
      <c r="FM179" s="200"/>
      <c r="FN179" s="200"/>
      <c r="FO179" s="200"/>
      <c r="FP179" s="200"/>
      <c r="FQ179" s="200"/>
      <c r="FR179" s="200"/>
      <c r="FS179" s="200"/>
      <c r="FT179" s="200"/>
      <c r="FU179" s="200"/>
      <c r="FV179" s="200"/>
      <c r="FW179" s="200"/>
      <c r="FX179" s="200"/>
      <c r="FY179" s="200"/>
      <c r="FZ179" s="200"/>
      <c r="GA179" s="200"/>
      <c r="GB179" s="200"/>
      <c r="GC179" s="200"/>
      <c r="GD179" s="200"/>
      <c r="GE179" s="200"/>
      <c r="GF179" s="200"/>
      <c r="GG179" s="200"/>
      <c r="GH179" s="200"/>
      <c r="GI179" s="200"/>
      <c r="GJ179" s="200"/>
      <c r="GK179" s="200"/>
      <c r="GL179" s="200"/>
      <c r="GM179" s="200"/>
      <c r="GN179" s="200"/>
      <c r="GO179" s="200"/>
      <c r="GP179" s="200"/>
      <c r="GQ179" s="200"/>
      <c r="GR179" s="200"/>
      <c r="GS179" s="200"/>
      <c r="GT179" s="200"/>
      <c r="GU179" s="200"/>
      <c r="GV179" s="200"/>
      <c r="GW179" s="200"/>
      <c r="GX179" s="200"/>
      <c r="GY179" s="200"/>
      <c r="GZ179" s="200"/>
      <c r="HA179" s="200"/>
      <c r="HB179" s="200"/>
      <c r="HC179" s="200"/>
      <c r="HD179" s="200"/>
      <c r="HE179" s="200"/>
      <c r="HF179" s="200"/>
      <c r="HG179" s="200"/>
      <c r="HH179" s="200"/>
      <c r="HI179" s="200"/>
      <c r="HJ179" s="200"/>
      <c r="HK179" s="200"/>
      <c r="HL179" s="200"/>
      <c r="HM179" s="200"/>
      <c r="HN179" s="200"/>
      <c r="HO179" s="200"/>
      <c r="HP179" s="200"/>
      <c r="HQ179" s="200"/>
      <c r="HR179" s="200"/>
      <c r="HS179" s="200"/>
      <c r="HT179" s="200"/>
      <c r="HU179" s="200"/>
      <c r="HV179" s="200"/>
      <c r="HW179" s="200"/>
      <c r="HX179" s="200"/>
      <c r="HY179" s="200"/>
      <c r="HZ179" s="200"/>
      <c r="IA179" s="200"/>
      <c r="IB179" s="200"/>
      <c r="IC179" s="200"/>
      <c r="ID179" s="200"/>
      <c r="IE179" s="200"/>
      <c r="IF179" s="200"/>
      <c r="IG179" s="200"/>
      <c r="IH179" s="200"/>
      <c r="II179" s="200"/>
      <c r="IJ179" s="200"/>
      <c r="IK179" s="200"/>
      <c r="IL179" s="200"/>
      <c r="IM179" s="200"/>
      <c r="IN179" s="200"/>
      <c r="IO179" s="200"/>
      <c r="IP179" s="200"/>
      <c r="IQ179" s="200"/>
      <c r="IR179" s="200"/>
      <c r="IS179" s="200"/>
      <c r="IT179" s="200"/>
      <c r="IU179" s="201"/>
      <c r="IV179" s="201"/>
    </row>
    <row r="180" s="10" customFormat="1" ht="15.95" customHeight="1" spans="1:256">
      <c r="A180" s="199">
        <v>66</v>
      </c>
      <c r="B180" s="20" t="s">
        <v>2187</v>
      </c>
      <c r="C180" s="199" t="s">
        <v>2181</v>
      </c>
      <c r="D180" s="199">
        <v>4066</v>
      </c>
      <c r="E180" s="199">
        <f>'05版台时'!S296</f>
        <v>3.69550857598724</v>
      </c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  <c r="AK180" s="200"/>
      <c r="AL180" s="200"/>
      <c r="AM180" s="200"/>
      <c r="AN180" s="200"/>
      <c r="AO180" s="200"/>
      <c r="AP180" s="200"/>
      <c r="AQ180" s="200"/>
      <c r="AR180" s="200"/>
      <c r="AS180" s="200"/>
      <c r="AT180" s="200"/>
      <c r="AU180" s="200"/>
      <c r="AV180" s="200"/>
      <c r="AW180" s="200"/>
      <c r="AX180" s="200"/>
      <c r="AY180" s="200"/>
      <c r="AZ180" s="200"/>
      <c r="BA180" s="200"/>
      <c r="BB180" s="200"/>
      <c r="BC180" s="200"/>
      <c r="BD180" s="200"/>
      <c r="BE180" s="200"/>
      <c r="BF180" s="200"/>
      <c r="BG180" s="200"/>
      <c r="BH180" s="200"/>
      <c r="BI180" s="200"/>
      <c r="BJ180" s="200"/>
      <c r="BK180" s="200"/>
      <c r="BL180" s="200"/>
      <c r="BM180" s="200"/>
      <c r="BN180" s="200"/>
      <c r="BO180" s="200"/>
      <c r="BP180" s="200"/>
      <c r="BQ180" s="200"/>
      <c r="BR180" s="200"/>
      <c r="BS180" s="200"/>
      <c r="BT180" s="200"/>
      <c r="BU180" s="200"/>
      <c r="BV180" s="200"/>
      <c r="BW180" s="200"/>
      <c r="BX180" s="200"/>
      <c r="BY180" s="200"/>
      <c r="BZ180" s="200"/>
      <c r="CA180" s="200"/>
      <c r="CB180" s="200"/>
      <c r="CC180" s="200"/>
      <c r="CD180" s="200"/>
      <c r="CE180" s="200"/>
      <c r="CF180" s="200"/>
      <c r="CG180" s="200"/>
      <c r="CH180" s="200"/>
      <c r="CI180" s="200"/>
      <c r="CJ180" s="200"/>
      <c r="CK180" s="200"/>
      <c r="CL180" s="200"/>
      <c r="CM180" s="200"/>
      <c r="CN180" s="200"/>
      <c r="CO180" s="200"/>
      <c r="CP180" s="200"/>
      <c r="CQ180" s="200"/>
      <c r="CR180" s="200"/>
      <c r="CS180" s="200"/>
      <c r="CT180" s="200"/>
      <c r="CU180" s="200"/>
      <c r="CV180" s="200"/>
      <c r="CW180" s="200"/>
      <c r="CX180" s="200"/>
      <c r="CY180" s="200"/>
      <c r="CZ180" s="200"/>
      <c r="DA180" s="200"/>
      <c r="DB180" s="200"/>
      <c r="DC180" s="200"/>
      <c r="DD180" s="200"/>
      <c r="DE180" s="200"/>
      <c r="DF180" s="200"/>
      <c r="DG180" s="200"/>
      <c r="DH180" s="200"/>
      <c r="DI180" s="200"/>
      <c r="DJ180" s="200"/>
      <c r="DK180" s="200"/>
      <c r="DL180" s="200"/>
      <c r="DM180" s="200"/>
      <c r="DN180" s="200"/>
      <c r="DO180" s="200"/>
      <c r="DP180" s="200"/>
      <c r="DQ180" s="200"/>
      <c r="DR180" s="200"/>
      <c r="DS180" s="200"/>
      <c r="DT180" s="200"/>
      <c r="DU180" s="200"/>
      <c r="DV180" s="200"/>
      <c r="DW180" s="200"/>
      <c r="DX180" s="200"/>
      <c r="DY180" s="200"/>
      <c r="DZ180" s="200"/>
      <c r="EA180" s="200"/>
      <c r="EB180" s="200"/>
      <c r="EC180" s="200"/>
      <c r="ED180" s="200"/>
      <c r="EE180" s="200"/>
      <c r="EF180" s="200"/>
      <c r="EG180" s="200"/>
      <c r="EH180" s="200"/>
      <c r="EI180" s="200"/>
      <c r="EJ180" s="200"/>
      <c r="EK180" s="200"/>
      <c r="EL180" s="200"/>
      <c r="EM180" s="200"/>
      <c r="EN180" s="200"/>
      <c r="EO180" s="200"/>
      <c r="EP180" s="200"/>
      <c r="EQ180" s="200"/>
      <c r="ER180" s="200"/>
      <c r="ES180" s="200"/>
      <c r="ET180" s="200"/>
      <c r="EU180" s="200"/>
      <c r="EV180" s="200"/>
      <c r="EW180" s="200"/>
      <c r="EX180" s="200"/>
      <c r="EY180" s="200"/>
      <c r="EZ180" s="200"/>
      <c r="FA180" s="200"/>
      <c r="FB180" s="200"/>
      <c r="FC180" s="200"/>
      <c r="FD180" s="200"/>
      <c r="FE180" s="200"/>
      <c r="FF180" s="200"/>
      <c r="FG180" s="200"/>
      <c r="FH180" s="200"/>
      <c r="FI180" s="200"/>
      <c r="FJ180" s="200"/>
      <c r="FK180" s="200"/>
      <c r="FL180" s="200"/>
      <c r="FM180" s="200"/>
      <c r="FN180" s="200"/>
      <c r="FO180" s="200"/>
      <c r="FP180" s="200"/>
      <c r="FQ180" s="200"/>
      <c r="FR180" s="200"/>
      <c r="FS180" s="200"/>
      <c r="FT180" s="200"/>
      <c r="FU180" s="200"/>
      <c r="FV180" s="200"/>
      <c r="FW180" s="200"/>
      <c r="FX180" s="200"/>
      <c r="FY180" s="200"/>
      <c r="FZ180" s="200"/>
      <c r="GA180" s="200"/>
      <c r="GB180" s="200"/>
      <c r="GC180" s="200"/>
      <c r="GD180" s="200"/>
      <c r="GE180" s="200"/>
      <c r="GF180" s="200"/>
      <c r="GG180" s="200"/>
      <c r="GH180" s="200"/>
      <c r="GI180" s="200"/>
      <c r="GJ180" s="200"/>
      <c r="GK180" s="200"/>
      <c r="GL180" s="200"/>
      <c r="GM180" s="200"/>
      <c r="GN180" s="200"/>
      <c r="GO180" s="200"/>
      <c r="GP180" s="200"/>
      <c r="GQ180" s="200"/>
      <c r="GR180" s="200"/>
      <c r="GS180" s="200"/>
      <c r="GT180" s="200"/>
      <c r="GU180" s="200"/>
      <c r="GV180" s="200"/>
      <c r="GW180" s="200"/>
      <c r="GX180" s="200"/>
      <c r="GY180" s="200"/>
      <c r="GZ180" s="200"/>
      <c r="HA180" s="200"/>
      <c r="HB180" s="200"/>
      <c r="HC180" s="200"/>
      <c r="HD180" s="200"/>
      <c r="HE180" s="200"/>
      <c r="HF180" s="200"/>
      <c r="HG180" s="200"/>
      <c r="HH180" s="200"/>
      <c r="HI180" s="200"/>
      <c r="HJ180" s="200"/>
      <c r="HK180" s="200"/>
      <c r="HL180" s="200"/>
      <c r="HM180" s="200"/>
      <c r="HN180" s="200"/>
      <c r="HO180" s="200"/>
      <c r="HP180" s="200"/>
      <c r="HQ180" s="200"/>
      <c r="HR180" s="200"/>
      <c r="HS180" s="200"/>
      <c r="HT180" s="200"/>
      <c r="HU180" s="200"/>
      <c r="HV180" s="200"/>
      <c r="HW180" s="200"/>
      <c r="HX180" s="200"/>
      <c r="HY180" s="200"/>
      <c r="HZ180" s="200"/>
      <c r="IA180" s="200"/>
      <c r="IB180" s="200"/>
      <c r="IC180" s="200"/>
      <c r="ID180" s="200"/>
      <c r="IE180" s="200"/>
      <c r="IF180" s="200"/>
      <c r="IG180" s="200"/>
      <c r="IH180" s="200"/>
      <c r="II180" s="200"/>
      <c r="IJ180" s="200"/>
      <c r="IK180" s="200"/>
      <c r="IL180" s="200"/>
      <c r="IM180" s="200"/>
      <c r="IN180" s="200"/>
      <c r="IO180" s="200"/>
      <c r="IP180" s="200"/>
      <c r="IQ180" s="200"/>
      <c r="IR180" s="200"/>
      <c r="IS180" s="200"/>
      <c r="IT180" s="200"/>
      <c r="IU180" s="201"/>
      <c r="IV180" s="201"/>
    </row>
    <row r="181" s="10" customFormat="1" ht="15.95" customHeight="1" spans="1:256">
      <c r="A181" s="199">
        <v>67</v>
      </c>
      <c r="B181" s="20" t="s">
        <v>2187</v>
      </c>
      <c r="C181" s="199" t="s">
        <v>2124</v>
      </c>
      <c r="D181" s="199">
        <v>4067</v>
      </c>
      <c r="E181" s="199">
        <f>'05版台时'!T296</f>
        <v>4.87491025129637</v>
      </c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  <c r="AK181" s="200"/>
      <c r="AL181" s="200"/>
      <c r="AM181" s="200"/>
      <c r="AN181" s="200"/>
      <c r="AO181" s="200"/>
      <c r="AP181" s="200"/>
      <c r="AQ181" s="200"/>
      <c r="AR181" s="200"/>
      <c r="AS181" s="200"/>
      <c r="AT181" s="200"/>
      <c r="AU181" s="200"/>
      <c r="AV181" s="200"/>
      <c r="AW181" s="200"/>
      <c r="AX181" s="200"/>
      <c r="AY181" s="200"/>
      <c r="AZ181" s="200"/>
      <c r="BA181" s="200"/>
      <c r="BB181" s="200"/>
      <c r="BC181" s="200"/>
      <c r="BD181" s="200"/>
      <c r="BE181" s="200"/>
      <c r="BF181" s="200"/>
      <c r="BG181" s="200"/>
      <c r="BH181" s="200"/>
      <c r="BI181" s="200"/>
      <c r="BJ181" s="200"/>
      <c r="BK181" s="200"/>
      <c r="BL181" s="200"/>
      <c r="BM181" s="200"/>
      <c r="BN181" s="200"/>
      <c r="BO181" s="200"/>
      <c r="BP181" s="200"/>
      <c r="BQ181" s="200"/>
      <c r="BR181" s="200"/>
      <c r="BS181" s="200"/>
      <c r="BT181" s="200"/>
      <c r="BU181" s="200"/>
      <c r="BV181" s="200"/>
      <c r="BW181" s="200"/>
      <c r="BX181" s="200"/>
      <c r="BY181" s="200"/>
      <c r="BZ181" s="200"/>
      <c r="CA181" s="200"/>
      <c r="CB181" s="200"/>
      <c r="CC181" s="200"/>
      <c r="CD181" s="200"/>
      <c r="CE181" s="200"/>
      <c r="CF181" s="200"/>
      <c r="CG181" s="200"/>
      <c r="CH181" s="200"/>
      <c r="CI181" s="200"/>
      <c r="CJ181" s="200"/>
      <c r="CK181" s="200"/>
      <c r="CL181" s="200"/>
      <c r="CM181" s="200"/>
      <c r="CN181" s="200"/>
      <c r="CO181" s="200"/>
      <c r="CP181" s="200"/>
      <c r="CQ181" s="200"/>
      <c r="CR181" s="200"/>
      <c r="CS181" s="200"/>
      <c r="CT181" s="200"/>
      <c r="CU181" s="200"/>
      <c r="CV181" s="200"/>
      <c r="CW181" s="200"/>
      <c r="CX181" s="200"/>
      <c r="CY181" s="200"/>
      <c r="CZ181" s="200"/>
      <c r="DA181" s="200"/>
      <c r="DB181" s="200"/>
      <c r="DC181" s="200"/>
      <c r="DD181" s="200"/>
      <c r="DE181" s="200"/>
      <c r="DF181" s="200"/>
      <c r="DG181" s="200"/>
      <c r="DH181" s="200"/>
      <c r="DI181" s="200"/>
      <c r="DJ181" s="200"/>
      <c r="DK181" s="200"/>
      <c r="DL181" s="200"/>
      <c r="DM181" s="200"/>
      <c r="DN181" s="200"/>
      <c r="DO181" s="200"/>
      <c r="DP181" s="200"/>
      <c r="DQ181" s="200"/>
      <c r="DR181" s="200"/>
      <c r="DS181" s="200"/>
      <c r="DT181" s="200"/>
      <c r="DU181" s="200"/>
      <c r="DV181" s="200"/>
      <c r="DW181" s="200"/>
      <c r="DX181" s="200"/>
      <c r="DY181" s="200"/>
      <c r="DZ181" s="200"/>
      <c r="EA181" s="200"/>
      <c r="EB181" s="200"/>
      <c r="EC181" s="200"/>
      <c r="ED181" s="200"/>
      <c r="EE181" s="200"/>
      <c r="EF181" s="200"/>
      <c r="EG181" s="200"/>
      <c r="EH181" s="200"/>
      <c r="EI181" s="200"/>
      <c r="EJ181" s="200"/>
      <c r="EK181" s="200"/>
      <c r="EL181" s="200"/>
      <c r="EM181" s="200"/>
      <c r="EN181" s="200"/>
      <c r="EO181" s="200"/>
      <c r="EP181" s="200"/>
      <c r="EQ181" s="200"/>
      <c r="ER181" s="200"/>
      <c r="ES181" s="200"/>
      <c r="ET181" s="200"/>
      <c r="EU181" s="200"/>
      <c r="EV181" s="200"/>
      <c r="EW181" s="200"/>
      <c r="EX181" s="200"/>
      <c r="EY181" s="200"/>
      <c r="EZ181" s="200"/>
      <c r="FA181" s="200"/>
      <c r="FB181" s="200"/>
      <c r="FC181" s="200"/>
      <c r="FD181" s="200"/>
      <c r="FE181" s="200"/>
      <c r="FF181" s="200"/>
      <c r="FG181" s="200"/>
      <c r="FH181" s="200"/>
      <c r="FI181" s="200"/>
      <c r="FJ181" s="200"/>
      <c r="FK181" s="200"/>
      <c r="FL181" s="200"/>
      <c r="FM181" s="200"/>
      <c r="FN181" s="200"/>
      <c r="FO181" s="200"/>
      <c r="FP181" s="200"/>
      <c r="FQ181" s="200"/>
      <c r="FR181" s="200"/>
      <c r="FS181" s="200"/>
      <c r="FT181" s="200"/>
      <c r="FU181" s="200"/>
      <c r="FV181" s="200"/>
      <c r="FW181" s="200"/>
      <c r="FX181" s="200"/>
      <c r="FY181" s="200"/>
      <c r="FZ181" s="200"/>
      <c r="GA181" s="200"/>
      <c r="GB181" s="200"/>
      <c r="GC181" s="200"/>
      <c r="GD181" s="200"/>
      <c r="GE181" s="200"/>
      <c r="GF181" s="200"/>
      <c r="GG181" s="200"/>
      <c r="GH181" s="200"/>
      <c r="GI181" s="200"/>
      <c r="GJ181" s="200"/>
      <c r="GK181" s="200"/>
      <c r="GL181" s="200"/>
      <c r="GM181" s="200"/>
      <c r="GN181" s="200"/>
      <c r="GO181" s="200"/>
      <c r="GP181" s="200"/>
      <c r="GQ181" s="200"/>
      <c r="GR181" s="200"/>
      <c r="GS181" s="200"/>
      <c r="GT181" s="200"/>
      <c r="GU181" s="200"/>
      <c r="GV181" s="200"/>
      <c r="GW181" s="200"/>
      <c r="GX181" s="200"/>
      <c r="GY181" s="200"/>
      <c r="GZ181" s="200"/>
      <c r="HA181" s="200"/>
      <c r="HB181" s="200"/>
      <c r="HC181" s="200"/>
      <c r="HD181" s="200"/>
      <c r="HE181" s="200"/>
      <c r="HF181" s="200"/>
      <c r="HG181" s="200"/>
      <c r="HH181" s="200"/>
      <c r="HI181" s="200"/>
      <c r="HJ181" s="200"/>
      <c r="HK181" s="200"/>
      <c r="HL181" s="200"/>
      <c r="HM181" s="200"/>
      <c r="HN181" s="200"/>
      <c r="HO181" s="200"/>
      <c r="HP181" s="200"/>
      <c r="HQ181" s="200"/>
      <c r="HR181" s="200"/>
      <c r="HS181" s="200"/>
      <c r="HT181" s="200"/>
      <c r="HU181" s="200"/>
      <c r="HV181" s="200"/>
      <c r="HW181" s="200"/>
      <c r="HX181" s="200"/>
      <c r="HY181" s="200"/>
      <c r="HZ181" s="200"/>
      <c r="IA181" s="200"/>
      <c r="IB181" s="200"/>
      <c r="IC181" s="200"/>
      <c r="ID181" s="200"/>
      <c r="IE181" s="200"/>
      <c r="IF181" s="200"/>
      <c r="IG181" s="200"/>
      <c r="IH181" s="200"/>
      <c r="II181" s="200"/>
      <c r="IJ181" s="200"/>
      <c r="IK181" s="200"/>
      <c r="IL181" s="200"/>
      <c r="IM181" s="200"/>
      <c r="IN181" s="200"/>
      <c r="IO181" s="200"/>
      <c r="IP181" s="200"/>
      <c r="IQ181" s="200"/>
      <c r="IR181" s="200"/>
      <c r="IS181" s="200"/>
      <c r="IT181" s="200"/>
      <c r="IU181" s="201"/>
      <c r="IV181" s="201"/>
    </row>
    <row r="182" s="10" customFormat="1" ht="15.95" customHeight="1" spans="1:256">
      <c r="A182" s="199">
        <v>68</v>
      </c>
      <c r="B182" s="20" t="s">
        <v>2189</v>
      </c>
      <c r="C182" s="199" t="s">
        <v>1575</v>
      </c>
      <c r="D182" s="199">
        <v>4068</v>
      </c>
      <c r="E182" s="199">
        <f>'05版台时'!U296</f>
        <v>10.0802441403198</v>
      </c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  <c r="AK182" s="200"/>
      <c r="AL182" s="200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200"/>
      <c r="BB182" s="200"/>
      <c r="BC182" s="200"/>
      <c r="BD182" s="200"/>
      <c r="BE182" s="200"/>
      <c r="BF182" s="200"/>
      <c r="BG182" s="200"/>
      <c r="BH182" s="200"/>
      <c r="BI182" s="200"/>
      <c r="BJ182" s="200"/>
      <c r="BK182" s="200"/>
      <c r="BL182" s="200"/>
      <c r="BM182" s="200"/>
      <c r="BN182" s="200"/>
      <c r="BO182" s="200"/>
      <c r="BP182" s="200"/>
      <c r="BQ182" s="200"/>
      <c r="BR182" s="200"/>
      <c r="BS182" s="200"/>
      <c r="BT182" s="200"/>
      <c r="BU182" s="200"/>
      <c r="BV182" s="200"/>
      <c r="BW182" s="200"/>
      <c r="BX182" s="200"/>
      <c r="BY182" s="200"/>
      <c r="BZ182" s="200"/>
      <c r="CA182" s="200"/>
      <c r="CB182" s="200"/>
      <c r="CC182" s="200"/>
      <c r="CD182" s="200"/>
      <c r="CE182" s="200"/>
      <c r="CF182" s="200"/>
      <c r="CG182" s="200"/>
      <c r="CH182" s="200"/>
      <c r="CI182" s="200"/>
      <c r="CJ182" s="200"/>
      <c r="CK182" s="200"/>
      <c r="CL182" s="200"/>
      <c r="CM182" s="200"/>
      <c r="CN182" s="200"/>
      <c r="CO182" s="200"/>
      <c r="CP182" s="200"/>
      <c r="CQ182" s="200"/>
      <c r="CR182" s="200"/>
      <c r="CS182" s="200"/>
      <c r="CT182" s="200"/>
      <c r="CU182" s="200"/>
      <c r="CV182" s="200"/>
      <c r="CW182" s="200"/>
      <c r="CX182" s="200"/>
      <c r="CY182" s="200"/>
      <c r="CZ182" s="200"/>
      <c r="DA182" s="200"/>
      <c r="DB182" s="200"/>
      <c r="DC182" s="200"/>
      <c r="DD182" s="200"/>
      <c r="DE182" s="200"/>
      <c r="DF182" s="200"/>
      <c r="DG182" s="200"/>
      <c r="DH182" s="200"/>
      <c r="DI182" s="200"/>
      <c r="DJ182" s="200"/>
      <c r="DK182" s="200"/>
      <c r="DL182" s="200"/>
      <c r="DM182" s="200"/>
      <c r="DN182" s="200"/>
      <c r="DO182" s="200"/>
      <c r="DP182" s="200"/>
      <c r="DQ182" s="200"/>
      <c r="DR182" s="200"/>
      <c r="DS182" s="200"/>
      <c r="DT182" s="200"/>
      <c r="DU182" s="200"/>
      <c r="DV182" s="200"/>
      <c r="DW182" s="200"/>
      <c r="DX182" s="200"/>
      <c r="DY182" s="200"/>
      <c r="DZ182" s="200"/>
      <c r="EA182" s="200"/>
      <c r="EB182" s="200"/>
      <c r="EC182" s="200"/>
      <c r="ED182" s="200"/>
      <c r="EE182" s="200"/>
      <c r="EF182" s="200"/>
      <c r="EG182" s="200"/>
      <c r="EH182" s="200"/>
      <c r="EI182" s="200"/>
      <c r="EJ182" s="200"/>
      <c r="EK182" s="200"/>
      <c r="EL182" s="200"/>
      <c r="EM182" s="200"/>
      <c r="EN182" s="200"/>
      <c r="EO182" s="200"/>
      <c r="EP182" s="200"/>
      <c r="EQ182" s="200"/>
      <c r="ER182" s="200"/>
      <c r="ES182" s="200"/>
      <c r="ET182" s="200"/>
      <c r="EU182" s="200"/>
      <c r="EV182" s="200"/>
      <c r="EW182" s="200"/>
      <c r="EX182" s="200"/>
      <c r="EY182" s="200"/>
      <c r="EZ182" s="200"/>
      <c r="FA182" s="200"/>
      <c r="FB182" s="200"/>
      <c r="FC182" s="200"/>
      <c r="FD182" s="200"/>
      <c r="FE182" s="200"/>
      <c r="FF182" s="200"/>
      <c r="FG182" s="200"/>
      <c r="FH182" s="200"/>
      <c r="FI182" s="200"/>
      <c r="FJ182" s="200"/>
      <c r="FK182" s="200"/>
      <c r="FL182" s="200"/>
      <c r="FM182" s="200"/>
      <c r="FN182" s="200"/>
      <c r="FO182" s="200"/>
      <c r="FP182" s="200"/>
      <c r="FQ182" s="200"/>
      <c r="FR182" s="200"/>
      <c r="FS182" s="200"/>
      <c r="FT182" s="200"/>
      <c r="FU182" s="200"/>
      <c r="FV182" s="200"/>
      <c r="FW182" s="200"/>
      <c r="FX182" s="200"/>
      <c r="FY182" s="200"/>
      <c r="FZ182" s="200"/>
      <c r="GA182" s="200"/>
      <c r="GB182" s="200"/>
      <c r="GC182" s="200"/>
      <c r="GD182" s="200"/>
      <c r="GE182" s="200"/>
      <c r="GF182" s="200"/>
      <c r="GG182" s="200"/>
      <c r="GH182" s="200"/>
      <c r="GI182" s="200"/>
      <c r="GJ182" s="200"/>
      <c r="GK182" s="200"/>
      <c r="GL182" s="200"/>
      <c r="GM182" s="200"/>
      <c r="GN182" s="200"/>
      <c r="GO182" s="200"/>
      <c r="GP182" s="200"/>
      <c r="GQ182" s="200"/>
      <c r="GR182" s="200"/>
      <c r="GS182" s="200"/>
      <c r="GT182" s="200"/>
      <c r="GU182" s="200"/>
      <c r="GV182" s="200"/>
      <c r="GW182" s="200"/>
      <c r="GX182" s="200"/>
      <c r="GY182" s="200"/>
      <c r="GZ182" s="200"/>
      <c r="HA182" s="200"/>
      <c r="HB182" s="200"/>
      <c r="HC182" s="200"/>
      <c r="HD182" s="200"/>
      <c r="HE182" s="200"/>
      <c r="HF182" s="200"/>
      <c r="HG182" s="200"/>
      <c r="HH182" s="200"/>
      <c r="HI182" s="200"/>
      <c r="HJ182" s="200"/>
      <c r="HK182" s="200"/>
      <c r="HL182" s="200"/>
      <c r="HM182" s="200"/>
      <c r="HN182" s="200"/>
      <c r="HO182" s="200"/>
      <c r="HP182" s="200"/>
      <c r="HQ182" s="200"/>
      <c r="HR182" s="200"/>
      <c r="HS182" s="200"/>
      <c r="HT182" s="200"/>
      <c r="HU182" s="200"/>
      <c r="HV182" s="200"/>
      <c r="HW182" s="200"/>
      <c r="HX182" s="200"/>
      <c r="HY182" s="200"/>
      <c r="HZ182" s="200"/>
      <c r="IA182" s="200"/>
      <c r="IB182" s="200"/>
      <c r="IC182" s="200"/>
      <c r="ID182" s="200"/>
      <c r="IE182" s="200"/>
      <c r="IF182" s="200"/>
      <c r="IG182" s="200"/>
      <c r="IH182" s="200"/>
      <c r="II182" s="200"/>
      <c r="IJ182" s="200"/>
      <c r="IK182" s="200"/>
      <c r="IL182" s="200"/>
      <c r="IM182" s="200"/>
      <c r="IN182" s="200"/>
      <c r="IO182" s="200"/>
      <c r="IP182" s="200"/>
      <c r="IQ182" s="200"/>
      <c r="IR182" s="200"/>
      <c r="IS182" s="200"/>
      <c r="IT182" s="200"/>
      <c r="IU182" s="201"/>
      <c r="IV182" s="201"/>
    </row>
    <row r="183" s="10" customFormat="1" ht="15.95" customHeight="1" spans="1:256">
      <c r="A183" s="199">
        <v>69</v>
      </c>
      <c r="B183" s="20" t="s">
        <v>2189</v>
      </c>
      <c r="C183" s="199" t="s">
        <v>2181</v>
      </c>
      <c r="D183" s="199">
        <v>4069</v>
      </c>
      <c r="E183" s="199">
        <f>'05版台时'!V296</f>
        <v>12.8679601355332</v>
      </c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  <c r="AK183" s="200"/>
      <c r="AL183" s="200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200"/>
      <c r="BB183" s="200"/>
      <c r="BC183" s="200"/>
      <c r="BD183" s="200"/>
      <c r="BE183" s="200"/>
      <c r="BF183" s="200"/>
      <c r="BG183" s="200"/>
      <c r="BH183" s="200"/>
      <c r="BI183" s="200"/>
      <c r="BJ183" s="200"/>
      <c r="BK183" s="200"/>
      <c r="BL183" s="200"/>
      <c r="BM183" s="200"/>
      <c r="BN183" s="200"/>
      <c r="BO183" s="200"/>
      <c r="BP183" s="200"/>
      <c r="BQ183" s="200"/>
      <c r="BR183" s="200"/>
      <c r="BS183" s="200"/>
      <c r="BT183" s="200"/>
      <c r="BU183" s="200"/>
      <c r="BV183" s="200"/>
      <c r="BW183" s="200"/>
      <c r="BX183" s="200"/>
      <c r="BY183" s="200"/>
      <c r="BZ183" s="200"/>
      <c r="CA183" s="200"/>
      <c r="CB183" s="200"/>
      <c r="CC183" s="200"/>
      <c r="CD183" s="200"/>
      <c r="CE183" s="200"/>
      <c r="CF183" s="200"/>
      <c r="CG183" s="200"/>
      <c r="CH183" s="200"/>
      <c r="CI183" s="200"/>
      <c r="CJ183" s="200"/>
      <c r="CK183" s="200"/>
      <c r="CL183" s="200"/>
      <c r="CM183" s="200"/>
      <c r="CN183" s="200"/>
      <c r="CO183" s="200"/>
      <c r="CP183" s="200"/>
      <c r="CQ183" s="200"/>
      <c r="CR183" s="200"/>
      <c r="CS183" s="200"/>
      <c r="CT183" s="200"/>
      <c r="CU183" s="200"/>
      <c r="CV183" s="200"/>
      <c r="CW183" s="200"/>
      <c r="CX183" s="200"/>
      <c r="CY183" s="200"/>
      <c r="CZ183" s="200"/>
      <c r="DA183" s="200"/>
      <c r="DB183" s="200"/>
      <c r="DC183" s="200"/>
      <c r="DD183" s="200"/>
      <c r="DE183" s="200"/>
      <c r="DF183" s="200"/>
      <c r="DG183" s="200"/>
      <c r="DH183" s="200"/>
      <c r="DI183" s="200"/>
      <c r="DJ183" s="200"/>
      <c r="DK183" s="200"/>
      <c r="DL183" s="200"/>
      <c r="DM183" s="200"/>
      <c r="DN183" s="200"/>
      <c r="DO183" s="200"/>
      <c r="DP183" s="200"/>
      <c r="DQ183" s="200"/>
      <c r="DR183" s="200"/>
      <c r="DS183" s="200"/>
      <c r="DT183" s="200"/>
      <c r="DU183" s="200"/>
      <c r="DV183" s="200"/>
      <c r="DW183" s="200"/>
      <c r="DX183" s="200"/>
      <c r="DY183" s="200"/>
      <c r="DZ183" s="200"/>
      <c r="EA183" s="200"/>
      <c r="EB183" s="200"/>
      <c r="EC183" s="200"/>
      <c r="ED183" s="200"/>
      <c r="EE183" s="200"/>
      <c r="EF183" s="200"/>
      <c r="EG183" s="200"/>
      <c r="EH183" s="200"/>
      <c r="EI183" s="200"/>
      <c r="EJ183" s="200"/>
      <c r="EK183" s="200"/>
      <c r="EL183" s="200"/>
      <c r="EM183" s="200"/>
      <c r="EN183" s="200"/>
      <c r="EO183" s="200"/>
      <c r="EP183" s="200"/>
      <c r="EQ183" s="200"/>
      <c r="ER183" s="200"/>
      <c r="ES183" s="200"/>
      <c r="ET183" s="200"/>
      <c r="EU183" s="200"/>
      <c r="EV183" s="200"/>
      <c r="EW183" s="200"/>
      <c r="EX183" s="200"/>
      <c r="EY183" s="200"/>
      <c r="EZ183" s="200"/>
      <c r="FA183" s="200"/>
      <c r="FB183" s="200"/>
      <c r="FC183" s="200"/>
      <c r="FD183" s="200"/>
      <c r="FE183" s="200"/>
      <c r="FF183" s="200"/>
      <c r="FG183" s="200"/>
      <c r="FH183" s="200"/>
      <c r="FI183" s="200"/>
      <c r="FJ183" s="200"/>
      <c r="FK183" s="200"/>
      <c r="FL183" s="200"/>
      <c r="FM183" s="200"/>
      <c r="FN183" s="200"/>
      <c r="FO183" s="200"/>
      <c r="FP183" s="200"/>
      <c r="FQ183" s="200"/>
      <c r="FR183" s="200"/>
      <c r="FS183" s="200"/>
      <c r="FT183" s="200"/>
      <c r="FU183" s="200"/>
      <c r="FV183" s="200"/>
      <c r="FW183" s="200"/>
      <c r="FX183" s="200"/>
      <c r="FY183" s="200"/>
      <c r="FZ183" s="200"/>
      <c r="GA183" s="200"/>
      <c r="GB183" s="200"/>
      <c r="GC183" s="200"/>
      <c r="GD183" s="200"/>
      <c r="GE183" s="200"/>
      <c r="GF183" s="200"/>
      <c r="GG183" s="200"/>
      <c r="GH183" s="200"/>
      <c r="GI183" s="200"/>
      <c r="GJ183" s="200"/>
      <c r="GK183" s="200"/>
      <c r="GL183" s="200"/>
      <c r="GM183" s="200"/>
      <c r="GN183" s="200"/>
      <c r="GO183" s="200"/>
      <c r="GP183" s="200"/>
      <c r="GQ183" s="200"/>
      <c r="GR183" s="200"/>
      <c r="GS183" s="200"/>
      <c r="GT183" s="200"/>
      <c r="GU183" s="200"/>
      <c r="GV183" s="200"/>
      <c r="GW183" s="200"/>
      <c r="GX183" s="200"/>
      <c r="GY183" s="200"/>
      <c r="GZ183" s="200"/>
      <c r="HA183" s="200"/>
      <c r="HB183" s="200"/>
      <c r="HC183" s="200"/>
      <c r="HD183" s="200"/>
      <c r="HE183" s="200"/>
      <c r="HF183" s="200"/>
      <c r="HG183" s="200"/>
      <c r="HH183" s="200"/>
      <c r="HI183" s="200"/>
      <c r="HJ183" s="200"/>
      <c r="HK183" s="200"/>
      <c r="HL183" s="200"/>
      <c r="HM183" s="200"/>
      <c r="HN183" s="200"/>
      <c r="HO183" s="200"/>
      <c r="HP183" s="200"/>
      <c r="HQ183" s="200"/>
      <c r="HR183" s="200"/>
      <c r="HS183" s="200"/>
      <c r="HT183" s="200"/>
      <c r="HU183" s="200"/>
      <c r="HV183" s="200"/>
      <c r="HW183" s="200"/>
      <c r="HX183" s="200"/>
      <c r="HY183" s="200"/>
      <c r="HZ183" s="200"/>
      <c r="IA183" s="200"/>
      <c r="IB183" s="200"/>
      <c r="IC183" s="200"/>
      <c r="ID183" s="200"/>
      <c r="IE183" s="200"/>
      <c r="IF183" s="200"/>
      <c r="IG183" s="200"/>
      <c r="IH183" s="200"/>
      <c r="II183" s="200"/>
      <c r="IJ183" s="200"/>
      <c r="IK183" s="200"/>
      <c r="IL183" s="200"/>
      <c r="IM183" s="200"/>
      <c r="IN183" s="200"/>
      <c r="IO183" s="200"/>
      <c r="IP183" s="200"/>
      <c r="IQ183" s="200"/>
      <c r="IR183" s="200"/>
      <c r="IS183" s="200"/>
      <c r="IT183" s="200"/>
      <c r="IU183" s="201"/>
      <c r="IV183" s="201"/>
    </row>
    <row r="184" s="10" customFormat="1" ht="15.95" customHeight="1" spans="1:256">
      <c r="A184" s="199">
        <v>70</v>
      </c>
      <c r="B184" s="20" t="s">
        <v>2189</v>
      </c>
      <c r="C184" s="199" t="s">
        <v>2124</v>
      </c>
      <c r="D184" s="199">
        <v>4070</v>
      </c>
      <c r="E184" s="199">
        <f>'05版台时'!W296</f>
        <v>18.0193070114544</v>
      </c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  <c r="BD184" s="200"/>
      <c r="BE184" s="200"/>
      <c r="BF184" s="200"/>
      <c r="BG184" s="200"/>
      <c r="BH184" s="200"/>
      <c r="BI184" s="200"/>
      <c r="BJ184" s="200"/>
      <c r="BK184" s="200"/>
      <c r="BL184" s="200"/>
      <c r="BM184" s="200"/>
      <c r="BN184" s="200"/>
      <c r="BO184" s="200"/>
      <c r="BP184" s="200"/>
      <c r="BQ184" s="200"/>
      <c r="BR184" s="200"/>
      <c r="BS184" s="200"/>
      <c r="BT184" s="200"/>
      <c r="BU184" s="200"/>
      <c r="BV184" s="200"/>
      <c r="BW184" s="200"/>
      <c r="BX184" s="200"/>
      <c r="BY184" s="200"/>
      <c r="BZ184" s="200"/>
      <c r="CA184" s="200"/>
      <c r="CB184" s="200"/>
      <c r="CC184" s="200"/>
      <c r="CD184" s="200"/>
      <c r="CE184" s="200"/>
      <c r="CF184" s="200"/>
      <c r="CG184" s="200"/>
      <c r="CH184" s="200"/>
      <c r="CI184" s="200"/>
      <c r="CJ184" s="200"/>
      <c r="CK184" s="200"/>
      <c r="CL184" s="200"/>
      <c r="CM184" s="200"/>
      <c r="CN184" s="200"/>
      <c r="CO184" s="200"/>
      <c r="CP184" s="200"/>
      <c r="CQ184" s="200"/>
      <c r="CR184" s="200"/>
      <c r="CS184" s="200"/>
      <c r="CT184" s="200"/>
      <c r="CU184" s="200"/>
      <c r="CV184" s="200"/>
      <c r="CW184" s="200"/>
      <c r="CX184" s="200"/>
      <c r="CY184" s="200"/>
      <c r="CZ184" s="200"/>
      <c r="DA184" s="200"/>
      <c r="DB184" s="200"/>
      <c r="DC184" s="200"/>
      <c r="DD184" s="200"/>
      <c r="DE184" s="200"/>
      <c r="DF184" s="200"/>
      <c r="DG184" s="200"/>
      <c r="DH184" s="200"/>
      <c r="DI184" s="200"/>
      <c r="DJ184" s="200"/>
      <c r="DK184" s="200"/>
      <c r="DL184" s="200"/>
      <c r="DM184" s="200"/>
      <c r="DN184" s="200"/>
      <c r="DO184" s="200"/>
      <c r="DP184" s="200"/>
      <c r="DQ184" s="200"/>
      <c r="DR184" s="200"/>
      <c r="DS184" s="200"/>
      <c r="DT184" s="200"/>
      <c r="DU184" s="200"/>
      <c r="DV184" s="200"/>
      <c r="DW184" s="200"/>
      <c r="DX184" s="200"/>
      <c r="DY184" s="200"/>
      <c r="DZ184" s="200"/>
      <c r="EA184" s="200"/>
      <c r="EB184" s="200"/>
      <c r="EC184" s="200"/>
      <c r="ED184" s="200"/>
      <c r="EE184" s="200"/>
      <c r="EF184" s="200"/>
      <c r="EG184" s="200"/>
      <c r="EH184" s="200"/>
      <c r="EI184" s="200"/>
      <c r="EJ184" s="200"/>
      <c r="EK184" s="200"/>
      <c r="EL184" s="200"/>
      <c r="EM184" s="200"/>
      <c r="EN184" s="200"/>
      <c r="EO184" s="200"/>
      <c r="EP184" s="200"/>
      <c r="EQ184" s="200"/>
      <c r="ER184" s="200"/>
      <c r="ES184" s="200"/>
      <c r="ET184" s="200"/>
      <c r="EU184" s="200"/>
      <c r="EV184" s="200"/>
      <c r="EW184" s="200"/>
      <c r="EX184" s="200"/>
      <c r="EY184" s="200"/>
      <c r="EZ184" s="200"/>
      <c r="FA184" s="200"/>
      <c r="FB184" s="200"/>
      <c r="FC184" s="200"/>
      <c r="FD184" s="200"/>
      <c r="FE184" s="200"/>
      <c r="FF184" s="200"/>
      <c r="FG184" s="200"/>
      <c r="FH184" s="200"/>
      <c r="FI184" s="200"/>
      <c r="FJ184" s="200"/>
      <c r="FK184" s="200"/>
      <c r="FL184" s="200"/>
      <c r="FM184" s="200"/>
      <c r="FN184" s="200"/>
      <c r="FO184" s="200"/>
      <c r="FP184" s="200"/>
      <c r="FQ184" s="200"/>
      <c r="FR184" s="200"/>
      <c r="FS184" s="200"/>
      <c r="FT184" s="200"/>
      <c r="FU184" s="200"/>
      <c r="FV184" s="200"/>
      <c r="FW184" s="200"/>
      <c r="FX184" s="200"/>
      <c r="FY184" s="200"/>
      <c r="FZ184" s="200"/>
      <c r="GA184" s="200"/>
      <c r="GB184" s="200"/>
      <c r="GC184" s="200"/>
      <c r="GD184" s="200"/>
      <c r="GE184" s="200"/>
      <c r="GF184" s="200"/>
      <c r="GG184" s="200"/>
      <c r="GH184" s="200"/>
      <c r="GI184" s="200"/>
      <c r="GJ184" s="200"/>
      <c r="GK184" s="200"/>
      <c r="GL184" s="200"/>
      <c r="GM184" s="200"/>
      <c r="GN184" s="200"/>
      <c r="GO184" s="200"/>
      <c r="GP184" s="200"/>
      <c r="GQ184" s="200"/>
      <c r="GR184" s="200"/>
      <c r="GS184" s="200"/>
      <c r="GT184" s="200"/>
      <c r="GU184" s="200"/>
      <c r="GV184" s="200"/>
      <c r="GW184" s="200"/>
      <c r="GX184" s="200"/>
      <c r="GY184" s="200"/>
      <c r="GZ184" s="200"/>
      <c r="HA184" s="200"/>
      <c r="HB184" s="200"/>
      <c r="HC184" s="200"/>
      <c r="HD184" s="200"/>
      <c r="HE184" s="200"/>
      <c r="HF184" s="200"/>
      <c r="HG184" s="200"/>
      <c r="HH184" s="200"/>
      <c r="HI184" s="200"/>
      <c r="HJ184" s="200"/>
      <c r="HK184" s="200"/>
      <c r="HL184" s="200"/>
      <c r="HM184" s="200"/>
      <c r="HN184" s="200"/>
      <c r="HO184" s="200"/>
      <c r="HP184" s="200"/>
      <c r="HQ184" s="200"/>
      <c r="HR184" s="200"/>
      <c r="HS184" s="200"/>
      <c r="HT184" s="200"/>
      <c r="HU184" s="200"/>
      <c r="HV184" s="200"/>
      <c r="HW184" s="200"/>
      <c r="HX184" s="200"/>
      <c r="HY184" s="200"/>
      <c r="HZ184" s="200"/>
      <c r="IA184" s="200"/>
      <c r="IB184" s="200"/>
      <c r="IC184" s="200"/>
      <c r="ID184" s="200"/>
      <c r="IE184" s="200"/>
      <c r="IF184" s="200"/>
      <c r="IG184" s="200"/>
      <c r="IH184" s="200"/>
      <c r="II184" s="200"/>
      <c r="IJ184" s="200"/>
      <c r="IK184" s="200"/>
      <c r="IL184" s="200"/>
      <c r="IM184" s="200"/>
      <c r="IN184" s="200"/>
      <c r="IO184" s="200"/>
      <c r="IP184" s="200"/>
      <c r="IQ184" s="200"/>
      <c r="IR184" s="200"/>
      <c r="IS184" s="200"/>
      <c r="IT184" s="200"/>
      <c r="IU184" s="201"/>
      <c r="IV184" s="201"/>
    </row>
    <row r="185" s="10" customFormat="1" ht="15.95" customHeight="1" spans="1:256">
      <c r="A185" s="199">
        <v>71</v>
      </c>
      <c r="B185" s="20" t="s">
        <v>2189</v>
      </c>
      <c r="C185" s="199" t="s">
        <v>2061</v>
      </c>
      <c r="D185" s="199">
        <v>4071</v>
      </c>
      <c r="E185" s="199">
        <f>'05版台时'!X296</f>
        <v>43.1442619376611</v>
      </c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200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/>
      <c r="BB185" s="200"/>
      <c r="BC185" s="200"/>
      <c r="BD185" s="200"/>
      <c r="BE185" s="200"/>
      <c r="BF185" s="200"/>
      <c r="BG185" s="200"/>
      <c r="BH185" s="200"/>
      <c r="BI185" s="200"/>
      <c r="BJ185" s="200"/>
      <c r="BK185" s="200"/>
      <c r="BL185" s="200"/>
      <c r="BM185" s="200"/>
      <c r="BN185" s="200"/>
      <c r="BO185" s="200"/>
      <c r="BP185" s="200"/>
      <c r="BQ185" s="200"/>
      <c r="BR185" s="200"/>
      <c r="BS185" s="200"/>
      <c r="BT185" s="200"/>
      <c r="BU185" s="200"/>
      <c r="BV185" s="200"/>
      <c r="BW185" s="200"/>
      <c r="BX185" s="200"/>
      <c r="BY185" s="200"/>
      <c r="BZ185" s="200"/>
      <c r="CA185" s="200"/>
      <c r="CB185" s="200"/>
      <c r="CC185" s="200"/>
      <c r="CD185" s="200"/>
      <c r="CE185" s="200"/>
      <c r="CF185" s="200"/>
      <c r="CG185" s="200"/>
      <c r="CH185" s="200"/>
      <c r="CI185" s="200"/>
      <c r="CJ185" s="200"/>
      <c r="CK185" s="200"/>
      <c r="CL185" s="200"/>
      <c r="CM185" s="200"/>
      <c r="CN185" s="200"/>
      <c r="CO185" s="200"/>
      <c r="CP185" s="200"/>
      <c r="CQ185" s="200"/>
      <c r="CR185" s="200"/>
      <c r="CS185" s="200"/>
      <c r="CT185" s="200"/>
      <c r="CU185" s="200"/>
      <c r="CV185" s="200"/>
      <c r="CW185" s="200"/>
      <c r="CX185" s="200"/>
      <c r="CY185" s="200"/>
      <c r="CZ185" s="200"/>
      <c r="DA185" s="200"/>
      <c r="DB185" s="200"/>
      <c r="DC185" s="200"/>
      <c r="DD185" s="200"/>
      <c r="DE185" s="200"/>
      <c r="DF185" s="200"/>
      <c r="DG185" s="200"/>
      <c r="DH185" s="200"/>
      <c r="DI185" s="200"/>
      <c r="DJ185" s="200"/>
      <c r="DK185" s="200"/>
      <c r="DL185" s="200"/>
      <c r="DM185" s="200"/>
      <c r="DN185" s="200"/>
      <c r="DO185" s="200"/>
      <c r="DP185" s="200"/>
      <c r="DQ185" s="200"/>
      <c r="DR185" s="200"/>
      <c r="DS185" s="200"/>
      <c r="DT185" s="200"/>
      <c r="DU185" s="200"/>
      <c r="DV185" s="200"/>
      <c r="DW185" s="200"/>
      <c r="DX185" s="200"/>
      <c r="DY185" s="200"/>
      <c r="DZ185" s="200"/>
      <c r="EA185" s="200"/>
      <c r="EB185" s="200"/>
      <c r="EC185" s="200"/>
      <c r="ED185" s="200"/>
      <c r="EE185" s="200"/>
      <c r="EF185" s="200"/>
      <c r="EG185" s="200"/>
      <c r="EH185" s="200"/>
      <c r="EI185" s="200"/>
      <c r="EJ185" s="200"/>
      <c r="EK185" s="200"/>
      <c r="EL185" s="200"/>
      <c r="EM185" s="200"/>
      <c r="EN185" s="200"/>
      <c r="EO185" s="200"/>
      <c r="EP185" s="200"/>
      <c r="EQ185" s="200"/>
      <c r="ER185" s="200"/>
      <c r="ES185" s="200"/>
      <c r="ET185" s="200"/>
      <c r="EU185" s="200"/>
      <c r="EV185" s="200"/>
      <c r="EW185" s="200"/>
      <c r="EX185" s="200"/>
      <c r="EY185" s="200"/>
      <c r="EZ185" s="200"/>
      <c r="FA185" s="200"/>
      <c r="FB185" s="200"/>
      <c r="FC185" s="200"/>
      <c r="FD185" s="200"/>
      <c r="FE185" s="200"/>
      <c r="FF185" s="200"/>
      <c r="FG185" s="200"/>
      <c r="FH185" s="200"/>
      <c r="FI185" s="200"/>
      <c r="FJ185" s="200"/>
      <c r="FK185" s="200"/>
      <c r="FL185" s="200"/>
      <c r="FM185" s="200"/>
      <c r="FN185" s="200"/>
      <c r="FO185" s="200"/>
      <c r="FP185" s="200"/>
      <c r="FQ185" s="200"/>
      <c r="FR185" s="200"/>
      <c r="FS185" s="200"/>
      <c r="FT185" s="200"/>
      <c r="FU185" s="200"/>
      <c r="FV185" s="200"/>
      <c r="FW185" s="200"/>
      <c r="FX185" s="200"/>
      <c r="FY185" s="200"/>
      <c r="FZ185" s="200"/>
      <c r="GA185" s="200"/>
      <c r="GB185" s="200"/>
      <c r="GC185" s="200"/>
      <c r="GD185" s="200"/>
      <c r="GE185" s="200"/>
      <c r="GF185" s="200"/>
      <c r="GG185" s="200"/>
      <c r="GH185" s="200"/>
      <c r="GI185" s="200"/>
      <c r="GJ185" s="200"/>
      <c r="GK185" s="200"/>
      <c r="GL185" s="200"/>
      <c r="GM185" s="200"/>
      <c r="GN185" s="200"/>
      <c r="GO185" s="200"/>
      <c r="GP185" s="200"/>
      <c r="GQ185" s="200"/>
      <c r="GR185" s="200"/>
      <c r="GS185" s="200"/>
      <c r="GT185" s="200"/>
      <c r="GU185" s="200"/>
      <c r="GV185" s="200"/>
      <c r="GW185" s="200"/>
      <c r="GX185" s="200"/>
      <c r="GY185" s="200"/>
      <c r="GZ185" s="200"/>
      <c r="HA185" s="200"/>
      <c r="HB185" s="200"/>
      <c r="HC185" s="200"/>
      <c r="HD185" s="200"/>
      <c r="HE185" s="200"/>
      <c r="HF185" s="200"/>
      <c r="HG185" s="200"/>
      <c r="HH185" s="200"/>
      <c r="HI185" s="200"/>
      <c r="HJ185" s="200"/>
      <c r="HK185" s="200"/>
      <c r="HL185" s="200"/>
      <c r="HM185" s="200"/>
      <c r="HN185" s="200"/>
      <c r="HO185" s="200"/>
      <c r="HP185" s="200"/>
      <c r="HQ185" s="200"/>
      <c r="HR185" s="200"/>
      <c r="HS185" s="200"/>
      <c r="HT185" s="200"/>
      <c r="HU185" s="200"/>
      <c r="HV185" s="200"/>
      <c r="HW185" s="200"/>
      <c r="HX185" s="200"/>
      <c r="HY185" s="200"/>
      <c r="HZ185" s="200"/>
      <c r="IA185" s="200"/>
      <c r="IB185" s="200"/>
      <c r="IC185" s="200"/>
      <c r="ID185" s="200"/>
      <c r="IE185" s="200"/>
      <c r="IF185" s="200"/>
      <c r="IG185" s="200"/>
      <c r="IH185" s="200"/>
      <c r="II185" s="200"/>
      <c r="IJ185" s="200"/>
      <c r="IK185" s="200"/>
      <c r="IL185" s="200"/>
      <c r="IM185" s="200"/>
      <c r="IN185" s="200"/>
      <c r="IO185" s="200"/>
      <c r="IP185" s="200"/>
      <c r="IQ185" s="200"/>
      <c r="IR185" s="200"/>
      <c r="IS185" s="200"/>
      <c r="IT185" s="200"/>
      <c r="IU185" s="201"/>
      <c r="IV185" s="201"/>
    </row>
    <row r="186" s="10" customFormat="1" ht="15.95" customHeight="1" spans="1:256">
      <c r="A186" s="199">
        <v>72</v>
      </c>
      <c r="B186" s="20" t="s">
        <v>2190</v>
      </c>
      <c r="C186" s="199" t="s">
        <v>2191</v>
      </c>
      <c r="D186" s="199">
        <v>4072</v>
      </c>
      <c r="E186" s="199">
        <f>'05版台时'!Y296</f>
        <v>1.47810131631432</v>
      </c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200"/>
      <c r="BD186" s="200"/>
      <c r="BE186" s="200"/>
      <c r="BF186" s="200"/>
      <c r="BG186" s="200"/>
      <c r="BH186" s="200"/>
      <c r="BI186" s="200"/>
      <c r="BJ186" s="200"/>
      <c r="BK186" s="200"/>
      <c r="BL186" s="200"/>
      <c r="BM186" s="200"/>
      <c r="BN186" s="200"/>
      <c r="BO186" s="200"/>
      <c r="BP186" s="200"/>
      <c r="BQ186" s="200"/>
      <c r="BR186" s="200"/>
      <c r="BS186" s="200"/>
      <c r="BT186" s="200"/>
      <c r="BU186" s="200"/>
      <c r="BV186" s="200"/>
      <c r="BW186" s="200"/>
      <c r="BX186" s="200"/>
      <c r="BY186" s="200"/>
      <c r="BZ186" s="200"/>
      <c r="CA186" s="200"/>
      <c r="CB186" s="200"/>
      <c r="CC186" s="200"/>
      <c r="CD186" s="200"/>
      <c r="CE186" s="200"/>
      <c r="CF186" s="200"/>
      <c r="CG186" s="200"/>
      <c r="CH186" s="200"/>
      <c r="CI186" s="200"/>
      <c r="CJ186" s="200"/>
      <c r="CK186" s="200"/>
      <c r="CL186" s="200"/>
      <c r="CM186" s="200"/>
      <c r="CN186" s="200"/>
      <c r="CO186" s="200"/>
      <c r="CP186" s="200"/>
      <c r="CQ186" s="200"/>
      <c r="CR186" s="200"/>
      <c r="CS186" s="200"/>
      <c r="CT186" s="200"/>
      <c r="CU186" s="200"/>
      <c r="CV186" s="200"/>
      <c r="CW186" s="200"/>
      <c r="CX186" s="200"/>
      <c r="CY186" s="200"/>
      <c r="CZ186" s="200"/>
      <c r="DA186" s="200"/>
      <c r="DB186" s="200"/>
      <c r="DC186" s="200"/>
      <c r="DD186" s="200"/>
      <c r="DE186" s="200"/>
      <c r="DF186" s="200"/>
      <c r="DG186" s="200"/>
      <c r="DH186" s="200"/>
      <c r="DI186" s="200"/>
      <c r="DJ186" s="200"/>
      <c r="DK186" s="200"/>
      <c r="DL186" s="200"/>
      <c r="DM186" s="200"/>
      <c r="DN186" s="200"/>
      <c r="DO186" s="200"/>
      <c r="DP186" s="200"/>
      <c r="DQ186" s="200"/>
      <c r="DR186" s="200"/>
      <c r="DS186" s="200"/>
      <c r="DT186" s="200"/>
      <c r="DU186" s="200"/>
      <c r="DV186" s="200"/>
      <c r="DW186" s="200"/>
      <c r="DX186" s="200"/>
      <c r="DY186" s="200"/>
      <c r="DZ186" s="200"/>
      <c r="EA186" s="200"/>
      <c r="EB186" s="200"/>
      <c r="EC186" s="200"/>
      <c r="ED186" s="200"/>
      <c r="EE186" s="200"/>
      <c r="EF186" s="200"/>
      <c r="EG186" s="200"/>
      <c r="EH186" s="200"/>
      <c r="EI186" s="200"/>
      <c r="EJ186" s="200"/>
      <c r="EK186" s="200"/>
      <c r="EL186" s="200"/>
      <c r="EM186" s="200"/>
      <c r="EN186" s="200"/>
      <c r="EO186" s="200"/>
      <c r="EP186" s="200"/>
      <c r="EQ186" s="200"/>
      <c r="ER186" s="200"/>
      <c r="ES186" s="200"/>
      <c r="ET186" s="200"/>
      <c r="EU186" s="200"/>
      <c r="EV186" s="200"/>
      <c r="EW186" s="200"/>
      <c r="EX186" s="200"/>
      <c r="EY186" s="200"/>
      <c r="EZ186" s="200"/>
      <c r="FA186" s="200"/>
      <c r="FB186" s="200"/>
      <c r="FC186" s="200"/>
      <c r="FD186" s="200"/>
      <c r="FE186" s="200"/>
      <c r="FF186" s="200"/>
      <c r="FG186" s="200"/>
      <c r="FH186" s="200"/>
      <c r="FI186" s="200"/>
      <c r="FJ186" s="200"/>
      <c r="FK186" s="200"/>
      <c r="FL186" s="200"/>
      <c r="FM186" s="200"/>
      <c r="FN186" s="200"/>
      <c r="FO186" s="200"/>
      <c r="FP186" s="200"/>
      <c r="FQ186" s="200"/>
      <c r="FR186" s="200"/>
      <c r="FS186" s="200"/>
      <c r="FT186" s="200"/>
      <c r="FU186" s="200"/>
      <c r="FV186" s="200"/>
      <c r="FW186" s="200"/>
      <c r="FX186" s="200"/>
      <c r="FY186" s="200"/>
      <c r="FZ186" s="200"/>
      <c r="GA186" s="200"/>
      <c r="GB186" s="200"/>
      <c r="GC186" s="200"/>
      <c r="GD186" s="200"/>
      <c r="GE186" s="200"/>
      <c r="GF186" s="200"/>
      <c r="GG186" s="200"/>
      <c r="GH186" s="200"/>
      <c r="GI186" s="200"/>
      <c r="GJ186" s="200"/>
      <c r="GK186" s="200"/>
      <c r="GL186" s="200"/>
      <c r="GM186" s="200"/>
      <c r="GN186" s="200"/>
      <c r="GO186" s="200"/>
      <c r="GP186" s="200"/>
      <c r="GQ186" s="200"/>
      <c r="GR186" s="200"/>
      <c r="GS186" s="200"/>
      <c r="GT186" s="200"/>
      <c r="GU186" s="200"/>
      <c r="GV186" s="200"/>
      <c r="GW186" s="200"/>
      <c r="GX186" s="200"/>
      <c r="GY186" s="200"/>
      <c r="GZ186" s="200"/>
      <c r="HA186" s="200"/>
      <c r="HB186" s="200"/>
      <c r="HC186" s="200"/>
      <c r="HD186" s="200"/>
      <c r="HE186" s="200"/>
      <c r="HF186" s="200"/>
      <c r="HG186" s="200"/>
      <c r="HH186" s="200"/>
      <c r="HI186" s="200"/>
      <c r="HJ186" s="200"/>
      <c r="HK186" s="200"/>
      <c r="HL186" s="200"/>
      <c r="HM186" s="200"/>
      <c r="HN186" s="200"/>
      <c r="HO186" s="200"/>
      <c r="HP186" s="200"/>
      <c r="HQ186" s="200"/>
      <c r="HR186" s="200"/>
      <c r="HS186" s="200"/>
      <c r="HT186" s="200"/>
      <c r="HU186" s="200"/>
      <c r="HV186" s="200"/>
      <c r="HW186" s="200"/>
      <c r="HX186" s="200"/>
      <c r="HY186" s="200"/>
      <c r="HZ186" s="200"/>
      <c r="IA186" s="200"/>
      <c r="IB186" s="200"/>
      <c r="IC186" s="200"/>
      <c r="ID186" s="200"/>
      <c r="IE186" s="200"/>
      <c r="IF186" s="200"/>
      <c r="IG186" s="200"/>
      <c r="IH186" s="200"/>
      <c r="II186" s="200"/>
      <c r="IJ186" s="200"/>
      <c r="IK186" s="200"/>
      <c r="IL186" s="200"/>
      <c r="IM186" s="200"/>
      <c r="IN186" s="200"/>
      <c r="IO186" s="200"/>
      <c r="IP186" s="200"/>
      <c r="IQ186" s="200"/>
      <c r="IR186" s="200"/>
      <c r="IS186" s="200"/>
      <c r="IT186" s="200"/>
      <c r="IU186" s="201"/>
      <c r="IV186" s="201"/>
    </row>
    <row r="187" s="10" customFormat="1" ht="15.95" customHeight="1" spans="1:256">
      <c r="A187" s="199">
        <v>73</v>
      </c>
      <c r="B187" s="20" t="s">
        <v>2190</v>
      </c>
      <c r="C187" s="199" t="s">
        <v>2146</v>
      </c>
      <c r="D187" s="199">
        <v>4073</v>
      </c>
      <c r="E187" s="199">
        <f>'05版台时'!Z296</f>
        <v>1.90027921818907</v>
      </c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200"/>
      <c r="BB187" s="200"/>
      <c r="BC187" s="200"/>
      <c r="BD187" s="200"/>
      <c r="BE187" s="200"/>
      <c r="BF187" s="200"/>
      <c r="BG187" s="200"/>
      <c r="BH187" s="200"/>
      <c r="BI187" s="200"/>
      <c r="BJ187" s="200"/>
      <c r="BK187" s="200"/>
      <c r="BL187" s="200"/>
      <c r="BM187" s="200"/>
      <c r="BN187" s="200"/>
      <c r="BO187" s="200"/>
      <c r="BP187" s="200"/>
      <c r="BQ187" s="200"/>
      <c r="BR187" s="200"/>
      <c r="BS187" s="200"/>
      <c r="BT187" s="200"/>
      <c r="BU187" s="200"/>
      <c r="BV187" s="200"/>
      <c r="BW187" s="200"/>
      <c r="BX187" s="200"/>
      <c r="BY187" s="200"/>
      <c r="BZ187" s="200"/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200"/>
      <c r="CX187" s="200"/>
      <c r="CY187" s="200"/>
      <c r="CZ187" s="200"/>
      <c r="DA187" s="200"/>
      <c r="DB187" s="200"/>
      <c r="DC187" s="200"/>
      <c r="DD187" s="200"/>
      <c r="DE187" s="200"/>
      <c r="DF187" s="200"/>
      <c r="DG187" s="200"/>
      <c r="DH187" s="200"/>
      <c r="DI187" s="200"/>
      <c r="DJ187" s="200"/>
      <c r="DK187" s="200"/>
      <c r="DL187" s="200"/>
      <c r="DM187" s="200"/>
      <c r="DN187" s="200"/>
      <c r="DO187" s="200"/>
      <c r="DP187" s="200"/>
      <c r="DQ187" s="200"/>
      <c r="DR187" s="200"/>
      <c r="DS187" s="200"/>
      <c r="DT187" s="200"/>
      <c r="DU187" s="200"/>
      <c r="DV187" s="200"/>
      <c r="DW187" s="200"/>
      <c r="DX187" s="200"/>
      <c r="DY187" s="200"/>
      <c r="DZ187" s="200"/>
      <c r="EA187" s="200"/>
      <c r="EB187" s="200"/>
      <c r="EC187" s="200"/>
      <c r="ED187" s="200"/>
      <c r="EE187" s="200"/>
      <c r="EF187" s="200"/>
      <c r="EG187" s="200"/>
      <c r="EH187" s="200"/>
      <c r="EI187" s="200"/>
      <c r="EJ187" s="200"/>
      <c r="EK187" s="200"/>
      <c r="EL187" s="200"/>
      <c r="EM187" s="200"/>
      <c r="EN187" s="200"/>
      <c r="EO187" s="200"/>
      <c r="EP187" s="200"/>
      <c r="EQ187" s="200"/>
      <c r="ER187" s="200"/>
      <c r="ES187" s="200"/>
      <c r="ET187" s="200"/>
      <c r="EU187" s="200"/>
      <c r="EV187" s="200"/>
      <c r="EW187" s="200"/>
      <c r="EX187" s="200"/>
      <c r="EY187" s="200"/>
      <c r="EZ187" s="200"/>
      <c r="FA187" s="200"/>
      <c r="FB187" s="200"/>
      <c r="FC187" s="200"/>
      <c r="FD187" s="200"/>
      <c r="FE187" s="200"/>
      <c r="FF187" s="200"/>
      <c r="FG187" s="200"/>
      <c r="FH187" s="200"/>
      <c r="FI187" s="200"/>
      <c r="FJ187" s="200"/>
      <c r="FK187" s="200"/>
      <c r="FL187" s="200"/>
      <c r="FM187" s="200"/>
      <c r="FN187" s="200"/>
      <c r="FO187" s="200"/>
      <c r="FP187" s="200"/>
      <c r="FQ187" s="200"/>
      <c r="FR187" s="200"/>
      <c r="FS187" s="200"/>
      <c r="FT187" s="200"/>
      <c r="FU187" s="200"/>
      <c r="FV187" s="200"/>
      <c r="FW187" s="200"/>
      <c r="FX187" s="200"/>
      <c r="FY187" s="200"/>
      <c r="FZ187" s="200"/>
      <c r="GA187" s="200"/>
      <c r="GB187" s="200"/>
      <c r="GC187" s="200"/>
      <c r="GD187" s="200"/>
      <c r="GE187" s="200"/>
      <c r="GF187" s="200"/>
      <c r="GG187" s="200"/>
      <c r="GH187" s="200"/>
      <c r="GI187" s="200"/>
      <c r="GJ187" s="200"/>
      <c r="GK187" s="200"/>
      <c r="GL187" s="200"/>
      <c r="GM187" s="200"/>
      <c r="GN187" s="200"/>
      <c r="GO187" s="200"/>
      <c r="GP187" s="200"/>
      <c r="GQ187" s="200"/>
      <c r="GR187" s="200"/>
      <c r="GS187" s="200"/>
      <c r="GT187" s="200"/>
      <c r="GU187" s="200"/>
      <c r="GV187" s="200"/>
      <c r="GW187" s="200"/>
      <c r="GX187" s="200"/>
      <c r="GY187" s="200"/>
      <c r="GZ187" s="200"/>
      <c r="HA187" s="200"/>
      <c r="HB187" s="200"/>
      <c r="HC187" s="200"/>
      <c r="HD187" s="200"/>
      <c r="HE187" s="200"/>
      <c r="HF187" s="200"/>
      <c r="HG187" s="200"/>
      <c r="HH187" s="200"/>
      <c r="HI187" s="200"/>
      <c r="HJ187" s="200"/>
      <c r="HK187" s="200"/>
      <c r="HL187" s="200"/>
      <c r="HM187" s="200"/>
      <c r="HN187" s="200"/>
      <c r="HO187" s="200"/>
      <c r="HP187" s="200"/>
      <c r="HQ187" s="200"/>
      <c r="HR187" s="200"/>
      <c r="HS187" s="200"/>
      <c r="HT187" s="200"/>
      <c r="HU187" s="200"/>
      <c r="HV187" s="200"/>
      <c r="HW187" s="200"/>
      <c r="HX187" s="200"/>
      <c r="HY187" s="200"/>
      <c r="HZ187" s="200"/>
      <c r="IA187" s="200"/>
      <c r="IB187" s="200"/>
      <c r="IC187" s="200"/>
      <c r="ID187" s="200"/>
      <c r="IE187" s="200"/>
      <c r="IF187" s="200"/>
      <c r="IG187" s="200"/>
      <c r="IH187" s="200"/>
      <c r="II187" s="200"/>
      <c r="IJ187" s="200"/>
      <c r="IK187" s="200"/>
      <c r="IL187" s="200"/>
      <c r="IM187" s="200"/>
      <c r="IN187" s="200"/>
      <c r="IO187" s="200"/>
      <c r="IP187" s="200"/>
      <c r="IQ187" s="200"/>
      <c r="IR187" s="200"/>
      <c r="IS187" s="200"/>
      <c r="IT187" s="200"/>
      <c r="IU187" s="201"/>
      <c r="IV187" s="201"/>
    </row>
    <row r="188" s="10" customFormat="1" ht="15.95" customHeight="1" spans="1:256">
      <c r="A188" s="199">
        <v>74</v>
      </c>
      <c r="B188" s="20" t="s">
        <v>2192</v>
      </c>
      <c r="C188" s="199" t="s">
        <v>1575</v>
      </c>
      <c r="D188" s="199">
        <v>4074</v>
      </c>
      <c r="E188" s="199">
        <f>'05版台时'!D329</f>
        <v>0.937459114479458</v>
      </c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200"/>
      <c r="BB188" s="200"/>
      <c r="BC188" s="200"/>
      <c r="BD188" s="200"/>
      <c r="BE188" s="200"/>
      <c r="BF188" s="200"/>
      <c r="BG188" s="200"/>
      <c r="BH188" s="200"/>
      <c r="BI188" s="200"/>
      <c r="BJ188" s="200"/>
      <c r="BK188" s="200"/>
      <c r="BL188" s="200"/>
      <c r="BM188" s="200"/>
      <c r="BN188" s="200"/>
      <c r="BO188" s="200"/>
      <c r="BP188" s="200"/>
      <c r="BQ188" s="200"/>
      <c r="BR188" s="200"/>
      <c r="BS188" s="200"/>
      <c r="BT188" s="200"/>
      <c r="BU188" s="200"/>
      <c r="BV188" s="200"/>
      <c r="BW188" s="200"/>
      <c r="BX188" s="200"/>
      <c r="BY188" s="200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200"/>
      <c r="CX188" s="200"/>
      <c r="CY188" s="200"/>
      <c r="CZ188" s="200"/>
      <c r="DA188" s="200"/>
      <c r="DB188" s="200"/>
      <c r="DC188" s="200"/>
      <c r="DD188" s="200"/>
      <c r="DE188" s="200"/>
      <c r="DF188" s="200"/>
      <c r="DG188" s="200"/>
      <c r="DH188" s="200"/>
      <c r="DI188" s="200"/>
      <c r="DJ188" s="200"/>
      <c r="DK188" s="200"/>
      <c r="DL188" s="200"/>
      <c r="DM188" s="200"/>
      <c r="DN188" s="200"/>
      <c r="DO188" s="200"/>
      <c r="DP188" s="200"/>
      <c r="DQ188" s="200"/>
      <c r="DR188" s="200"/>
      <c r="DS188" s="200"/>
      <c r="DT188" s="200"/>
      <c r="DU188" s="200"/>
      <c r="DV188" s="200"/>
      <c r="DW188" s="200"/>
      <c r="DX188" s="200"/>
      <c r="DY188" s="200"/>
      <c r="DZ188" s="200"/>
      <c r="EA188" s="200"/>
      <c r="EB188" s="200"/>
      <c r="EC188" s="200"/>
      <c r="ED188" s="200"/>
      <c r="EE188" s="200"/>
      <c r="EF188" s="200"/>
      <c r="EG188" s="200"/>
      <c r="EH188" s="200"/>
      <c r="EI188" s="200"/>
      <c r="EJ188" s="200"/>
      <c r="EK188" s="200"/>
      <c r="EL188" s="200"/>
      <c r="EM188" s="200"/>
      <c r="EN188" s="200"/>
      <c r="EO188" s="200"/>
      <c r="EP188" s="200"/>
      <c r="EQ188" s="200"/>
      <c r="ER188" s="200"/>
      <c r="ES188" s="200"/>
      <c r="ET188" s="200"/>
      <c r="EU188" s="200"/>
      <c r="EV188" s="200"/>
      <c r="EW188" s="200"/>
      <c r="EX188" s="200"/>
      <c r="EY188" s="200"/>
      <c r="EZ188" s="200"/>
      <c r="FA188" s="200"/>
      <c r="FB188" s="200"/>
      <c r="FC188" s="200"/>
      <c r="FD188" s="200"/>
      <c r="FE188" s="200"/>
      <c r="FF188" s="200"/>
      <c r="FG188" s="200"/>
      <c r="FH188" s="200"/>
      <c r="FI188" s="200"/>
      <c r="FJ188" s="200"/>
      <c r="FK188" s="200"/>
      <c r="FL188" s="200"/>
      <c r="FM188" s="200"/>
      <c r="FN188" s="200"/>
      <c r="FO188" s="200"/>
      <c r="FP188" s="200"/>
      <c r="FQ188" s="200"/>
      <c r="FR188" s="200"/>
      <c r="FS188" s="200"/>
      <c r="FT188" s="200"/>
      <c r="FU188" s="200"/>
      <c r="FV188" s="200"/>
      <c r="FW188" s="200"/>
      <c r="FX188" s="200"/>
      <c r="FY188" s="200"/>
      <c r="FZ188" s="200"/>
      <c r="GA188" s="200"/>
      <c r="GB188" s="200"/>
      <c r="GC188" s="200"/>
      <c r="GD188" s="200"/>
      <c r="GE188" s="200"/>
      <c r="GF188" s="200"/>
      <c r="GG188" s="200"/>
      <c r="GH188" s="200"/>
      <c r="GI188" s="200"/>
      <c r="GJ188" s="200"/>
      <c r="GK188" s="200"/>
      <c r="GL188" s="200"/>
      <c r="GM188" s="200"/>
      <c r="GN188" s="200"/>
      <c r="GO188" s="200"/>
      <c r="GP188" s="200"/>
      <c r="GQ188" s="200"/>
      <c r="GR188" s="200"/>
      <c r="GS188" s="200"/>
      <c r="GT188" s="200"/>
      <c r="GU188" s="200"/>
      <c r="GV188" s="200"/>
      <c r="GW188" s="200"/>
      <c r="GX188" s="200"/>
      <c r="GY188" s="200"/>
      <c r="GZ188" s="200"/>
      <c r="HA188" s="200"/>
      <c r="HB188" s="200"/>
      <c r="HC188" s="200"/>
      <c r="HD188" s="200"/>
      <c r="HE188" s="200"/>
      <c r="HF188" s="200"/>
      <c r="HG188" s="200"/>
      <c r="HH188" s="200"/>
      <c r="HI188" s="200"/>
      <c r="HJ188" s="200"/>
      <c r="HK188" s="200"/>
      <c r="HL188" s="200"/>
      <c r="HM188" s="200"/>
      <c r="HN188" s="200"/>
      <c r="HO188" s="200"/>
      <c r="HP188" s="200"/>
      <c r="HQ188" s="200"/>
      <c r="HR188" s="200"/>
      <c r="HS188" s="200"/>
      <c r="HT188" s="200"/>
      <c r="HU188" s="200"/>
      <c r="HV188" s="200"/>
      <c r="HW188" s="200"/>
      <c r="HX188" s="200"/>
      <c r="HY188" s="200"/>
      <c r="HZ188" s="200"/>
      <c r="IA188" s="200"/>
      <c r="IB188" s="200"/>
      <c r="IC188" s="200"/>
      <c r="ID188" s="200"/>
      <c r="IE188" s="200"/>
      <c r="IF188" s="200"/>
      <c r="IG188" s="200"/>
      <c r="IH188" s="200"/>
      <c r="II188" s="200"/>
      <c r="IJ188" s="200"/>
      <c r="IK188" s="200"/>
      <c r="IL188" s="200"/>
      <c r="IM188" s="200"/>
      <c r="IN188" s="200"/>
      <c r="IO188" s="200"/>
      <c r="IP188" s="200"/>
      <c r="IQ188" s="200"/>
      <c r="IR188" s="200"/>
      <c r="IS188" s="200"/>
      <c r="IT188" s="200"/>
      <c r="IU188" s="201"/>
      <c r="IV188" s="201"/>
    </row>
    <row r="189" s="10" customFormat="1" ht="15.95" customHeight="1" spans="1:256">
      <c r="A189" s="199">
        <v>75</v>
      </c>
      <c r="B189" s="20" t="s">
        <v>2192</v>
      </c>
      <c r="C189" s="199" t="s">
        <v>2180</v>
      </c>
      <c r="D189" s="199">
        <v>4075</v>
      </c>
      <c r="E189" s="199">
        <f>'05版台时'!E329</f>
        <v>1.11842042281611</v>
      </c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/>
      <c r="BB189" s="200"/>
      <c r="BC189" s="200"/>
      <c r="BD189" s="200"/>
      <c r="BE189" s="200"/>
      <c r="BF189" s="200"/>
      <c r="BG189" s="200"/>
      <c r="BH189" s="200"/>
      <c r="BI189" s="200"/>
      <c r="BJ189" s="200"/>
      <c r="BK189" s="200"/>
      <c r="BL189" s="200"/>
      <c r="BM189" s="200"/>
      <c r="BN189" s="200"/>
      <c r="BO189" s="200"/>
      <c r="BP189" s="200"/>
      <c r="BQ189" s="200"/>
      <c r="BR189" s="200"/>
      <c r="BS189" s="200"/>
      <c r="BT189" s="200"/>
      <c r="BU189" s="200"/>
      <c r="BV189" s="200"/>
      <c r="BW189" s="200"/>
      <c r="BX189" s="200"/>
      <c r="BY189" s="200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200"/>
      <c r="CX189" s="200"/>
      <c r="CY189" s="200"/>
      <c r="CZ189" s="200"/>
      <c r="DA189" s="200"/>
      <c r="DB189" s="200"/>
      <c r="DC189" s="200"/>
      <c r="DD189" s="200"/>
      <c r="DE189" s="200"/>
      <c r="DF189" s="200"/>
      <c r="DG189" s="200"/>
      <c r="DH189" s="200"/>
      <c r="DI189" s="200"/>
      <c r="DJ189" s="200"/>
      <c r="DK189" s="200"/>
      <c r="DL189" s="200"/>
      <c r="DM189" s="200"/>
      <c r="DN189" s="200"/>
      <c r="DO189" s="200"/>
      <c r="DP189" s="200"/>
      <c r="DQ189" s="200"/>
      <c r="DR189" s="200"/>
      <c r="DS189" s="200"/>
      <c r="DT189" s="200"/>
      <c r="DU189" s="200"/>
      <c r="DV189" s="200"/>
      <c r="DW189" s="200"/>
      <c r="DX189" s="200"/>
      <c r="DY189" s="200"/>
      <c r="DZ189" s="200"/>
      <c r="EA189" s="200"/>
      <c r="EB189" s="200"/>
      <c r="EC189" s="200"/>
      <c r="ED189" s="200"/>
      <c r="EE189" s="200"/>
      <c r="EF189" s="200"/>
      <c r="EG189" s="200"/>
      <c r="EH189" s="200"/>
      <c r="EI189" s="200"/>
      <c r="EJ189" s="200"/>
      <c r="EK189" s="200"/>
      <c r="EL189" s="200"/>
      <c r="EM189" s="200"/>
      <c r="EN189" s="200"/>
      <c r="EO189" s="200"/>
      <c r="EP189" s="200"/>
      <c r="EQ189" s="200"/>
      <c r="ER189" s="200"/>
      <c r="ES189" s="200"/>
      <c r="ET189" s="200"/>
      <c r="EU189" s="200"/>
      <c r="EV189" s="200"/>
      <c r="EW189" s="200"/>
      <c r="EX189" s="200"/>
      <c r="EY189" s="200"/>
      <c r="EZ189" s="200"/>
      <c r="FA189" s="200"/>
      <c r="FB189" s="200"/>
      <c r="FC189" s="200"/>
      <c r="FD189" s="200"/>
      <c r="FE189" s="200"/>
      <c r="FF189" s="200"/>
      <c r="FG189" s="200"/>
      <c r="FH189" s="200"/>
      <c r="FI189" s="200"/>
      <c r="FJ189" s="200"/>
      <c r="FK189" s="200"/>
      <c r="FL189" s="200"/>
      <c r="FM189" s="200"/>
      <c r="FN189" s="200"/>
      <c r="FO189" s="200"/>
      <c r="FP189" s="200"/>
      <c r="FQ189" s="200"/>
      <c r="FR189" s="200"/>
      <c r="FS189" s="200"/>
      <c r="FT189" s="200"/>
      <c r="FU189" s="200"/>
      <c r="FV189" s="200"/>
      <c r="FW189" s="200"/>
      <c r="FX189" s="200"/>
      <c r="FY189" s="200"/>
      <c r="FZ189" s="200"/>
      <c r="GA189" s="200"/>
      <c r="GB189" s="200"/>
      <c r="GC189" s="200"/>
      <c r="GD189" s="200"/>
      <c r="GE189" s="200"/>
      <c r="GF189" s="200"/>
      <c r="GG189" s="200"/>
      <c r="GH189" s="200"/>
      <c r="GI189" s="200"/>
      <c r="GJ189" s="200"/>
      <c r="GK189" s="200"/>
      <c r="GL189" s="200"/>
      <c r="GM189" s="200"/>
      <c r="GN189" s="200"/>
      <c r="GO189" s="200"/>
      <c r="GP189" s="200"/>
      <c r="GQ189" s="200"/>
      <c r="GR189" s="200"/>
      <c r="GS189" s="200"/>
      <c r="GT189" s="200"/>
      <c r="GU189" s="200"/>
      <c r="GV189" s="200"/>
      <c r="GW189" s="200"/>
      <c r="GX189" s="200"/>
      <c r="GY189" s="200"/>
      <c r="GZ189" s="200"/>
      <c r="HA189" s="200"/>
      <c r="HB189" s="200"/>
      <c r="HC189" s="200"/>
      <c r="HD189" s="200"/>
      <c r="HE189" s="200"/>
      <c r="HF189" s="200"/>
      <c r="HG189" s="200"/>
      <c r="HH189" s="200"/>
      <c r="HI189" s="200"/>
      <c r="HJ189" s="200"/>
      <c r="HK189" s="200"/>
      <c r="HL189" s="200"/>
      <c r="HM189" s="200"/>
      <c r="HN189" s="200"/>
      <c r="HO189" s="200"/>
      <c r="HP189" s="200"/>
      <c r="HQ189" s="200"/>
      <c r="HR189" s="200"/>
      <c r="HS189" s="200"/>
      <c r="HT189" s="200"/>
      <c r="HU189" s="200"/>
      <c r="HV189" s="200"/>
      <c r="HW189" s="200"/>
      <c r="HX189" s="200"/>
      <c r="HY189" s="200"/>
      <c r="HZ189" s="200"/>
      <c r="IA189" s="200"/>
      <c r="IB189" s="200"/>
      <c r="IC189" s="200"/>
      <c r="ID189" s="200"/>
      <c r="IE189" s="200"/>
      <c r="IF189" s="200"/>
      <c r="IG189" s="200"/>
      <c r="IH189" s="200"/>
      <c r="II189" s="200"/>
      <c r="IJ189" s="200"/>
      <c r="IK189" s="200"/>
      <c r="IL189" s="200"/>
      <c r="IM189" s="200"/>
      <c r="IN189" s="200"/>
      <c r="IO189" s="200"/>
      <c r="IP189" s="200"/>
      <c r="IQ189" s="200"/>
      <c r="IR189" s="200"/>
      <c r="IS189" s="200"/>
      <c r="IT189" s="200"/>
      <c r="IU189" s="201"/>
      <c r="IV189" s="201"/>
    </row>
    <row r="190" s="10" customFormat="1" ht="15.95" customHeight="1" spans="1:256">
      <c r="A190" s="199">
        <v>76</v>
      </c>
      <c r="B190" s="20" t="s">
        <v>2192</v>
      </c>
      <c r="C190" s="199" t="s">
        <v>2181</v>
      </c>
      <c r="D190" s="199">
        <v>4076</v>
      </c>
      <c r="E190" s="199">
        <f>'05版台时'!F329</f>
        <v>1.36216593538093</v>
      </c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200"/>
      <c r="AE190" s="200"/>
      <c r="AF190" s="200"/>
      <c r="AG190" s="200"/>
      <c r="AH190" s="200"/>
      <c r="AI190" s="200"/>
      <c r="AJ190" s="200"/>
      <c r="AK190" s="200"/>
      <c r="AL190" s="200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200"/>
      <c r="BD190" s="200"/>
      <c r="BE190" s="200"/>
      <c r="BF190" s="200"/>
      <c r="BG190" s="200"/>
      <c r="BH190" s="200"/>
      <c r="BI190" s="200"/>
      <c r="BJ190" s="200"/>
      <c r="BK190" s="200"/>
      <c r="BL190" s="200"/>
      <c r="BM190" s="200"/>
      <c r="BN190" s="200"/>
      <c r="BO190" s="200"/>
      <c r="BP190" s="200"/>
      <c r="BQ190" s="200"/>
      <c r="BR190" s="200"/>
      <c r="BS190" s="200"/>
      <c r="BT190" s="200"/>
      <c r="BU190" s="200"/>
      <c r="BV190" s="200"/>
      <c r="BW190" s="200"/>
      <c r="BX190" s="200"/>
      <c r="BY190" s="200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200"/>
      <c r="CX190" s="200"/>
      <c r="CY190" s="200"/>
      <c r="CZ190" s="200"/>
      <c r="DA190" s="200"/>
      <c r="DB190" s="200"/>
      <c r="DC190" s="200"/>
      <c r="DD190" s="200"/>
      <c r="DE190" s="200"/>
      <c r="DF190" s="200"/>
      <c r="DG190" s="200"/>
      <c r="DH190" s="200"/>
      <c r="DI190" s="200"/>
      <c r="DJ190" s="200"/>
      <c r="DK190" s="200"/>
      <c r="DL190" s="200"/>
      <c r="DM190" s="200"/>
      <c r="DN190" s="200"/>
      <c r="DO190" s="200"/>
      <c r="DP190" s="200"/>
      <c r="DQ190" s="200"/>
      <c r="DR190" s="200"/>
      <c r="DS190" s="200"/>
      <c r="DT190" s="200"/>
      <c r="DU190" s="200"/>
      <c r="DV190" s="200"/>
      <c r="DW190" s="200"/>
      <c r="DX190" s="200"/>
      <c r="DY190" s="200"/>
      <c r="DZ190" s="200"/>
      <c r="EA190" s="200"/>
      <c r="EB190" s="200"/>
      <c r="EC190" s="200"/>
      <c r="ED190" s="200"/>
      <c r="EE190" s="200"/>
      <c r="EF190" s="200"/>
      <c r="EG190" s="200"/>
      <c r="EH190" s="200"/>
      <c r="EI190" s="200"/>
      <c r="EJ190" s="200"/>
      <c r="EK190" s="200"/>
      <c r="EL190" s="200"/>
      <c r="EM190" s="200"/>
      <c r="EN190" s="200"/>
      <c r="EO190" s="200"/>
      <c r="EP190" s="200"/>
      <c r="EQ190" s="200"/>
      <c r="ER190" s="200"/>
      <c r="ES190" s="200"/>
      <c r="ET190" s="200"/>
      <c r="EU190" s="200"/>
      <c r="EV190" s="200"/>
      <c r="EW190" s="200"/>
      <c r="EX190" s="200"/>
      <c r="EY190" s="200"/>
      <c r="EZ190" s="200"/>
      <c r="FA190" s="200"/>
      <c r="FB190" s="200"/>
      <c r="FC190" s="200"/>
      <c r="FD190" s="200"/>
      <c r="FE190" s="200"/>
      <c r="FF190" s="200"/>
      <c r="FG190" s="200"/>
      <c r="FH190" s="200"/>
      <c r="FI190" s="200"/>
      <c r="FJ190" s="200"/>
      <c r="FK190" s="200"/>
      <c r="FL190" s="200"/>
      <c r="FM190" s="200"/>
      <c r="FN190" s="200"/>
      <c r="FO190" s="200"/>
      <c r="FP190" s="200"/>
      <c r="FQ190" s="200"/>
      <c r="FR190" s="200"/>
      <c r="FS190" s="200"/>
      <c r="FT190" s="200"/>
      <c r="FU190" s="200"/>
      <c r="FV190" s="200"/>
      <c r="FW190" s="200"/>
      <c r="FX190" s="200"/>
      <c r="FY190" s="200"/>
      <c r="FZ190" s="200"/>
      <c r="GA190" s="200"/>
      <c r="GB190" s="200"/>
      <c r="GC190" s="200"/>
      <c r="GD190" s="200"/>
      <c r="GE190" s="200"/>
      <c r="GF190" s="200"/>
      <c r="GG190" s="200"/>
      <c r="GH190" s="200"/>
      <c r="GI190" s="200"/>
      <c r="GJ190" s="200"/>
      <c r="GK190" s="200"/>
      <c r="GL190" s="200"/>
      <c r="GM190" s="200"/>
      <c r="GN190" s="200"/>
      <c r="GO190" s="200"/>
      <c r="GP190" s="200"/>
      <c r="GQ190" s="200"/>
      <c r="GR190" s="200"/>
      <c r="GS190" s="200"/>
      <c r="GT190" s="200"/>
      <c r="GU190" s="200"/>
      <c r="GV190" s="200"/>
      <c r="GW190" s="200"/>
      <c r="GX190" s="200"/>
      <c r="GY190" s="200"/>
      <c r="GZ190" s="200"/>
      <c r="HA190" s="200"/>
      <c r="HB190" s="200"/>
      <c r="HC190" s="200"/>
      <c r="HD190" s="200"/>
      <c r="HE190" s="200"/>
      <c r="HF190" s="200"/>
      <c r="HG190" s="200"/>
      <c r="HH190" s="200"/>
      <c r="HI190" s="200"/>
      <c r="HJ190" s="200"/>
      <c r="HK190" s="200"/>
      <c r="HL190" s="200"/>
      <c r="HM190" s="200"/>
      <c r="HN190" s="200"/>
      <c r="HO190" s="200"/>
      <c r="HP190" s="200"/>
      <c r="HQ190" s="200"/>
      <c r="HR190" s="200"/>
      <c r="HS190" s="200"/>
      <c r="HT190" s="200"/>
      <c r="HU190" s="200"/>
      <c r="HV190" s="200"/>
      <c r="HW190" s="200"/>
      <c r="HX190" s="200"/>
      <c r="HY190" s="200"/>
      <c r="HZ190" s="200"/>
      <c r="IA190" s="200"/>
      <c r="IB190" s="200"/>
      <c r="IC190" s="200"/>
      <c r="ID190" s="200"/>
      <c r="IE190" s="200"/>
      <c r="IF190" s="200"/>
      <c r="IG190" s="200"/>
      <c r="IH190" s="200"/>
      <c r="II190" s="200"/>
      <c r="IJ190" s="200"/>
      <c r="IK190" s="200"/>
      <c r="IL190" s="200"/>
      <c r="IM190" s="200"/>
      <c r="IN190" s="200"/>
      <c r="IO190" s="200"/>
      <c r="IP190" s="200"/>
      <c r="IQ190" s="200"/>
      <c r="IR190" s="200"/>
      <c r="IS190" s="200"/>
      <c r="IT190" s="200"/>
      <c r="IU190" s="201"/>
      <c r="IV190" s="201"/>
    </row>
    <row r="191" s="10" customFormat="1" ht="15.95" customHeight="1" spans="1:256">
      <c r="A191" s="199">
        <v>77</v>
      </c>
      <c r="B191" s="20" t="s">
        <v>2192</v>
      </c>
      <c r="C191" s="199" t="s">
        <v>2124</v>
      </c>
      <c r="D191" s="199">
        <v>4077</v>
      </c>
      <c r="E191" s="199">
        <f>'05版台时'!G329</f>
        <v>1.49690865576386</v>
      </c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/>
      <c r="AG191" s="200"/>
      <c r="AH191" s="200"/>
      <c r="AI191" s="200"/>
      <c r="AJ191" s="200"/>
      <c r="AK191" s="200"/>
      <c r="AL191" s="200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/>
      <c r="BB191" s="200"/>
      <c r="BC191" s="200"/>
      <c r="BD191" s="200"/>
      <c r="BE191" s="200"/>
      <c r="BF191" s="200"/>
      <c r="BG191" s="200"/>
      <c r="BH191" s="200"/>
      <c r="BI191" s="200"/>
      <c r="BJ191" s="200"/>
      <c r="BK191" s="200"/>
      <c r="BL191" s="200"/>
      <c r="BM191" s="200"/>
      <c r="BN191" s="200"/>
      <c r="BO191" s="200"/>
      <c r="BP191" s="200"/>
      <c r="BQ191" s="200"/>
      <c r="BR191" s="200"/>
      <c r="BS191" s="200"/>
      <c r="BT191" s="200"/>
      <c r="BU191" s="200"/>
      <c r="BV191" s="200"/>
      <c r="BW191" s="200"/>
      <c r="BX191" s="200"/>
      <c r="BY191" s="200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200"/>
      <c r="CX191" s="200"/>
      <c r="CY191" s="200"/>
      <c r="CZ191" s="200"/>
      <c r="DA191" s="200"/>
      <c r="DB191" s="200"/>
      <c r="DC191" s="200"/>
      <c r="DD191" s="200"/>
      <c r="DE191" s="200"/>
      <c r="DF191" s="200"/>
      <c r="DG191" s="200"/>
      <c r="DH191" s="200"/>
      <c r="DI191" s="200"/>
      <c r="DJ191" s="200"/>
      <c r="DK191" s="200"/>
      <c r="DL191" s="200"/>
      <c r="DM191" s="200"/>
      <c r="DN191" s="200"/>
      <c r="DO191" s="200"/>
      <c r="DP191" s="200"/>
      <c r="DQ191" s="200"/>
      <c r="DR191" s="200"/>
      <c r="DS191" s="200"/>
      <c r="DT191" s="200"/>
      <c r="DU191" s="200"/>
      <c r="DV191" s="200"/>
      <c r="DW191" s="200"/>
      <c r="DX191" s="200"/>
      <c r="DY191" s="200"/>
      <c r="DZ191" s="200"/>
      <c r="EA191" s="200"/>
      <c r="EB191" s="200"/>
      <c r="EC191" s="200"/>
      <c r="ED191" s="200"/>
      <c r="EE191" s="200"/>
      <c r="EF191" s="200"/>
      <c r="EG191" s="200"/>
      <c r="EH191" s="200"/>
      <c r="EI191" s="200"/>
      <c r="EJ191" s="200"/>
      <c r="EK191" s="200"/>
      <c r="EL191" s="200"/>
      <c r="EM191" s="200"/>
      <c r="EN191" s="200"/>
      <c r="EO191" s="200"/>
      <c r="EP191" s="200"/>
      <c r="EQ191" s="200"/>
      <c r="ER191" s="200"/>
      <c r="ES191" s="200"/>
      <c r="ET191" s="200"/>
      <c r="EU191" s="200"/>
      <c r="EV191" s="200"/>
      <c r="EW191" s="200"/>
      <c r="EX191" s="200"/>
      <c r="EY191" s="200"/>
      <c r="EZ191" s="200"/>
      <c r="FA191" s="200"/>
      <c r="FB191" s="200"/>
      <c r="FC191" s="200"/>
      <c r="FD191" s="200"/>
      <c r="FE191" s="200"/>
      <c r="FF191" s="200"/>
      <c r="FG191" s="200"/>
      <c r="FH191" s="200"/>
      <c r="FI191" s="200"/>
      <c r="FJ191" s="200"/>
      <c r="FK191" s="200"/>
      <c r="FL191" s="200"/>
      <c r="FM191" s="200"/>
      <c r="FN191" s="200"/>
      <c r="FO191" s="200"/>
      <c r="FP191" s="200"/>
      <c r="FQ191" s="200"/>
      <c r="FR191" s="200"/>
      <c r="FS191" s="200"/>
      <c r="FT191" s="200"/>
      <c r="FU191" s="200"/>
      <c r="FV191" s="200"/>
      <c r="FW191" s="200"/>
      <c r="FX191" s="200"/>
      <c r="FY191" s="200"/>
      <c r="FZ191" s="200"/>
      <c r="GA191" s="200"/>
      <c r="GB191" s="200"/>
      <c r="GC191" s="200"/>
      <c r="GD191" s="200"/>
      <c r="GE191" s="200"/>
      <c r="GF191" s="200"/>
      <c r="GG191" s="200"/>
      <c r="GH191" s="200"/>
      <c r="GI191" s="200"/>
      <c r="GJ191" s="200"/>
      <c r="GK191" s="200"/>
      <c r="GL191" s="200"/>
      <c r="GM191" s="200"/>
      <c r="GN191" s="200"/>
      <c r="GO191" s="200"/>
      <c r="GP191" s="200"/>
      <c r="GQ191" s="200"/>
      <c r="GR191" s="200"/>
      <c r="GS191" s="200"/>
      <c r="GT191" s="200"/>
      <c r="GU191" s="200"/>
      <c r="GV191" s="200"/>
      <c r="GW191" s="200"/>
      <c r="GX191" s="200"/>
      <c r="GY191" s="200"/>
      <c r="GZ191" s="200"/>
      <c r="HA191" s="200"/>
      <c r="HB191" s="200"/>
      <c r="HC191" s="200"/>
      <c r="HD191" s="200"/>
      <c r="HE191" s="200"/>
      <c r="HF191" s="200"/>
      <c r="HG191" s="200"/>
      <c r="HH191" s="200"/>
      <c r="HI191" s="200"/>
      <c r="HJ191" s="200"/>
      <c r="HK191" s="200"/>
      <c r="HL191" s="200"/>
      <c r="HM191" s="200"/>
      <c r="HN191" s="200"/>
      <c r="HO191" s="200"/>
      <c r="HP191" s="200"/>
      <c r="HQ191" s="200"/>
      <c r="HR191" s="200"/>
      <c r="HS191" s="200"/>
      <c r="HT191" s="200"/>
      <c r="HU191" s="200"/>
      <c r="HV191" s="200"/>
      <c r="HW191" s="200"/>
      <c r="HX191" s="200"/>
      <c r="HY191" s="200"/>
      <c r="HZ191" s="200"/>
      <c r="IA191" s="200"/>
      <c r="IB191" s="200"/>
      <c r="IC191" s="200"/>
      <c r="ID191" s="200"/>
      <c r="IE191" s="200"/>
      <c r="IF191" s="200"/>
      <c r="IG191" s="200"/>
      <c r="IH191" s="200"/>
      <c r="II191" s="200"/>
      <c r="IJ191" s="200"/>
      <c r="IK191" s="200"/>
      <c r="IL191" s="200"/>
      <c r="IM191" s="200"/>
      <c r="IN191" s="200"/>
      <c r="IO191" s="200"/>
      <c r="IP191" s="200"/>
      <c r="IQ191" s="200"/>
      <c r="IR191" s="200"/>
      <c r="IS191" s="200"/>
      <c r="IT191" s="200"/>
      <c r="IU191" s="201"/>
      <c r="IV191" s="201"/>
    </row>
    <row r="192" s="10" customFormat="1" ht="15.95" customHeight="1" spans="1:256">
      <c r="A192" s="199">
        <v>78</v>
      </c>
      <c r="B192" s="20" t="s">
        <v>2193</v>
      </c>
      <c r="C192" s="199" t="str">
        <f>'05版台时'!H302</f>
        <v>20×200</v>
      </c>
      <c r="D192" s="199">
        <v>4078</v>
      </c>
      <c r="E192" s="199">
        <f>'05版台时'!H329</f>
        <v>193.249950482776</v>
      </c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200"/>
      <c r="AI192" s="200"/>
      <c r="AJ192" s="200"/>
      <c r="AK192" s="200"/>
      <c r="AL192" s="200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200"/>
      <c r="BD192" s="200"/>
      <c r="BE192" s="200"/>
      <c r="BF192" s="200"/>
      <c r="BG192" s="200"/>
      <c r="BH192" s="200"/>
      <c r="BI192" s="200"/>
      <c r="BJ192" s="200"/>
      <c r="BK192" s="200"/>
      <c r="BL192" s="200"/>
      <c r="BM192" s="200"/>
      <c r="BN192" s="200"/>
      <c r="BO192" s="200"/>
      <c r="BP192" s="200"/>
      <c r="BQ192" s="200"/>
      <c r="BR192" s="200"/>
      <c r="BS192" s="200"/>
      <c r="BT192" s="200"/>
      <c r="BU192" s="200"/>
      <c r="BV192" s="200"/>
      <c r="BW192" s="200"/>
      <c r="BX192" s="200"/>
      <c r="BY192" s="200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200"/>
      <c r="CX192" s="200"/>
      <c r="CY192" s="200"/>
      <c r="CZ192" s="200"/>
      <c r="DA192" s="200"/>
      <c r="DB192" s="200"/>
      <c r="DC192" s="200"/>
      <c r="DD192" s="200"/>
      <c r="DE192" s="200"/>
      <c r="DF192" s="200"/>
      <c r="DG192" s="200"/>
      <c r="DH192" s="200"/>
      <c r="DI192" s="200"/>
      <c r="DJ192" s="200"/>
      <c r="DK192" s="200"/>
      <c r="DL192" s="200"/>
      <c r="DM192" s="200"/>
      <c r="DN192" s="200"/>
      <c r="DO192" s="200"/>
      <c r="DP192" s="200"/>
      <c r="DQ192" s="200"/>
      <c r="DR192" s="200"/>
      <c r="DS192" s="200"/>
      <c r="DT192" s="200"/>
      <c r="DU192" s="200"/>
      <c r="DV192" s="200"/>
      <c r="DW192" s="200"/>
      <c r="DX192" s="200"/>
      <c r="DY192" s="200"/>
      <c r="DZ192" s="200"/>
      <c r="EA192" s="200"/>
      <c r="EB192" s="200"/>
      <c r="EC192" s="200"/>
      <c r="ED192" s="200"/>
      <c r="EE192" s="200"/>
      <c r="EF192" s="200"/>
      <c r="EG192" s="200"/>
      <c r="EH192" s="200"/>
      <c r="EI192" s="200"/>
      <c r="EJ192" s="200"/>
      <c r="EK192" s="200"/>
      <c r="EL192" s="200"/>
      <c r="EM192" s="200"/>
      <c r="EN192" s="200"/>
      <c r="EO192" s="200"/>
      <c r="EP192" s="200"/>
      <c r="EQ192" s="200"/>
      <c r="ER192" s="200"/>
      <c r="ES192" s="200"/>
      <c r="ET192" s="200"/>
      <c r="EU192" s="200"/>
      <c r="EV192" s="200"/>
      <c r="EW192" s="200"/>
      <c r="EX192" s="200"/>
      <c r="EY192" s="200"/>
      <c r="EZ192" s="200"/>
      <c r="FA192" s="200"/>
      <c r="FB192" s="200"/>
      <c r="FC192" s="200"/>
      <c r="FD192" s="200"/>
      <c r="FE192" s="200"/>
      <c r="FF192" s="200"/>
      <c r="FG192" s="200"/>
      <c r="FH192" s="200"/>
      <c r="FI192" s="200"/>
      <c r="FJ192" s="200"/>
      <c r="FK192" s="200"/>
      <c r="FL192" s="200"/>
      <c r="FM192" s="200"/>
      <c r="FN192" s="200"/>
      <c r="FO192" s="200"/>
      <c r="FP192" s="200"/>
      <c r="FQ192" s="200"/>
      <c r="FR192" s="200"/>
      <c r="FS192" s="200"/>
      <c r="FT192" s="200"/>
      <c r="FU192" s="200"/>
      <c r="FV192" s="200"/>
      <c r="FW192" s="200"/>
      <c r="FX192" s="200"/>
      <c r="FY192" s="200"/>
      <c r="FZ192" s="200"/>
      <c r="GA192" s="200"/>
      <c r="GB192" s="200"/>
      <c r="GC192" s="200"/>
      <c r="GD192" s="200"/>
      <c r="GE192" s="200"/>
      <c r="GF192" s="200"/>
      <c r="GG192" s="200"/>
      <c r="GH192" s="200"/>
      <c r="GI192" s="200"/>
      <c r="GJ192" s="200"/>
      <c r="GK192" s="200"/>
      <c r="GL192" s="200"/>
      <c r="GM192" s="200"/>
      <c r="GN192" s="200"/>
      <c r="GO192" s="200"/>
      <c r="GP192" s="200"/>
      <c r="GQ192" s="200"/>
      <c r="GR192" s="200"/>
      <c r="GS192" s="200"/>
      <c r="GT192" s="200"/>
      <c r="GU192" s="200"/>
      <c r="GV192" s="200"/>
      <c r="GW192" s="200"/>
      <c r="GX192" s="200"/>
      <c r="GY192" s="200"/>
      <c r="GZ192" s="200"/>
      <c r="HA192" s="200"/>
      <c r="HB192" s="200"/>
      <c r="HC192" s="200"/>
      <c r="HD192" s="200"/>
      <c r="HE192" s="200"/>
      <c r="HF192" s="200"/>
      <c r="HG192" s="200"/>
      <c r="HH192" s="200"/>
      <c r="HI192" s="200"/>
      <c r="HJ192" s="200"/>
      <c r="HK192" s="200"/>
      <c r="HL192" s="200"/>
      <c r="HM192" s="200"/>
      <c r="HN192" s="200"/>
      <c r="HO192" s="200"/>
      <c r="HP192" s="200"/>
      <c r="HQ192" s="200"/>
      <c r="HR192" s="200"/>
      <c r="HS192" s="200"/>
      <c r="HT192" s="200"/>
      <c r="HU192" s="200"/>
      <c r="HV192" s="200"/>
      <c r="HW192" s="200"/>
      <c r="HX192" s="200"/>
      <c r="HY192" s="200"/>
      <c r="HZ192" s="200"/>
      <c r="IA192" s="200"/>
      <c r="IB192" s="200"/>
      <c r="IC192" s="200"/>
      <c r="ID192" s="200"/>
      <c r="IE192" s="200"/>
      <c r="IF192" s="200"/>
      <c r="IG192" s="200"/>
      <c r="IH192" s="200"/>
      <c r="II192" s="200"/>
      <c r="IJ192" s="200"/>
      <c r="IK192" s="200"/>
      <c r="IL192" s="200"/>
      <c r="IM192" s="200"/>
      <c r="IN192" s="200"/>
      <c r="IO192" s="200"/>
      <c r="IP192" s="200"/>
      <c r="IQ192" s="200"/>
      <c r="IR192" s="200"/>
      <c r="IS192" s="200"/>
      <c r="IT192" s="200"/>
      <c r="IU192" s="201"/>
      <c r="IV192" s="201"/>
    </row>
    <row r="193" s="10" customFormat="1" ht="15.95" customHeight="1" spans="1:256">
      <c r="A193" s="199">
        <v>79</v>
      </c>
      <c r="B193" s="20" t="s">
        <v>2193</v>
      </c>
      <c r="C193" s="199" t="str">
        <f>'05版台时'!I302</f>
        <v>20×300</v>
      </c>
      <c r="D193" s="199">
        <v>4079</v>
      </c>
      <c r="E193" s="199">
        <f>'05版台时'!I329</f>
        <v>210.90930429211</v>
      </c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200"/>
      <c r="AI193" s="200"/>
      <c r="AJ193" s="200"/>
      <c r="AK193" s="200"/>
      <c r="AL193" s="200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200"/>
      <c r="BB193" s="200"/>
      <c r="BC193" s="200"/>
      <c r="BD193" s="200"/>
      <c r="BE193" s="200"/>
      <c r="BF193" s="200"/>
      <c r="BG193" s="200"/>
      <c r="BH193" s="200"/>
      <c r="BI193" s="200"/>
      <c r="BJ193" s="200"/>
      <c r="BK193" s="200"/>
      <c r="BL193" s="200"/>
      <c r="BM193" s="200"/>
      <c r="BN193" s="200"/>
      <c r="BO193" s="200"/>
      <c r="BP193" s="200"/>
      <c r="BQ193" s="200"/>
      <c r="BR193" s="200"/>
      <c r="BS193" s="200"/>
      <c r="BT193" s="200"/>
      <c r="BU193" s="200"/>
      <c r="BV193" s="200"/>
      <c r="BW193" s="200"/>
      <c r="BX193" s="200"/>
      <c r="BY193" s="200"/>
      <c r="BZ193" s="200"/>
      <c r="CA193" s="200"/>
      <c r="CB193" s="200"/>
      <c r="CC193" s="200"/>
      <c r="CD193" s="200"/>
      <c r="CE193" s="200"/>
      <c r="CF193" s="200"/>
      <c r="CG193" s="200"/>
      <c r="CH193" s="200"/>
      <c r="CI193" s="200"/>
      <c r="CJ193" s="200"/>
      <c r="CK193" s="200"/>
      <c r="CL193" s="200"/>
      <c r="CM193" s="200"/>
      <c r="CN193" s="200"/>
      <c r="CO193" s="200"/>
      <c r="CP193" s="200"/>
      <c r="CQ193" s="200"/>
      <c r="CR193" s="200"/>
      <c r="CS193" s="200"/>
      <c r="CT193" s="200"/>
      <c r="CU193" s="200"/>
      <c r="CV193" s="200"/>
      <c r="CW193" s="200"/>
      <c r="CX193" s="200"/>
      <c r="CY193" s="200"/>
      <c r="CZ193" s="200"/>
      <c r="DA193" s="200"/>
      <c r="DB193" s="200"/>
      <c r="DC193" s="200"/>
      <c r="DD193" s="200"/>
      <c r="DE193" s="200"/>
      <c r="DF193" s="200"/>
      <c r="DG193" s="200"/>
      <c r="DH193" s="200"/>
      <c r="DI193" s="200"/>
      <c r="DJ193" s="200"/>
      <c r="DK193" s="200"/>
      <c r="DL193" s="200"/>
      <c r="DM193" s="200"/>
      <c r="DN193" s="200"/>
      <c r="DO193" s="200"/>
      <c r="DP193" s="200"/>
      <c r="DQ193" s="200"/>
      <c r="DR193" s="200"/>
      <c r="DS193" s="200"/>
      <c r="DT193" s="200"/>
      <c r="DU193" s="200"/>
      <c r="DV193" s="200"/>
      <c r="DW193" s="200"/>
      <c r="DX193" s="200"/>
      <c r="DY193" s="200"/>
      <c r="DZ193" s="200"/>
      <c r="EA193" s="200"/>
      <c r="EB193" s="200"/>
      <c r="EC193" s="200"/>
      <c r="ED193" s="200"/>
      <c r="EE193" s="200"/>
      <c r="EF193" s="200"/>
      <c r="EG193" s="200"/>
      <c r="EH193" s="200"/>
      <c r="EI193" s="200"/>
      <c r="EJ193" s="200"/>
      <c r="EK193" s="200"/>
      <c r="EL193" s="200"/>
      <c r="EM193" s="200"/>
      <c r="EN193" s="200"/>
      <c r="EO193" s="200"/>
      <c r="EP193" s="200"/>
      <c r="EQ193" s="200"/>
      <c r="ER193" s="200"/>
      <c r="ES193" s="200"/>
      <c r="ET193" s="200"/>
      <c r="EU193" s="200"/>
      <c r="EV193" s="200"/>
      <c r="EW193" s="200"/>
      <c r="EX193" s="200"/>
      <c r="EY193" s="200"/>
      <c r="EZ193" s="200"/>
      <c r="FA193" s="200"/>
      <c r="FB193" s="200"/>
      <c r="FC193" s="200"/>
      <c r="FD193" s="200"/>
      <c r="FE193" s="200"/>
      <c r="FF193" s="200"/>
      <c r="FG193" s="200"/>
      <c r="FH193" s="200"/>
      <c r="FI193" s="200"/>
      <c r="FJ193" s="200"/>
      <c r="FK193" s="200"/>
      <c r="FL193" s="200"/>
      <c r="FM193" s="200"/>
      <c r="FN193" s="200"/>
      <c r="FO193" s="200"/>
      <c r="FP193" s="200"/>
      <c r="FQ193" s="200"/>
      <c r="FR193" s="200"/>
      <c r="FS193" s="200"/>
      <c r="FT193" s="200"/>
      <c r="FU193" s="200"/>
      <c r="FV193" s="200"/>
      <c r="FW193" s="200"/>
      <c r="FX193" s="200"/>
      <c r="FY193" s="200"/>
      <c r="FZ193" s="200"/>
      <c r="GA193" s="200"/>
      <c r="GB193" s="200"/>
      <c r="GC193" s="200"/>
      <c r="GD193" s="200"/>
      <c r="GE193" s="200"/>
      <c r="GF193" s="200"/>
      <c r="GG193" s="200"/>
      <c r="GH193" s="200"/>
      <c r="GI193" s="200"/>
      <c r="GJ193" s="200"/>
      <c r="GK193" s="200"/>
      <c r="GL193" s="200"/>
      <c r="GM193" s="200"/>
      <c r="GN193" s="200"/>
      <c r="GO193" s="200"/>
      <c r="GP193" s="200"/>
      <c r="GQ193" s="200"/>
      <c r="GR193" s="200"/>
      <c r="GS193" s="200"/>
      <c r="GT193" s="200"/>
      <c r="GU193" s="200"/>
      <c r="GV193" s="200"/>
      <c r="GW193" s="200"/>
      <c r="GX193" s="200"/>
      <c r="GY193" s="200"/>
      <c r="GZ193" s="200"/>
      <c r="HA193" s="200"/>
      <c r="HB193" s="200"/>
      <c r="HC193" s="200"/>
      <c r="HD193" s="200"/>
      <c r="HE193" s="200"/>
      <c r="HF193" s="200"/>
      <c r="HG193" s="200"/>
      <c r="HH193" s="200"/>
      <c r="HI193" s="200"/>
      <c r="HJ193" s="200"/>
      <c r="HK193" s="200"/>
      <c r="HL193" s="200"/>
      <c r="HM193" s="200"/>
      <c r="HN193" s="200"/>
      <c r="HO193" s="200"/>
      <c r="HP193" s="200"/>
      <c r="HQ193" s="200"/>
      <c r="HR193" s="200"/>
      <c r="HS193" s="200"/>
      <c r="HT193" s="200"/>
      <c r="HU193" s="200"/>
      <c r="HV193" s="200"/>
      <c r="HW193" s="200"/>
      <c r="HX193" s="200"/>
      <c r="HY193" s="200"/>
      <c r="HZ193" s="200"/>
      <c r="IA193" s="200"/>
      <c r="IB193" s="200"/>
      <c r="IC193" s="200"/>
      <c r="ID193" s="200"/>
      <c r="IE193" s="200"/>
      <c r="IF193" s="200"/>
      <c r="IG193" s="200"/>
      <c r="IH193" s="200"/>
      <c r="II193" s="200"/>
      <c r="IJ193" s="200"/>
      <c r="IK193" s="200"/>
      <c r="IL193" s="200"/>
      <c r="IM193" s="200"/>
      <c r="IN193" s="200"/>
      <c r="IO193" s="200"/>
      <c r="IP193" s="200"/>
      <c r="IQ193" s="200"/>
      <c r="IR193" s="200"/>
      <c r="IS193" s="200"/>
      <c r="IT193" s="200"/>
      <c r="IU193" s="201"/>
      <c r="IV193" s="201"/>
    </row>
    <row r="194" s="10" customFormat="1" ht="15.95" customHeight="1" spans="1:256">
      <c r="A194" s="199">
        <v>80</v>
      </c>
      <c r="B194" s="20" t="s">
        <v>2193</v>
      </c>
      <c r="C194" s="199" t="str">
        <f>'05版台时'!J302</f>
        <v>20×400</v>
      </c>
      <c r="D194" s="199">
        <v>4080</v>
      </c>
      <c r="E194" s="199">
        <f>'05版台时'!J329</f>
        <v>243.90842674923</v>
      </c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00"/>
      <c r="BJ194" s="200"/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00"/>
      <c r="CN194" s="200"/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00"/>
      <c r="DI194" s="200"/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00"/>
      <c r="EM194" s="200"/>
      <c r="EN194" s="200"/>
      <c r="EO194" s="200"/>
      <c r="EP194" s="200"/>
      <c r="EQ194" s="200"/>
      <c r="ER194" s="200"/>
      <c r="ES194" s="200"/>
      <c r="ET194" s="200"/>
      <c r="EU194" s="200"/>
      <c r="EV194" s="200"/>
      <c r="EW194" s="200"/>
      <c r="EX194" s="200"/>
      <c r="EY194" s="200"/>
      <c r="EZ194" s="200"/>
      <c r="FA194" s="200"/>
      <c r="FB194" s="200"/>
      <c r="FC194" s="200"/>
      <c r="FD194" s="200"/>
      <c r="FE194" s="200"/>
      <c r="FF194" s="200"/>
      <c r="FG194" s="200"/>
      <c r="FH194" s="200"/>
      <c r="FI194" s="200"/>
      <c r="FJ194" s="200"/>
      <c r="FK194" s="200"/>
      <c r="FL194" s="200"/>
      <c r="FM194" s="200"/>
      <c r="FN194" s="200"/>
      <c r="FO194" s="200"/>
      <c r="FP194" s="200"/>
      <c r="FQ194" s="200"/>
      <c r="FR194" s="200"/>
      <c r="FS194" s="200"/>
      <c r="FT194" s="200"/>
      <c r="FU194" s="200"/>
      <c r="FV194" s="200"/>
      <c r="FW194" s="200"/>
      <c r="FX194" s="200"/>
      <c r="FY194" s="200"/>
      <c r="FZ194" s="200"/>
      <c r="GA194" s="200"/>
      <c r="GB194" s="200"/>
      <c r="GC194" s="200"/>
      <c r="GD194" s="200"/>
      <c r="GE194" s="200"/>
      <c r="GF194" s="200"/>
      <c r="GG194" s="200"/>
      <c r="GH194" s="200"/>
      <c r="GI194" s="200"/>
      <c r="GJ194" s="200"/>
      <c r="GK194" s="200"/>
      <c r="GL194" s="200"/>
      <c r="GM194" s="200"/>
      <c r="GN194" s="200"/>
      <c r="GO194" s="200"/>
      <c r="GP194" s="200"/>
      <c r="GQ194" s="200"/>
      <c r="GR194" s="200"/>
      <c r="GS194" s="200"/>
      <c r="GT194" s="200"/>
      <c r="GU194" s="200"/>
      <c r="GV194" s="200"/>
      <c r="GW194" s="200"/>
      <c r="GX194" s="200"/>
      <c r="GY194" s="200"/>
      <c r="GZ194" s="200"/>
      <c r="HA194" s="200"/>
      <c r="HB194" s="200"/>
      <c r="HC194" s="200"/>
      <c r="HD194" s="200"/>
      <c r="HE194" s="200"/>
      <c r="HF194" s="200"/>
      <c r="HG194" s="200"/>
      <c r="HH194" s="200"/>
      <c r="HI194" s="200"/>
      <c r="HJ194" s="200"/>
      <c r="HK194" s="200"/>
      <c r="HL194" s="200"/>
      <c r="HM194" s="200"/>
      <c r="HN194" s="200"/>
      <c r="HO194" s="200"/>
      <c r="HP194" s="200"/>
      <c r="HQ194" s="200"/>
      <c r="HR194" s="200"/>
      <c r="HS194" s="200"/>
      <c r="HT194" s="200"/>
      <c r="HU194" s="200"/>
      <c r="HV194" s="200"/>
      <c r="HW194" s="200"/>
      <c r="HX194" s="200"/>
      <c r="HY194" s="200"/>
      <c r="HZ194" s="200"/>
      <c r="IA194" s="200"/>
      <c r="IB194" s="200"/>
      <c r="IC194" s="200"/>
      <c r="ID194" s="200"/>
      <c r="IE194" s="200"/>
      <c r="IF194" s="200"/>
      <c r="IG194" s="200"/>
      <c r="IH194" s="200"/>
      <c r="II194" s="200"/>
      <c r="IJ194" s="200"/>
      <c r="IK194" s="200"/>
      <c r="IL194" s="200"/>
      <c r="IM194" s="200"/>
      <c r="IN194" s="200"/>
      <c r="IO194" s="200"/>
      <c r="IP194" s="200"/>
      <c r="IQ194" s="200"/>
      <c r="IR194" s="200"/>
      <c r="IS194" s="200"/>
      <c r="IT194" s="200"/>
      <c r="IU194" s="201"/>
      <c r="IV194" s="201"/>
    </row>
    <row r="195" s="10" customFormat="1" ht="15.95" customHeight="1" spans="1:256">
      <c r="A195" s="199">
        <v>81</v>
      </c>
      <c r="B195" s="20" t="s">
        <v>2193</v>
      </c>
      <c r="C195" s="199" t="str">
        <f>'05版台时'!K302</f>
        <v>20×500</v>
      </c>
      <c r="D195" s="199">
        <v>4081</v>
      </c>
      <c r="E195" s="199">
        <f>'05版台时'!K329</f>
        <v>260.268697989756</v>
      </c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  <c r="AA195" s="200"/>
      <c r="AB195" s="200"/>
      <c r="AC195" s="200"/>
      <c r="AD195" s="200"/>
      <c r="AE195" s="200"/>
      <c r="AF195" s="200"/>
      <c r="AG195" s="200"/>
      <c r="AH195" s="200"/>
      <c r="AI195" s="200"/>
      <c r="AJ195" s="200"/>
      <c r="AK195" s="200"/>
      <c r="AL195" s="200"/>
      <c r="AM195" s="200"/>
      <c r="AN195" s="200"/>
      <c r="AO195" s="200"/>
      <c r="AP195" s="200"/>
      <c r="AQ195" s="200"/>
      <c r="AR195" s="200"/>
      <c r="AS195" s="200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200"/>
      <c r="BD195" s="200"/>
      <c r="BE195" s="200"/>
      <c r="BF195" s="200"/>
      <c r="BG195" s="200"/>
      <c r="BH195" s="200"/>
      <c r="BI195" s="200"/>
      <c r="BJ195" s="200"/>
      <c r="BK195" s="200"/>
      <c r="BL195" s="200"/>
      <c r="BM195" s="200"/>
      <c r="BN195" s="200"/>
      <c r="BO195" s="200"/>
      <c r="BP195" s="200"/>
      <c r="BQ195" s="200"/>
      <c r="BR195" s="200"/>
      <c r="BS195" s="200"/>
      <c r="BT195" s="200"/>
      <c r="BU195" s="200"/>
      <c r="BV195" s="200"/>
      <c r="BW195" s="200"/>
      <c r="BX195" s="200"/>
      <c r="BY195" s="200"/>
      <c r="BZ195" s="200"/>
      <c r="CA195" s="200"/>
      <c r="CB195" s="200"/>
      <c r="CC195" s="200"/>
      <c r="CD195" s="200"/>
      <c r="CE195" s="200"/>
      <c r="CF195" s="200"/>
      <c r="CG195" s="200"/>
      <c r="CH195" s="200"/>
      <c r="CI195" s="200"/>
      <c r="CJ195" s="200"/>
      <c r="CK195" s="200"/>
      <c r="CL195" s="200"/>
      <c r="CM195" s="200"/>
      <c r="CN195" s="200"/>
      <c r="CO195" s="200"/>
      <c r="CP195" s="200"/>
      <c r="CQ195" s="200"/>
      <c r="CR195" s="200"/>
      <c r="CS195" s="200"/>
      <c r="CT195" s="200"/>
      <c r="CU195" s="200"/>
      <c r="CV195" s="200"/>
      <c r="CW195" s="200"/>
      <c r="CX195" s="200"/>
      <c r="CY195" s="200"/>
      <c r="CZ195" s="200"/>
      <c r="DA195" s="200"/>
      <c r="DB195" s="200"/>
      <c r="DC195" s="200"/>
      <c r="DD195" s="200"/>
      <c r="DE195" s="200"/>
      <c r="DF195" s="200"/>
      <c r="DG195" s="200"/>
      <c r="DH195" s="200"/>
      <c r="DI195" s="200"/>
      <c r="DJ195" s="200"/>
      <c r="DK195" s="200"/>
      <c r="DL195" s="200"/>
      <c r="DM195" s="200"/>
      <c r="DN195" s="200"/>
      <c r="DO195" s="200"/>
      <c r="DP195" s="200"/>
      <c r="DQ195" s="200"/>
      <c r="DR195" s="200"/>
      <c r="DS195" s="200"/>
      <c r="DT195" s="200"/>
      <c r="DU195" s="200"/>
      <c r="DV195" s="200"/>
      <c r="DW195" s="200"/>
      <c r="DX195" s="200"/>
      <c r="DY195" s="200"/>
      <c r="DZ195" s="200"/>
      <c r="EA195" s="200"/>
      <c r="EB195" s="200"/>
      <c r="EC195" s="200"/>
      <c r="ED195" s="200"/>
      <c r="EE195" s="200"/>
      <c r="EF195" s="200"/>
      <c r="EG195" s="200"/>
      <c r="EH195" s="200"/>
      <c r="EI195" s="200"/>
      <c r="EJ195" s="200"/>
      <c r="EK195" s="200"/>
      <c r="EL195" s="200"/>
      <c r="EM195" s="200"/>
      <c r="EN195" s="200"/>
      <c r="EO195" s="200"/>
      <c r="EP195" s="200"/>
      <c r="EQ195" s="200"/>
      <c r="ER195" s="200"/>
      <c r="ES195" s="200"/>
      <c r="ET195" s="200"/>
      <c r="EU195" s="200"/>
      <c r="EV195" s="200"/>
      <c r="EW195" s="200"/>
      <c r="EX195" s="200"/>
      <c r="EY195" s="200"/>
      <c r="EZ195" s="200"/>
      <c r="FA195" s="200"/>
      <c r="FB195" s="200"/>
      <c r="FC195" s="200"/>
      <c r="FD195" s="200"/>
      <c r="FE195" s="200"/>
      <c r="FF195" s="200"/>
      <c r="FG195" s="200"/>
      <c r="FH195" s="200"/>
      <c r="FI195" s="200"/>
      <c r="FJ195" s="200"/>
      <c r="FK195" s="200"/>
      <c r="FL195" s="200"/>
      <c r="FM195" s="200"/>
      <c r="FN195" s="200"/>
      <c r="FO195" s="200"/>
      <c r="FP195" s="200"/>
      <c r="FQ195" s="200"/>
      <c r="FR195" s="200"/>
      <c r="FS195" s="200"/>
      <c r="FT195" s="200"/>
      <c r="FU195" s="200"/>
      <c r="FV195" s="200"/>
      <c r="FW195" s="200"/>
      <c r="FX195" s="200"/>
      <c r="FY195" s="200"/>
      <c r="FZ195" s="200"/>
      <c r="GA195" s="200"/>
      <c r="GB195" s="200"/>
      <c r="GC195" s="200"/>
      <c r="GD195" s="200"/>
      <c r="GE195" s="200"/>
      <c r="GF195" s="200"/>
      <c r="GG195" s="200"/>
      <c r="GH195" s="200"/>
      <c r="GI195" s="200"/>
      <c r="GJ195" s="200"/>
      <c r="GK195" s="200"/>
      <c r="GL195" s="200"/>
      <c r="GM195" s="200"/>
      <c r="GN195" s="200"/>
      <c r="GO195" s="200"/>
      <c r="GP195" s="200"/>
      <c r="GQ195" s="200"/>
      <c r="GR195" s="200"/>
      <c r="GS195" s="200"/>
      <c r="GT195" s="200"/>
      <c r="GU195" s="200"/>
      <c r="GV195" s="200"/>
      <c r="GW195" s="200"/>
      <c r="GX195" s="200"/>
      <c r="GY195" s="200"/>
      <c r="GZ195" s="200"/>
      <c r="HA195" s="200"/>
      <c r="HB195" s="200"/>
      <c r="HC195" s="200"/>
      <c r="HD195" s="200"/>
      <c r="HE195" s="200"/>
      <c r="HF195" s="200"/>
      <c r="HG195" s="200"/>
      <c r="HH195" s="200"/>
      <c r="HI195" s="200"/>
      <c r="HJ195" s="200"/>
      <c r="HK195" s="200"/>
      <c r="HL195" s="200"/>
      <c r="HM195" s="200"/>
      <c r="HN195" s="200"/>
      <c r="HO195" s="200"/>
      <c r="HP195" s="200"/>
      <c r="HQ195" s="200"/>
      <c r="HR195" s="200"/>
      <c r="HS195" s="200"/>
      <c r="HT195" s="200"/>
      <c r="HU195" s="200"/>
      <c r="HV195" s="200"/>
      <c r="HW195" s="200"/>
      <c r="HX195" s="200"/>
      <c r="HY195" s="200"/>
      <c r="HZ195" s="200"/>
      <c r="IA195" s="200"/>
      <c r="IB195" s="200"/>
      <c r="IC195" s="200"/>
      <c r="ID195" s="200"/>
      <c r="IE195" s="200"/>
      <c r="IF195" s="200"/>
      <c r="IG195" s="200"/>
      <c r="IH195" s="200"/>
      <c r="II195" s="200"/>
      <c r="IJ195" s="200"/>
      <c r="IK195" s="200"/>
      <c r="IL195" s="200"/>
      <c r="IM195" s="200"/>
      <c r="IN195" s="200"/>
      <c r="IO195" s="200"/>
      <c r="IP195" s="200"/>
      <c r="IQ195" s="200"/>
      <c r="IR195" s="200"/>
      <c r="IS195" s="200"/>
      <c r="IT195" s="200"/>
      <c r="IU195" s="201"/>
      <c r="IV195" s="201"/>
    </row>
    <row r="196" s="10" customFormat="1" ht="15.95" customHeight="1" spans="1:256">
      <c r="A196" s="199">
        <v>82</v>
      </c>
      <c r="B196" s="20" t="s">
        <v>2193</v>
      </c>
      <c r="C196" s="199" t="str">
        <f>'05版台时'!L302</f>
        <v>40×200</v>
      </c>
      <c r="D196" s="199">
        <v>4082</v>
      </c>
      <c r="E196" s="199">
        <f>'05版台时'!L329</f>
        <v>281.673564363909</v>
      </c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  <c r="AA196" s="200"/>
      <c r="AB196" s="200"/>
      <c r="AC196" s="200"/>
      <c r="AD196" s="200"/>
      <c r="AE196" s="200"/>
      <c r="AF196" s="200"/>
      <c r="AG196" s="200"/>
      <c r="AH196" s="200"/>
      <c r="AI196" s="200"/>
      <c r="AJ196" s="200"/>
      <c r="AK196" s="200"/>
      <c r="AL196" s="200"/>
      <c r="AM196" s="200"/>
      <c r="AN196" s="200"/>
      <c r="AO196" s="200"/>
      <c r="AP196" s="200"/>
      <c r="AQ196" s="200"/>
      <c r="AR196" s="200"/>
      <c r="AS196" s="200"/>
      <c r="AT196" s="200"/>
      <c r="AU196" s="200"/>
      <c r="AV196" s="200"/>
      <c r="AW196" s="200"/>
      <c r="AX196" s="200"/>
      <c r="AY196" s="200"/>
      <c r="AZ196" s="200"/>
      <c r="BA196" s="200"/>
      <c r="BB196" s="200"/>
      <c r="BC196" s="200"/>
      <c r="BD196" s="200"/>
      <c r="BE196" s="200"/>
      <c r="BF196" s="200"/>
      <c r="BG196" s="200"/>
      <c r="BH196" s="200"/>
      <c r="BI196" s="200"/>
      <c r="BJ196" s="200"/>
      <c r="BK196" s="200"/>
      <c r="BL196" s="200"/>
      <c r="BM196" s="200"/>
      <c r="BN196" s="200"/>
      <c r="BO196" s="200"/>
      <c r="BP196" s="200"/>
      <c r="BQ196" s="200"/>
      <c r="BR196" s="200"/>
      <c r="BS196" s="200"/>
      <c r="BT196" s="200"/>
      <c r="BU196" s="200"/>
      <c r="BV196" s="200"/>
      <c r="BW196" s="200"/>
      <c r="BX196" s="200"/>
      <c r="BY196" s="200"/>
      <c r="BZ196" s="200"/>
      <c r="CA196" s="200"/>
      <c r="CB196" s="200"/>
      <c r="CC196" s="200"/>
      <c r="CD196" s="200"/>
      <c r="CE196" s="200"/>
      <c r="CF196" s="200"/>
      <c r="CG196" s="200"/>
      <c r="CH196" s="200"/>
      <c r="CI196" s="200"/>
      <c r="CJ196" s="200"/>
      <c r="CK196" s="200"/>
      <c r="CL196" s="200"/>
      <c r="CM196" s="200"/>
      <c r="CN196" s="200"/>
      <c r="CO196" s="200"/>
      <c r="CP196" s="200"/>
      <c r="CQ196" s="200"/>
      <c r="CR196" s="200"/>
      <c r="CS196" s="200"/>
      <c r="CT196" s="200"/>
      <c r="CU196" s="200"/>
      <c r="CV196" s="200"/>
      <c r="CW196" s="200"/>
      <c r="CX196" s="200"/>
      <c r="CY196" s="200"/>
      <c r="CZ196" s="200"/>
      <c r="DA196" s="200"/>
      <c r="DB196" s="200"/>
      <c r="DC196" s="200"/>
      <c r="DD196" s="200"/>
      <c r="DE196" s="200"/>
      <c r="DF196" s="200"/>
      <c r="DG196" s="200"/>
      <c r="DH196" s="200"/>
      <c r="DI196" s="200"/>
      <c r="DJ196" s="200"/>
      <c r="DK196" s="200"/>
      <c r="DL196" s="200"/>
      <c r="DM196" s="200"/>
      <c r="DN196" s="200"/>
      <c r="DO196" s="200"/>
      <c r="DP196" s="200"/>
      <c r="DQ196" s="200"/>
      <c r="DR196" s="200"/>
      <c r="DS196" s="200"/>
      <c r="DT196" s="200"/>
      <c r="DU196" s="200"/>
      <c r="DV196" s="200"/>
      <c r="DW196" s="200"/>
      <c r="DX196" s="200"/>
      <c r="DY196" s="200"/>
      <c r="DZ196" s="200"/>
      <c r="EA196" s="200"/>
      <c r="EB196" s="200"/>
      <c r="EC196" s="200"/>
      <c r="ED196" s="200"/>
      <c r="EE196" s="200"/>
      <c r="EF196" s="200"/>
      <c r="EG196" s="200"/>
      <c r="EH196" s="200"/>
      <c r="EI196" s="200"/>
      <c r="EJ196" s="200"/>
      <c r="EK196" s="200"/>
      <c r="EL196" s="200"/>
      <c r="EM196" s="200"/>
      <c r="EN196" s="200"/>
      <c r="EO196" s="200"/>
      <c r="EP196" s="200"/>
      <c r="EQ196" s="200"/>
      <c r="ER196" s="200"/>
      <c r="ES196" s="200"/>
      <c r="ET196" s="200"/>
      <c r="EU196" s="200"/>
      <c r="EV196" s="200"/>
      <c r="EW196" s="200"/>
      <c r="EX196" s="200"/>
      <c r="EY196" s="200"/>
      <c r="EZ196" s="200"/>
      <c r="FA196" s="200"/>
      <c r="FB196" s="200"/>
      <c r="FC196" s="200"/>
      <c r="FD196" s="200"/>
      <c r="FE196" s="200"/>
      <c r="FF196" s="200"/>
      <c r="FG196" s="200"/>
      <c r="FH196" s="200"/>
      <c r="FI196" s="200"/>
      <c r="FJ196" s="200"/>
      <c r="FK196" s="200"/>
      <c r="FL196" s="200"/>
      <c r="FM196" s="200"/>
      <c r="FN196" s="200"/>
      <c r="FO196" s="200"/>
      <c r="FP196" s="200"/>
      <c r="FQ196" s="200"/>
      <c r="FR196" s="200"/>
      <c r="FS196" s="200"/>
      <c r="FT196" s="200"/>
      <c r="FU196" s="200"/>
      <c r="FV196" s="200"/>
      <c r="FW196" s="200"/>
      <c r="FX196" s="200"/>
      <c r="FY196" s="200"/>
      <c r="FZ196" s="200"/>
      <c r="GA196" s="200"/>
      <c r="GB196" s="200"/>
      <c r="GC196" s="200"/>
      <c r="GD196" s="200"/>
      <c r="GE196" s="200"/>
      <c r="GF196" s="200"/>
      <c r="GG196" s="200"/>
      <c r="GH196" s="200"/>
      <c r="GI196" s="200"/>
      <c r="GJ196" s="200"/>
      <c r="GK196" s="200"/>
      <c r="GL196" s="200"/>
      <c r="GM196" s="200"/>
      <c r="GN196" s="200"/>
      <c r="GO196" s="200"/>
      <c r="GP196" s="200"/>
      <c r="GQ196" s="200"/>
      <c r="GR196" s="200"/>
      <c r="GS196" s="200"/>
      <c r="GT196" s="200"/>
      <c r="GU196" s="200"/>
      <c r="GV196" s="200"/>
      <c r="GW196" s="200"/>
      <c r="GX196" s="200"/>
      <c r="GY196" s="200"/>
      <c r="GZ196" s="200"/>
      <c r="HA196" s="200"/>
      <c r="HB196" s="200"/>
      <c r="HC196" s="200"/>
      <c r="HD196" s="200"/>
      <c r="HE196" s="200"/>
      <c r="HF196" s="200"/>
      <c r="HG196" s="200"/>
      <c r="HH196" s="200"/>
      <c r="HI196" s="200"/>
      <c r="HJ196" s="200"/>
      <c r="HK196" s="200"/>
      <c r="HL196" s="200"/>
      <c r="HM196" s="200"/>
      <c r="HN196" s="200"/>
      <c r="HO196" s="200"/>
      <c r="HP196" s="200"/>
      <c r="HQ196" s="200"/>
      <c r="HR196" s="200"/>
      <c r="HS196" s="200"/>
      <c r="HT196" s="200"/>
      <c r="HU196" s="200"/>
      <c r="HV196" s="200"/>
      <c r="HW196" s="200"/>
      <c r="HX196" s="200"/>
      <c r="HY196" s="200"/>
      <c r="HZ196" s="200"/>
      <c r="IA196" s="200"/>
      <c r="IB196" s="200"/>
      <c r="IC196" s="200"/>
      <c r="ID196" s="200"/>
      <c r="IE196" s="200"/>
      <c r="IF196" s="200"/>
      <c r="IG196" s="200"/>
      <c r="IH196" s="200"/>
      <c r="II196" s="200"/>
      <c r="IJ196" s="200"/>
      <c r="IK196" s="200"/>
      <c r="IL196" s="200"/>
      <c r="IM196" s="200"/>
      <c r="IN196" s="200"/>
      <c r="IO196" s="200"/>
      <c r="IP196" s="200"/>
      <c r="IQ196" s="200"/>
      <c r="IR196" s="200"/>
      <c r="IS196" s="200"/>
      <c r="IT196" s="200"/>
      <c r="IU196" s="201"/>
      <c r="IV196" s="201"/>
    </row>
    <row r="197" s="10" customFormat="1" ht="15.95" customHeight="1" spans="1:256">
      <c r="A197" s="199">
        <v>83</v>
      </c>
      <c r="B197" s="20" t="s">
        <v>2193</v>
      </c>
      <c r="C197" s="199" t="str">
        <f>'05版台时'!M302</f>
        <v>40×300</v>
      </c>
      <c r="D197" s="199">
        <v>4083</v>
      </c>
      <c r="E197" s="199">
        <f>'05版台时'!M329</f>
        <v>320.524142744443</v>
      </c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/>
      <c r="BB197" s="200"/>
      <c r="BC197" s="200"/>
      <c r="BD197" s="200"/>
      <c r="BE197" s="200"/>
      <c r="BF197" s="200"/>
      <c r="BG197" s="200"/>
      <c r="BH197" s="200"/>
      <c r="BI197" s="200"/>
      <c r="BJ197" s="200"/>
      <c r="BK197" s="200"/>
      <c r="BL197" s="200"/>
      <c r="BM197" s="200"/>
      <c r="BN197" s="200"/>
      <c r="BO197" s="200"/>
      <c r="BP197" s="200"/>
      <c r="BQ197" s="200"/>
      <c r="BR197" s="200"/>
      <c r="BS197" s="200"/>
      <c r="BT197" s="200"/>
      <c r="BU197" s="200"/>
      <c r="BV197" s="200"/>
      <c r="BW197" s="200"/>
      <c r="BX197" s="200"/>
      <c r="BY197" s="200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200"/>
      <c r="CM197" s="200"/>
      <c r="CN197" s="200"/>
      <c r="CO197" s="200"/>
      <c r="CP197" s="200"/>
      <c r="CQ197" s="200"/>
      <c r="CR197" s="200"/>
      <c r="CS197" s="200"/>
      <c r="CT197" s="200"/>
      <c r="CU197" s="200"/>
      <c r="CV197" s="200"/>
      <c r="CW197" s="200"/>
      <c r="CX197" s="200"/>
      <c r="CY197" s="200"/>
      <c r="CZ197" s="200"/>
      <c r="DA197" s="200"/>
      <c r="DB197" s="200"/>
      <c r="DC197" s="200"/>
      <c r="DD197" s="200"/>
      <c r="DE197" s="200"/>
      <c r="DF197" s="200"/>
      <c r="DG197" s="200"/>
      <c r="DH197" s="200"/>
      <c r="DI197" s="200"/>
      <c r="DJ197" s="200"/>
      <c r="DK197" s="200"/>
      <c r="DL197" s="200"/>
      <c r="DM197" s="200"/>
      <c r="DN197" s="200"/>
      <c r="DO197" s="200"/>
      <c r="DP197" s="200"/>
      <c r="DQ197" s="200"/>
      <c r="DR197" s="200"/>
      <c r="DS197" s="200"/>
      <c r="DT197" s="200"/>
      <c r="DU197" s="200"/>
      <c r="DV197" s="200"/>
      <c r="DW197" s="200"/>
      <c r="DX197" s="200"/>
      <c r="DY197" s="200"/>
      <c r="DZ197" s="200"/>
      <c r="EA197" s="200"/>
      <c r="EB197" s="200"/>
      <c r="EC197" s="200"/>
      <c r="ED197" s="200"/>
      <c r="EE197" s="200"/>
      <c r="EF197" s="200"/>
      <c r="EG197" s="200"/>
      <c r="EH197" s="200"/>
      <c r="EI197" s="200"/>
      <c r="EJ197" s="200"/>
      <c r="EK197" s="200"/>
      <c r="EL197" s="200"/>
      <c r="EM197" s="200"/>
      <c r="EN197" s="200"/>
      <c r="EO197" s="200"/>
      <c r="EP197" s="200"/>
      <c r="EQ197" s="200"/>
      <c r="ER197" s="200"/>
      <c r="ES197" s="200"/>
      <c r="ET197" s="200"/>
      <c r="EU197" s="200"/>
      <c r="EV197" s="200"/>
      <c r="EW197" s="200"/>
      <c r="EX197" s="200"/>
      <c r="EY197" s="200"/>
      <c r="EZ197" s="200"/>
      <c r="FA197" s="200"/>
      <c r="FB197" s="200"/>
      <c r="FC197" s="200"/>
      <c r="FD197" s="200"/>
      <c r="FE197" s="200"/>
      <c r="FF197" s="200"/>
      <c r="FG197" s="200"/>
      <c r="FH197" s="200"/>
      <c r="FI197" s="200"/>
      <c r="FJ197" s="200"/>
      <c r="FK197" s="200"/>
      <c r="FL197" s="200"/>
      <c r="FM197" s="200"/>
      <c r="FN197" s="200"/>
      <c r="FO197" s="200"/>
      <c r="FP197" s="200"/>
      <c r="FQ197" s="200"/>
      <c r="FR197" s="200"/>
      <c r="FS197" s="200"/>
      <c r="FT197" s="200"/>
      <c r="FU197" s="200"/>
      <c r="FV197" s="200"/>
      <c r="FW197" s="200"/>
      <c r="FX197" s="200"/>
      <c r="FY197" s="200"/>
      <c r="FZ197" s="200"/>
      <c r="GA197" s="200"/>
      <c r="GB197" s="200"/>
      <c r="GC197" s="200"/>
      <c r="GD197" s="200"/>
      <c r="GE197" s="200"/>
      <c r="GF197" s="200"/>
      <c r="GG197" s="200"/>
      <c r="GH197" s="200"/>
      <c r="GI197" s="200"/>
      <c r="GJ197" s="200"/>
      <c r="GK197" s="200"/>
      <c r="GL197" s="200"/>
      <c r="GM197" s="200"/>
      <c r="GN197" s="200"/>
      <c r="GO197" s="200"/>
      <c r="GP197" s="200"/>
      <c r="GQ197" s="200"/>
      <c r="GR197" s="200"/>
      <c r="GS197" s="200"/>
      <c r="GT197" s="200"/>
      <c r="GU197" s="200"/>
      <c r="GV197" s="200"/>
      <c r="GW197" s="200"/>
      <c r="GX197" s="200"/>
      <c r="GY197" s="200"/>
      <c r="GZ197" s="200"/>
      <c r="HA197" s="200"/>
      <c r="HB197" s="200"/>
      <c r="HC197" s="200"/>
      <c r="HD197" s="200"/>
      <c r="HE197" s="200"/>
      <c r="HF197" s="200"/>
      <c r="HG197" s="200"/>
      <c r="HH197" s="200"/>
      <c r="HI197" s="200"/>
      <c r="HJ197" s="200"/>
      <c r="HK197" s="200"/>
      <c r="HL197" s="200"/>
      <c r="HM197" s="200"/>
      <c r="HN197" s="200"/>
      <c r="HO197" s="200"/>
      <c r="HP197" s="200"/>
      <c r="HQ197" s="200"/>
      <c r="HR197" s="200"/>
      <c r="HS197" s="200"/>
      <c r="HT197" s="200"/>
      <c r="HU197" s="200"/>
      <c r="HV197" s="200"/>
      <c r="HW197" s="200"/>
      <c r="HX197" s="200"/>
      <c r="HY197" s="200"/>
      <c r="HZ197" s="200"/>
      <c r="IA197" s="200"/>
      <c r="IB197" s="200"/>
      <c r="IC197" s="200"/>
      <c r="ID197" s="200"/>
      <c r="IE197" s="200"/>
      <c r="IF197" s="200"/>
      <c r="IG197" s="200"/>
      <c r="IH197" s="200"/>
      <c r="II197" s="200"/>
      <c r="IJ197" s="200"/>
      <c r="IK197" s="200"/>
      <c r="IL197" s="200"/>
      <c r="IM197" s="200"/>
      <c r="IN197" s="200"/>
      <c r="IO197" s="200"/>
      <c r="IP197" s="200"/>
      <c r="IQ197" s="200"/>
      <c r="IR197" s="200"/>
      <c r="IS197" s="200"/>
      <c r="IT197" s="200"/>
      <c r="IU197" s="201"/>
      <c r="IV197" s="201"/>
    </row>
    <row r="198" s="10" customFormat="1" ht="15.95" customHeight="1" spans="1:256">
      <c r="A198" s="199">
        <v>84</v>
      </c>
      <c r="B198" s="20" t="s">
        <v>2193</v>
      </c>
      <c r="C198" s="199" t="str">
        <f>'05版台时'!N302</f>
        <v>40×400</v>
      </c>
      <c r="D198" s="199">
        <v>4084</v>
      </c>
      <c r="E198" s="199">
        <f>'05版台时'!N329</f>
        <v>357.851147132158</v>
      </c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0"/>
      <c r="AF198" s="200"/>
      <c r="AG198" s="200"/>
      <c r="AH198" s="200"/>
      <c r="AI198" s="200"/>
      <c r="AJ198" s="200"/>
      <c r="AK198" s="200"/>
      <c r="AL198" s="200"/>
      <c r="AM198" s="200"/>
      <c r="AN198" s="200"/>
      <c r="AO198" s="200"/>
      <c r="AP198" s="200"/>
      <c r="AQ198" s="200"/>
      <c r="AR198" s="200"/>
      <c r="AS198" s="200"/>
      <c r="AT198" s="200"/>
      <c r="AU198" s="200"/>
      <c r="AV198" s="200"/>
      <c r="AW198" s="200"/>
      <c r="AX198" s="200"/>
      <c r="AY198" s="200"/>
      <c r="AZ198" s="200"/>
      <c r="BA198" s="200"/>
      <c r="BB198" s="200"/>
      <c r="BC198" s="200"/>
      <c r="BD198" s="200"/>
      <c r="BE198" s="200"/>
      <c r="BF198" s="200"/>
      <c r="BG198" s="200"/>
      <c r="BH198" s="200"/>
      <c r="BI198" s="200"/>
      <c r="BJ198" s="200"/>
      <c r="BK198" s="200"/>
      <c r="BL198" s="200"/>
      <c r="BM198" s="200"/>
      <c r="BN198" s="200"/>
      <c r="BO198" s="200"/>
      <c r="BP198" s="200"/>
      <c r="BQ198" s="200"/>
      <c r="BR198" s="200"/>
      <c r="BS198" s="200"/>
      <c r="BT198" s="200"/>
      <c r="BU198" s="200"/>
      <c r="BV198" s="200"/>
      <c r="BW198" s="200"/>
      <c r="BX198" s="200"/>
      <c r="BY198" s="200"/>
      <c r="BZ198" s="200"/>
      <c r="CA198" s="200"/>
      <c r="CB198" s="200"/>
      <c r="CC198" s="200"/>
      <c r="CD198" s="200"/>
      <c r="CE198" s="200"/>
      <c r="CF198" s="200"/>
      <c r="CG198" s="200"/>
      <c r="CH198" s="200"/>
      <c r="CI198" s="200"/>
      <c r="CJ198" s="200"/>
      <c r="CK198" s="200"/>
      <c r="CL198" s="200"/>
      <c r="CM198" s="200"/>
      <c r="CN198" s="200"/>
      <c r="CO198" s="200"/>
      <c r="CP198" s="200"/>
      <c r="CQ198" s="200"/>
      <c r="CR198" s="200"/>
      <c r="CS198" s="200"/>
      <c r="CT198" s="200"/>
      <c r="CU198" s="200"/>
      <c r="CV198" s="200"/>
      <c r="CW198" s="200"/>
      <c r="CX198" s="200"/>
      <c r="CY198" s="200"/>
      <c r="CZ198" s="200"/>
      <c r="DA198" s="200"/>
      <c r="DB198" s="200"/>
      <c r="DC198" s="200"/>
      <c r="DD198" s="200"/>
      <c r="DE198" s="200"/>
      <c r="DF198" s="200"/>
      <c r="DG198" s="200"/>
      <c r="DH198" s="200"/>
      <c r="DI198" s="200"/>
      <c r="DJ198" s="200"/>
      <c r="DK198" s="200"/>
      <c r="DL198" s="200"/>
      <c r="DM198" s="200"/>
      <c r="DN198" s="200"/>
      <c r="DO198" s="200"/>
      <c r="DP198" s="200"/>
      <c r="DQ198" s="200"/>
      <c r="DR198" s="200"/>
      <c r="DS198" s="200"/>
      <c r="DT198" s="200"/>
      <c r="DU198" s="200"/>
      <c r="DV198" s="200"/>
      <c r="DW198" s="200"/>
      <c r="DX198" s="200"/>
      <c r="DY198" s="200"/>
      <c r="DZ198" s="200"/>
      <c r="EA198" s="200"/>
      <c r="EB198" s="200"/>
      <c r="EC198" s="200"/>
      <c r="ED198" s="200"/>
      <c r="EE198" s="200"/>
      <c r="EF198" s="200"/>
      <c r="EG198" s="200"/>
      <c r="EH198" s="200"/>
      <c r="EI198" s="200"/>
      <c r="EJ198" s="200"/>
      <c r="EK198" s="200"/>
      <c r="EL198" s="200"/>
      <c r="EM198" s="200"/>
      <c r="EN198" s="200"/>
      <c r="EO198" s="200"/>
      <c r="EP198" s="200"/>
      <c r="EQ198" s="200"/>
      <c r="ER198" s="200"/>
      <c r="ES198" s="200"/>
      <c r="ET198" s="200"/>
      <c r="EU198" s="200"/>
      <c r="EV198" s="200"/>
      <c r="EW198" s="200"/>
      <c r="EX198" s="200"/>
      <c r="EY198" s="200"/>
      <c r="EZ198" s="200"/>
      <c r="FA198" s="200"/>
      <c r="FB198" s="200"/>
      <c r="FC198" s="200"/>
      <c r="FD198" s="200"/>
      <c r="FE198" s="200"/>
      <c r="FF198" s="200"/>
      <c r="FG198" s="200"/>
      <c r="FH198" s="200"/>
      <c r="FI198" s="200"/>
      <c r="FJ198" s="200"/>
      <c r="FK198" s="200"/>
      <c r="FL198" s="200"/>
      <c r="FM198" s="200"/>
      <c r="FN198" s="200"/>
      <c r="FO198" s="200"/>
      <c r="FP198" s="200"/>
      <c r="FQ198" s="200"/>
      <c r="FR198" s="200"/>
      <c r="FS198" s="200"/>
      <c r="FT198" s="200"/>
      <c r="FU198" s="200"/>
      <c r="FV198" s="200"/>
      <c r="FW198" s="200"/>
      <c r="FX198" s="200"/>
      <c r="FY198" s="200"/>
      <c r="FZ198" s="200"/>
      <c r="GA198" s="200"/>
      <c r="GB198" s="200"/>
      <c r="GC198" s="200"/>
      <c r="GD198" s="200"/>
      <c r="GE198" s="200"/>
      <c r="GF198" s="200"/>
      <c r="GG198" s="200"/>
      <c r="GH198" s="200"/>
      <c r="GI198" s="200"/>
      <c r="GJ198" s="200"/>
      <c r="GK198" s="200"/>
      <c r="GL198" s="200"/>
      <c r="GM198" s="200"/>
      <c r="GN198" s="200"/>
      <c r="GO198" s="200"/>
      <c r="GP198" s="200"/>
      <c r="GQ198" s="200"/>
      <c r="GR198" s="200"/>
      <c r="GS198" s="200"/>
      <c r="GT198" s="200"/>
      <c r="GU198" s="200"/>
      <c r="GV198" s="200"/>
      <c r="GW198" s="200"/>
      <c r="GX198" s="200"/>
      <c r="GY198" s="200"/>
      <c r="GZ198" s="200"/>
      <c r="HA198" s="200"/>
      <c r="HB198" s="200"/>
      <c r="HC198" s="200"/>
      <c r="HD198" s="200"/>
      <c r="HE198" s="200"/>
      <c r="HF198" s="200"/>
      <c r="HG198" s="200"/>
      <c r="HH198" s="200"/>
      <c r="HI198" s="200"/>
      <c r="HJ198" s="200"/>
      <c r="HK198" s="200"/>
      <c r="HL198" s="200"/>
      <c r="HM198" s="200"/>
      <c r="HN198" s="200"/>
      <c r="HO198" s="200"/>
      <c r="HP198" s="200"/>
      <c r="HQ198" s="200"/>
      <c r="HR198" s="200"/>
      <c r="HS198" s="200"/>
      <c r="HT198" s="200"/>
      <c r="HU198" s="200"/>
      <c r="HV198" s="200"/>
      <c r="HW198" s="200"/>
      <c r="HX198" s="200"/>
      <c r="HY198" s="200"/>
      <c r="HZ198" s="200"/>
      <c r="IA198" s="200"/>
      <c r="IB198" s="200"/>
      <c r="IC198" s="200"/>
      <c r="ID198" s="200"/>
      <c r="IE198" s="200"/>
      <c r="IF198" s="200"/>
      <c r="IG198" s="200"/>
      <c r="IH198" s="200"/>
      <c r="II198" s="200"/>
      <c r="IJ198" s="200"/>
      <c r="IK198" s="200"/>
      <c r="IL198" s="200"/>
      <c r="IM198" s="200"/>
      <c r="IN198" s="200"/>
      <c r="IO198" s="200"/>
      <c r="IP198" s="200"/>
      <c r="IQ198" s="200"/>
      <c r="IR198" s="200"/>
      <c r="IS198" s="200"/>
      <c r="IT198" s="200"/>
      <c r="IU198" s="201"/>
      <c r="IV198" s="201"/>
    </row>
    <row r="199" s="10" customFormat="1" ht="15.95" customHeight="1" spans="1:256">
      <c r="A199" s="199">
        <v>85</v>
      </c>
      <c r="B199" s="20" t="s">
        <v>2193</v>
      </c>
      <c r="C199" s="199" t="str">
        <f>'05版台时'!O302</f>
        <v>40×500</v>
      </c>
      <c r="D199" s="199">
        <v>4085</v>
      </c>
      <c r="E199" s="199">
        <f>'05版台时'!O329</f>
        <v>391.316085305273</v>
      </c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200"/>
      <c r="BD199" s="200"/>
      <c r="BE199" s="200"/>
      <c r="BF199" s="200"/>
      <c r="BG199" s="200"/>
      <c r="BH199" s="200"/>
      <c r="BI199" s="200"/>
      <c r="BJ199" s="200"/>
      <c r="BK199" s="200"/>
      <c r="BL199" s="200"/>
      <c r="BM199" s="200"/>
      <c r="BN199" s="200"/>
      <c r="BO199" s="200"/>
      <c r="BP199" s="200"/>
      <c r="BQ199" s="200"/>
      <c r="BR199" s="200"/>
      <c r="BS199" s="200"/>
      <c r="BT199" s="200"/>
      <c r="BU199" s="200"/>
      <c r="BV199" s="200"/>
      <c r="BW199" s="200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0"/>
      <c r="CR199" s="200"/>
      <c r="CS199" s="200"/>
      <c r="CT199" s="200"/>
      <c r="CU199" s="200"/>
      <c r="CV199" s="200"/>
      <c r="CW199" s="200"/>
      <c r="CX199" s="200"/>
      <c r="CY199" s="200"/>
      <c r="CZ199" s="200"/>
      <c r="DA199" s="200"/>
      <c r="DB199" s="200"/>
      <c r="DC199" s="200"/>
      <c r="DD199" s="200"/>
      <c r="DE199" s="200"/>
      <c r="DF199" s="200"/>
      <c r="DG199" s="200"/>
      <c r="DH199" s="200"/>
      <c r="DI199" s="200"/>
      <c r="DJ199" s="200"/>
      <c r="DK199" s="200"/>
      <c r="DL199" s="200"/>
      <c r="DM199" s="200"/>
      <c r="DN199" s="200"/>
      <c r="DO199" s="200"/>
      <c r="DP199" s="200"/>
      <c r="DQ199" s="200"/>
      <c r="DR199" s="200"/>
      <c r="DS199" s="200"/>
      <c r="DT199" s="200"/>
      <c r="DU199" s="200"/>
      <c r="DV199" s="200"/>
      <c r="DW199" s="200"/>
      <c r="DX199" s="200"/>
      <c r="DY199" s="200"/>
      <c r="DZ199" s="200"/>
      <c r="EA199" s="200"/>
      <c r="EB199" s="200"/>
      <c r="EC199" s="200"/>
      <c r="ED199" s="200"/>
      <c r="EE199" s="200"/>
      <c r="EF199" s="200"/>
      <c r="EG199" s="200"/>
      <c r="EH199" s="200"/>
      <c r="EI199" s="200"/>
      <c r="EJ199" s="200"/>
      <c r="EK199" s="200"/>
      <c r="EL199" s="200"/>
      <c r="EM199" s="200"/>
      <c r="EN199" s="200"/>
      <c r="EO199" s="200"/>
      <c r="EP199" s="200"/>
      <c r="EQ199" s="200"/>
      <c r="ER199" s="200"/>
      <c r="ES199" s="200"/>
      <c r="ET199" s="200"/>
      <c r="EU199" s="200"/>
      <c r="EV199" s="200"/>
      <c r="EW199" s="200"/>
      <c r="EX199" s="200"/>
      <c r="EY199" s="200"/>
      <c r="EZ199" s="200"/>
      <c r="FA199" s="200"/>
      <c r="FB199" s="200"/>
      <c r="FC199" s="200"/>
      <c r="FD199" s="200"/>
      <c r="FE199" s="200"/>
      <c r="FF199" s="200"/>
      <c r="FG199" s="200"/>
      <c r="FH199" s="200"/>
      <c r="FI199" s="200"/>
      <c r="FJ199" s="200"/>
      <c r="FK199" s="200"/>
      <c r="FL199" s="200"/>
      <c r="FM199" s="200"/>
      <c r="FN199" s="200"/>
      <c r="FO199" s="200"/>
      <c r="FP199" s="200"/>
      <c r="FQ199" s="200"/>
      <c r="FR199" s="200"/>
      <c r="FS199" s="200"/>
      <c r="FT199" s="200"/>
      <c r="FU199" s="200"/>
      <c r="FV199" s="200"/>
      <c r="FW199" s="200"/>
      <c r="FX199" s="200"/>
      <c r="FY199" s="200"/>
      <c r="FZ199" s="200"/>
      <c r="GA199" s="200"/>
      <c r="GB199" s="200"/>
      <c r="GC199" s="200"/>
      <c r="GD199" s="200"/>
      <c r="GE199" s="200"/>
      <c r="GF199" s="200"/>
      <c r="GG199" s="200"/>
      <c r="GH199" s="200"/>
      <c r="GI199" s="200"/>
      <c r="GJ199" s="200"/>
      <c r="GK199" s="200"/>
      <c r="GL199" s="200"/>
      <c r="GM199" s="200"/>
      <c r="GN199" s="200"/>
      <c r="GO199" s="200"/>
      <c r="GP199" s="200"/>
      <c r="GQ199" s="200"/>
      <c r="GR199" s="200"/>
      <c r="GS199" s="200"/>
      <c r="GT199" s="200"/>
      <c r="GU199" s="200"/>
      <c r="GV199" s="200"/>
      <c r="GW199" s="200"/>
      <c r="GX199" s="200"/>
      <c r="GY199" s="200"/>
      <c r="GZ199" s="200"/>
      <c r="HA199" s="200"/>
      <c r="HB199" s="200"/>
      <c r="HC199" s="200"/>
      <c r="HD199" s="200"/>
      <c r="HE199" s="200"/>
      <c r="HF199" s="200"/>
      <c r="HG199" s="200"/>
      <c r="HH199" s="200"/>
      <c r="HI199" s="200"/>
      <c r="HJ199" s="200"/>
      <c r="HK199" s="200"/>
      <c r="HL199" s="200"/>
      <c r="HM199" s="200"/>
      <c r="HN199" s="200"/>
      <c r="HO199" s="200"/>
      <c r="HP199" s="200"/>
      <c r="HQ199" s="200"/>
      <c r="HR199" s="200"/>
      <c r="HS199" s="200"/>
      <c r="HT199" s="200"/>
      <c r="HU199" s="200"/>
      <c r="HV199" s="200"/>
      <c r="HW199" s="200"/>
      <c r="HX199" s="200"/>
      <c r="HY199" s="200"/>
      <c r="HZ199" s="200"/>
      <c r="IA199" s="200"/>
      <c r="IB199" s="200"/>
      <c r="IC199" s="200"/>
      <c r="ID199" s="200"/>
      <c r="IE199" s="200"/>
      <c r="IF199" s="200"/>
      <c r="IG199" s="200"/>
      <c r="IH199" s="200"/>
      <c r="II199" s="200"/>
      <c r="IJ199" s="200"/>
      <c r="IK199" s="200"/>
      <c r="IL199" s="200"/>
      <c r="IM199" s="200"/>
      <c r="IN199" s="200"/>
      <c r="IO199" s="200"/>
      <c r="IP199" s="200"/>
      <c r="IQ199" s="200"/>
      <c r="IR199" s="200"/>
      <c r="IS199" s="200"/>
      <c r="IT199" s="200"/>
      <c r="IU199" s="201"/>
      <c r="IV199" s="201"/>
    </row>
    <row r="200" s="10" customFormat="1" ht="15.95" customHeight="1" spans="1:256">
      <c r="A200" s="197" t="s">
        <v>2194</v>
      </c>
      <c r="B200" s="198"/>
      <c r="C200" s="199"/>
      <c r="D200" s="199"/>
      <c r="E200" s="199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0"/>
      <c r="BL200" s="200"/>
      <c r="BM200" s="200"/>
      <c r="BN200" s="200"/>
      <c r="BO200" s="200"/>
      <c r="BP200" s="200"/>
      <c r="BQ200" s="200"/>
      <c r="BR200" s="200"/>
      <c r="BS200" s="200"/>
      <c r="BT200" s="200"/>
      <c r="BU200" s="200"/>
      <c r="BV200" s="200"/>
      <c r="BW200" s="200"/>
      <c r="BX200" s="200"/>
      <c r="BY200" s="200"/>
      <c r="BZ200" s="200"/>
      <c r="CA200" s="200"/>
      <c r="CB200" s="200"/>
      <c r="CC200" s="200"/>
      <c r="CD200" s="200"/>
      <c r="CE200" s="200"/>
      <c r="CF200" s="200"/>
      <c r="CG200" s="200"/>
      <c r="CH200" s="200"/>
      <c r="CI200" s="200"/>
      <c r="CJ200" s="200"/>
      <c r="CK200" s="200"/>
      <c r="CL200" s="200"/>
      <c r="CM200" s="200"/>
      <c r="CN200" s="200"/>
      <c r="CO200" s="200"/>
      <c r="CP200" s="200"/>
      <c r="CQ200" s="200"/>
      <c r="CR200" s="200"/>
      <c r="CS200" s="200"/>
      <c r="CT200" s="200"/>
      <c r="CU200" s="200"/>
      <c r="CV200" s="200"/>
      <c r="CW200" s="200"/>
      <c r="CX200" s="200"/>
      <c r="CY200" s="200"/>
      <c r="CZ200" s="200"/>
      <c r="DA200" s="200"/>
      <c r="DB200" s="200"/>
      <c r="DC200" s="200"/>
      <c r="DD200" s="200"/>
      <c r="DE200" s="200"/>
      <c r="DF200" s="200"/>
      <c r="DG200" s="200"/>
      <c r="DH200" s="200"/>
      <c r="DI200" s="200"/>
      <c r="DJ200" s="200"/>
      <c r="DK200" s="200"/>
      <c r="DL200" s="200"/>
      <c r="DM200" s="200"/>
      <c r="DN200" s="200"/>
      <c r="DO200" s="200"/>
      <c r="DP200" s="200"/>
      <c r="DQ200" s="200"/>
      <c r="DR200" s="200"/>
      <c r="DS200" s="200"/>
      <c r="DT200" s="200"/>
      <c r="DU200" s="200"/>
      <c r="DV200" s="200"/>
      <c r="DW200" s="200"/>
      <c r="DX200" s="200"/>
      <c r="DY200" s="200"/>
      <c r="DZ200" s="200"/>
      <c r="EA200" s="200"/>
      <c r="EB200" s="200"/>
      <c r="EC200" s="200"/>
      <c r="ED200" s="200"/>
      <c r="EE200" s="200"/>
      <c r="EF200" s="200"/>
      <c r="EG200" s="200"/>
      <c r="EH200" s="200"/>
      <c r="EI200" s="200"/>
      <c r="EJ200" s="200"/>
      <c r="EK200" s="200"/>
      <c r="EL200" s="200"/>
      <c r="EM200" s="200"/>
      <c r="EN200" s="200"/>
      <c r="EO200" s="200"/>
      <c r="EP200" s="200"/>
      <c r="EQ200" s="200"/>
      <c r="ER200" s="200"/>
      <c r="ES200" s="200"/>
      <c r="ET200" s="200"/>
      <c r="EU200" s="200"/>
      <c r="EV200" s="200"/>
      <c r="EW200" s="200"/>
      <c r="EX200" s="200"/>
      <c r="EY200" s="200"/>
      <c r="EZ200" s="200"/>
      <c r="FA200" s="200"/>
      <c r="FB200" s="200"/>
      <c r="FC200" s="200"/>
      <c r="FD200" s="200"/>
      <c r="FE200" s="200"/>
      <c r="FF200" s="200"/>
      <c r="FG200" s="200"/>
      <c r="FH200" s="200"/>
      <c r="FI200" s="200"/>
      <c r="FJ200" s="200"/>
      <c r="FK200" s="200"/>
      <c r="FL200" s="200"/>
      <c r="FM200" s="200"/>
      <c r="FN200" s="200"/>
      <c r="FO200" s="200"/>
      <c r="FP200" s="200"/>
      <c r="FQ200" s="200"/>
      <c r="FR200" s="200"/>
      <c r="FS200" s="200"/>
      <c r="FT200" s="200"/>
      <c r="FU200" s="200"/>
      <c r="FV200" s="200"/>
      <c r="FW200" s="200"/>
      <c r="FX200" s="200"/>
      <c r="FY200" s="200"/>
      <c r="FZ200" s="200"/>
      <c r="GA200" s="200"/>
      <c r="GB200" s="200"/>
      <c r="GC200" s="200"/>
      <c r="GD200" s="200"/>
      <c r="GE200" s="200"/>
      <c r="GF200" s="200"/>
      <c r="GG200" s="200"/>
      <c r="GH200" s="200"/>
      <c r="GI200" s="200"/>
      <c r="GJ200" s="200"/>
      <c r="GK200" s="200"/>
      <c r="GL200" s="200"/>
      <c r="GM200" s="200"/>
      <c r="GN200" s="200"/>
      <c r="GO200" s="200"/>
      <c r="GP200" s="200"/>
      <c r="GQ200" s="200"/>
      <c r="GR200" s="200"/>
      <c r="GS200" s="200"/>
      <c r="GT200" s="200"/>
      <c r="GU200" s="200"/>
      <c r="GV200" s="200"/>
      <c r="GW200" s="200"/>
      <c r="GX200" s="200"/>
      <c r="GY200" s="200"/>
      <c r="GZ200" s="200"/>
      <c r="HA200" s="200"/>
      <c r="HB200" s="200"/>
      <c r="HC200" s="200"/>
      <c r="HD200" s="200"/>
      <c r="HE200" s="200"/>
      <c r="HF200" s="200"/>
      <c r="HG200" s="200"/>
      <c r="HH200" s="200"/>
      <c r="HI200" s="200"/>
      <c r="HJ200" s="200"/>
      <c r="HK200" s="200"/>
      <c r="HL200" s="200"/>
      <c r="HM200" s="200"/>
      <c r="HN200" s="200"/>
      <c r="HO200" s="200"/>
      <c r="HP200" s="200"/>
      <c r="HQ200" s="200"/>
      <c r="HR200" s="200"/>
      <c r="HS200" s="200"/>
      <c r="HT200" s="200"/>
      <c r="HU200" s="200"/>
      <c r="HV200" s="200"/>
      <c r="HW200" s="200"/>
      <c r="HX200" s="200"/>
      <c r="HY200" s="200"/>
      <c r="HZ200" s="200"/>
      <c r="IA200" s="200"/>
      <c r="IB200" s="200"/>
      <c r="IC200" s="200"/>
      <c r="ID200" s="200"/>
      <c r="IE200" s="200"/>
      <c r="IF200" s="200"/>
      <c r="IG200" s="200"/>
      <c r="IH200" s="200"/>
      <c r="II200" s="200"/>
      <c r="IJ200" s="200"/>
      <c r="IK200" s="200"/>
      <c r="IL200" s="200"/>
      <c r="IM200" s="200"/>
      <c r="IN200" s="200"/>
      <c r="IO200" s="200"/>
      <c r="IP200" s="200"/>
      <c r="IQ200" s="200"/>
      <c r="IR200" s="200"/>
      <c r="IS200" s="200"/>
      <c r="IT200" s="200"/>
      <c r="IU200" s="201"/>
      <c r="IV200" s="201"/>
    </row>
    <row r="201" s="10" customFormat="1" ht="15.95" customHeight="1" spans="1:256">
      <c r="A201" s="199">
        <v>1</v>
      </c>
      <c r="B201" s="20" t="s">
        <v>2195</v>
      </c>
      <c r="C201" s="199" t="s">
        <v>2196</v>
      </c>
      <c r="D201" s="199">
        <v>5001</v>
      </c>
      <c r="E201" s="199">
        <f>'05版台时'!D362</f>
        <v>37.0334518417985</v>
      </c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0"/>
      <c r="BR201" s="200"/>
      <c r="BS201" s="200"/>
      <c r="BT201" s="200"/>
      <c r="BU201" s="200"/>
      <c r="BV201" s="200"/>
      <c r="BW201" s="200"/>
      <c r="BX201" s="200"/>
      <c r="BY201" s="200"/>
      <c r="BZ201" s="200"/>
      <c r="CA201" s="200"/>
      <c r="CB201" s="200"/>
      <c r="CC201" s="200"/>
      <c r="CD201" s="200"/>
      <c r="CE201" s="200"/>
      <c r="CF201" s="200"/>
      <c r="CG201" s="200"/>
      <c r="CH201" s="200"/>
      <c r="CI201" s="200"/>
      <c r="CJ201" s="200"/>
      <c r="CK201" s="200"/>
      <c r="CL201" s="200"/>
      <c r="CM201" s="200"/>
      <c r="CN201" s="200"/>
      <c r="CO201" s="200"/>
      <c r="CP201" s="200"/>
      <c r="CQ201" s="200"/>
      <c r="CR201" s="200"/>
      <c r="CS201" s="200"/>
      <c r="CT201" s="200"/>
      <c r="CU201" s="200"/>
      <c r="CV201" s="200"/>
      <c r="CW201" s="200"/>
      <c r="CX201" s="200"/>
      <c r="CY201" s="200"/>
      <c r="CZ201" s="200"/>
      <c r="DA201" s="200"/>
      <c r="DB201" s="200"/>
      <c r="DC201" s="200"/>
      <c r="DD201" s="200"/>
      <c r="DE201" s="200"/>
      <c r="DF201" s="200"/>
      <c r="DG201" s="200"/>
      <c r="DH201" s="200"/>
      <c r="DI201" s="200"/>
      <c r="DJ201" s="200"/>
      <c r="DK201" s="200"/>
      <c r="DL201" s="200"/>
      <c r="DM201" s="200"/>
      <c r="DN201" s="200"/>
      <c r="DO201" s="200"/>
      <c r="DP201" s="200"/>
      <c r="DQ201" s="200"/>
      <c r="DR201" s="200"/>
      <c r="DS201" s="200"/>
      <c r="DT201" s="200"/>
      <c r="DU201" s="200"/>
      <c r="DV201" s="200"/>
      <c r="DW201" s="200"/>
      <c r="DX201" s="200"/>
      <c r="DY201" s="200"/>
      <c r="DZ201" s="200"/>
      <c r="EA201" s="200"/>
      <c r="EB201" s="200"/>
      <c r="EC201" s="200"/>
      <c r="ED201" s="200"/>
      <c r="EE201" s="200"/>
      <c r="EF201" s="200"/>
      <c r="EG201" s="200"/>
      <c r="EH201" s="200"/>
      <c r="EI201" s="200"/>
      <c r="EJ201" s="200"/>
      <c r="EK201" s="200"/>
      <c r="EL201" s="200"/>
      <c r="EM201" s="200"/>
      <c r="EN201" s="200"/>
      <c r="EO201" s="200"/>
      <c r="EP201" s="200"/>
      <c r="EQ201" s="200"/>
      <c r="ER201" s="200"/>
      <c r="ES201" s="200"/>
      <c r="ET201" s="200"/>
      <c r="EU201" s="200"/>
      <c r="EV201" s="200"/>
      <c r="EW201" s="200"/>
      <c r="EX201" s="200"/>
      <c r="EY201" s="200"/>
      <c r="EZ201" s="200"/>
      <c r="FA201" s="200"/>
      <c r="FB201" s="200"/>
      <c r="FC201" s="200"/>
      <c r="FD201" s="200"/>
      <c r="FE201" s="200"/>
      <c r="FF201" s="200"/>
      <c r="FG201" s="200"/>
      <c r="FH201" s="200"/>
      <c r="FI201" s="200"/>
      <c r="FJ201" s="200"/>
      <c r="FK201" s="200"/>
      <c r="FL201" s="200"/>
      <c r="FM201" s="200"/>
      <c r="FN201" s="200"/>
      <c r="FO201" s="200"/>
      <c r="FP201" s="200"/>
      <c r="FQ201" s="200"/>
      <c r="FR201" s="200"/>
      <c r="FS201" s="200"/>
      <c r="FT201" s="200"/>
      <c r="FU201" s="200"/>
      <c r="FV201" s="200"/>
      <c r="FW201" s="200"/>
      <c r="FX201" s="200"/>
      <c r="FY201" s="200"/>
      <c r="FZ201" s="200"/>
      <c r="GA201" s="200"/>
      <c r="GB201" s="200"/>
      <c r="GC201" s="200"/>
      <c r="GD201" s="200"/>
      <c r="GE201" s="200"/>
      <c r="GF201" s="200"/>
      <c r="GG201" s="200"/>
      <c r="GH201" s="200"/>
      <c r="GI201" s="200"/>
      <c r="GJ201" s="200"/>
      <c r="GK201" s="200"/>
      <c r="GL201" s="200"/>
      <c r="GM201" s="200"/>
      <c r="GN201" s="200"/>
      <c r="GO201" s="200"/>
      <c r="GP201" s="200"/>
      <c r="GQ201" s="200"/>
      <c r="GR201" s="200"/>
      <c r="GS201" s="200"/>
      <c r="GT201" s="200"/>
      <c r="GU201" s="200"/>
      <c r="GV201" s="200"/>
      <c r="GW201" s="200"/>
      <c r="GX201" s="200"/>
      <c r="GY201" s="200"/>
      <c r="GZ201" s="200"/>
      <c r="HA201" s="200"/>
      <c r="HB201" s="200"/>
      <c r="HC201" s="200"/>
      <c r="HD201" s="200"/>
      <c r="HE201" s="200"/>
      <c r="HF201" s="200"/>
      <c r="HG201" s="200"/>
      <c r="HH201" s="200"/>
      <c r="HI201" s="200"/>
      <c r="HJ201" s="200"/>
      <c r="HK201" s="200"/>
      <c r="HL201" s="200"/>
      <c r="HM201" s="200"/>
      <c r="HN201" s="200"/>
      <c r="HO201" s="200"/>
      <c r="HP201" s="200"/>
      <c r="HQ201" s="200"/>
      <c r="HR201" s="200"/>
      <c r="HS201" s="200"/>
      <c r="HT201" s="200"/>
      <c r="HU201" s="200"/>
      <c r="HV201" s="200"/>
      <c r="HW201" s="200"/>
      <c r="HX201" s="200"/>
      <c r="HY201" s="200"/>
      <c r="HZ201" s="200"/>
      <c r="IA201" s="200"/>
      <c r="IB201" s="200"/>
      <c r="IC201" s="200"/>
      <c r="ID201" s="200"/>
      <c r="IE201" s="200"/>
      <c r="IF201" s="200"/>
      <c r="IG201" s="200"/>
      <c r="IH201" s="200"/>
      <c r="II201" s="200"/>
      <c r="IJ201" s="200"/>
      <c r="IK201" s="200"/>
      <c r="IL201" s="200"/>
      <c r="IM201" s="200"/>
      <c r="IN201" s="200"/>
      <c r="IO201" s="200"/>
      <c r="IP201" s="200"/>
      <c r="IQ201" s="200"/>
      <c r="IR201" s="200"/>
      <c r="IS201" s="200"/>
      <c r="IT201" s="200"/>
      <c r="IU201" s="201"/>
      <c r="IV201" s="201"/>
    </row>
    <row r="202" s="10" customFormat="1" ht="15.95" customHeight="1" spans="1:256">
      <c r="A202" s="199">
        <v>2</v>
      </c>
      <c r="B202" s="20" t="s">
        <v>2195</v>
      </c>
      <c r="C202" s="199" t="s">
        <v>2197</v>
      </c>
      <c r="D202" s="199">
        <v>5002</v>
      </c>
      <c r="E202" s="199">
        <f>'05版台时'!E362</f>
        <v>42.1546254381201</v>
      </c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0"/>
      <c r="BN202" s="200"/>
      <c r="BO202" s="200"/>
      <c r="BP202" s="200"/>
      <c r="BQ202" s="200"/>
      <c r="BR202" s="200"/>
      <c r="BS202" s="200"/>
      <c r="BT202" s="200"/>
      <c r="BU202" s="200"/>
      <c r="BV202" s="200"/>
      <c r="BW202" s="200"/>
      <c r="BX202" s="200"/>
      <c r="BY202" s="200"/>
      <c r="BZ202" s="200"/>
      <c r="CA202" s="200"/>
      <c r="CB202" s="200"/>
      <c r="CC202" s="200"/>
      <c r="CD202" s="200"/>
      <c r="CE202" s="200"/>
      <c r="CF202" s="200"/>
      <c r="CG202" s="200"/>
      <c r="CH202" s="200"/>
      <c r="CI202" s="200"/>
      <c r="CJ202" s="200"/>
      <c r="CK202" s="200"/>
      <c r="CL202" s="200"/>
      <c r="CM202" s="200"/>
      <c r="CN202" s="200"/>
      <c r="CO202" s="200"/>
      <c r="CP202" s="200"/>
      <c r="CQ202" s="200"/>
      <c r="CR202" s="200"/>
      <c r="CS202" s="200"/>
      <c r="CT202" s="200"/>
      <c r="CU202" s="200"/>
      <c r="CV202" s="200"/>
      <c r="CW202" s="200"/>
      <c r="CX202" s="200"/>
      <c r="CY202" s="200"/>
      <c r="CZ202" s="200"/>
      <c r="DA202" s="200"/>
      <c r="DB202" s="200"/>
      <c r="DC202" s="200"/>
      <c r="DD202" s="200"/>
      <c r="DE202" s="200"/>
      <c r="DF202" s="200"/>
      <c r="DG202" s="200"/>
      <c r="DH202" s="200"/>
      <c r="DI202" s="200"/>
      <c r="DJ202" s="200"/>
      <c r="DK202" s="200"/>
      <c r="DL202" s="200"/>
      <c r="DM202" s="200"/>
      <c r="DN202" s="200"/>
      <c r="DO202" s="200"/>
      <c r="DP202" s="200"/>
      <c r="DQ202" s="200"/>
      <c r="DR202" s="200"/>
      <c r="DS202" s="200"/>
      <c r="DT202" s="200"/>
      <c r="DU202" s="200"/>
      <c r="DV202" s="200"/>
      <c r="DW202" s="200"/>
      <c r="DX202" s="200"/>
      <c r="DY202" s="200"/>
      <c r="DZ202" s="200"/>
      <c r="EA202" s="200"/>
      <c r="EB202" s="200"/>
      <c r="EC202" s="200"/>
      <c r="ED202" s="200"/>
      <c r="EE202" s="200"/>
      <c r="EF202" s="200"/>
      <c r="EG202" s="200"/>
      <c r="EH202" s="200"/>
      <c r="EI202" s="200"/>
      <c r="EJ202" s="200"/>
      <c r="EK202" s="200"/>
      <c r="EL202" s="200"/>
      <c r="EM202" s="200"/>
      <c r="EN202" s="200"/>
      <c r="EO202" s="200"/>
      <c r="EP202" s="200"/>
      <c r="EQ202" s="200"/>
      <c r="ER202" s="200"/>
      <c r="ES202" s="200"/>
      <c r="ET202" s="200"/>
      <c r="EU202" s="200"/>
      <c r="EV202" s="200"/>
      <c r="EW202" s="200"/>
      <c r="EX202" s="200"/>
      <c r="EY202" s="200"/>
      <c r="EZ202" s="200"/>
      <c r="FA202" s="200"/>
      <c r="FB202" s="200"/>
      <c r="FC202" s="200"/>
      <c r="FD202" s="200"/>
      <c r="FE202" s="200"/>
      <c r="FF202" s="200"/>
      <c r="FG202" s="200"/>
      <c r="FH202" s="200"/>
      <c r="FI202" s="200"/>
      <c r="FJ202" s="200"/>
      <c r="FK202" s="200"/>
      <c r="FL202" s="200"/>
      <c r="FM202" s="200"/>
      <c r="FN202" s="200"/>
      <c r="FO202" s="200"/>
      <c r="FP202" s="200"/>
      <c r="FQ202" s="200"/>
      <c r="FR202" s="200"/>
      <c r="FS202" s="200"/>
      <c r="FT202" s="200"/>
      <c r="FU202" s="200"/>
      <c r="FV202" s="200"/>
      <c r="FW202" s="200"/>
      <c r="FX202" s="200"/>
      <c r="FY202" s="200"/>
      <c r="FZ202" s="200"/>
      <c r="GA202" s="200"/>
      <c r="GB202" s="200"/>
      <c r="GC202" s="200"/>
      <c r="GD202" s="200"/>
      <c r="GE202" s="200"/>
      <c r="GF202" s="200"/>
      <c r="GG202" s="200"/>
      <c r="GH202" s="200"/>
      <c r="GI202" s="200"/>
      <c r="GJ202" s="200"/>
      <c r="GK202" s="200"/>
      <c r="GL202" s="200"/>
      <c r="GM202" s="200"/>
      <c r="GN202" s="200"/>
      <c r="GO202" s="200"/>
      <c r="GP202" s="200"/>
      <c r="GQ202" s="200"/>
      <c r="GR202" s="200"/>
      <c r="GS202" s="200"/>
      <c r="GT202" s="200"/>
      <c r="GU202" s="200"/>
      <c r="GV202" s="200"/>
      <c r="GW202" s="200"/>
      <c r="GX202" s="200"/>
      <c r="GY202" s="200"/>
      <c r="GZ202" s="200"/>
      <c r="HA202" s="200"/>
      <c r="HB202" s="200"/>
      <c r="HC202" s="200"/>
      <c r="HD202" s="200"/>
      <c r="HE202" s="200"/>
      <c r="HF202" s="200"/>
      <c r="HG202" s="200"/>
      <c r="HH202" s="200"/>
      <c r="HI202" s="200"/>
      <c r="HJ202" s="200"/>
      <c r="HK202" s="200"/>
      <c r="HL202" s="200"/>
      <c r="HM202" s="200"/>
      <c r="HN202" s="200"/>
      <c r="HO202" s="200"/>
      <c r="HP202" s="200"/>
      <c r="HQ202" s="200"/>
      <c r="HR202" s="200"/>
      <c r="HS202" s="200"/>
      <c r="HT202" s="200"/>
      <c r="HU202" s="200"/>
      <c r="HV202" s="200"/>
      <c r="HW202" s="200"/>
      <c r="HX202" s="200"/>
      <c r="HY202" s="200"/>
      <c r="HZ202" s="200"/>
      <c r="IA202" s="200"/>
      <c r="IB202" s="200"/>
      <c r="IC202" s="200"/>
      <c r="ID202" s="200"/>
      <c r="IE202" s="200"/>
      <c r="IF202" s="200"/>
      <c r="IG202" s="200"/>
      <c r="IH202" s="200"/>
      <c r="II202" s="200"/>
      <c r="IJ202" s="200"/>
      <c r="IK202" s="200"/>
      <c r="IL202" s="200"/>
      <c r="IM202" s="200"/>
      <c r="IN202" s="200"/>
      <c r="IO202" s="200"/>
      <c r="IP202" s="200"/>
      <c r="IQ202" s="200"/>
      <c r="IR202" s="200"/>
      <c r="IS202" s="200"/>
      <c r="IT202" s="200"/>
      <c r="IU202" s="201"/>
      <c r="IV202" s="201"/>
    </row>
    <row r="203" s="10" customFormat="1" ht="15.95" customHeight="1" spans="1:256">
      <c r="A203" s="199">
        <v>3</v>
      </c>
      <c r="B203" s="20" t="s">
        <v>2195</v>
      </c>
      <c r="C203" s="199" t="s">
        <v>2198</v>
      </c>
      <c r="D203" s="199">
        <v>5003</v>
      </c>
      <c r="E203" s="199">
        <f>'05版台时'!F362</f>
        <v>45.9599616965963</v>
      </c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0"/>
      <c r="BN203" s="200"/>
      <c r="BO203" s="200"/>
      <c r="BP203" s="200"/>
      <c r="BQ203" s="200"/>
      <c r="BR203" s="200"/>
      <c r="BS203" s="200"/>
      <c r="BT203" s="200"/>
      <c r="BU203" s="200"/>
      <c r="BV203" s="200"/>
      <c r="BW203" s="200"/>
      <c r="BX203" s="200"/>
      <c r="BY203" s="200"/>
      <c r="BZ203" s="200"/>
      <c r="CA203" s="200"/>
      <c r="CB203" s="200"/>
      <c r="CC203" s="200"/>
      <c r="CD203" s="200"/>
      <c r="CE203" s="200"/>
      <c r="CF203" s="200"/>
      <c r="CG203" s="200"/>
      <c r="CH203" s="200"/>
      <c r="CI203" s="200"/>
      <c r="CJ203" s="200"/>
      <c r="CK203" s="200"/>
      <c r="CL203" s="200"/>
      <c r="CM203" s="200"/>
      <c r="CN203" s="200"/>
      <c r="CO203" s="200"/>
      <c r="CP203" s="200"/>
      <c r="CQ203" s="200"/>
      <c r="CR203" s="200"/>
      <c r="CS203" s="200"/>
      <c r="CT203" s="200"/>
      <c r="CU203" s="200"/>
      <c r="CV203" s="200"/>
      <c r="CW203" s="200"/>
      <c r="CX203" s="200"/>
      <c r="CY203" s="200"/>
      <c r="CZ203" s="200"/>
      <c r="DA203" s="200"/>
      <c r="DB203" s="200"/>
      <c r="DC203" s="200"/>
      <c r="DD203" s="200"/>
      <c r="DE203" s="200"/>
      <c r="DF203" s="200"/>
      <c r="DG203" s="200"/>
      <c r="DH203" s="200"/>
      <c r="DI203" s="200"/>
      <c r="DJ203" s="200"/>
      <c r="DK203" s="200"/>
      <c r="DL203" s="200"/>
      <c r="DM203" s="200"/>
      <c r="DN203" s="200"/>
      <c r="DO203" s="200"/>
      <c r="DP203" s="200"/>
      <c r="DQ203" s="200"/>
      <c r="DR203" s="200"/>
      <c r="DS203" s="200"/>
      <c r="DT203" s="200"/>
      <c r="DU203" s="200"/>
      <c r="DV203" s="200"/>
      <c r="DW203" s="200"/>
      <c r="DX203" s="200"/>
      <c r="DY203" s="200"/>
      <c r="DZ203" s="200"/>
      <c r="EA203" s="200"/>
      <c r="EB203" s="200"/>
      <c r="EC203" s="200"/>
      <c r="ED203" s="200"/>
      <c r="EE203" s="200"/>
      <c r="EF203" s="200"/>
      <c r="EG203" s="200"/>
      <c r="EH203" s="200"/>
      <c r="EI203" s="200"/>
      <c r="EJ203" s="200"/>
      <c r="EK203" s="200"/>
      <c r="EL203" s="200"/>
      <c r="EM203" s="200"/>
      <c r="EN203" s="200"/>
      <c r="EO203" s="200"/>
      <c r="EP203" s="200"/>
      <c r="EQ203" s="200"/>
      <c r="ER203" s="200"/>
      <c r="ES203" s="200"/>
      <c r="ET203" s="200"/>
      <c r="EU203" s="200"/>
      <c r="EV203" s="200"/>
      <c r="EW203" s="200"/>
      <c r="EX203" s="200"/>
      <c r="EY203" s="200"/>
      <c r="EZ203" s="200"/>
      <c r="FA203" s="200"/>
      <c r="FB203" s="200"/>
      <c r="FC203" s="200"/>
      <c r="FD203" s="200"/>
      <c r="FE203" s="200"/>
      <c r="FF203" s="200"/>
      <c r="FG203" s="200"/>
      <c r="FH203" s="200"/>
      <c r="FI203" s="200"/>
      <c r="FJ203" s="200"/>
      <c r="FK203" s="200"/>
      <c r="FL203" s="200"/>
      <c r="FM203" s="200"/>
      <c r="FN203" s="200"/>
      <c r="FO203" s="200"/>
      <c r="FP203" s="200"/>
      <c r="FQ203" s="200"/>
      <c r="FR203" s="200"/>
      <c r="FS203" s="200"/>
      <c r="FT203" s="200"/>
      <c r="FU203" s="200"/>
      <c r="FV203" s="200"/>
      <c r="FW203" s="200"/>
      <c r="FX203" s="200"/>
      <c r="FY203" s="200"/>
      <c r="FZ203" s="200"/>
      <c r="GA203" s="200"/>
      <c r="GB203" s="200"/>
      <c r="GC203" s="200"/>
      <c r="GD203" s="200"/>
      <c r="GE203" s="200"/>
      <c r="GF203" s="200"/>
      <c r="GG203" s="200"/>
      <c r="GH203" s="200"/>
      <c r="GI203" s="200"/>
      <c r="GJ203" s="200"/>
      <c r="GK203" s="200"/>
      <c r="GL203" s="200"/>
      <c r="GM203" s="200"/>
      <c r="GN203" s="200"/>
      <c r="GO203" s="200"/>
      <c r="GP203" s="200"/>
      <c r="GQ203" s="200"/>
      <c r="GR203" s="200"/>
      <c r="GS203" s="200"/>
      <c r="GT203" s="200"/>
      <c r="GU203" s="200"/>
      <c r="GV203" s="200"/>
      <c r="GW203" s="200"/>
      <c r="GX203" s="200"/>
      <c r="GY203" s="200"/>
      <c r="GZ203" s="200"/>
      <c r="HA203" s="200"/>
      <c r="HB203" s="200"/>
      <c r="HC203" s="200"/>
      <c r="HD203" s="200"/>
      <c r="HE203" s="200"/>
      <c r="HF203" s="200"/>
      <c r="HG203" s="200"/>
      <c r="HH203" s="200"/>
      <c r="HI203" s="200"/>
      <c r="HJ203" s="200"/>
      <c r="HK203" s="200"/>
      <c r="HL203" s="200"/>
      <c r="HM203" s="200"/>
      <c r="HN203" s="200"/>
      <c r="HO203" s="200"/>
      <c r="HP203" s="200"/>
      <c r="HQ203" s="200"/>
      <c r="HR203" s="200"/>
      <c r="HS203" s="200"/>
      <c r="HT203" s="200"/>
      <c r="HU203" s="200"/>
      <c r="HV203" s="200"/>
      <c r="HW203" s="200"/>
      <c r="HX203" s="200"/>
      <c r="HY203" s="200"/>
      <c r="HZ203" s="200"/>
      <c r="IA203" s="200"/>
      <c r="IB203" s="200"/>
      <c r="IC203" s="200"/>
      <c r="ID203" s="200"/>
      <c r="IE203" s="200"/>
      <c r="IF203" s="200"/>
      <c r="IG203" s="200"/>
      <c r="IH203" s="200"/>
      <c r="II203" s="200"/>
      <c r="IJ203" s="200"/>
      <c r="IK203" s="200"/>
      <c r="IL203" s="200"/>
      <c r="IM203" s="200"/>
      <c r="IN203" s="200"/>
      <c r="IO203" s="200"/>
      <c r="IP203" s="200"/>
      <c r="IQ203" s="200"/>
      <c r="IR203" s="200"/>
      <c r="IS203" s="200"/>
      <c r="IT203" s="200"/>
      <c r="IU203" s="201"/>
      <c r="IV203" s="201"/>
    </row>
    <row r="204" s="10" customFormat="1" ht="15.95" customHeight="1" spans="1:256">
      <c r="A204" s="199">
        <v>4</v>
      </c>
      <c r="B204" s="20" t="s">
        <v>2199</v>
      </c>
      <c r="C204" s="199" t="s">
        <v>2200</v>
      </c>
      <c r="D204" s="199">
        <v>5004</v>
      </c>
      <c r="E204" s="199">
        <f>'05版台时'!G362</f>
        <v>55.9787562717858</v>
      </c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0"/>
      <c r="BN204" s="200"/>
      <c r="BO204" s="200"/>
      <c r="BP204" s="200"/>
      <c r="BQ204" s="200"/>
      <c r="BR204" s="200"/>
      <c r="BS204" s="200"/>
      <c r="BT204" s="200"/>
      <c r="BU204" s="200"/>
      <c r="BV204" s="200"/>
      <c r="BW204" s="200"/>
      <c r="BX204" s="200"/>
      <c r="BY204" s="200"/>
      <c r="BZ204" s="200"/>
      <c r="CA204" s="200"/>
      <c r="CB204" s="200"/>
      <c r="CC204" s="200"/>
      <c r="CD204" s="200"/>
      <c r="CE204" s="200"/>
      <c r="CF204" s="200"/>
      <c r="CG204" s="200"/>
      <c r="CH204" s="200"/>
      <c r="CI204" s="200"/>
      <c r="CJ204" s="200"/>
      <c r="CK204" s="200"/>
      <c r="CL204" s="200"/>
      <c r="CM204" s="200"/>
      <c r="CN204" s="200"/>
      <c r="CO204" s="200"/>
      <c r="CP204" s="200"/>
      <c r="CQ204" s="200"/>
      <c r="CR204" s="200"/>
      <c r="CS204" s="200"/>
      <c r="CT204" s="200"/>
      <c r="CU204" s="200"/>
      <c r="CV204" s="200"/>
      <c r="CW204" s="200"/>
      <c r="CX204" s="200"/>
      <c r="CY204" s="200"/>
      <c r="CZ204" s="200"/>
      <c r="DA204" s="200"/>
      <c r="DB204" s="200"/>
      <c r="DC204" s="200"/>
      <c r="DD204" s="200"/>
      <c r="DE204" s="200"/>
      <c r="DF204" s="200"/>
      <c r="DG204" s="200"/>
      <c r="DH204" s="200"/>
      <c r="DI204" s="200"/>
      <c r="DJ204" s="200"/>
      <c r="DK204" s="200"/>
      <c r="DL204" s="200"/>
      <c r="DM204" s="200"/>
      <c r="DN204" s="200"/>
      <c r="DO204" s="200"/>
      <c r="DP204" s="200"/>
      <c r="DQ204" s="200"/>
      <c r="DR204" s="200"/>
      <c r="DS204" s="200"/>
      <c r="DT204" s="200"/>
      <c r="DU204" s="200"/>
      <c r="DV204" s="200"/>
      <c r="DW204" s="200"/>
      <c r="DX204" s="200"/>
      <c r="DY204" s="200"/>
      <c r="DZ204" s="200"/>
      <c r="EA204" s="200"/>
      <c r="EB204" s="200"/>
      <c r="EC204" s="200"/>
      <c r="ED204" s="200"/>
      <c r="EE204" s="200"/>
      <c r="EF204" s="200"/>
      <c r="EG204" s="200"/>
      <c r="EH204" s="200"/>
      <c r="EI204" s="200"/>
      <c r="EJ204" s="200"/>
      <c r="EK204" s="200"/>
      <c r="EL204" s="200"/>
      <c r="EM204" s="200"/>
      <c r="EN204" s="200"/>
      <c r="EO204" s="200"/>
      <c r="EP204" s="200"/>
      <c r="EQ204" s="200"/>
      <c r="ER204" s="200"/>
      <c r="ES204" s="200"/>
      <c r="ET204" s="200"/>
      <c r="EU204" s="200"/>
      <c r="EV204" s="200"/>
      <c r="EW204" s="200"/>
      <c r="EX204" s="200"/>
      <c r="EY204" s="200"/>
      <c r="EZ204" s="200"/>
      <c r="FA204" s="200"/>
      <c r="FB204" s="200"/>
      <c r="FC204" s="200"/>
      <c r="FD204" s="200"/>
      <c r="FE204" s="200"/>
      <c r="FF204" s="200"/>
      <c r="FG204" s="200"/>
      <c r="FH204" s="200"/>
      <c r="FI204" s="200"/>
      <c r="FJ204" s="200"/>
      <c r="FK204" s="200"/>
      <c r="FL204" s="200"/>
      <c r="FM204" s="200"/>
      <c r="FN204" s="200"/>
      <c r="FO204" s="200"/>
      <c r="FP204" s="200"/>
      <c r="FQ204" s="200"/>
      <c r="FR204" s="200"/>
      <c r="FS204" s="200"/>
      <c r="FT204" s="200"/>
      <c r="FU204" s="200"/>
      <c r="FV204" s="200"/>
      <c r="FW204" s="200"/>
      <c r="FX204" s="200"/>
      <c r="FY204" s="200"/>
      <c r="FZ204" s="200"/>
      <c r="GA204" s="200"/>
      <c r="GB204" s="200"/>
      <c r="GC204" s="200"/>
      <c r="GD204" s="200"/>
      <c r="GE204" s="200"/>
      <c r="GF204" s="200"/>
      <c r="GG204" s="200"/>
      <c r="GH204" s="200"/>
      <c r="GI204" s="200"/>
      <c r="GJ204" s="200"/>
      <c r="GK204" s="200"/>
      <c r="GL204" s="200"/>
      <c r="GM204" s="200"/>
      <c r="GN204" s="200"/>
      <c r="GO204" s="200"/>
      <c r="GP204" s="200"/>
      <c r="GQ204" s="200"/>
      <c r="GR204" s="200"/>
      <c r="GS204" s="200"/>
      <c r="GT204" s="200"/>
      <c r="GU204" s="200"/>
      <c r="GV204" s="200"/>
      <c r="GW204" s="200"/>
      <c r="GX204" s="200"/>
      <c r="GY204" s="200"/>
      <c r="GZ204" s="200"/>
      <c r="HA204" s="200"/>
      <c r="HB204" s="200"/>
      <c r="HC204" s="200"/>
      <c r="HD204" s="200"/>
      <c r="HE204" s="200"/>
      <c r="HF204" s="200"/>
      <c r="HG204" s="200"/>
      <c r="HH204" s="200"/>
      <c r="HI204" s="200"/>
      <c r="HJ204" s="200"/>
      <c r="HK204" s="200"/>
      <c r="HL204" s="200"/>
      <c r="HM204" s="200"/>
      <c r="HN204" s="200"/>
      <c r="HO204" s="200"/>
      <c r="HP204" s="200"/>
      <c r="HQ204" s="200"/>
      <c r="HR204" s="200"/>
      <c r="HS204" s="200"/>
      <c r="HT204" s="200"/>
      <c r="HU204" s="200"/>
      <c r="HV204" s="200"/>
      <c r="HW204" s="200"/>
      <c r="HX204" s="200"/>
      <c r="HY204" s="200"/>
      <c r="HZ204" s="200"/>
      <c r="IA204" s="200"/>
      <c r="IB204" s="200"/>
      <c r="IC204" s="200"/>
      <c r="ID204" s="200"/>
      <c r="IE204" s="200"/>
      <c r="IF204" s="200"/>
      <c r="IG204" s="200"/>
      <c r="IH204" s="200"/>
      <c r="II204" s="200"/>
      <c r="IJ204" s="200"/>
      <c r="IK204" s="200"/>
      <c r="IL204" s="200"/>
      <c r="IM204" s="200"/>
      <c r="IN204" s="200"/>
      <c r="IO204" s="200"/>
      <c r="IP204" s="200"/>
      <c r="IQ204" s="200"/>
      <c r="IR204" s="200"/>
      <c r="IS204" s="200"/>
      <c r="IT204" s="200"/>
      <c r="IU204" s="201"/>
      <c r="IV204" s="201"/>
    </row>
    <row r="205" s="10" customFormat="1" ht="15.95" customHeight="1" spans="1:256">
      <c r="A205" s="199">
        <v>5</v>
      </c>
      <c r="B205" s="20" t="s">
        <v>2199</v>
      </c>
      <c r="C205" s="199" t="s">
        <v>2201</v>
      </c>
      <c r="D205" s="199">
        <v>5005</v>
      </c>
      <c r="E205" s="199">
        <f>'05版台时'!H362</f>
        <v>74.9231312219254</v>
      </c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200"/>
      <c r="BD205" s="200"/>
      <c r="BE205" s="200"/>
      <c r="BF205" s="200"/>
      <c r="BG205" s="200"/>
      <c r="BH205" s="200"/>
      <c r="BI205" s="200"/>
      <c r="BJ205" s="200"/>
      <c r="BK205" s="200"/>
      <c r="BL205" s="200"/>
      <c r="BM205" s="200"/>
      <c r="BN205" s="200"/>
      <c r="BO205" s="200"/>
      <c r="BP205" s="200"/>
      <c r="BQ205" s="200"/>
      <c r="BR205" s="200"/>
      <c r="BS205" s="200"/>
      <c r="BT205" s="200"/>
      <c r="BU205" s="200"/>
      <c r="BV205" s="200"/>
      <c r="BW205" s="200"/>
      <c r="BX205" s="200"/>
      <c r="BY205" s="200"/>
      <c r="BZ205" s="200"/>
      <c r="CA205" s="200"/>
      <c r="CB205" s="200"/>
      <c r="CC205" s="200"/>
      <c r="CD205" s="200"/>
      <c r="CE205" s="200"/>
      <c r="CF205" s="200"/>
      <c r="CG205" s="200"/>
      <c r="CH205" s="200"/>
      <c r="CI205" s="200"/>
      <c r="CJ205" s="200"/>
      <c r="CK205" s="200"/>
      <c r="CL205" s="200"/>
      <c r="CM205" s="200"/>
      <c r="CN205" s="200"/>
      <c r="CO205" s="200"/>
      <c r="CP205" s="200"/>
      <c r="CQ205" s="200"/>
      <c r="CR205" s="200"/>
      <c r="CS205" s="200"/>
      <c r="CT205" s="200"/>
      <c r="CU205" s="200"/>
      <c r="CV205" s="200"/>
      <c r="CW205" s="200"/>
      <c r="CX205" s="200"/>
      <c r="CY205" s="200"/>
      <c r="CZ205" s="200"/>
      <c r="DA205" s="200"/>
      <c r="DB205" s="200"/>
      <c r="DC205" s="200"/>
      <c r="DD205" s="200"/>
      <c r="DE205" s="200"/>
      <c r="DF205" s="200"/>
      <c r="DG205" s="200"/>
      <c r="DH205" s="200"/>
      <c r="DI205" s="200"/>
      <c r="DJ205" s="200"/>
      <c r="DK205" s="200"/>
      <c r="DL205" s="200"/>
      <c r="DM205" s="200"/>
      <c r="DN205" s="200"/>
      <c r="DO205" s="200"/>
      <c r="DP205" s="200"/>
      <c r="DQ205" s="200"/>
      <c r="DR205" s="200"/>
      <c r="DS205" s="200"/>
      <c r="DT205" s="200"/>
      <c r="DU205" s="200"/>
      <c r="DV205" s="200"/>
      <c r="DW205" s="200"/>
      <c r="DX205" s="200"/>
      <c r="DY205" s="200"/>
      <c r="DZ205" s="200"/>
      <c r="EA205" s="200"/>
      <c r="EB205" s="200"/>
      <c r="EC205" s="200"/>
      <c r="ED205" s="200"/>
      <c r="EE205" s="200"/>
      <c r="EF205" s="200"/>
      <c r="EG205" s="200"/>
      <c r="EH205" s="200"/>
      <c r="EI205" s="200"/>
      <c r="EJ205" s="200"/>
      <c r="EK205" s="200"/>
      <c r="EL205" s="200"/>
      <c r="EM205" s="200"/>
      <c r="EN205" s="200"/>
      <c r="EO205" s="200"/>
      <c r="EP205" s="200"/>
      <c r="EQ205" s="200"/>
      <c r="ER205" s="200"/>
      <c r="ES205" s="200"/>
      <c r="ET205" s="200"/>
      <c r="EU205" s="200"/>
      <c r="EV205" s="200"/>
      <c r="EW205" s="200"/>
      <c r="EX205" s="200"/>
      <c r="EY205" s="200"/>
      <c r="EZ205" s="200"/>
      <c r="FA205" s="200"/>
      <c r="FB205" s="200"/>
      <c r="FC205" s="200"/>
      <c r="FD205" s="200"/>
      <c r="FE205" s="200"/>
      <c r="FF205" s="200"/>
      <c r="FG205" s="200"/>
      <c r="FH205" s="200"/>
      <c r="FI205" s="200"/>
      <c r="FJ205" s="200"/>
      <c r="FK205" s="200"/>
      <c r="FL205" s="200"/>
      <c r="FM205" s="200"/>
      <c r="FN205" s="200"/>
      <c r="FO205" s="200"/>
      <c r="FP205" s="200"/>
      <c r="FQ205" s="200"/>
      <c r="FR205" s="200"/>
      <c r="FS205" s="200"/>
      <c r="FT205" s="200"/>
      <c r="FU205" s="200"/>
      <c r="FV205" s="200"/>
      <c r="FW205" s="200"/>
      <c r="FX205" s="200"/>
      <c r="FY205" s="200"/>
      <c r="FZ205" s="200"/>
      <c r="GA205" s="200"/>
      <c r="GB205" s="200"/>
      <c r="GC205" s="200"/>
      <c r="GD205" s="200"/>
      <c r="GE205" s="200"/>
      <c r="GF205" s="200"/>
      <c r="GG205" s="200"/>
      <c r="GH205" s="200"/>
      <c r="GI205" s="200"/>
      <c r="GJ205" s="200"/>
      <c r="GK205" s="200"/>
      <c r="GL205" s="200"/>
      <c r="GM205" s="200"/>
      <c r="GN205" s="200"/>
      <c r="GO205" s="200"/>
      <c r="GP205" s="200"/>
      <c r="GQ205" s="200"/>
      <c r="GR205" s="200"/>
      <c r="GS205" s="200"/>
      <c r="GT205" s="200"/>
      <c r="GU205" s="200"/>
      <c r="GV205" s="200"/>
      <c r="GW205" s="200"/>
      <c r="GX205" s="200"/>
      <c r="GY205" s="200"/>
      <c r="GZ205" s="200"/>
      <c r="HA205" s="200"/>
      <c r="HB205" s="200"/>
      <c r="HC205" s="200"/>
      <c r="HD205" s="200"/>
      <c r="HE205" s="200"/>
      <c r="HF205" s="200"/>
      <c r="HG205" s="200"/>
      <c r="HH205" s="200"/>
      <c r="HI205" s="200"/>
      <c r="HJ205" s="200"/>
      <c r="HK205" s="200"/>
      <c r="HL205" s="200"/>
      <c r="HM205" s="200"/>
      <c r="HN205" s="200"/>
      <c r="HO205" s="200"/>
      <c r="HP205" s="200"/>
      <c r="HQ205" s="200"/>
      <c r="HR205" s="200"/>
      <c r="HS205" s="200"/>
      <c r="HT205" s="200"/>
      <c r="HU205" s="200"/>
      <c r="HV205" s="200"/>
      <c r="HW205" s="200"/>
      <c r="HX205" s="200"/>
      <c r="HY205" s="200"/>
      <c r="HZ205" s="200"/>
      <c r="IA205" s="200"/>
      <c r="IB205" s="200"/>
      <c r="IC205" s="200"/>
      <c r="ID205" s="200"/>
      <c r="IE205" s="200"/>
      <c r="IF205" s="200"/>
      <c r="IG205" s="200"/>
      <c r="IH205" s="200"/>
      <c r="II205" s="200"/>
      <c r="IJ205" s="200"/>
      <c r="IK205" s="200"/>
      <c r="IL205" s="200"/>
      <c r="IM205" s="200"/>
      <c r="IN205" s="200"/>
      <c r="IO205" s="200"/>
      <c r="IP205" s="200"/>
      <c r="IQ205" s="200"/>
      <c r="IR205" s="200"/>
      <c r="IS205" s="200"/>
      <c r="IT205" s="200"/>
      <c r="IU205" s="201"/>
      <c r="IV205" s="201"/>
    </row>
    <row r="206" s="10" customFormat="1" ht="15.95" customHeight="1" spans="1:256">
      <c r="A206" s="199">
        <v>6</v>
      </c>
      <c r="B206" s="20" t="s">
        <v>2199</v>
      </c>
      <c r="C206" s="199" t="s">
        <v>2202</v>
      </c>
      <c r="D206" s="199">
        <v>5006</v>
      </c>
      <c r="E206" s="199">
        <f>'05版台时'!I362</f>
        <v>112.125987225116</v>
      </c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200"/>
      <c r="BD206" s="200"/>
      <c r="BE206" s="200"/>
      <c r="BF206" s="200"/>
      <c r="BG206" s="200"/>
      <c r="BH206" s="200"/>
      <c r="BI206" s="200"/>
      <c r="BJ206" s="200"/>
      <c r="BK206" s="200"/>
      <c r="BL206" s="200"/>
      <c r="BM206" s="200"/>
      <c r="BN206" s="200"/>
      <c r="BO206" s="200"/>
      <c r="BP206" s="200"/>
      <c r="BQ206" s="200"/>
      <c r="BR206" s="200"/>
      <c r="BS206" s="200"/>
      <c r="BT206" s="200"/>
      <c r="BU206" s="200"/>
      <c r="BV206" s="200"/>
      <c r="BW206" s="200"/>
      <c r="BX206" s="200"/>
      <c r="BY206" s="200"/>
      <c r="BZ206" s="200"/>
      <c r="CA206" s="200"/>
      <c r="CB206" s="200"/>
      <c r="CC206" s="200"/>
      <c r="CD206" s="200"/>
      <c r="CE206" s="200"/>
      <c r="CF206" s="200"/>
      <c r="CG206" s="200"/>
      <c r="CH206" s="200"/>
      <c r="CI206" s="200"/>
      <c r="CJ206" s="200"/>
      <c r="CK206" s="200"/>
      <c r="CL206" s="200"/>
      <c r="CM206" s="200"/>
      <c r="CN206" s="200"/>
      <c r="CO206" s="200"/>
      <c r="CP206" s="200"/>
      <c r="CQ206" s="200"/>
      <c r="CR206" s="200"/>
      <c r="CS206" s="200"/>
      <c r="CT206" s="200"/>
      <c r="CU206" s="200"/>
      <c r="CV206" s="200"/>
      <c r="CW206" s="200"/>
      <c r="CX206" s="200"/>
      <c r="CY206" s="200"/>
      <c r="CZ206" s="200"/>
      <c r="DA206" s="200"/>
      <c r="DB206" s="200"/>
      <c r="DC206" s="200"/>
      <c r="DD206" s="200"/>
      <c r="DE206" s="200"/>
      <c r="DF206" s="200"/>
      <c r="DG206" s="200"/>
      <c r="DH206" s="200"/>
      <c r="DI206" s="200"/>
      <c r="DJ206" s="200"/>
      <c r="DK206" s="200"/>
      <c r="DL206" s="200"/>
      <c r="DM206" s="200"/>
      <c r="DN206" s="200"/>
      <c r="DO206" s="200"/>
      <c r="DP206" s="200"/>
      <c r="DQ206" s="200"/>
      <c r="DR206" s="200"/>
      <c r="DS206" s="200"/>
      <c r="DT206" s="200"/>
      <c r="DU206" s="200"/>
      <c r="DV206" s="200"/>
      <c r="DW206" s="200"/>
      <c r="DX206" s="200"/>
      <c r="DY206" s="200"/>
      <c r="DZ206" s="200"/>
      <c r="EA206" s="200"/>
      <c r="EB206" s="200"/>
      <c r="EC206" s="200"/>
      <c r="ED206" s="200"/>
      <c r="EE206" s="200"/>
      <c r="EF206" s="200"/>
      <c r="EG206" s="200"/>
      <c r="EH206" s="200"/>
      <c r="EI206" s="200"/>
      <c r="EJ206" s="200"/>
      <c r="EK206" s="200"/>
      <c r="EL206" s="200"/>
      <c r="EM206" s="200"/>
      <c r="EN206" s="200"/>
      <c r="EO206" s="200"/>
      <c r="EP206" s="200"/>
      <c r="EQ206" s="200"/>
      <c r="ER206" s="200"/>
      <c r="ES206" s="200"/>
      <c r="ET206" s="200"/>
      <c r="EU206" s="200"/>
      <c r="EV206" s="200"/>
      <c r="EW206" s="200"/>
      <c r="EX206" s="200"/>
      <c r="EY206" s="200"/>
      <c r="EZ206" s="200"/>
      <c r="FA206" s="200"/>
      <c r="FB206" s="200"/>
      <c r="FC206" s="200"/>
      <c r="FD206" s="200"/>
      <c r="FE206" s="200"/>
      <c r="FF206" s="200"/>
      <c r="FG206" s="200"/>
      <c r="FH206" s="200"/>
      <c r="FI206" s="200"/>
      <c r="FJ206" s="200"/>
      <c r="FK206" s="200"/>
      <c r="FL206" s="200"/>
      <c r="FM206" s="200"/>
      <c r="FN206" s="200"/>
      <c r="FO206" s="200"/>
      <c r="FP206" s="200"/>
      <c r="FQ206" s="200"/>
      <c r="FR206" s="200"/>
      <c r="FS206" s="200"/>
      <c r="FT206" s="200"/>
      <c r="FU206" s="200"/>
      <c r="FV206" s="200"/>
      <c r="FW206" s="200"/>
      <c r="FX206" s="200"/>
      <c r="FY206" s="200"/>
      <c r="FZ206" s="200"/>
      <c r="GA206" s="200"/>
      <c r="GB206" s="200"/>
      <c r="GC206" s="200"/>
      <c r="GD206" s="200"/>
      <c r="GE206" s="200"/>
      <c r="GF206" s="200"/>
      <c r="GG206" s="200"/>
      <c r="GH206" s="200"/>
      <c r="GI206" s="200"/>
      <c r="GJ206" s="200"/>
      <c r="GK206" s="200"/>
      <c r="GL206" s="200"/>
      <c r="GM206" s="200"/>
      <c r="GN206" s="200"/>
      <c r="GO206" s="200"/>
      <c r="GP206" s="200"/>
      <c r="GQ206" s="200"/>
      <c r="GR206" s="200"/>
      <c r="GS206" s="200"/>
      <c r="GT206" s="200"/>
      <c r="GU206" s="200"/>
      <c r="GV206" s="200"/>
      <c r="GW206" s="200"/>
      <c r="GX206" s="200"/>
      <c r="GY206" s="200"/>
      <c r="GZ206" s="200"/>
      <c r="HA206" s="200"/>
      <c r="HB206" s="200"/>
      <c r="HC206" s="200"/>
      <c r="HD206" s="200"/>
      <c r="HE206" s="200"/>
      <c r="HF206" s="200"/>
      <c r="HG206" s="200"/>
      <c r="HH206" s="200"/>
      <c r="HI206" s="200"/>
      <c r="HJ206" s="200"/>
      <c r="HK206" s="200"/>
      <c r="HL206" s="200"/>
      <c r="HM206" s="200"/>
      <c r="HN206" s="200"/>
      <c r="HO206" s="200"/>
      <c r="HP206" s="200"/>
      <c r="HQ206" s="200"/>
      <c r="HR206" s="200"/>
      <c r="HS206" s="200"/>
      <c r="HT206" s="200"/>
      <c r="HU206" s="200"/>
      <c r="HV206" s="200"/>
      <c r="HW206" s="200"/>
      <c r="HX206" s="200"/>
      <c r="HY206" s="200"/>
      <c r="HZ206" s="200"/>
      <c r="IA206" s="200"/>
      <c r="IB206" s="200"/>
      <c r="IC206" s="200"/>
      <c r="ID206" s="200"/>
      <c r="IE206" s="200"/>
      <c r="IF206" s="200"/>
      <c r="IG206" s="200"/>
      <c r="IH206" s="200"/>
      <c r="II206" s="200"/>
      <c r="IJ206" s="200"/>
      <c r="IK206" s="200"/>
      <c r="IL206" s="200"/>
      <c r="IM206" s="200"/>
      <c r="IN206" s="200"/>
      <c r="IO206" s="200"/>
      <c r="IP206" s="200"/>
      <c r="IQ206" s="200"/>
      <c r="IR206" s="200"/>
      <c r="IS206" s="200"/>
      <c r="IT206" s="200"/>
      <c r="IU206" s="201"/>
      <c r="IV206" s="201"/>
    </row>
    <row r="207" s="10" customFormat="1" ht="15.95" customHeight="1" spans="1:256">
      <c r="A207" s="199">
        <v>7</v>
      </c>
      <c r="B207" s="20" t="s">
        <v>2203</v>
      </c>
      <c r="C207" s="199" t="s">
        <v>2204</v>
      </c>
      <c r="D207" s="199">
        <v>5007</v>
      </c>
      <c r="E207" s="199">
        <f>'05版台时'!J362</f>
        <v>317.04490945483</v>
      </c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200"/>
      <c r="BD207" s="200"/>
      <c r="BE207" s="200"/>
      <c r="BF207" s="200"/>
      <c r="BG207" s="200"/>
      <c r="BH207" s="200"/>
      <c r="BI207" s="200"/>
      <c r="BJ207" s="200"/>
      <c r="BK207" s="200"/>
      <c r="BL207" s="200"/>
      <c r="BM207" s="200"/>
      <c r="BN207" s="200"/>
      <c r="BO207" s="200"/>
      <c r="BP207" s="200"/>
      <c r="BQ207" s="200"/>
      <c r="BR207" s="200"/>
      <c r="BS207" s="200"/>
      <c r="BT207" s="200"/>
      <c r="BU207" s="200"/>
      <c r="BV207" s="200"/>
      <c r="BW207" s="200"/>
      <c r="BX207" s="200"/>
      <c r="BY207" s="200"/>
      <c r="BZ207" s="200"/>
      <c r="CA207" s="200"/>
      <c r="CB207" s="200"/>
      <c r="CC207" s="200"/>
      <c r="CD207" s="200"/>
      <c r="CE207" s="200"/>
      <c r="CF207" s="200"/>
      <c r="CG207" s="200"/>
      <c r="CH207" s="200"/>
      <c r="CI207" s="200"/>
      <c r="CJ207" s="200"/>
      <c r="CK207" s="200"/>
      <c r="CL207" s="200"/>
      <c r="CM207" s="200"/>
      <c r="CN207" s="200"/>
      <c r="CO207" s="200"/>
      <c r="CP207" s="200"/>
      <c r="CQ207" s="200"/>
      <c r="CR207" s="200"/>
      <c r="CS207" s="200"/>
      <c r="CT207" s="200"/>
      <c r="CU207" s="200"/>
      <c r="CV207" s="200"/>
      <c r="CW207" s="200"/>
      <c r="CX207" s="200"/>
      <c r="CY207" s="200"/>
      <c r="CZ207" s="200"/>
      <c r="DA207" s="200"/>
      <c r="DB207" s="200"/>
      <c r="DC207" s="200"/>
      <c r="DD207" s="200"/>
      <c r="DE207" s="200"/>
      <c r="DF207" s="200"/>
      <c r="DG207" s="200"/>
      <c r="DH207" s="200"/>
      <c r="DI207" s="200"/>
      <c r="DJ207" s="200"/>
      <c r="DK207" s="200"/>
      <c r="DL207" s="200"/>
      <c r="DM207" s="200"/>
      <c r="DN207" s="200"/>
      <c r="DO207" s="200"/>
      <c r="DP207" s="200"/>
      <c r="DQ207" s="200"/>
      <c r="DR207" s="200"/>
      <c r="DS207" s="200"/>
      <c r="DT207" s="200"/>
      <c r="DU207" s="200"/>
      <c r="DV207" s="200"/>
      <c r="DW207" s="200"/>
      <c r="DX207" s="200"/>
      <c r="DY207" s="200"/>
      <c r="DZ207" s="200"/>
      <c r="EA207" s="200"/>
      <c r="EB207" s="200"/>
      <c r="EC207" s="200"/>
      <c r="ED207" s="200"/>
      <c r="EE207" s="200"/>
      <c r="EF207" s="200"/>
      <c r="EG207" s="200"/>
      <c r="EH207" s="200"/>
      <c r="EI207" s="200"/>
      <c r="EJ207" s="200"/>
      <c r="EK207" s="200"/>
      <c r="EL207" s="200"/>
      <c r="EM207" s="200"/>
      <c r="EN207" s="200"/>
      <c r="EO207" s="200"/>
      <c r="EP207" s="200"/>
      <c r="EQ207" s="200"/>
      <c r="ER207" s="200"/>
      <c r="ES207" s="200"/>
      <c r="ET207" s="200"/>
      <c r="EU207" s="200"/>
      <c r="EV207" s="200"/>
      <c r="EW207" s="200"/>
      <c r="EX207" s="200"/>
      <c r="EY207" s="200"/>
      <c r="EZ207" s="200"/>
      <c r="FA207" s="200"/>
      <c r="FB207" s="200"/>
      <c r="FC207" s="200"/>
      <c r="FD207" s="200"/>
      <c r="FE207" s="200"/>
      <c r="FF207" s="200"/>
      <c r="FG207" s="200"/>
      <c r="FH207" s="200"/>
      <c r="FI207" s="200"/>
      <c r="FJ207" s="200"/>
      <c r="FK207" s="200"/>
      <c r="FL207" s="200"/>
      <c r="FM207" s="200"/>
      <c r="FN207" s="200"/>
      <c r="FO207" s="200"/>
      <c r="FP207" s="200"/>
      <c r="FQ207" s="200"/>
      <c r="FR207" s="200"/>
      <c r="FS207" s="200"/>
      <c r="FT207" s="200"/>
      <c r="FU207" s="200"/>
      <c r="FV207" s="200"/>
      <c r="FW207" s="200"/>
      <c r="FX207" s="200"/>
      <c r="FY207" s="200"/>
      <c r="FZ207" s="200"/>
      <c r="GA207" s="200"/>
      <c r="GB207" s="200"/>
      <c r="GC207" s="200"/>
      <c r="GD207" s="200"/>
      <c r="GE207" s="200"/>
      <c r="GF207" s="200"/>
      <c r="GG207" s="200"/>
      <c r="GH207" s="200"/>
      <c r="GI207" s="200"/>
      <c r="GJ207" s="200"/>
      <c r="GK207" s="200"/>
      <c r="GL207" s="200"/>
      <c r="GM207" s="200"/>
      <c r="GN207" s="200"/>
      <c r="GO207" s="200"/>
      <c r="GP207" s="200"/>
      <c r="GQ207" s="200"/>
      <c r="GR207" s="200"/>
      <c r="GS207" s="200"/>
      <c r="GT207" s="200"/>
      <c r="GU207" s="200"/>
      <c r="GV207" s="200"/>
      <c r="GW207" s="200"/>
      <c r="GX207" s="200"/>
      <c r="GY207" s="200"/>
      <c r="GZ207" s="200"/>
      <c r="HA207" s="200"/>
      <c r="HB207" s="200"/>
      <c r="HC207" s="200"/>
      <c r="HD207" s="200"/>
      <c r="HE207" s="200"/>
      <c r="HF207" s="200"/>
      <c r="HG207" s="200"/>
      <c r="HH207" s="200"/>
      <c r="HI207" s="200"/>
      <c r="HJ207" s="200"/>
      <c r="HK207" s="200"/>
      <c r="HL207" s="200"/>
      <c r="HM207" s="200"/>
      <c r="HN207" s="200"/>
      <c r="HO207" s="200"/>
      <c r="HP207" s="200"/>
      <c r="HQ207" s="200"/>
      <c r="HR207" s="200"/>
      <c r="HS207" s="200"/>
      <c r="HT207" s="200"/>
      <c r="HU207" s="200"/>
      <c r="HV207" s="200"/>
      <c r="HW207" s="200"/>
      <c r="HX207" s="200"/>
      <c r="HY207" s="200"/>
      <c r="HZ207" s="200"/>
      <c r="IA207" s="200"/>
      <c r="IB207" s="200"/>
      <c r="IC207" s="200"/>
      <c r="ID207" s="200"/>
      <c r="IE207" s="200"/>
      <c r="IF207" s="200"/>
      <c r="IG207" s="200"/>
      <c r="IH207" s="200"/>
      <c r="II207" s="200"/>
      <c r="IJ207" s="200"/>
      <c r="IK207" s="200"/>
      <c r="IL207" s="200"/>
      <c r="IM207" s="200"/>
      <c r="IN207" s="200"/>
      <c r="IO207" s="200"/>
      <c r="IP207" s="200"/>
      <c r="IQ207" s="200"/>
      <c r="IR207" s="200"/>
      <c r="IS207" s="200"/>
      <c r="IT207" s="200"/>
      <c r="IU207" s="201"/>
      <c r="IV207" s="201"/>
    </row>
    <row r="208" s="10" customFormat="1" ht="15.95" customHeight="1" spans="1:256">
      <c r="A208" s="199">
        <v>8</v>
      </c>
      <c r="B208" s="20" t="s">
        <v>2205</v>
      </c>
      <c r="C208" s="199" t="s">
        <v>1831</v>
      </c>
      <c r="D208" s="199">
        <v>5008</v>
      </c>
      <c r="E208" s="199">
        <f>'05版台时'!K362</f>
        <v>26.0662595443623</v>
      </c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200"/>
      <c r="BB208" s="200"/>
      <c r="BC208" s="200"/>
      <c r="BD208" s="200"/>
      <c r="BE208" s="200"/>
      <c r="BF208" s="200"/>
      <c r="BG208" s="200"/>
      <c r="BH208" s="200"/>
      <c r="BI208" s="200"/>
      <c r="BJ208" s="200"/>
      <c r="BK208" s="200"/>
      <c r="BL208" s="200"/>
      <c r="BM208" s="200"/>
      <c r="BN208" s="200"/>
      <c r="BO208" s="200"/>
      <c r="BP208" s="200"/>
      <c r="BQ208" s="200"/>
      <c r="BR208" s="200"/>
      <c r="BS208" s="200"/>
      <c r="BT208" s="200"/>
      <c r="BU208" s="200"/>
      <c r="BV208" s="200"/>
      <c r="BW208" s="200"/>
      <c r="BX208" s="200"/>
      <c r="BY208" s="200"/>
      <c r="BZ208" s="200"/>
      <c r="CA208" s="200"/>
      <c r="CB208" s="200"/>
      <c r="CC208" s="200"/>
      <c r="CD208" s="200"/>
      <c r="CE208" s="200"/>
      <c r="CF208" s="200"/>
      <c r="CG208" s="200"/>
      <c r="CH208" s="200"/>
      <c r="CI208" s="200"/>
      <c r="CJ208" s="200"/>
      <c r="CK208" s="200"/>
      <c r="CL208" s="200"/>
      <c r="CM208" s="200"/>
      <c r="CN208" s="200"/>
      <c r="CO208" s="200"/>
      <c r="CP208" s="200"/>
      <c r="CQ208" s="200"/>
      <c r="CR208" s="200"/>
      <c r="CS208" s="200"/>
      <c r="CT208" s="200"/>
      <c r="CU208" s="200"/>
      <c r="CV208" s="200"/>
      <c r="CW208" s="200"/>
      <c r="CX208" s="200"/>
      <c r="CY208" s="200"/>
      <c r="CZ208" s="200"/>
      <c r="DA208" s="200"/>
      <c r="DB208" s="200"/>
      <c r="DC208" s="200"/>
      <c r="DD208" s="200"/>
      <c r="DE208" s="200"/>
      <c r="DF208" s="200"/>
      <c r="DG208" s="200"/>
      <c r="DH208" s="200"/>
      <c r="DI208" s="200"/>
      <c r="DJ208" s="200"/>
      <c r="DK208" s="200"/>
      <c r="DL208" s="200"/>
      <c r="DM208" s="200"/>
      <c r="DN208" s="200"/>
      <c r="DO208" s="200"/>
      <c r="DP208" s="200"/>
      <c r="DQ208" s="200"/>
      <c r="DR208" s="200"/>
      <c r="DS208" s="200"/>
      <c r="DT208" s="200"/>
      <c r="DU208" s="200"/>
      <c r="DV208" s="200"/>
      <c r="DW208" s="200"/>
      <c r="DX208" s="200"/>
      <c r="DY208" s="200"/>
      <c r="DZ208" s="200"/>
      <c r="EA208" s="200"/>
      <c r="EB208" s="200"/>
      <c r="EC208" s="200"/>
      <c r="ED208" s="200"/>
      <c r="EE208" s="200"/>
      <c r="EF208" s="200"/>
      <c r="EG208" s="200"/>
      <c r="EH208" s="200"/>
      <c r="EI208" s="200"/>
      <c r="EJ208" s="200"/>
      <c r="EK208" s="200"/>
      <c r="EL208" s="200"/>
      <c r="EM208" s="200"/>
      <c r="EN208" s="200"/>
      <c r="EO208" s="200"/>
      <c r="EP208" s="200"/>
      <c r="EQ208" s="200"/>
      <c r="ER208" s="200"/>
      <c r="ES208" s="200"/>
      <c r="ET208" s="200"/>
      <c r="EU208" s="200"/>
      <c r="EV208" s="200"/>
      <c r="EW208" s="200"/>
      <c r="EX208" s="200"/>
      <c r="EY208" s="200"/>
      <c r="EZ208" s="200"/>
      <c r="FA208" s="200"/>
      <c r="FB208" s="200"/>
      <c r="FC208" s="200"/>
      <c r="FD208" s="200"/>
      <c r="FE208" s="200"/>
      <c r="FF208" s="200"/>
      <c r="FG208" s="200"/>
      <c r="FH208" s="200"/>
      <c r="FI208" s="200"/>
      <c r="FJ208" s="200"/>
      <c r="FK208" s="200"/>
      <c r="FL208" s="200"/>
      <c r="FM208" s="200"/>
      <c r="FN208" s="200"/>
      <c r="FO208" s="200"/>
      <c r="FP208" s="200"/>
      <c r="FQ208" s="200"/>
      <c r="FR208" s="200"/>
      <c r="FS208" s="200"/>
      <c r="FT208" s="200"/>
      <c r="FU208" s="200"/>
      <c r="FV208" s="200"/>
      <c r="FW208" s="200"/>
      <c r="FX208" s="200"/>
      <c r="FY208" s="200"/>
      <c r="FZ208" s="200"/>
      <c r="GA208" s="200"/>
      <c r="GB208" s="200"/>
      <c r="GC208" s="200"/>
      <c r="GD208" s="200"/>
      <c r="GE208" s="200"/>
      <c r="GF208" s="200"/>
      <c r="GG208" s="200"/>
      <c r="GH208" s="200"/>
      <c r="GI208" s="200"/>
      <c r="GJ208" s="200"/>
      <c r="GK208" s="200"/>
      <c r="GL208" s="200"/>
      <c r="GM208" s="200"/>
      <c r="GN208" s="200"/>
      <c r="GO208" s="200"/>
      <c r="GP208" s="200"/>
      <c r="GQ208" s="200"/>
      <c r="GR208" s="200"/>
      <c r="GS208" s="200"/>
      <c r="GT208" s="200"/>
      <c r="GU208" s="200"/>
      <c r="GV208" s="200"/>
      <c r="GW208" s="200"/>
      <c r="GX208" s="200"/>
      <c r="GY208" s="200"/>
      <c r="GZ208" s="200"/>
      <c r="HA208" s="200"/>
      <c r="HB208" s="200"/>
      <c r="HC208" s="200"/>
      <c r="HD208" s="200"/>
      <c r="HE208" s="200"/>
      <c r="HF208" s="200"/>
      <c r="HG208" s="200"/>
      <c r="HH208" s="200"/>
      <c r="HI208" s="200"/>
      <c r="HJ208" s="200"/>
      <c r="HK208" s="200"/>
      <c r="HL208" s="200"/>
      <c r="HM208" s="200"/>
      <c r="HN208" s="200"/>
      <c r="HO208" s="200"/>
      <c r="HP208" s="200"/>
      <c r="HQ208" s="200"/>
      <c r="HR208" s="200"/>
      <c r="HS208" s="200"/>
      <c r="HT208" s="200"/>
      <c r="HU208" s="200"/>
      <c r="HV208" s="200"/>
      <c r="HW208" s="200"/>
      <c r="HX208" s="200"/>
      <c r="HY208" s="200"/>
      <c r="HZ208" s="200"/>
      <c r="IA208" s="200"/>
      <c r="IB208" s="200"/>
      <c r="IC208" s="200"/>
      <c r="ID208" s="200"/>
      <c r="IE208" s="200"/>
      <c r="IF208" s="200"/>
      <c r="IG208" s="200"/>
      <c r="IH208" s="200"/>
      <c r="II208" s="200"/>
      <c r="IJ208" s="200"/>
      <c r="IK208" s="200"/>
      <c r="IL208" s="200"/>
      <c r="IM208" s="200"/>
      <c r="IN208" s="200"/>
      <c r="IO208" s="200"/>
      <c r="IP208" s="200"/>
      <c r="IQ208" s="200"/>
      <c r="IR208" s="200"/>
      <c r="IS208" s="200"/>
      <c r="IT208" s="200"/>
      <c r="IU208" s="201"/>
      <c r="IV208" s="201"/>
    </row>
    <row r="209" s="10" customFormat="1" ht="15.95" customHeight="1" spans="1:256">
      <c r="A209" s="199">
        <v>9</v>
      </c>
      <c r="B209" s="20" t="s">
        <v>2206</v>
      </c>
      <c r="C209" s="199" t="s">
        <v>1831</v>
      </c>
      <c r="D209" s="199">
        <v>5009</v>
      </c>
      <c r="E209" s="199">
        <f>'05版台时'!L362</f>
        <v>16.5679603820169</v>
      </c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  <c r="AE209" s="200"/>
      <c r="AF209" s="200"/>
      <c r="AG209" s="200"/>
      <c r="AH209" s="200"/>
      <c r="AI209" s="200"/>
      <c r="AJ209" s="200"/>
      <c r="AK209" s="200"/>
      <c r="AL209" s="200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200"/>
      <c r="BB209" s="200"/>
      <c r="BC209" s="200"/>
      <c r="BD209" s="200"/>
      <c r="BE209" s="200"/>
      <c r="BF209" s="200"/>
      <c r="BG209" s="200"/>
      <c r="BH209" s="200"/>
      <c r="BI209" s="200"/>
      <c r="BJ209" s="200"/>
      <c r="BK209" s="200"/>
      <c r="BL209" s="200"/>
      <c r="BM209" s="200"/>
      <c r="BN209" s="200"/>
      <c r="BO209" s="200"/>
      <c r="BP209" s="200"/>
      <c r="BQ209" s="200"/>
      <c r="BR209" s="200"/>
      <c r="BS209" s="200"/>
      <c r="BT209" s="200"/>
      <c r="BU209" s="200"/>
      <c r="BV209" s="200"/>
      <c r="BW209" s="200"/>
      <c r="BX209" s="200"/>
      <c r="BY209" s="200"/>
      <c r="BZ209" s="200"/>
      <c r="CA209" s="200"/>
      <c r="CB209" s="200"/>
      <c r="CC209" s="200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0"/>
      <c r="CN209" s="200"/>
      <c r="CO209" s="200"/>
      <c r="CP209" s="200"/>
      <c r="CQ209" s="200"/>
      <c r="CR209" s="200"/>
      <c r="CS209" s="200"/>
      <c r="CT209" s="200"/>
      <c r="CU209" s="200"/>
      <c r="CV209" s="200"/>
      <c r="CW209" s="200"/>
      <c r="CX209" s="200"/>
      <c r="CY209" s="200"/>
      <c r="CZ209" s="200"/>
      <c r="DA209" s="200"/>
      <c r="DB209" s="200"/>
      <c r="DC209" s="200"/>
      <c r="DD209" s="200"/>
      <c r="DE209" s="200"/>
      <c r="DF209" s="200"/>
      <c r="DG209" s="200"/>
      <c r="DH209" s="200"/>
      <c r="DI209" s="200"/>
      <c r="DJ209" s="200"/>
      <c r="DK209" s="200"/>
      <c r="DL209" s="200"/>
      <c r="DM209" s="200"/>
      <c r="DN209" s="200"/>
      <c r="DO209" s="200"/>
      <c r="DP209" s="200"/>
      <c r="DQ209" s="200"/>
      <c r="DR209" s="200"/>
      <c r="DS209" s="200"/>
      <c r="DT209" s="200"/>
      <c r="DU209" s="200"/>
      <c r="DV209" s="200"/>
      <c r="DW209" s="200"/>
      <c r="DX209" s="200"/>
      <c r="DY209" s="200"/>
      <c r="DZ209" s="200"/>
      <c r="EA209" s="200"/>
      <c r="EB209" s="200"/>
      <c r="EC209" s="200"/>
      <c r="ED209" s="200"/>
      <c r="EE209" s="200"/>
      <c r="EF209" s="200"/>
      <c r="EG209" s="200"/>
      <c r="EH209" s="200"/>
      <c r="EI209" s="200"/>
      <c r="EJ209" s="200"/>
      <c r="EK209" s="200"/>
      <c r="EL209" s="200"/>
      <c r="EM209" s="200"/>
      <c r="EN209" s="200"/>
      <c r="EO209" s="200"/>
      <c r="EP209" s="200"/>
      <c r="EQ209" s="200"/>
      <c r="ER209" s="200"/>
      <c r="ES209" s="200"/>
      <c r="ET209" s="200"/>
      <c r="EU209" s="200"/>
      <c r="EV209" s="200"/>
      <c r="EW209" s="200"/>
      <c r="EX209" s="200"/>
      <c r="EY209" s="200"/>
      <c r="EZ209" s="200"/>
      <c r="FA209" s="200"/>
      <c r="FB209" s="200"/>
      <c r="FC209" s="200"/>
      <c r="FD209" s="200"/>
      <c r="FE209" s="200"/>
      <c r="FF209" s="200"/>
      <c r="FG209" s="200"/>
      <c r="FH209" s="200"/>
      <c r="FI209" s="200"/>
      <c r="FJ209" s="200"/>
      <c r="FK209" s="200"/>
      <c r="FL209" s="200"/>
      <c r="FM209" s="200"/>
      <c r="FN209" s="200"/>
      <c r="FO209" s="200"/>
      <c r="FP209" s="200"/>
      <c r="FQ209" s="200"/>
      <c r="FR209" s="200"/>
      <c r="FS209" s="200"/>
      <c r="FT209" s="200"/>
      <c r="FU209" s="200"/>
      <c r="FV209" s="200"/>
      <c r="FW209" s="200"/>
      <c r="FX209" s="200"/>
      <c r="FY209" s="200"/>
      <c r="FZ209" s="200"/>
      <c r="GA209" s="200"/>
      <c r="GB209" s="200"/>
      <c r="GC209" s="200"/>
      <c r="GD209" s="200"/>
      <c r="GE209" s="200"/>
      <c r="GF209" s="200"/>
      <c r="GG209" s="200"/>
      <c r="GH209" s="200"/>
      <c r="GI209" s="200"/>
      <c r="GJ209" s="200"/>
      <c r="GK209" s="200"/>
      <c r="GL209" s="200"/>
      <c r="GM209" s="200"/>
      <c r="GN209" s="200"/>
      <c r="GO209" s="200"/>
      <c r="GP209" s="200"/>
      <c r="GQ209" s="200"/>
      <c r="GR209" s="200"/>
      <c r="GS209" s="200"/>
      <c r="GT209" s="200"/>
      <c r="GU209" s="200"/>
      <c r="GV209" s="200"/>
      <c r="GW209" s="200"/>
      <c r="GX209" s="200"/>
      <c r="GY209" s="200"/>
      <c r="GZ209" s="200"/>
      <c r="HA209" s="200"/>
      <c r="HB209" s="200"/>
      <c r="HC209" s="200"/>
      <c r="HD209" s="200"/>
      <c r="HE209" s="200"/>
      <c r="HF209" s="200"/>
      <c r="HG209" s="200"/>
      <c r="HH209" s="200"/>
      <c r="HI209" s="200"/>
      <c r="HJ209" s="200"/>
      <c r="HK209" s="200"/>
      <c r="HL209" s="200"/>
      <c r="HM209" s="200"/>
      <c r="HN209" s="200"/>
      <c r="HO209" s="200"/>
      <c r="HP209" s="200"/>
      <c r="HQ209" s="200"/>
      <c r="HR209" s="200"/>
      <c r="HS209" s="200"/>
      <c r="HT209" s="200"/>
      <c r="HU209" s="200"/>
      <c r="HV209" s="200"/>
      <c r="HW209" s="200"/>
      <c r="HX209" s="200"/>
      <c r="HY209" s="200"/>
      <c r="HZ209" s="200"/>
      <c r="IA209" s="200"/>
      <c r="IB209" s="200"/>
      <c r="IC209" s="200"/>
      <c r="ID209" s="200"/>
      <c r="IE209" s="200"/>
      <c r="IF209" s="200"/>
      <c r="IG209" s="200"/>
      <c r="IH209" s="200"/>
      <c r="II209" s="200"/>
      <c r="IJ209" s="200"/>
      <c r="IK209" s="200"/>
      <c r="IL209" s="200"/>
      <c r="IM209" s="200"/>
      <c r="IN209" s="200"/>
      <c r="IO209" s="200"/>
      <c r="IP209" s="200"/>
      <c r="IQ209" s="200"/>
      <c r="IR209" s="200"/>
      <c r="IS209" s="200"/>
      <c r="IT209" s="200"/>
      <c r="IU209" s="201"/>
      <c r="IV209" s="201"/>
    </row>
    <row r="210" s="10" customFormat="1" ht="15.95" customHeight="1" spans="1:256">
      <c r="A210" s="199">
        <v>10</v>
      </c>
      <c r="B210" s="20" t="s">
        <v>2207</v>
      </c>
      <c r="C210" s="20" t="s">
        <v>2208</v>
      </c>
      <c r="D210" s="199">
        <v>5010</v>
      </c>
      <c r="E210" s="199">
        <f>'05版台时'!M362</f>
        <v>34.7925947121963</v>
      </c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00"/>
      <c r="AE210" s="200"/>
      <c r="AF210" s="200"/>
      <c r="AG210" s="200"/>
      <c r="AH210" s="200"/>
      <c r="AI210" s="200"/>
      <c r="AJ210" s="200"/>
      <c r="AK210" s="200"/>
      <c r="AL210" s="200"/>
      <c r="AM210" s="200"/>
      <c r="AN210" s="200"/>
      <c r="AO210" s="200"/>
      <c r="AP210" s="200"/>
      <c r="AQ210" s="200"/>
      <c r="AR210" s="200"/>
      <c r="AS210" s="200"/>
      <c r="AT210" s="200"/>
      <c r="AU210" s="200"/>
      <c r="AV210" s="200"/>
      <c r="AW210" s="200"/>
      <c r="AX210" s="200"/>
      <c r="AY210" s="200"/>
      <c r="AZ210" s="200"/>
      <c r="BA210" s="200"/>
      <c r="BB210" s="200"/>
      <c r="BC210" s="200"/>
      <c r="BD210" s="200"/>
      <c r="BE210" s="200"/>
      <c r="BF210" s="200"/>
      <c r="BG210" s="200"/>
      <c r="BH210" s="200"/>
      <c r="BI210" s="200"/>
      <c r="BJ210" s="200"/>
      <c r="BK210" s="200"/>
      <c r="BL210" s="200"/>
      <c r="BM210" s="200"/>
      <c r="BN210" s="200"/>
      <c r="BO210" s="200"/>
      <c r="BP210" s="200"/>
      <c r="BQ210" s="200"/>
      <c r="BR210" s="200"/>
      <c r="BS210" s="200"/>
      <c r="BT210" s="200"/>
      <c r="BU210" s="200"/>
      <c r="BV210" s="200"/>
      <c r="BW210" s="200"/>
      <c r="BX210" s="200"/>
      <c r="BY210" s="200"/>
      <c r="BZ210" s="200"/>
      <c r="CA210" s="200"/>
      <c r="CB210" s="200"/>
      <c r="CC210" s="200"/>
      <c r="CD210" s="200"/>
      <c r="CE210" s="200"/>
      <c r="CF210" s="200"/>
      <c r="CG210" s="200"/>
      <c r="CH210" s="200"/>
      <c r="CI210" s="200"/>
      <c r="CJ210" s="200"/>
      <c r="CK210" s="200"/>
      <c r="CL210" s="200"/>
      <c r="CM210" s="200"/>
      <c r="CN210" s="200"/>
      <c r="CO210" s="200"/>
      <c r="CP210" s="200"/>
      <c r="CQ210" s="200"/>
      <c r="CR210" s="200"/>
      <c r="CS210" s="200"/>
      <c r="CT210" s="200"/>
      <c r="CU210" s="200"/>
      <c r="CV210" s="200"/>
      <c r="CW210" s="200"/>
      <c r="CX210" s="200"/>
      <c r="CY210" s="200"/>
      <c r="CZ210" s="200"/>
      <c r="DA210" s="200"/>
      <c r="DB210" s="200"/>
      <c r="DC210" s="200"/>
      <c r="DD210" s="200"/>
      <c r="DE210" s="200"/>
      <c r="DF210" s="200"/>
      <c r="DG210" s="200"/>
      <c r="DH210" s="200"/>
      <c r="DI210" s="200"/>
      <c r="DJ210" s="200"/>
      <c r="DK210" s="200"/>
      <c r="DL210" s="200"/>
      <c r="DM210" s="200"/>
      <c r="DN210" s="200"/>
      <c r="DO210" s="200"/>
      <c r="DP210" s="200"/>
      <c r="DQ210" s="200"/>
      <c r="DR210" s="200"/>
      <c r="DS210" s="200"/>
      <c r="DT210" s="200"/>
      <c r="DU210" s="200"/>
      <c r="DV210" s="200"/>
      <c r="DW210" s="200"/>
      <c r="DX210" s="200"/>
      <c r="DY210" s="200"/>
      <c r="DZ210" s="200"/>
      <c r="EA210" s="200"/>
      <c r="EB210" s="200"/>
      <c r="EC210" s="200"/>
      <c r="ED210" s="200"/>
      <c r="EE210" s="200"/>
      <c r="EF210" s="200"/>
      <c r="EG210" s="200"/>
      <c r="EH210" s="200"/>
      <c r="EI210" s="200"/>
      <c r="EJ210" s="200"/>
      <c r="EK210" s="200"/>
      <c r="EL210" s="200"/>
      <c r="EM210" s="200"/>
      <c r="EN210" s="200"/>
      <c r="EO210" s="200"/>
      <c r="EP210" s="200"/>
      <c r="EQ210" s="200"/>
      <c r="ER210" s="200"/>
      <c r="ES210" s="200"/>
      <c r="ET210" s="200"/>
      <c r="EU210" s="200"/>
      <c r="EV210" s="200"/>
      <c r="EW210" s="200"/>
      <c r="EX210" s="200"/>
      <c r="EY210" s="200"/>
      <c r="EZ210" s="200"/>
      <c r="FA210" s="200"/>
      <c r="FB210" s="200"/>
      <c r="FC210" s="200"/>
      <c r="FD210" s="200"/>
      <c r="FE210" s="200"/>
      <c r="FF210" s="200"/>
      <c r="FG210" s="200"/>
      <c r="FH210" s="200"/>
      <c r="FI210" s="200"/>
      <c r="FJ210" s="200"/>
      <c r="FK210" s="200"/>
      <c r="FL210" s="200"/>
      <c r="FM210" s="200"/>
      <c r="FN210" s="200"/>
      <c r="FO210" s="200"/>
      <c r="FP210" s="200"/>
      <c r="FQ210" s="200"/>
      <c r="FR210" s="200"/>
      <c r="FS210" s="200"/>
      <c r="FT210" s="200"/>
      <c r="FU210" s="200"/>
      <c r="FV210" s="200"/>
      <c r="FW210" s="200"/>
      <c r="FX210" s="200"/>
      <c r="FY210" s="200"/>
      <c r="FZ210" s="200"/>
      <c r="GA210" s="200"/>
      <c r="GB210" s="200"/>
      <c r="GC210" s="200"/>
      <c r="GD210" s="200"/>
      <c r="GE210" s="200"/>
      <c r="GF210" s="200"/>
      <c r="GG210" s="200"/>
      <c r="GH210" s="200"/>
      <c r="GI210" s="200"/>
      <c r="GJ210" s="200"/>
      <c r="GK210" s="200"/>
      <c r="GL210" s="200"/>
      <c r="GM210" s="200"/>
      <c r="GN210" s="200"/>
      <c r="GO210" s="200"/>
      <c r="GP210" s="200"/>
      <c r="GQ210" s="200"/>
      <c r="GR210" s="200"/>
      <c r="GS210" s="200"/>
      <c r="GT210" s="200"/>
      <c r="GU210" s="200"/>
      <c r="GV210" s="200"/>
      <c r="GW210" s="200"/>
      <c r="GX210" s="200"/>
      <c r="GY210" s="200"/>
      <c r="GZ210" s="200"/>
      <c r="HA210" s="200"/>
      <c r="HB210" s="200"/>
      <c r="HC210" s="200"/>
      <c r="HD210" s="200"/>
      <c r="HE210" s="200"/>
      <c r="HF210" s="200"/>
      <c r="HG210" s="200"/>
      <c r="HH210" s="200"/>
      <c r="HI210" s="200"/>
      <c r="HJ210" s="200"/>
      <c r="HK210" s="200"/>
      <c r="HL210" s="200"/>
      <c r="HM210" s="200"/>
      <c r="HN210" s="200"/>
      <c r="HO210" s="200"/>
      <c r="HP210" s="200"/>
      <c r="HQ210" s="200"/>
      <c r="HR210" s="200"/>
      <c r="HS210" s="200"/>
      <c r="HT210" s="200"/>
      <c r="HU210" s="200"/>
      <c r="HV210" s="200"/>
      <c r="HW210" s="200"/>
      <c r="HX210" s="200"/>
      <c r="HY210" s="200"/>
      <c r="HZ210" s="200"/>
      <c r="IA210" s="200"/>
      <c r="IB210" s="200"/>
      <c r="IC210" s="200"/>
      <c r="ID210" s="200"/>
      <c r="IE210" s="200"/>
      <c r="IF210" s="200"/>
      <c r="IG210" s="200"/>
      <c r="IH210" s="200"/>
      <c r="II210" s="200"/>
      <c r="IJ210" s="200"/>
      <c r="IK210" s="200"/>
      <c r="IL210" s="200"/>
      <c r="IM210" s="200"/>
      <c r="IN210" s="200"/>
      <c r="IO210" s="200"/>
      <c r="IP210" s="200"/>
      <c r="IQ210" s="200"/>
      <c r="IR210" s="200"/>
      <c r="IS210" s="200"/>
      <c r="IT210" s="200"/>
      <c r="IU210" s="201"/>
      <c r="IV210" s="201"/>
    </row>
    <row r="211" s="10" customFormat="1" ht="15.95" customHeight="1" spans="1:256">
      <c r="A211" s="199">
        <v>11</v>
      </c>
      <c r="B211" s="20" t="s">
        <v>2207</v>
      </c>
      <c r="C211" s="20" t="s">
        <v>2209</v>
      </c>
      <c r="D211" s="199">
        <v>5011</v>
      </c>
      <c r="E211" s="199">
        <f>'05版台时'!N362</f>
        <v>34.4481487608601</v>
      </c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200"/>
      <c r="AF211" s="200"/>
      <c r="AG211" s="200"/>
      <c r="AH211" s="200"/>
      <c r="AI211" s="200"/>
      <c r="AJ211" s="200"/>
      <c r="AK211" s="200"/>
      <c r="AL211" s="200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0"/>
      <c r="BC211" s="200"/>
      <c r="BD211" s="200"/>
      <c r="BE211" s="200"/>
      <c r="BF211" s="200"/>
      <c r="BG211" s="200"/>
      <c r="BH211" s="200"/>
      <c r="BI211" s="200"/>
      <c r="BJ211" s="200"/>
      <c r="BK211" s="200"/>
      <c r="BL211" s="200"/>
      <c r="BM211" s="200"/>
      <c r="BN211" s="200"/>
      <c r="BO211" s="200"/>
      <c r="BP211" s="200"/>
      <c r="BQ211" s="200"/>
      <c r="BR211" s="200"/>
      <c r="BS211" s="200"/>
      <c r="BT211" s="200"/>
      <c r="BU211" s="200"/>
      <c r="BV211" s="200"/>
      <c r="BW211" s="200"/>
      <c r="BX211" s="200"/>
      <c r="BY211" s="200"/>
      <c r="BZ211" s="200"/>
      <c r="CA211" s="200"/>
      <c r="CB211" s="200"/>
      <c r="CC211" s="200"/>
      <c r="CD211" s="200"/>
      <c r="CE211" s="200"/>
      <c r="CF211" s="200"/>
      <c r="CG211" s="200"/>
      <c r="CH211" s="200"/>
      <c r="CI211" s="200"/>
      <c r="CJ211" s="200"/>
      <c r="CK211" s="200"/>
      <c r="CL211" s="200"/>
      <c r="CM211" s="200"/>
      <c r="CN211" s="200"/>
      <c r="CO211" s="200"/>
      <c r="CP211" s="200"/>
      <c r="CQ211" s="200"/>
      <c r="CR211" s="200"/>
      <c r="CS211" s="200"/>
      <c r="CT211" s="200"/>
      <c r="CU211" s="200"/>
      <c r="CV211" s="200"/>
      <c r="CW211" s="200"/>
      <c r="CX211" s="200"/>
      <c r="CY211" s="200"/>
      <c r="CZ211" s="200"/>
      <c r="DA211" s="200"/>
      <c r="DB211" s="200"/>
      <c r="DC211" s="200"/>
      <c r="DD211" s="200"/>
      <c r="DE211" s="200"/>
      <c r="DF211" s="200"/>
      <c r="DG211" s="200"/>
      <c r="DH211" s="200"/>
      <c r="DI211" s="200"/>
      <c r="DJ211" s="200"/>
      <c r="DK211" s="200"/>
      <c r="DL211" s="200"/>
      <c r="DM211" s="200"/>
      <c r="DN211" s="200"/>
      <c r="DO211" s="200"/>
      <c r="DP211" s="200"/>
      <c r="DQ211" s="200"/>
      <c r="DR211" s="200"/>
      <c r="DS211" s="200"/>
      <c r="DT211" s="200"/>
      <c r="DU211" s="200"/>
      <c r="DV211" s="200"/>
      <c r="DW211" s="200"/>
      <c r="DX211" s="200"/>
      <c r="DY211" s="200"/>
      <c r="DZ211" s="200"/>
      <c r="EA211" s="200"/>
      <c r="EB211" s="200"/>
      <c r="EC211" s="200"/>
      <c r="ED211" s="200"/>
      <c r="EE211" s="200"/>
      <c r="EF211" s="200"/>
      <c r="EG211" s="200"/>
      <c r="EH211" s="200"/>
      <c r="EI211" s="200"/>
      <c r="EJ211" s="200"/>
      <c r="EK211" s="200"/>
      <c r="EL211" s="200"/>
      <c r="EM211" s="200"/>
      <c r="EN211" s="200"/>
      <c r="EO211" s="200"/>
      <c r="EP211" s="200"/>
      <c r="EQ211" s="200"/>
      <c r="ER211" s="200"/>
      <c r="ES211" s="200"/>
      <c r="ET211" s="200"/>
      <c r="EU211" s="200"/>
      <c r="EV211" s="200"/>
      <c r="EW211" s="200"/>
      <c r="EX211" s="200"/>
      <c r="EY211" s="200"/>
      <c r="EZ211" s="200"/>
      <c r="FA211" s="200"/>
      <c r="FB211" s="200"/>
      <c r="FC211" s="200"/>
      <c r="FD211" s="200"/>
      <c r="FE211" s="200"/>
      <c r="FF211" s="200"/>
      <c r="FG211" s="200"/>
      <c r="FH211" s="200"/>
      <c r="FI211" s="200"/>
      <c r="FJ211" s="200"/>
      <c r="FK211" s="200"/>
      <c r="FL211" s="200"/>
      <c r="FM211" s="200"/>
      <c r="FN211" s="200"/>
      <c r="FO211" s="200"/>
      <c r="FP211" s="200"/>
      <c r="FQ211" s="200"/>
      <c r="FR211" s="200"/>
      <c r="FS211" s="200"/>
      <c r="FT211" s="200"/>
      <c r="FU211" s="200"/>
      <c r="FV211" s="200"/>
      <c r="FW211" s="200"/>
      <c r="FX211" s="200"/>
      <c r="FY211" s="200"/>
      <c r="FZ211" s="200"/>
      <c r="GA211" s="200"/>
      <c r="GB211" s="200"/>
      <c r="GC211" s="200"/>
      <c r="GD211" s="200"/>
      <c r="GE211" s="200"/>
      <c r="GF211" s="200"/>
      <c r="GG211" s="200"/>
      <c r="GH211" s="200"/>
      <c r="GI211" s="200"/>
      <c r="GJ211" s="200"/>
      <c r="GK211" s="200"/>
      <c r="GL211" s="200"/>
      <c r="GM211" s="200"/>
      <c r="GN211" s="200"/>
      <c r="GO211" s="200"/>
      <c r="GP211" s="200"/>
      <c r="GQ211" s="200"/>
      <c r="GR211" s="200"/>
      <c r="GS211" s="200"/>
      <c r="GT211" s="200"/>
      <c r="GU211" s="200"/>
      <c r="GV211" s="200"/>
      <c r="GW211" s="200"/>
      <c r="GX211" s="200"/>
      <c r="GY211" s="200"/>
      <c r="GZ211" s="200"/>
      <c r="HA211" s="200"/>
      <c r="HB211" s="200"/>
      <c r="HC211" s="200"/>
      <c r="HD211" s="200"/>
      <c r="HE211" s="200"/>
      <c r="HF211" s="200"/>
      <c r="HG211" s="200"/>
      <c r="HH211" s="200"/>
      <c r="HI211" s="200"/>
      <c r="HJ211" s="200"/>
      <c r="HK211" s="200"/>
      <c r="HL211" s="200"/>
      <c r="HM211" s="200"/>
      <c r="HN211" s="200"/>
      <c r="HO211" s="200"/>
      <c r="HP211" s="200"/>
      <c r="HQ211" s="200"/>
      <c r="HR211" s="200"/>
      <c r="HS211" s="200"/>
      <c r="HT211" s="200"/>
      <c r="HU211" s="200"/>
      <c r="HV211" s="200"/>
      <c r="HW211" s="200"/>
      <c r="HX211" s="200"/>
      <c r="HY211" s="200"/>
      <c r="HZ211" s="200"/>
      <c r="IA211" s="200"/>
      <c r="IB211" s="200"/>
      <c r="IC211" s="200"/>
      <c r="ID211" s="200"/>
      <c r="IE211" s="200"/>
      <c r="IF211" s="200"/>
      <c r="IG211" s="200"/>
      <c r="IH211" s="200"/>
      <c r="II211" s="200"/>
      <c r="IJ211" s="200"/>
      <c r="IK211" s="200"/>
      <c r="IL211" s="200"/>
      <c r="IM211" s="200"/>
      <c r="IN211" s="200"/>
      <c r="IO211" s="200"/>
      <c r="IP211" s="200"/>
      <c r="IQ211" s="200"/>
      <c r="IR211" s="200"/>
      <c r="IS211" s="200"/>
      <c r="IT211" s="200"/>
      <c r="IU211" s="201"/>
      <c r="IV211" s="201"/>
    </row>
    <row r="212" s="10" customFormat="1" ht="15.95" customHeight="1" spans="1:256">
      <c r="A212" s="199">
        <v>12</v>
      </c>
      <c r="B212" s="20" t="s">
        <v>2207</v>
      </c>
      <c r="C212" s="20" t="s">
        <v>2210</v>
      </c>
      <c r="D212" s="199">
        <v>5012</v>
      </c>
      <c r="E212" s="199">
        <f>'05版台时'!O362</f>
        <v>43.7991850592246</v>
      </c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200"/>
      <c r="AF212" s="200"/>
      <c r="AG212" s="200"/>
      <c r="AH212" s="200"/>
      <c r="AI212" s="200"/>
      <c r="AJ212" s="200"/>
      <c r="AK212" s="200"/>
      <c r="AL212" s="200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200"/>
      <c r="BB212" s="200"/>
      <c r="BC212" s="200"/>
      <c r="BD212" s="200"/>
      <c r="BE212" s="200"/>
      <c r="BF212" s="200"/>
      <c r="BG212" s="200"/>
      <c r="BH212" s="200"/>
      <c r="BI212" s="200"/>
      <c r="BJ212" s="200"/>
      <c r="BK212" s="200"/>
      <c r="BL212" s="200"/>
      <c r="BM212" s="200"/>
      <c r="BN212" s="200"/>
      <c r="BO212" s="200"/>
      <c r="BP212" s="200"/>
      <c r="BQ212" s="200"/>
      <c r="BR212" s="200"/>
      <c r="BS212" s="200"/>
      <c r="BT212" s="200"/>
      <c r="BU212" s="200"/>
      <c r="BV212" s="200"/>
      <c r="BW212" s="200"/>
      <c r="BX212" s="200"/>
      <c r="BY212" s="200"/>
      <c r="BZ212" s="200"/>
      <c r="CA212" s="200"/>
      <c r="CB212" s="200"/>
      <c r="CC212" s="200"/>
      <c r="CD212" s="200"/>
      <c r="CE212" s="200"/>
      <c r="CF212" s="200"/>
      <c r="CG212" s="200"/>
      <c r="CH212" s="200"/>
      <c r="CI212" s="200"/>
      <c r="CJ212" s="200"/>
      <c r="CK212" s="200"/>
      <c r="CL212" s="200"/>
      <c r="CM212" s="200"/>
      <c r="CN212" s="200"/>
      <c r="CO212" s="200"/>
      <c r="CP212" s="200"/>
      <c r="CQ212" s="200"/>
      <c r="CR212" s="200"/>
      <c r="CS212" s="200"/>
      <c r="CT212" s="200"/>
      <c r="CU212" s="200"/>
      <c r="CV212" s="200"/>
      <c r="CW212" s="200"/>
      <c r="CX212" s="200"/>
      <c r="CY212" s="200"/>
      <c r="CZ212" s="200"/>
      <c r="DA212" s="200"/>
      <c r="DB212" s="200"/>
      <c r="DC212" s="200"/>
      <c r="DD212" s="200"/>
      <c r="DE212" s="200"/>
      <c r="DF212" s="200"/>
      <c r="DG212" s="200"/>
      <c r="DH212" s="200"/>
      <c r="DI212" s="200"/>
      <c r="DJ212" s="200"/>
      <c r="DK212" s="200"/>
      <c r="DL212" s="200"/>
      <c r="DM212" s="200"/>
      <c r="DN212" s="200"/>
      <c r="DO212" s="200"/>
      <c r="DP212" s="200"/>
      <c r="DQ212" s="200"/>
      <c r="DR212" s="200"/>
      <c r="DS212" s="200"/>
      <c r="DT212" s="200"/>
      <c r="DU212" s="200"/>
      <c r="DV212" s="200"/>
      <c r="DW212" s="200"/>
      <c r="DX212" s="200"/>
      <c r="DY212" s="200"/>
      <c r="DZ212" s="200"/>
      <c r="EA212" s="200"/>
      <c r="EB212" s="200"/>
      <c r="EC212" s="200"/>
      <c r="ED212" s="200"/>
      <c r="EE212" s="200"/>
      <c r="EF212" s="200"/>
      <c r="EG212" s="200"/>
      <c r="EH212" s="200"/>
      <c r="EI212" s="200"/>
      <c r="EJ212" s="200"/>
      <c r="EK212" s="200"/>
      <c r="EL212" s="200"/>
      <c r="EM212" s="200"/>
      <c r="EN212" s="200"/>
      <c r="EO212" s="200"/>
      <c r="EP212" s="200"/>
      <c r="EQ212" s="200"/>
      <c r="ER212" s="200"/>
      <c r="ES212" s="200"/>
      <c r="ET212" s="200"/>
      <c r="EU212" s="200"/>
      <c r="EV212" s="200"/>
      <c r="EW212" s="200"/>
      <c r="EX212" s="200"/>
      <c r="EY212" s="200"/>
      <c r="EZ212" s="200"/>
      <c r="FA212" s="200"/>
      <c r="FB212" s="200"/>
      <c r="FC212" s="200"/>
      <c r="FD212" s="200"/>
      <c r="FE212" s="200"/>
      <c r="FF212" s="200"/>
      <c r="FG212" s="200"/>
      <c r="FH212" s="200"/>
      <c r="FI212" s="200"/>
      <c r="FJ212" s="200"/>
      <c r="FK212" s="200"/>
      <c r="FL212" s="200"/>
      <c r="FM212" s="200"/>
      <c r="FN212" s="200"/>
      <c r="FO212" s="200"/>
      <c r="FP212" s="200"/>
      <c r="FQ212" s="200"/>
      <c r="FR212" s="200"/>
      <c r="FS212" s="200"/>
      <c r="FT212" s="200"/>
      <c r="FU212" s="200"/>
      <c r="FV212" s="200"/>
      <c r="FW212" s="200"/>
      <c r="FX212" s="200"/>
      <c r="FY212" s="200"/>
      <c r="FZ212" s="200"/>
      <c r="GA212" s="200"/>
      <c r="GB212" s="200"/>
      <c r="GC212" s="200"/>
      <c r="GD212" s="200"/>
      <c r="GE212" s="200"/>
      <c r="GF212" s="200"/>
      <c r="GG212" s="200"/>
      <c r="GH212" s="200"/>
      <c r="GI212" s="200"/>
      <c r="GJ212" s="200"/>
      <c r="GK212" s="200"/>
      <c r="GL212" s="200"/>
      <c r="GM212" s="200"/>
      <c r="GN212" s="200"/>
      <c r="GO212" s="200"/>
      <c r="GP212" s="200"/>
      <c r="GQ212" s="200"/>
      <c r="GR212" s="200"/>
      <c r="GS212" s="200"/>
      <c r="GT212" s="200"/>
      <c r="GU212" s="200"/>
      <c r="GV212" s="200"/>
      <c r="GW212" s="200"/>
      <c r="GX212" s="200"/>
      <c r="GY212" s="200"/>
      <c r="GZ212" s="200"/>
      <c r="HA212" s="200"/>
      <c r="HB212" s="200"/>
      <c r="HC212" s="200"/>
      <c r="HD212" s="200"/>
      <c r="HE212" s="200"/>
      <c r="HF212" s="200"/>
      <c r="HG212" s="200"/>
      <c r="HH212" s="200"/>
      <c r="HI212" s="200"/>
      <c r="HJ212" s="200"/>
      <c r="HK212" s="200"/>
      <c r="HL212" s="200"/>
      <c r="HM212" s="200"/>
      <c r="HN212" s="200"/>
      <c r="HO212" s="200"/>
      <c r="HP212" s="200"/>
      <c r="HQ212" s="200"/>
      <c r="HR212" s="200"/>
      <c r="HS212" s="200"/>
      <c r="HT212" s="200"/>
      <c r="HU212" s="200"/>
      <c r="HV212" s="200"/>
      <c r="HW212" s="200"/>
      <c r="HX212" s="200"/>
      <c r="HY212" s="200"/>
      <c r="HZ212" s="200"/>
      <c r="IA212" s="200"/>
      <c r="IB212" s="200"/>
      <c r="IC212" s="200"/>
      <c r="ID212" s="200"/>
      <c r="IE212" s="200"/>
      <c r="IF212" s="200"/>
      <c r="IG212" s="200"/>
      <c r="IH212" s="200"/>
      <c r="II212" s="200"/>
      <c r="IJ212" s="200"/>
      <c r="IK212" s="200"/>
      <c r="IL212" s="200"/>
      <c r="IM212" s="200"/>
      <c r="IN212" s="200"/>
      <c r="IO212" s="200"/>
      <c r="IP212" s="200"/>
      <c r="IQ212" s="200"/>
      <c r="IR212" s="200"/>
      <c r="IS212" s="200"/>
      <c r="IT212" s="200"/>
      <c r="IU212" s="201"/>
      <c r="IV212" s="201"/>
    </row>
    <row r="213" s="10" customFormat="1" ht="15.95" customHeight="1" spans="1:256">
      <c r="A213" s="199">
        <v>13</v>
      </c>
      <c r="B213" s="20" t="s">
        <v>2211</v>
      </c>
      <c r="C213" s="199" t="s">
        <v>2212</v>
      </c>
      <c r="D213" s="199">
        <v>5013</v>
      </c>
      <c r="E213" s="199">
        <f>'05版台时'!P362</f>
        <v>20.6956436688138</v>
      </c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200"/>
      <c r="AF213" s="200"/>
      <c r="AG213" s="200"/>
      <c r="AH213" s="200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200"/>
      <c r="BB213" s="200"/>
      <c r="BC213" s="200"/>
      <c r="BD213" s="200"/>
      <c r="BE213" s="200"/>
      <c r="BF213" s="200"/>
      <c r="BG213" s="200"/>
      <c r="BH213" s="200"/>
      <c r="BI213" s="200"/>
      <c r="BJ213" s="200"/>
      <c r="BK213" s="200"/>
      <c r="BL213" s="200"/>
      <c r="BM213" s="200"/>
      <c r="BN213" s="200"/>
      <c r="BO213" s="200"/>
      <c r="BP213" s="200"/>
      <c r="BQ213" s="200"/>
      <c r="BR213" s="200"/>
      <c r="BS213" s="200"/>
      <c r="BT213" s="200"/>
      <c r="BU213" s="200"/>
      <c r="BV213" s="200"/>
      <c r="BW213" s="200"/>
      <c r="BX213" s="200"/>
      <c r="BY213" s="200"/>
      <c r="BZ213" s="200"/>
      <c r="CA213" s="200"/>
      <c r="CB213" s="200"/>
      <c r="CC213" s="200"/>
      <c r="CD213" s="200"/>
      <c r="CE213" s="200"/>
      <c r="CF213" s="200"/>
      <c r="CG213" s="200"/>
      <c r="CH213" s="200"/>
      <c r="CI213" s="200"/>
      <c r="CJ213" s="200"/>
      <c r="CK213" s="200"/>
      <c r="CL213" s="200"/>
      <c r="CM213" s="200"/>
      <c r="CN213" s="200"/>
      <c r="CO213" s="200"/>
      <c r="CP213" s="200"/>
      <c r="CQ213" s="200"/>
      <c r="CR213" s="200"/>
      <c r="CS213" s="200"/>
      <c r="CT213" s="200"/>
      <c r="CU213" s="200"/>
      <c r="CV213" s="200"/>
      <c r="CW213" s="200"/>
      <c r="CX213" s="200"/>
      <c r="CY213" s="200"/>
      <c r="CZ213" s="200"/>
      <c r="DA213" s="200"/>
      <c r="DB213" s="200"/>
      <c r="DC213" s="200"/>
      <c r="DD213" s="200"/>
      <c r="DE213" s="200"/>
      <c r="DF213" s="200"/>
      <c r="DG213" s="200"/>
      <c r="DH213" s="200"/>
      <c r="DI213" s="200"/>
      <c r="DJ213" s="200"/>
      <c r="DK213" s="200"/>
      <c r="DL213" s="200"/>
      <c r="DM213" s="200"/>
      <c r="DN213" s="200"/>
      <c r="DO213" s="200"/>
      <c r="DP213" s="200"/>
      <c r="DQ213" s="200"/>
      <c r="DR213" s="200"/>
      <c r="DS213" s="200"/>
      <c r="DT213" s="200"/>
      <c r="DU213" s="200"/>
      <c r="DV213" s="200"/>
      <c r="DW213" s="200"/>
      <c r="DX213" s="200"/>
      <c r="DY213" s="200"/>
      <c r="DZ213" s="200"/>
      <c r="EA213" s="200"/>
      <c r="EB213" s="200"/>
      <c r="EC213" s="200"/>
      <c r="ED213" s="200"/>
      <c r="EE213" s="200"/>
      <c r="EF213" s="200"/>
      <c r="EG213" s="200"/>
      <c r="EH213" s="200"/>
      <c r="EI213" s="200"/>
      <c r="EJ213" s="200"/>
      <c r="EK213" s="200"/>
      <c r="EL213" s="200"/>
      <c r="EM213" s="200"/>
      <c r="EN213" s="200"/>
      <c r="EO213" s="200"/>
      <c r="EP213" s="200"/>
      <c r="EQ213" s="200"/>
      <c r="ER213" s="200"/>
      <c r="ES213" s="200"/>
      <c r="ET213" s="200"/>
      <c r="EU213" s="200"/>
      <c r="EV213" s="200"/>
      <c r="EW213" s="200"/>
      <c r="EX213" s="200"/>
      <c r="EY213" s="200"/>
      <c r="EZ213" s="200"/>
      <c r="FA213" s="200"/>
      <c r="FB213" s="200"/>
      <c r="FC213" s="200"/>
      <c r="FD213" s="200"/>
      <c r="FE213" s="200"/>
      <c r="FF213" s="200"/>
      <c r="FG213" s="200"/>
      <c r="FH213" s="200"/>
      <c r="FI213" s="200"/>
      <c r="FJ213" s="200"/>
      <c r="FK213" s="200"/>
      <c r="FL213" s="200"/>
      <c r="FM213" s="200"/>
      <c r="FN213" s="200"/>
      <c r="FO213" s="200"/>
      <c r="FP213" s="200"/>
      <c r="FQ213" s="200"/>
      <c r="FR213" s="200"/>
      <c r="FS213" s="200"/>
      <c r="FT213" s="200"/>
      <c r="FU213" s="200"/>
      <c r="FV213" s="200"/>
      <c r="FW213" s="200"/>
      <c r="FX213" s="200"/>
      <c r="FY213" s="200"/>
      <c r="FZ213" s="200"/>
      <c r="GA213" s="200"/>
      <c r="GB213" s="200"/>
      <c r="GC213" s="200"/>
      <c r="GD213" s="200"/>
      <c r="GE213" s="200"/>
      <c r="GF213" s="200"/>
      <c r="GG213" s="200"/>
      <c r="GH213" s="200"/>
      <c r="GI213" s="200"/>
      <c r="GJ213" s="200"/>
      <c r="GK213" s="200"/>
      <c r="GL213" s="200"/>
      <c r="GM213" s="200"/>
      <c r="GN213" s="200"/>
      <c r="GO213" s="200"/>
      <c r="GP213" s="200"/>
      <c r="GQ213" s="200"/>
      <c r="GR213" s="200"/>
      <c r="GS213" s="200"/>
      <c r="GT213" s="200"/>
      <c r="GU213" s="200"/>
      <c r="GV213" s="200"/>
      <c r="GW213" s="200"/>
      <c r="GX213" s="200"/>
      <c r="GY213" s="200"/>
      <c r="GZ213" s="200"/>
      <c r="HA213" s="200"/>
      <c r="HB213" s="200"/>
      <c r="HC213" s="200"/>
      <c r="HD213" s="200"/>
      <c r="HE213" s="200"/>
      <c r="HF213" s="200"/>
      <c r="HG213" s="200"/>
      <c r="HH213" s="200"/>
      <c r="HI213" s="200"/>
      <c r="HJ213" s="200"/>
      <c r="HK213" s="200"/>
      <c r="HL213" s="200"/>
      <c r="HM213" s="200"/>
      <c r="HN213" s="200"/>
      <c r="HO213" s="200"/>
      <c r="HP213" s="200"/>
      <c r="HQ213" s="200"/>
      <c r="HR213" s="200"/>
      <c r="HS213" s="200"/>
      <c r="HT213" s="200"/>
      <c r="HU213" s="200"/>
      <c r="HV213" s="200"/>
      <c r="HW213" s="200"/>
      <c r="HX213" s="200"/>
      <c r="HY213" s="200"/>
      <c r="HZ213" s="200"/>
      <c r="IA213" s="200"/>
      <c r="IB213" s="200"/>
      <c r="IC213" s="200"/>
      <c r="ID213" s="200"/>
      <c r="IE213" s="200"/>
      <c r="IF213" s="200"/>
      <c r="IG213" s="200"/>
      <c r="IH213" s="200"/>
      <c r="II213" s="200"/>
      <c r="IJ213" s="200"/>
      <c r="IK213" s="200"/>
      <c r="IL213" s="200"/>
      <c r="IM213" s="200"/>
      <c r="IN213" s="200"/>
      <c r="IO213" s="200"/>
      <c r="IP213" s="200"/>
      <c r="IQ213" s="200"/>
      <c r="IR213" s="200"/>
      <c r="IS213" s="200"/>
      <c r="IT213" s="200"/>
      <c r="IU213" s="201"/>
      <c r="IV213" s="201"/>
    </row>
    <row r="214" s="10" customFormat="1" ht="15.95" customHeight="1" spans="1:256">
      <c r="A214" s="199">
        <v>14</v>
      </c>
      <c r="B214" s="20" t="s">
        <v>2213</v>
      </c>
      <c r="C214" s="199" t="s">
        <v>2214</v>
      </c>
      <c r="D214" s="199">
        <v>5014</v>
      </c>
      <c r="E214" s="199">
        <f>'05版台时'!Q362</f>
        <v>30.6958494925075</v>
      </c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200"/>
      <c r="AF214" s="200"/>
      <c r="AG214" s="200"/>
      <c r="AH214" s="200"/>
      <c r="AI214" s="200"/>
      <c r="AJ214" s="200"/>
      <c r="AK214" s="200"/>
      <c r="AL214" s="200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200"/>
      <c r="BB214" s="200"/>
      <c r="BC214" s="200"/>
      <c r="BD214" s="200"/>
      <c r="BE214" s="200"/>
      <c r="BF214" s="200"/>
      <c r="BG214" s="200"/>
      <c r="BH214" s="200"/>
      <c r="BI214" s="200"/>
      <c r="BJ214" s="200"/>
      <c r="BK214" s="200"/>
      <c r="BL214" s="200"/>
      <c r="BM214" s="200"/>
      <c r="BN214" s="200"/>
      <c r="BO214" s="200"/>
      <c r="BP214" s="200"/>
      <c r="BQ214" s="200"/>
      <c r="BR214" s="200"/>
      <c r="BS214" s="200"/>
      <c r="BT214" s="200"/>
      <c r="BU214" s="200"/>
      <c r="BV214" s="200"/>
      <c r="BW214" s="200"/>
      <c r="BX214" s="200"/>
      <c r="BY214" s="200"/>
      <c r="BZ214" s="200"/>
      <c r="CA214" s="200"/>
      <c r="CB214" s="200"/>
      <c r="CC214" s="200"/>
      <c r="CD214" s="200"/>
      <c r="CE214" s="200"/>
      <c r="CF214" s="200"/>
      <c r="CG214" s="200"/>
      <c r="CH214" s="200"/>
      <c r="CI214" s="200"/>
      <c r="CJ214" s="200"/>
      <c r="CK214" s="200"/>
      <c r="CL214" s="200"/>
      <c r="CM214" s="200"/>
      <c r="CN214" s="200"/>
      <c r="CO214" s="200"/>
      <c r="CP214" s="200"/>
      <c r="CQ214" s="200"/>
      <c r="CR214" s="200"/>
      <c r="CS214" s="200"/>
      <c r="CT214" s="200"/>
      <c r="CU214" s="200"/>
      <c r="CV214" s="200"/>
      <c r="CW214" s="200"/>
      <c r="CX214" s="200"/>
      <c r="CY214" s="200"/>
      <c r="CZ214" s="200"/>
      <c r="DA214" s="200"/>
      <c r="DB214" s="200"/>
      <c r="DC214" s="200"/>
      <c r="DD214" s="200"/>
      <c r="DE214" s="200"/>
      <c r="DF214" s="200"/>
      <c r="DG214" s="200"/>
      <c r="DH214" s="200"/>
      <c r="DI214" s="200"/>
      <c r="DJ214" s="200"/>
      <c r="DK214" s="200"/>
      <c r="DL214" s="200"/>
      <c r="DM214" s="200"/>
      <c r="DN214" s="200"/>
      <c r="DO214" s="200"/>
      <c r="DP214" s="200"/>
      <c r="DQ214" s="200"/>
      <c r="DR214" s="200"/>
      <c r="DS214" s="200"/>
      <c r="DT214" s="200"/>
      <c r="DU214" s="200"/>
      <c r="DV214" s="200"/>
      <c r="DW214" s="200"/>
      <c r="DX214" s="200"/>
      <c r="DY214" s="200"/>
      <c r="DZ214" s="200"/>
      <c r="EA214" s="200"/>
      <c r="EB214" s="200"/>
      <c r="EC214" s="200"/>
      <c r="ED214" s="200"/>
      <c r="EE214" s="200"/>
      <c r="EF214" s="200"/>
      <c r="EG214" s="200"/>
      <c r="EH214" s="200"/>
      <c r="EI214" s="200"/>
      <c r="EJ214" s="200"/>
      <c r="EK214" s="200"/>
      <c r="EL214" s="200"/>
      <c r="EM214" s="200"/>
      <c r="EN214" s="200"/>
      <c r="EO214" s="200"/>
      <c r="EP214" s="200"/>
      <c r="EQ214" s="200"/>
      <c r="ER214" s="200"/>
      <c r="ES214" s="200"/>
      <c r="ET214" s="200"/>
      <c r="EU214" s="200"/>
      <c r="EV214" s="200"/>
      <c r="EW214" s="200"/>
      <c r="EX214" s="200"/>
      <c r="EY214" s="200"/>
      <c r="EZ214" s="200"/>
      <c r="FA214" s="200"/>
      <c r="FB214" s="200"/>
      <c r="FC214" s="200"/>
      <c r="FD214" s="200"/>
      <c r="FE214" s="200"/>
      <c r="FF214" s="200"/>
      <c r="FG214" s="200"/>
      <c r="FH214" s="200"/>
      <c r="FI214" s="200"/>
      <c r="FJ214" s="200"/>
      <c r="FK214" s="200"/>
      <c r="FL214" s="200"/>
      <c r="FM214" s="200"/>
      <c r="FN214" s="200"/>
      <c r="FO214" s="200"/>
      <c r="FP214" s="200"/>
      <c r="FQ214" s="200"/>
      <c r="FR214" s="200"/>
      <c r="FS214" s="200"/>
      <c r="FT214" s="200"/>
      <c r="FU214" s="200"/>
      <c r="FV214" s="200"/>
      <c r="FW214" s="200"/>
      <c r="FX214" s="200"/>
      <c r="FY214" s="200"/>
      <c r="FZ214" s="200"/>
      <c r="GA214" s="200"/>
      <c r="GB214" s="200"/>
      <c r="GC214" s="200"/>
      <c r="GD214" s="200"/>
      <c r="GE214" s="200"/>
      <c r="GF214" s="200"/>
      <c r="GG214" s="200"/>
      <c r="GH214" s="200"/>
      <c r="GI214" s="200"/>
      <c r="GJ214" s="200"/>
      <c r="GK214" s="200"/>
      <c r="GL214" s="200"/>
      <c r="GM214" s="200"/>
      <c r="GN214" s="200"/>
      <c r="GO214" s="200"/>
      <c r="GP214" s="200"/>
      <c r="GQ214" s="200"/>
      <c r="GR214" s="200"/>
      <c r="GS214" s="200"/>
      <c r="GT214" s="200"/>
      <c r="GU214" s="200"/>
      <c r="GV214" s="200"/>
      <c r="GW214" s="200"/>
      <c r="GX214" s="200"/>
      <c r="GY214" s="200"/>
      <c r="GZ214" s="200"/>
      <c r="HA214" s="200"/>
      <c r="HB214" s="200"/>
      <c r="HC214" s="200"/>
      <c r="HD214" s="200"/>
      <c r="HE214" s="200"/>
      <c r="HF214" s="200"/>
      <c r="HG214" s="200"/>
      <c r="HH214" s="200"/>
      <c r="HI214" s="200"/>
      <c r="HJ214" s="200"/>
      <c r="HK214" s="200"/>
      <c r="HL214" s="200"/>
      <c r="HM214" s="200"/>
      <c r="HN214" s="200"/>
      <c r="HO214" s="200"/>
      <c r="HP214" s="200"/>
      <c r="HQ214" s="200"/>
      <c r="HR214" s="200"/>
      <c r="HS214" s="200"/>
      <c r="HT214" s="200"/>
      <c r="HU214" s="200"/>
      <c r="HV214" s="200"/>
      <c r="HW214" s="200"/>
      <c r="HX214" s="200"/>
      <c r="HY214" s="200"/>
      <c r="HZ214" s="200"/>
      <c r="IA214" s="200"/>
      <c r="IB214" s="200"/>
      <c r="IC214" s="200"/>
      <c r="ID214" s="200"/>
      <c r="IE214" s="200"/>
      <c r="IF214" s="200"/>
      <c r="IG214" s="200"/>
      <c r="IH214" s="200"/>
      <c r="II214" s="200"/>
      <c r="IJ214" s="200"/>
      <c r="IK214" s="200"/>
      <c r="IL214" s="200"/>
      <c r="IM214" s="200"/>
      <c r="IN214" s="200"/>
      <c r="IO214" s="200"/>
      <c r="IP214" s="200"/>
      <c r="IQ214" s="200"/>
      <c r="IR214" s="200"/>
      <c r="IS214" s="200"/>
      <c r="IT214" s="200"/>
      <c r="IU214" s="201"/>
      <c r="IV214" s="201"/>
    </row>
    <row r="215" s="10" customFormat="1" ht="15.95" customHeight="1" spans="1:256">
      <c r="A215" s="199">
        <v>15</v>
      </c>
      <c r="B215" s="20" t="s">
        <v>2213</v>
      </c>
      <c r="C215" s="199" t="s">
        <v>2215</v>
      </c>
      <c r="D215" s="199">
        <v>5015</v>
      </c>
      <c r="E215" s="199">
        <f>'05版台时'!R362</f>
        <v>39.1919867083033</v>
      </c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200"/>
      <c r="AF215" s="200"/>
      <c r="AG215" s="200"/>
      <c r="AH215" s="200"/>
      <c r="AI215" s="200"/>
      <c r="AJ215" s="200"/>
      <c r="AK215" s="200"/>
      <c r="AL215" s="200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200"/>
      <c r="BB215" s="200"/>
      <c r="BC215" s="200"/>
      <c r="BD215" s="200"/>
      <c r="BE215" s="200"/>
      <c r="BF215" s="200"/>
      <c r="BG215" s="200"/>
      <c r="BH215" s="200"/>
      <c r="BI215" s="200"/>
      <c r="BJ215" s="200"/>
      <c r="BK215" s="200"/>
      <c r="BL215" s="200"/>
      <c r="BM215" s="200"/>
      <c r="BN215" s="200"/>
      <c r="BO215" s="200"/>
      <c r="BP215" s="200"/>
      <c r="BQ215" s="200"/>
      <c r="BR215" s="200"/>
      <c r="BS215" s="200"/>
      <c r="BT215" s="200"/>
      <c r="BU215" s="200"/>
      <c r="BV215" s="200"/>
      <c r="BW215" s="200"/>
      <c r="BX215" s="200"/>
      <c r="BY215" s="200"/>
      <c r="BZ215" s="200"/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200"/>
      <c r="CM215" s="200"/>
      <c r="CN215" s="200"/>
      <c r="CO215" s="200"/>
      <c r="CP215" s="200"/>
      <c r="CQ215" s="200"/>
      <c r="CR215" s="200"/>
      <c r="CS215" s="200"/>
      <c r="CT215" s="200"/>
      <c r="CU215" s="200"/>
      <c r="CV215" s="200"/>
      <c r="CW215" s="200"/>
      <c r="CX215" s="200"/>
      <c r="CY215" s="200"/>
      <c r="CZ215" s="200"/>
      <c r="DA215" s="200"/>
      <c r="DB215" s="200"/>
      <c r="DC215" s="200"/>
      <c r="DD215" s="200"/>
      <c r="DE215" s="200"/>
      <c r="DF215" s="200"/>
      <c r="DG215" s="200"/>
      <c r="DH215" s="200"/>
      <c r="DI215" s="200"/>
      <c r="DJ215" s="200"/>
      <c r="DK215" s="200"/>
      <c r="DL215" s="200"/>
      <c r="DM215" s="200"/>
      <c r="DN215" s="200"/>
      <c r="DO215" s="200"/>
      <c r="DP215" s="200"/>
      <c r="DQ215" s="200"/>
      <c r="DR215" s="200"/>
      <c r="DS215" s="200"/>
      <c r="DT215" s="200"/>
      <c r="DU215" s="200"/>
      <c r="DV215" s="200"/>
      <c r="DW215" s="200"/>
      <c r="DX215" s="200"/>
      <c r="DY215" s="200"/>
      <c r="DZ215" s="200"/>
      <c r="EA215" s="200"/>
      <c r="EB215" s="200"/>
      <c r="EC215" s="200"/>
      <c r="ED215" s="200"/>
      <c r="EE215" s="200"/>
      <c r="EF215" s="200"/>
      <c r="EG215" s="200"/>
      <c r="EH215" s="200"/>
      <c r="EI215" s="200"/>
      <c r="EJ215" s="200"/>
      <c r="EK215" s="200"/>
      <c r="EL215" s="200"/>
      <c r="EM215" s="200"/>
      <c r="EN215" s="200"/>
      <c r="EO215" s="200"/>
      <c r="EP215" s="200"/>
      <c r="EQ215" s="200"/>
      <c r="ER215" s="200"/>
      <c r="ES215" s="200"/>
      <c r="ET215" s="200"/>
      <c r="EU215" s="200"/>
      <c r="EV215" s="200"/>
      <c r="EW215" s="200"/>
      <c r="EX215" s="200"/>
      <c r="EY215" s="200"/>
      <c r="EZ215" s="200"/>
      <c r="FA215" s="200"/>
      <c r="FB215" s="200"/>
      <c r="FC215" s="200"/>
      <c r="FD215" s="200"/>
      <c r="FE215" s="200"/>
      <c r="FF215" s="200"/>
      <c r="FG215" s="200"/>
      <c r="FH215" s="200"/>
      <c r="FI215" s="200"/>
      <c r="FJ215" s="200"/>
      <c r="FK215" s="200"/>
      <c r="FL215" s="200"/>
      <c r="FM215" s="200"/>
      <c r="FN215" s="200"/>
      <c r="FO215" s="200"/>
      <c r="FP215" s="200"/>
      <c r="FQ215" s="200"/>
      <c r="FR215" s="200"/>
      <c r="FS215" s="200"/>
      <c r="FT215" s="200"/>
      <c r="FU215" s="200"/>
      <c r="FV215" s="200"/>
      <c r="FW215" s="200"/>
      <c r="FX215" s="200"/>
      <c r="FY215" s="200"/>
      <c r="FZ215" s="200"/>
      <c r="GA215" s="200"/>
      <c r="GB215" s="200"/>
      <c r="GC215" s="200"/>
      <c r="GD215" s="200"/>
      <c r="GE215" s="200"/>
      <c r="GF215" s="200"/>
      <c r="GG215" s="200"/>
      <c r="GH215" s="200"/>
      <c r="GI215" s="200"/>
      <c r="GJ215" s="200"/>
      <c r="GK215" s="200"/>
      <c r="GL215" s="200"/>
      <c r="GM215" s="200"/>
      <c r="GN215" s="200"/>
      <c r="GO215" s="200"/>
      <c r="GP215" s="200"/>
      <c r="GQ215" s="200"/>
      <c r="GR215" s="200"/>
      <c r="GS215" s="200"/>
      <c r="GT215" s="200"/>
      <c r="GU215" s="200"/>
      <c r="GV215" s="200"/>
      <c r="GW215" s="200"/>
      <c r="GX215" s="200"/>
      <c r="GY215" s="200"/>
      <c r="GZ215" s="200"/>
      <c r="HA215" s="200"/>
      <c r="HB215" s="200"/>
      <c r="HC215" s="200"/>
      <c r="HD215" s="200"/>
      <c r="HE215" s="200"/>
      <c r="HF215" s="200"/>
      <c r="HG215" s="200"/>
      <c r="HH215" s="200"/>
      <c r="HI215" s="200"/>
      <c r="HJ215" s="200"/>
      <c r="HK215" s="200"/>
      <c r="HL215" s="200"/>
      <c r="HM215" s="200"/>
      <c r="HN215" s="200"/>
      <c r="HO215" s="200"/>
      <c r="HP215" s="200"/>
      <c r="HQ215" s="200"/>
      <c r="HR215" s="200"/>
      <c r="HS215" s="200"/>
      <c r="HT215" s="200"/>
      <c r="HU215" s="200"/>
      <c r="HV215" s="200"/>
      <c r="HW215" s="200"/>
      <c r="HX215" s="200"/>
      <c r="HY215" s="200"/>
      <c r="HZ215" s="200"/>
      <c r="IA215" s="200"/>
      <c r="IB215" s="200"/>
      <c r="IC215" s="200"/>
      <c r="ID215" s="200"/>
      <c r="IE215" s="200"/>
      <c r="IF215" s="200"/>
      <c r="IG215" s="200"/>
      <c r="IH215" s="200"/>
      <c r="II215" s="200"/>
      <c r="IJ215" s="200"/>
      <c r="IK215" s="200"/>
      <c r="IL215" s="200"/>
      <c r="IM215" s="200"/>
      <c r="IN215" s="200"/>
      <c r="IO215" s="200"/>
      <c r="IP215" s="200"/>
      <c r="IQ215" s="200"/>
      <c r="IR215" s="200"/>
      <c r="IS215" s="200"/>
      <c r="IT215" s="200"/>
      <c r="IU215" s="201"/>
      <c r="IV215" s="201"/>
    </row>
    <row r="216" s="10" customFormat="1" ht="15.95" customHeight="1" spans="1:256">
      <c r="A216" s="199">
        <v>16</v>
      </c>
      <c r="B216" s="20" t="s">
        <v>2216</v>
      </c>
      <c r="C216" s="199" t="s">
        <v>2133</v>
      </c>
      <c r="D216" s="199">
        <v>5016</v>
      </c>
      <c r="E216" s="199">
        <f>'05版台时'!S362</f>
        <v>138.184504834939</v>
      </c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  <c r="AL216" s="200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200"/>
      <c r="BB216" s="200"/>
      <c r="BC216" s="200"/>
      <c r="BD216" s="200"/>
      <c r="BE216" s="200"/>
      <c r="BF216" s="200"/>
      <c r="BG216" s="200"/>
      <c r="BH216" s="200"/>
      <c r="BI216" s="200"/>
      <c r="BJ216" s="200"/>
      <c r="BK216" s="200"/>
      <c r="BL216" s="200"/>
      <c r="BM216" s="200"/>
      <c r="BN216" s="200"/>
      <c r="BO216" s="200"/>
      <c r="BP216" s="200"/>
      <c r="BQ216" s="200"/>
      <c r="BR216" s="200"/>
      <c r="BS216" s="200"/>
      <c r="BT216" s="200"/>
      <c r="BU216" s="200"/>
      <c r="BV216" s="200"/>
      <c r="BW216" s="200"/>
      <c r="BX216" s="200"/>
      <c r="BY216" s="200"/>
      <c r="BZ216" s="200"/>
      <c r="CA216" s="200"/>
      <c r="CB216" s="200"/>
      <c r="CC216" s="200"/>
      <c r="CD216" s="200"/>
      <c r="CE216" s="200"/>
      <c r="CF216" s="200"/>
      <c r="CG216" s="200"/>
      <c r="CH216" s="200"/>
      <c r="CI216" s="200"/>
      <c r="CJ216" s="200"/>
      <c r="CK216" s="200"/>
      <c r="CL216" s="200"/>
      <c r="CM216" s="200"/>
      <c r="CN216" s="200"/>
      <c r="CO216" s="200"/>
      <c r="CP216" s="200"/>
      <c r="CQ216" s="200"/>
      <c r="CR216" s="200"/>
      <c r="CS216" s="200"/>
      <c r="CT216" s="200"/>
      <c r="CU216" s="200"/>
      <c r="CV216" s="200"/>
      <c r="CW216" s="200"/>
      <c r="CX216" s="200"/>
      <c r="CY216" s="200"/>
      <c r="CZ216" s="200"/>
      <c r="DA216" s="200"/>
      <c r="DB216" s="200"/>
      <c r="DC216" s="200"/>
      <c r="DD216" s="200"/>
      <c r="DE216" s="200"/>
      <c r="DF216" s="200"/>
      <c r="DG216" s="200"/>
      <c r="DH216" s="200"/>
      <c r="DI216" s="200"/>
      <c r="DJ216" s="200"/>
      <c r="DK216" s="200"/>
      <c r="DL216" s="200"/>
      <c r="DM216" s="200"/>
      <c r="DN216" s="200"/>
      <c r="DO216" s="200"/>
      <c r="DP216" s="200"/>
      <c r="DQ216" s="200"/>
      <c r="DR216" s="200"/>
      <c r="DS216" s="200"/>
      <c r="DT216" s="200"/>
      <c r="DU216" s="200"/>
      <c r="DV216" s="200"/>
      <c r="DW216" s="200"/>
      <c r="DX216" s="200"/>
      <c r="DY216" s="200"/>
      <c r="DZ216" s="200"/>
      <c r="EA216" s="200"/>
      <c r="EB216" s="200"/>
      <c r="EC216" s="200"/>
      <c r="ED216" s="200"/>
      <c r="EE216" s="200"/>
      <c r="EF216" s="200"/>
      <c r="EG216" s="200"/>
      <c r="EH216" s="200"/>
      <c r="EI216" s="200"/>
      <c r="EJ216" s="200"/>
      <c r="EK216" s="200"/>
      <c r="EL216" s="200"/>
      <c r="EM216" s="200"/>
      <c r="EN216" s="200"/>
      <c r="EO216" s="200"/>
      <c r="EP216" s="200"/>
      <c r="EQ216" s="200"/>
      <c r="ER216" s="200"/>
      <c r="ES216" s="200"/>
      <c r="ET216" s="200"/>
      <c r="EU216" s="200"/>
      <c r="EV216" s="200"/>
      <c r="EW216" s="200"/>
      <c r="EX216" s="200"/>
      <c r="EY216" s="200"/>
      <c r="EZ216" s="200"/>
      <c r="FA216" s="200"/>
      <c r="FB216" s="200"/>
      <c r="FC216" s="200"/>
      <c r="FD216" s="200"/>
      <c r="FE216" s="200"/>
      <c r="FF216" s="200"/>
      <c r="FG216" s="200"/>
      <c r="FH216" s="200"/>
      <c r="FI216" s="200"/>
      <c r="FJ216" s="200"/>
      <c r="FK216" s="200"/>
      <c r="FL216" s="200"/>
      <c r="FM216" s="200"/>
      <c r="FN216" s="200"/>
      <c r="FO216" s="200"/>
      <c r="FP216" s="200"/>
      <c r="FQ216" s="200"/>
      <c r="FR216" s="200"/>
      <c r="FS216" s="200"/>
      <c r="FT216" s="200"/>
      <c r="FU216" s="200"/>
      <c r="FV216" s="200"/>
      <c r="FW216" s="200"/>
      <c r="FX216" s="200"/>
      <c r="FY216" s="200"/>
      <c r="FZ216" s="200"/>
      <c r="GA216" s="200"/>
      <c r="GB216" s="200"/>
      <c r="GC216" s="200"/>
      <c r="GD216" s="200"/>
      <c r="GE216" s="200"/>
      <c r="GF216" s="200"/>
      <c r="GG216" s="200"/>
      <c r="GH216" s="200"/>
      <c r="GI216" s="200"/>
      <c r="GJ216" s="200"/>
      <c r="GK216" s="200"/>
      <c r="GL216" s="200"/>
      <c r="GM216" s="200"/>
      <c r="GN216" s="200"/>
      <c r="GO216" s="200"/>
      <c r="GP216" s="200"/>
      <c r="GQ216" s="200"/>
      <c r="GR216" s="200"/>
      <c r="GS216" s="200"/>
      <c r="GT216" s="200"/>
      <c r="GU216" s="200"/>
      <c r="GV216" s="200"/>
      <c r="GW216" s="200"/>
      <c r="GX216" s="200"/>
      <c r="GY216" s="200"/>
      <c r="GZ216" s="200"/>
      <c r="HA216" s="200"/>
      <c r="HB216" s="200"/>
      <c r="HC216" s="200"/>
      <c r="HD216" s="200"/>
      <c r="HE216" s="200"/>
      <c r="HF216" s="200"/>
      <c r="HG216" s="200"/>
      <c r="HH216" s="200"/>
      <c r="HI216" s="200"/>
      <c r="HJ216" s="200"/>
      <c r="HK216" s="200"/>
      <c r="HL216" s="200"/>
      <c r="HM216" s="200"/>
      <c r="HN216" s="200"/>
      <c r="HO216" s="200"/>
      <c r="HP216" s="200"/>
      <c r="HQ216" s="200"/>
      <c r="HR216" s="200"/>
      <c r="HS216" s="200"/>
      <c r="HT216" s="200"/>
      <c r="HU216" s="200"/>
      <c r="HV216" s="200"/>
      <c r="HW216" s="200"/>
      <c r="HX216" s="200"/>
      <c r="HY216" s="200"/>
      <c r="HZ216" s="200"/>
      <c r="IA216" s="200"/>
      <c r="IB216" s="200"/>
      <c r="IC216" s="200"/>
      <c r="ID216" s="200"/>
      <c r="IE216" s="200"/>
      <c r="IF216" s="200"/>
      <c r="IG216" s="200"/>
      <c r="IH216" s="200"/>
      <c r="II216" s="200"/>
      <c r="IJ216" s="200"/>
      <c r="IK216" s="200"/>
      <c r="IL216" s="200"/>
      <c r="IM216" s="200"/>
      <c r="IN216" s="200"/>
      <c r="IO216" s="200"/>
      <c r="IP216" s="200"/>
      <c r="IQ216" s="200"/>
      <c r="IR216" s="200"/>
      <c r="IS216" s="200"/>
      <c r="IT216" s="200"/>
      <c r="IU216" s="201"/>
      <c r="IV216" s="201"/>
    </row>
    <row r="217" s="10" customFormat="1" ht="15.95" customHeight="1" spans="1:256">
      <c r="A217" s="199">
        <v>17</v>
      </c>
      <c r="B217" s="20" t="s">
        <v>2216</v>
      </c>
      <c r="C217" s="199" t="s">
        <v>2134</v>
      </c>
      <c r="D217" s="199">
        <v>5017</v>
      </c>
      <c r="E217" s="199">
        <f>'05版台时'!T362</f>
        <v>172.787873801832</v>
      </c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200"/>
      <c r="AE217" s="200"/>
      <c r="AF217" s="200"/>
      <c r="AG217" s="200"/>
      <c r="AH217" s="200"/>
      <c r="AI217" s="200"/>
      <c r="AJ217" s="200"/>
      <c r="AK217" s="200"/>
      <c r="AL217" s="200"/>
      <c r="AM217" s="200"/>
      <c r="AN217" s="200"/>
      <c r="AO217" s="200"/>
      <c r="AP217" s="200"/>
      <c r="AQ217" s="200"/>
      <c r="AR217" s="200"/>
      <c r="AS217" s="200"/>
      <c r="AT217" s="200"/>
      <c r="AU217" s="200"/>
      <c r="AV217" s="200"/>
      <c r="AW217" s="200"/>
      <c r="AX217" s="200"/>
      <c r="AY217" s="200"/>
      <c r="AZ217" s="200"/>
      <c r="BA217" s="200"/>
      <c r="BB217" s="200"/>
      <c r="BC217" s="200"/>
      <c r="BD217" s="200"/>
      <c r="BE217" s="200"/>
      <c r="BF217" s="200"/>
      <c r="BG217" s="200"/>
      <c r="BH217" s="200"/>
      <c r="BI217" s="200"/>
      <c r="BJ217" s="200"/>
      <c r="BK217" s="200"/>
      <c r="BL217" s="200"/>
      <c r="BM217" s="200"/>
      <c r="BN217" s="200"/>
      <c r="BO217" s="200"/>
      <c r="BP217" s="200"/>
      <c r="BQ217" s="200"/>
      <c r="BR217" s="200"/>
      <c r="BS217" s="200"/>
      <c r="BT217" s="200"/>
      <c r="BU217" s="200"/>
      <c r="BV217" s="200"/>
      <c r="BW217" s="200"/>
      <c r="BX217" s="200"/>
      <c r="BY217" s="200"/>
      <c r="BZ217" s="200"/>
      <c r="CA217" s="200"/>
      <c r="CB217" s="200"/>
      <c r="CC217" s="200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0"/>
      <c r="CN217" s="200"/>
      <c r="CO217" s="200"/>
      <c r="CP217" s="200"/>
      <c r="CQ217" s="200"/>
      <c r="CR217" s="200"/>
      <c r="CS217" s="200"/>
      <c r="CT217" s="200"/>
      <c r="CU217" s="200"/>
      <c r="CV217" s="200"/>
      <c r="CW217" s="200"/>
      <c r="CX217" s="200"/>
      <c r="CY217" s="200"/>
      <c r="CZ217" s="200"/>
      <c r="DA217" s="200"/>
      <c r="DB217" s="200"/>
      <c r="DC217" s="200"/>
      <c r="DD217" s="200"/>
      <c r="DE217" s="200"/>
      <c r="DF217" s="200"/>
      <c r="DG217" s="200"/>
      <c r="DH217" s="200"/>
      <c r="DI217" s="200"/>
      <c r="DJ217" s="200"/>
      <c r="DK217" s="200"/>
      <c r="DL217" s="200"/>
      <c r="DM217" s="200"/>
      <c r="DN217" s="200"/>
      <c r="DO217" s="200"/>
      <c r="DP217" s="200"/>
      <c r="DQ217" s="200"/>
      <c r="DR217" s="200"/>
      <c r="DS217" s="200"/>
      <c r="DT217" s="200"/>
      <c r="DU217" s="200"/>
      <c r="DV217" s="200"/>
      <c r="DW217" s="200"/>
      <c r="DX217" s="200"/>
      <c r="DY217" s="200"/>
      <c r="DZ217" s="200"/>
      <c r="EA217" s="200"/>
      <c r="EB217" s="200"/>
      <c r="EC217" s="200"/>
      <c r="ED217" s="200"/>
      <c r="EE217" s="200"/>
      <c r="EF217" s="200"/>
      <c r="EG217" s="200"/>
      <c r="EH217" s="200"/>
      <c r="EI217" s="200"/>
      <c r="EJ217" s="200"/>
      <c r="EK217" s="200"/>
      <c r="EL217" s="200"/>
      <c r="EM217" s="200"/>
      <c r="EN217" s="200"/>
      <c r="EO217" s="200"/>
      <c r="EP217" s="200"/>
      <c r="EQ217" s="200"/>
      <c r="ER217" s="200"/>
      <c r="ES217" s="200"/>
      <c r="ET217" s="200"/>
      <c r="EU217" s="200"/>
      <c r="EV217" s="200"/>
      <c r="EW217" s="200"/>
      <c r="EX217" s="200"/>
      <c r="EY217" s="200"/>
      <c r="EZ217" s="200"/>
      <c r="FA217" s="200"/>
      <c r="FB217" s="200"/>
      <c r="FC217" s="200"/>
      <c r="FD217" s="200"/>
      <c r="FE217" s="200"/>
      <c r="FF217" s="200"/>
      <c r="FG217" s="200"/>
      <c r="FH217" s="200"/>
      <c r="FI217" s="200"/>
      <c r="FJ217" s="200"/>
      <c r="FK217" s="200"/>
      <c r="FL217" s="200"/>
      <c r="FM217" s="200"/>
      <c r="FN217" s="200"/>
      <c r="FO217" s="200"/>
      <c r="FP217" s="200"/>
      <c r="FQ217" s="200"/>
      <c r="FR217" s="200"/>
      <c r="FS217" s="200"/>
      <c r="FT217" s="200"/>
      <c r="FU217" s="200"/>
      <c r="FV217" s="200"/>
      <c r="FW217" s="200"/>
      <c r="FX217" s="200"/>
      <c r="FY217" s="200"/>
      <c r="FZ217" s="200"/>
      <c r="GA217" s="200"/>
      <c r="GB217" s="200"/>
      <c r="GC217" s="200"/>
      <c r="GD217" s="200"/>
      <c r="GE217" s="200"/>
      <c r="GF217" s="200"/>
      <c r="GG217" s="200"/>
      <c r="GH217" s="200"/>
      <c r="GI217" s="200"/>
      <c r="GJ217" s="200"/>
      <c r="GK217" s="200"/>
      <c r="GL217" s="200"/>
      <c r="GM217" s="200"/>
      <c r="GN217" s="200"/>
      <c r="GO217" s="200"/>
      <c r="GP217" s="200"/>
      <c r="GQ217" s="200"/>
      <c r="GR217" s="200"/>
      <c r="GS217" s="200"/>
      <c r="GT217" s="200"/>
      <c r="GU217" s="200"/>
      <c r="GV217" s="200"/>
      <c r="GW217" s="200"/>
      <c r="GX217" s="200"/>
      <c r="GY217" s="200"/>
      <c r="GZ217" s="200"/>
      <c r="HA217" s="200"/>
      <c r="HB217" s="200"/>
      <c r="HC217" s="200"/>
      <c r="HD217" s="200"/>
      <c r="HE217" s="200"/>
      <c r="HF217" s="200"/>
      <c r="HG217" s="200"/>
      <c r="HH217" s="200"/>
      <c r="HI217" s="200"/>
      <c r="HJ217" s="200"/>
      <c r="HK217" s="200"/>
      <c r="HL217" s="200"/>
      <c r="HM217" s="200"/>
      <c r="HN217" s="200"/>
      <c r="HO217" s="200"/>
      <c r="HP217" s="200"/>
      <c r="HQ217" s="200"/>
      <c r="HR217" s="200"/>
      <c r="HS217" s="200"/>
      <c r="HT217" s="200"/>
      <c r="HU217" s="200"/>
      <c r="HV217" s="200"/>
      <c r="HW217" s="200"/>
      <c r="HX217" s="200"/>
      <c r="HY217" s="200"/>
      <c r="HZ217" s="200"/>
      <c r="IA217" s="200"/>
      <c r="IB217" s="200"/>
      <c r="IC217" s="200"/>
      <c r="ID217" s="200"/>
      <c r="IE217" s="200"/>
      <c r="IF217" s="200"/>
      <c r="IG217" s="200"/>
      <c r="IH217" s="200"/>
      <c r="II217" s="200"/>
      <c r="IJ217" s="200"/>
      <c r="IK217" s="200"/>
      <c r="IL217" s="200"/>
      <c r="IM217" s="200"/>
      <c r="IN217" s="200"/>
      <c r="IO217" s="200"/>
      <c r="IP217" s="200"/>
      <c r="IQ217" s="200"/>
      <c r="IR217" s="200"/>
      <c r="IS217" s="200"/>
      <c r="IT217" s="200"/>
      <c r="IU217" s="201"/>
      <c r="IV217" s="201"/>
    </row>
    <row r="218" s="10" customFormat="1" ht="15.95" customHeight="1" spans="1:256">
      <c r="A218" s="199">
        <v>18</v>
      </c>
      <c r="B218" s="20" t="s">
        <v>2216</v>
      </c>
      <c r="C218" s="199" t="s">
        <v>2170</v>
      </c>
      <c r="D218" s="199">
        <v>5018</v>
      </c>
      <c r="E218" s="199">
        <f>'05版台时'!U362</f>
        <v>210.392021388589</v>
      </c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  <c r="AL218" s="200"/>
      <c r="AM218" s="200"/>
      <c r="AN218" s="200"/>
      <c r="AO218" s="200"/>
      <c r="AP218" s="200"/>
      <c r="AQ218" s="200"/>
      <c r="AR218" s="200"/>
      <c r="AS218" s="200"/>
      <c r="AT218" s="200"/>
      <c r="AU218" s="200"/>
      <c r="AV218" s="200"/>
      <c r="AW218" s="200"/>
      <c r="AX218" s="200"/>
      <c r="AY218" s="200"/>
      <c r="AZ218" s="200"/>
      <c r="BA218" s="200"/>
      <c r="BB218" s="200"/>
      <c r="BC218" s="200"/>
      <c r="BD218" s="200"/>
      <c r="BE218" s="200"/>
      <c r="BF218" s="200"/>
      <c r="BG218" s="200"/>
      <c r="BH218" s="200"/>
      <c r="BI218" s="200"/>
      <c r="BJ218" s="200"/>
      <c r="BK218" s="200"/>
      <c r="BL218" s="200"/>
      <c r="BM218" s="200"/>
      <c r="BN218" s="200"/>
      <c r="BO218" s="200"/>
      <c r="BP218" s="200"/>
      <c r="BQ218" s="200"/>
      <c r="BR218" s="200"/>
      <c r="BS218" s="200"/>
      <c r="BT218" s="200"/>
      <c r="BU218" s="200"/>
      <c r="BV218" s="200"/>
      <c r="BW218" s="200"/>
      <c r="BX218" s="200"/>
      <c r="BY218" s="200"/>
      <c r="BZ218" s="200"/>
      <c r="CA218" s="200"/>
      <c r="CB218" s="200"/>
      <c r="CC218" s="200"/>
      <c r="CD218" s="200"/>
      <c r="CE218" s="200"/>
      <c r="CF218" s="200"/>
      <c r="CG218" s="200"/>
      <c r="CH218" s="200"/>
      <c r="CI218" s="200"/>
      <c r="CJ218" s="200"/>
      <c r="CK218" s="200"/>
      <c r="CL218" s="200"/>
      <c r="CM218" s="200"/>
      <c r="CN218" s="200"/>
      <c r="CO218" s="200"/>
      <c r="CP218" s="200"/>
      <c r="CQ218" s="200"/>
      <c r="CR218" s="200"/>
      <c r="CS218" s="200"/>
      <c r="CT218" s="200"/>
      <c r="CU218" s="200"/>
      <c r="CV218" s="200"/>
      <c r="CW218" s="200"/>
      <c r="CX218" s="200"/>
      <c r="CY218" s="200"/>
      <c r="CZ218" s="200"/>
      <c r="DA218" s="200"/>
      <c r="DB218" s="200"/>
      <c r="DC218" s="200"/>
      <c r="DD218" s="200"/>
      <c r="DE218" s="200"/>
      <c r="DF218" s="200"/>
      <c r="DG218" s="200"/>
      <c r="DH218" s="200"/>
      <c r="DI218" s="200"/>
      <c r="DJ218" s="200"/>
      <c r="DK218" s="200"/>
      <c r="DL218" s="200"/>
      <c r="DM218" s="200"/>
      <c r="DN218" s="200"/>
      <c r="DO218" s="200"/>
      <c r="DP218" s="200"/>
      <c r="DQ218" s="200"/>
      <c r="DR218" s="200"/>
      <c r="DS218" s="200"/>
      <c r="DT218" s="200"/>
      <c r="DU218" s="200"/>
      <c r="DV218" s="200"/>
      <c r="DW218" s="200"/>
      <c r="DX218" s="200"/>
      <c r="DY218" s="200"/>
      <c r="DZ218" s="200"/>
      <c r="EA218" s="200"/>
      <c r="EB218" s="200"/>
      <c r="EC218" s="200"/>
      <c r="ED218" s="200"/>
      <c r="EE218" s="200"/>
      <c r="EF218" s="200"/>
      <c r="EG218" s="200"/>
      <c r="EH218" s="200"/>
      <c r="EI218" s="200"/>
      <c r="EJ218" s="200"/>
      <c r="EK218" s="200"/>
      <c r="EL218" s="200"/>
      <c r="EM218" s="200"/>
      <c r="EN218" s="200"/>
      <c r="EO218" s="200"/>
      <c r="EP218" s="200"/>
      <c r="EQ218" s="200"/>
      <c r="ER218" s="200"/>
      <c r="ES218" s="200"/>
      <c r="ET218" s="200"/>
      <c r="EU218" s="200"/>
      <c r="EV218" s="200"/>
      <c r="EW218" s="200"/>
      <c r="EX218" s="200"/>
      <c r="EY218" s="200"/>
      <c r="EZ218" s="200"/>
      <c r="FA218" s="200"/>
      <c r="FB218" s="200"/>
      <c r="FC218" s="200"/>
      <c r="FD218" s="200"/>
      <c r="FE218" s="200"/>
      <c r="FF218" s="200"/>
      <c r="FG218" s="200"/>
      <c r="FH218" s="200"/>
      <c r="FI218" s="200"/>
      <c r="FJ218" s="200"/>
      <c r="FK218" s="200"/>
      <c r="FL218" s="200"/>
      <c r="FM218" s="200"/>
      <c r="FN218" s="200"/>
      <c r="FO218" s="200"/>
      <c r="FP218" s="200"/>
      <c r="FQ218" s="200"/>
      <c r="FR218" s="200"/>
      <c r="FS218" s="200"/>
      <c r="FT218" s="200"/>
      <c r="FU218" s="200"/>
      <c r="FV218" s="200"/>
      <c r="FW218" s="200"/>
      <c r="FX218" s="200"/>
      <c r="FY218" s="200"/>
      <c r="FZ218" s="200"/>
      <c r="GA218" s="200"/>
      <c r="GB218" s="200"/>
      <c r="GC218" s="200"/>
      <c r="GD218" s="200"/>
      <c r="GE218" s="200"/>
      <c r="GF218" s="200"/>
      <c r="GG218" s="200"/>
      <c r="GH218" s="200"/>
      <c r="GI218" s="200"/>
      <c r="GJ218" s="200"/>
      <c r="GK218" s="200"/>
      <c r="GL218" s="200"/>
      <c r="GM218" s="200"/>
      <c r="GN218" s="200"/>
      <c r="GO218" s="200"/>
      <c r="GP218" s="200"/>
      <c r="GQ218" s="200"/>
      <c r="GR218" s="200"/>
      <c r="GS218" s="200"/>
      <c r="GT218" s="200"/>
      <c r="GU218" s="200"/>
      <c r="GV218" s="200"/>
      <c r="GW218" s="200"/>
      <c r="GX218" s="200"/>
      <c r="GY218" s="200"/>
      <c r="GZ218" s="200"/>
      <c r="HA218" s="200"/>
      <c r="HB218" s="200"/>
      <c r="HC218" s="200"/>
      <c r="HD218" s="200"/>
      <c r="HE218" s="200"/>
      <c r="HF218" s="200"/>
      <c r="HG218" s="200"/>
      <c r="HH218" s="200"/>
      <c r="HI218" s="200"/>
      <c r="HJ218" s="200"/>
      <c r="HK218" s="200"/>
      <c r="HL218" s="200"/>
      <c r="HM218" s="200"/>
      <c r="HN218" s="200"/>
      <c r="HO218" s="200"/>
      <c r="HP218" s="200"/>
      <c r="HQ218" s="200"/>
      <c r="HR218" s="200"/>
      <c r="HS218" s="200"/>
      <c r="HT218" s="200"/>
      <c r="HU218" s="200"/>
      <c r="HV218" s="200"/>
      <c r="HW218" s="200"/>
      <c r="HX218" s="200"/>
      <c r="HY218" s="200"/>
      <c r="HZ218" s="200"/>
      <c r="IA218" s="200"/>
      <c r="IB218" s="200"/>
      <c r="IC218" s="200"/>
      <c r="ID218" s="200"/>
      <c r="IE218" s="200"/>
      <c r="IF218" s="200"/>
      <c r="IG218" s="200"/>
      <c r="IH218" s="200"/>
      <c r="II218" s="200"/>
      <c r="IJ218" s="200"/>
      <c r="IK218" s="200"/>
      <c r="IL218" s="200"/>
      <c r="IM218" s="200"/>
      <c r="IN218" s="200"/>
      <c r="IO218" s="200"/>
      <c r="IP218" s="200"/>
      <c r="IQ218" s="200"/>
      <c r="IR218" s="200"/>
      <c r="IS218" s="200"/>
      <c r="IT218" s="200"/>
      <c r="IU218" s="201"/>
      <c r="IV218" s="201"/>
    </row>
    <row r="219" s="10" customFormat="1" ht="15.95" customHeight="1" spans="1:256">
      <c r="A219" s="199">
        <v>19</v>
      </c>
      <c r="B219" s="20" t="s">
        <v>2216</v>
      </c>
      <c r="C219" s="199" t="s">
        <v>2135</v>
      </c>
      <c r="D219" s="199">
        <v>5019</v>
      </c>
      <c r="E219" s="199">
        <f>'05版台时'!V362</f>
        <v>243.778951185159</v>
      </c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/>
      <c r="BB219" s="200"/>
      <c r="BC219" s="200"/>
      <c r="BD219" s="200"/>
      <c r="BE219" s="200"/>
      <c r="BF219" s="200"/>
      <c r="BG219" s="200"/>
      <c r="BH219" s="200"/>
      <c r="BI219" s="200"/>
      <c r="BJ219" s="200"/>
      <c r="BK219" s="200"/>
      <c r="BL219" s="200"/>
      <c r="BM219" s="200"/>
      <c r="BN219" s="200"/>
      <c r="BO219" s="200"/>
      <c r="BP219" s="200"/>
      <c r="BQ219" s="200"/>
      <c r="BR219" s="200"/>
      <c r="BS219" s="200"/>
      <c r="BT219" s="200"/>
      <c r="BU219" s="200"/>
      <c r="BV219" s="200"/>
      <c r="BW219" s="200"/>
      <c r="BX219" s="200"/>
      <c r="BY219" s="200"/>
      <c r="BZ219" s="200"/>
      <c r="CA219" s="200"/>
      <c r="CB219" s="200"/>
      <c r="CC219" s="200"/>
      <c r="CD219" s="200"/>
      <c r="CE219" s="200"/>
      <c r="CF219" s="200"/>
      <c r="CG219" s="200"/>
      <c r="CH219" s="200"/>
      <c r="CI219" s="200"/>
      <c r="CJ219" s="200"/>
      <c r="CK219" s="200"/>
      <c r="CL219" s="200"/>
      <c r="CM219" s="200"/>
      <c r="CN219" s="200"/>
      <c r="CO219" s="200"/>
      <c r="CP219" s="200"/>
      <c r="CQ219" s="200"/>
      <c r="CR219" s="200"/>
      <c r="CS219" s="200"/>
      <c r="CT219" s="200"/>
      <c r="CU219" s="200"/>
      <c r="CV219" s="200"/>
      <c r="CW219" s="200"/>
      <c r="CX219" s="200"/>
      <c r="CY219" s="200"/>
      <c r="CZ219" s="200"/>
      <c r="DA219" s="200"/>
      <c r="DB219" s="200"/>
      <c r="DC219" s="200"/>
      <c r="DD219" s="200"/>
      <c r="DE219" s="200"/>
      <c r="DF219" s="200"/>
      <c r="DG219" s="200"/>
      <c r="DH219" s="200"/>
      <c r="DI219" s="200"/>
      <c r="DJ219" s="200"/>
      <c r="DK219" s="200"/>
      <c r="DL219" s="200"/>
      <c r="DM219" s="200"/>
      <c r="DN219" s="200"/>
      <c r="DO219" s="200"/>
      <c r="DP219" s="200"/>
      <c r="DQ219" s="200"/>
      <c r="DR219" s="200"/>
      <c r="DS219" s="200"/>
      <c r="DT219" s="200"/>
      <c r="DU219" s="200"/>
      <c r="DV219" s="200"/>
      <c r="DW219" s="200"/>
      <c r="DX219" s="200"/>
      <c r="DY219" s="200"/>
      <c r="DZ219" s="200"/>
      <c r="EA219" s="200"/>
      <c r="EB219" s="200"/>
      <c r="EC219" s="200"/>
      <c r="ED219" s="200"/>
      <c r="EE219" s="200"/>
      <c r="EF219" s="200"/>
      <c r="EG219" s="200"/>
      <c r="EH219" s="200"/>
      <c r="EI219" s="200"/>
      <c r="EJ219" s="200"/>
      <c r="EK219" s="200"/>
      <c r="EL219" s="200"/>
      <c r="EM219" s="200"/>
      <c r="EN219" s="200"/>
      <c r="EO219" s="200"/>
      <c r="EP219" s="200"/>
      <c r="EQ219" s="200"/>
      <c r="ER219" s="200"/>
      <c r="ES219" s="200"/>
      <c r="ET219" s="200"/>
      <c r="EU219" s="200"/>
      <c r="EV219" s="200"/>
      <c r="EW219" s="200"/>
      <c r="EX219" s="200"/>
      <c r="EY219" s="200"/>
      <c r="EZ219" s="200"/>
      <c r="FA219" s="200"/>
      <c r="FB219" s="200"/>
      <c r="FC219" s="200"/>
      <c r="FD219" s="200"/>
      <c r="FE219" s="200"/>
      <c r="FF219" s="200"/>
      <c r="FG219" s="200"/>
      <c r="FH219" s="200"/>
      <c r="FI219" s="200"/>
      <c r="FJ219" s="200"/>
      <c r="FK219" s="200"/>
      <c r="FL219" s="200"/>
      <c r="FM219" s="200"/>
      <c r="FN219" s="200"/>
      <c r="FO219" s="200"/>
      <c r="FP219" s="200"/>
      <c r="FQ219" s="200"/>
      <c r="FR219" s="200"/>
      <c r="FS219" s="200"/>
      <c r="FT219" s="200"/>
      <c r="FU219" s="200"/>
      <c r="FV219" s="200"/>
      <c r="FW219" s="200"/>
      <c r="FX219" s="200"/>
      <c r="FY219" s="200"/>
      <c r="FZ219" s="200"/>
      <c r="GA219" s="200"/>
      <c r="GB219" s="200"/>
      <c r="GC219" s="200"/>
      <c r="GD219" s="200"/>
      <c r="GE219" s="200"/>
      <c r="GF219" s="200"/>
      <c r="GG219" s="200"/>
      <c r="GH219" s="200"/>
      <c r="GI219" s="200"/>
      <c r="GJ219" s="200"/>
      <c r="GK219" s="200"/>
      <c r="GL219" s="200"/>
      <c r="GM219" s="200"/>
      <c r="GN219" s="200"/>
      <c r="GO219" s="200"/>
      <c r="GP219" s="200"/>
      <c r="GQ219" s="200"/>
      <c r="GR219" s="200"/>
      <c r="GS219" s="200"/>
      <c r="GT219" s="200"/>
      <c r="GU219" s="200"/>
      <c r="GV219" s="200"/>
      <c r="GW219" s="200"/>
      <c r="GX219" s="200"/>
      <c r="GY219" s="200"/>
      <c r="GZ219" s="200"/>
      <c r="HA219" s="200"/>
      <c r="HB219" s="200"/>
      <c r="HC219" s="200"/>
      <c r="HD219" s="200"/>
      <c r="HE219" s="200"/>
      <c r="HF219" s="200"/>
      <c r="HG219" s="200"/>
      <c r="HH219" s="200"/>
      <c r="HI219" s="200"/>
      <c r="HJ219" s="200"/>
      <c r="HK219" s="200"/>
      <c r="HL219" s="200"/>
      <c r="HM219" s="200"/>
      <c r="HN219" s="200"/>
      <c r="HO219" s="200"/>
      <c r="HP219" s="200"/>
      <c r="HQ219" s="200"/>
      <c r="HR219" s="200"/>
      <c r="HS219" s="200"/>
      <c r="HT219" s="200"/>
      <c r="HU219" s="200"/>
      <c r="HV219" s="200"/>
      <c r="HW219" s="200"/>
      <c r="HX219" s="200"/>
      <c r="HY219" s="200"/>
      <c r="HZ219" s="200"/>
      <c r="IA219" s="200"/>
      <c r="IB219" s="200"/>
      <c r="IC219" s="200"/>
      <c r="ID219" s="200"/>
      <c r="IE219" s="200"/>
      <c r="IF219" s="200"/>
      <c r="IG219" s="200"/>
      <c r="IH219" s="200"/>
      <c r="II219" s="200"/>
      <c r="IJ219" s="200"/>
      <c r="IK219" s="200"/>
      <c r="IL219" s="200"/>
      <c r="IM219" s="200"/>
      <c r="IN219" s="200"/>
      <c r="IO219" s="200"/>
      <c r="IP219" s="200"/>
      <c r="IQ219" s="200"/>
      <c r="IR219" s="200"/>
      <c r="IS219" s="200"/>
      <c r="IT219" s="200"/>
      <c r="IU219" s="201"/>
      <c r="IV219" s="201"/>
    </row>
    <row r="220" s="10" customFormat="1" ht="15.95" customHeight="1" spans="1:256">
      <c r="A220" s="197" t="s">
        <v>2217</v>
      </c>
      <c r="B220" s="198"/>
      <c r="C220" s="199"/>
      <c r="D220" s="199"/>
      <c r="E220" s="199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  <c r="AE220" s="200"/>
      <c r="AF220" s="200"/>
      <c r="AG220" s="200"/>
      <c r="AH220" s="200"/>
      <c r="AI220" s="200"/>
      <c r="AJ220" s="200"/>
      <c r="AK220" s="200"/>
      <c r="AL220" s="200"/>
      <c r="AM220" s="200"/>
      <c r="AN220" s="200"/>
      <c r="AO220" s="200"/>
      <c r="AP220" s="200"/>
      <c r="AQ220" s="200"/>
      <c r="AR220" s="200"/>
      <c r="AS220" s="200"/>
      <c r="AT220" s="200"/>
      <c r="AU220" s="200"/>
      <c r="AV220" s="200"/>
      <c r="AW220" s="200"/>
      <c r="AX220" s="200"/>
      <c r="AY220" s="200"/>
      <c r="AZ220" s="200"/>
      <c r="BA220" s="200"/>
      <c r="BB220" s="200"/>
      <c r="BC220" s="200"/>
      <c r="BD220" s="200"/>
      <c r="BE220" s="200"/>
      <c r="BF220" s="200"/>
      <c r="BG220" s="200"/>
      <c r="BH220" s="200"/>
      <c r="BI220" s="200"/>
      <c r="BJ220" s="200"/>
      <c r="BK220" s="200"/>
      <c r="BL220" s="200"/>
      <c r="BM220" s="200"/>
      <c r="BN220" s="200"/>
      <c r="BO220" s="200"/>
      <c r="BP220" s="200"/>
      <c r="BQ220" s="200"/>
      <c r="BR220" s="200"/>
      <c r="BS220" s="200"/>
      <c r="BT220" s="200"/>
      <c r="BU220" s="200"/>
      <c r="BV220" s="200"/>
      <c r="BW220" s="200"/>
      <c r="BX220" s="200"/>
      <c r="BY220" s="200"/>
      <c r="BZ220" s="200"/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200"/>
      <c r="CX220" s="200"/>
      <c r="CY220" s="200"/>
      <c r="CZ220" s="200"/>
      <c r="DA220" s="200"/>
      <c r="DB220" s="200"/>
      <c r="DC220" s="200"/>
      <c r="DD220" s="200"/>
      <c r="DE220" s="200"/>
      <c r="DF220" s="200"/>
      <c r="DG220" s="200"/>
      <c r="DH220" s="200"/>
      <c r="DI220" s="200"/>
      <c r="DJ220" s="200"/>
      <c r="DK220" s="200"/>
      <c r="DL220" s="200"/>
      <c r="DM220" s="200"/>
      <c r="DN220" s="200"/>
      <c r="DO220" s="200"/>
      <c r="DP220" s="200"/>
      <c r="DQ220" s="200"/>
      <c r="DR220" s="200"/>
      <c r="DS220" s="200"/>
      <c r="DT220" s="200"/>
      <c r="DU220" s="200"/>
      <c r="DV220" s="200"/>
      <c r="DW220" s="200"/>
      <c r="DX220" s="200"/>
      <c r="DY220" s="200"/>
      <c r="DZ220" s="200"/>
      <c r="EA220" s="200"/>
      <c r="EB220" s="200"/>
      <c r="EC220" s="200"/>
      <c r="ED220" s="200"/>
      <c r="EE220" s="200"/>
      <c r="EF220" s="200"/>
      <c r="EG220" s="200"/>
      <c r="EH220" s="200"/>
      <c r="EI220" s="200"/>
      <c r="EJ220" s="200"/>
      <c r="EK220" s="200"/>
      <c r="EL220" s="200"/>
      <c r="EM220" s="200"/>
      <c r="EN220" s="200"/>
      <c r="EO220" s="200"/>
      <c r="EP220" s="200"/>
      <c r="EQ220" s="200"/>
      <c r="ER220" s="200"/>
      <c r="ES220" s="200"/>
      <c r="ET220" s="200"/>
      <c r="EU220" s="200"/>
      <c r="EV220" s="200"/>
      <c r="EW220" s="200"/>
      <c r="EX220" s="200"/>
      <c r="EY220" s="200"/>
      <c r="EZ220" s="200"/>
      <c r="FA220" s="200"/>
      <c r="FB220" s="200"/>
      <c r="FC220" s="200"/>
      <c r="FD220" s="200"/>
      <c r="FE220" s="200"/>
      <c r="FF220" s="200"/>
      <c r="FG220" s="200"/>
      <c r="FH220" s="200"/>
      <c r="FI220" s="200"/>
      <c r="FJ220" s="200"/>
      <c r="FK220" s="200"/>
      <c r="FL220" s="200"/>
      <c r="FM220" s="200"/>
      <c r="FN220" s="200"/>
      <c r="FO220" s="200"/>
      <c r="FP220" s="200"/>
      <c r="FQ220" s="200"/>
      <c r="FR220" s="200"/>
      <c r="FS220" s="200"/>
      <c r="FT220" s="200"/>
      <c r="FU220" s="200"/>
      <c r="FV220" s="200"/>
      <c r="FW220" s="200"/>
      <c r="FX220" s="200"/>
      <c r="FY220" s="200"/>
      <c r="FZ220" s="200"/>
      <c r="GA220" s="200"/>
      <c r="GB220" s="200"/>
      <c r="GC220" s="200"/>
      <c r="GD220" s="200"/>
      <c r="GE220" s="200"/>
      <c r="GF220" s="200"/>
      <c r="GG220" s="200"/>
      <c r="GH220" s="200"/>
      <c r="GI220" s="200"/>
      <c r="GJ220" s="200"/>
      <c r="GK220" s="200"/>
      <c r="GL220" s="200"/>
      <c r="GM220" s="200"/>
      <c r="GN220" s="200"/>
      <c r="GO220" s="200"/>
      <c r="GP220" s="200"/>
      <c r="GQ220" s="200"/>
      <c r="GR220" s="200"/>
      <c r="GS220" s="200"/>
      <c r="GT220" s="200"/>
      <c r="GU220" s="200"/>
      <c r="GV220" s="200"/>
      <c r="GW220" s="200"/>
      <c r="GX220" s="200"/>
      <c r="GY220" s="200"/>
      <c r="GZ220" s="200"/>
      <c r="HA220" s="200"/>
      <c r="HB220" s="200"/>
      <c r="HC220" s="200"/>
      <c r="HD220" s="200"/>
      <c r="HE220" s="200"/>
      <c r="HF220" s="200"/>
      <c r="HG220" s="200"/>
      <c r="HH220" s="200"/>
      <c r="HI220" s="200"/>
      <c r="HJ220" s="200"/>
      <c r="HK220" s="200"/>
      <c r="HL220" s="200"/>
      <c r="HM220" s="200"/>
      <c r="HN220" s="200"/>
      <c r="HO220" s="200"/>
      <c r="HP220" s="200"/>
      <c r="HQ220" s="200"/>
      <c r="HR220" s="200"/>
      <c r="HS220" s="200"/>
      <c r="HT220" s="200"/>
      <c r="HU220" s="200"/>
      <c r="HV220" s="200"/>
      <c r="HW220" s="200"/>
      <c r="HX220" s="200"/>
      <c r="HY220" s="200"/>
      <c r="HZ220" s="200"/>
      <c r="IA220" s="200"/>
      <c r="IB220" s="200"/>
      <c r="IC220" s="200"/>
      <c r="ID220" s="200"/>
      <c r="IE220" s="200"/>
      <c r="IF220" s="200"/>
      <c r="IG220" s="200"/>
      <c r="IH220" s="200"/>
      <c r="II220" s="200"/>
      <c r="IJ220" s="200"/>
      <c r="IK220" s="200"/>
      <c r="IL220" s="200"/>
      <c r="IM220" s="200"/>
      <c r="IN220" s="200"/>
      <c r="IO220" s="200"/>
      <c r="IP220" s="200"/>
      <c r="IQ220" s="200"/>
      <c r="IR220" s="200"/>
      <c r="IS220" s="200"/>
      <c r="IT220" s="200"/>
      <c r="IU220" s="201"/>
      <c r="IV220" s="201"/>
    </row>
    <row r="221" s="10" customFormat="1" ht="15.95" customHeight="1" spans="1:256">
      <c r="A221" s="199">
        <v>1</v>
      </c>
      <c r="B221" s="20" t="s">
        <v>2218</v>
      </c>
      <c r="C221" s="20" t="s">
        <v>2219</v>
      </c>
      <c r="D221" s="199">
        <v>6001</v>
      </c>
      <c r="E221" s="199">
        <f>'05版台时'!D395</f>
        <v>195.802009962754</v>
      </c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200"/>
      <c r="BB221" s="200"/>
      <c r="BC221" s="200"/>
      <c r="BD221" s="200"/>
      <c r="BE221" s="200"/>
      <c r="BF221" s="200"/>
      <c r="BG221" s="200"/>
      <c r="BH221" s="200"/>
      <c r="BI221" s="200"/>
      <c r="BJ221" s="200"/>
      <c r="BK221" s="200"/>
      <c r="BL221" s="200"/>
      <c r="BM221" s="200"/>
      <c r="BN221" s="200"/>
      <c r="BO221" s="200"/>
      <c r="BP221" s="200"/>
      <c r="BQ221" s="200"/>
      <c r="BR221" s="200"/>
      <c r="BS221" s="200"/>
      <c r="BT221" s="200"/>
      <c r="BU221" s="200"/>
      <c r="BV221" s="200"/>
      <c r="BW221" s="200"/>
      <c r="BX221" s="200"/>
      <c r="BY221" s="200"/>
      <c r="BZ221" s="200"/>
      <c r="CA221" s="200"/>
      <c r="CB221" s="200"/>
      <c r="CC221" s="200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0"/>
      <c r="CN221" s="200"/>
      <c r="CO221" s="200"/>
      <c r="CP221" s="200"/>
      <c r="CQ221" s="200"/>
      <c r="CR221" s="200"/>
      <c r="CS221" s="200"/>
      <c r="CT221" s="200"/>
      <c r="CU221" s="200"/>
      <c r="CV221" s="200"/>
      <c r="CW221" s="200"/>
      <c r="CX221" s="200"/>
      <c r="CY221" s="200"/>
      <c r="CZ221" s="200"/>
      <c r="DA221" s="200"/>
      <c r="DB221" s="200"/>
      <c r="DC221" s="200"/>
      <c r="DD221" s="200"/>
      <c r="DE221" s="200"/>
      <c r="DF221" s="200"/>
      <c r="DG221" s="200"/>
      <c r="DH221" s="200"/>
      <c r="DI221" s="200"/>
      <c r="DJ221" s="200"/>
      <c r="DK221" s="200"/>
      <c r="DL221" s="200"/>
      <c r="DM221" s="200"/>
      <c r="DN221" s="200"/>
      <c r="DO221" s="200"/>
      <c r="DP221" s="200"/>
      <c r="DQ221" s="200"/>
      <c r="DR221" s="200"/>
      <c r="DS221" s="200"/>
      <c r="DT221" s="200"/>
      <c r="DU221" s="200"/>
      <c r="DV221" s="200"/>
      <c r="DW221" s="200"/>
      <c r="DX221" s="200"/>
      <c r="DY221" s="200"/>
      <c r="DZ221" s="200"/>
      <c r="EA221" s="200"/>
      <c r="EB221" s="200"/>
      <c r="EC221" s="200"/>
      <c r="ED221" s="200"/>
      <c r="EE221" s="200"/>
      <c r="EF221" s="200"/>
      <c r="EG221" s="200"/>
      <c r="EH221" s="200"/>
      <c r="EI221" s="200"/>
      <c r="EJ221" s="200"/>
      <c r="EK221" s="200"/>
      <c r="EL221" s="200"/>
      <c r="EM221" s="200"/>
      <c r="EN221" s="200"/>
      <c r="EO221" s="200"/>
      <c r="EP221" s="200"/>
      <c r="EQ221" s="200"/>
      <c r="ER221" s="200"/>
      <c r="ES221" s="200"/>
      <c r="ET221" s="200"/>
      <c r="EU221" s="200"/>
      <c r="EV221" s="200"/>
      <c r="EW221" s="200"/>
      <c r="EX221" s="200"/>
      <c r="EY221" s="200"/>
      <c r="EZ221" s="200"/>
      <c r="FA221" s="200"/>
      <c r="FB221" s="200"/>
      <c r="FC221" s="200"/>
      <c r="FD221" s="200"/>
      <c r="FE221" s="200"/>
      <c r="FF221" s="200"/>
      <c r="FG221" s="200"/>
      <c r="FH221" s="200"/>
      <c r="FI221" s="200"/>
      <c r="FJ221" s="200"/>
      <c r="FK221" s="200"/>
      <c r="FL221" s="200"/>
      <c r="FM221" s="200"/>
      <c r="FN221" s="200"/>
      <c r="FO221" s="200"/>
      <c r="FP221" s="200"/>
      <c r="FQ221" s="200"/>
      <c r="FR221" s="200"/>
      <c r="FS221" s="200"/>
      <c r="FT221" s="200"/>
      <c r="FU221" s="200"/>
      <c r="FV221" s="200"/>
      <c r="FW221" s="200"/>
      <c r="FX221" s="200"/>
      <c r="FY221" s="200"/>
      <c r="FZ221" s="200"/>
      <c r="GA221" s="200"/>
      <c r="GB221" s="200"/>
      <c r="GC221" s="200"/>
      <c r="GD221" s="200"/>
      <c r="GE221" s="200"/>
      <c r="GF221" s="200"/>
      <c r="GG221" s="200"/>
      <c r="GH221" s="200"/>
      <c r="GI221" s="200"/>
      <c r="GJ221" s="200"/>
      <c r="GK221" s="200"/>
      <c r="GL221" s="200"/>
      <c r="GM221" s="200"/>
      <c r="GN221" s="200"/>
      <c r="GO221" s="200"/>
      <c r="GP221" s="200"/>
      <c r="GQ221" s="200"/>
      <c r="GR221" s="200"/>
      <c r="GS221" s="200"/>
      <c r="GT221" s="200"/>
      <c r="GU221" s="200"/>
      <c r="GV221" s="200"/>
      <c r="GW221" s="200"/>
      <c r="GX221" s="200"/>
      <c r="GY221" s="200"/>
      <c r="GZ221" s="200"/>
      <c r="HA221" s="200"/>
      <c r="HB221" s="200"/>
      <c r="HC221" s="200"/>
      <c r="HD221" s="200"/>
      <c r="HE221" s="200"/>
      <c r="HF221" s="200"/>
      <c r="HG221" s="200"/>
      <c r="HH221" s="200"/>
      <c r="HI221" s="200"/>
      <c r="HJ221" s="200"/>
      <c r="HK221" s="200"/>
      <c r="HL221" s="200"/>
      <c r="HM221" s="200"/>
      <c r="HN221" s="200"/>
      <c r="HO221" s="200"/>
      <c r="HP221" s="200"/>
      <c r="HQ221" s="200"/>
      <c r="HR221" s="200"/>
      <c r="HS221" s="200"/>
      <c r="HT221" s="200"/>
      <c r="HU221" s="200"/>
      <c r="HV221" s="200"/>
      <c r="HW221" s="200"/>
      <c r="HX221" s="200"/>
      <c r="HY221" s="200"/>
      <c r="HZ221" s="200"/>
      <c r="IA221" s="200"/>
      <c r="IB221" s="200"/>
      <c r="IC221" s="200"/>
      <c r="ID221" s="200"/>
      <c r="IE221" s="200"/>
      <c r="IF221" s="200"/>
      <c r="IG221" s="200"/>
      <c r="IH221" s="200"/>
      <c r="II221" s="200"/>
      <c r="IJ221" s="200"/>
      <c r="IK221" s="200"/>
      <c r="IL221" s="200"/>
      <c r="IM221" s="200"/>
      <c r="IN221" s="200"/>
      <c r="IO221" s="200"/>
      <c r="IP221" s="200"/>
      <c r="IQ221" s="200"/>
      <c r="IR221" s="200"/>
      <c r="IS221" s="200"/>
      <c r="IT221" s="200"/>
      <c r="IU221" s="201"/>
      <c r="IV221" s="201"/>
    </row>
    <row r="222" s="10" customFormat="1" ht="15.95" customHeight="1" spans="1:256">
      <c r="A222" s="199">
        <v>2</v>
      </c>
      <c r="B222" s="20" t="s">
        <v>2218</v>
      </c>
      <c r="C222" s="20" t="s">
        <v>2220</v>
      </c>
      <c r="D222" s="199">
        <v>6002</v>
      </c>
      <c r="E222" s="199">
        <f>'05版台时'!E395</f>
        <v>217.746964091195</v>
      </c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200"/>
      <c r="BB222" s="200"/>
      <c r="BC222" s="200"/>
      <c r="BD222" s="200"/>
      <c r="BE222" s="200"/>
      <c r="BF222" s="200"/>
      <c r="BG222" s="200"/>
      <c r="BH222" s="200"/>
      <c r="BI222" s="200"/>
      <c r="BJ222" s="200"/>
      <c r="BK222" s="200"/>
      <c r="BL222" s="200"/>
      <c r="BM222" s="200"/>
      <c r="BN222" s="200"/>
      <c r="BO222" s="200"/>
      <c r="BP222" s="200"/>
      <c r="BQ222" s="200"/>
      <c r="BR222" s="200"/>
      <c r="BS222" s="200"/>
      <c r="BT222" s="200"/>
      <c r="BU222" s="200"/>
      <c r="BV222" s="200"/>
      <c r="BW222" s="200"/>
      <c r="BX222" s="200"/>
      <c r="BY222" s="200"/>
      <c r="BZ222" s="200"/>
      <c r="CA222" s="200"/>
      <c r="CB222" s="200"/>
      <c r="CC222" s="200"/>
      <c r="CD222" s="200"/>
      <c r="CE222" s="200"/>
      <c r="CF222" s="200"/>
      <c r="CG222" s="200"/>
      <c r="CH222" s="200"/>
      <c r="CI222" s="200"/>
      <c r="CJ222" s="200"/>
      <c r="CK222" s="200"/>
      <c r="CL222" s="200"/>
      <c r="CM222" s="200"/>
      <c r="CN222" s="200"/>
      <c r="CO222" s="200"/>
      <c r="CP222" s="200"/>
      <c r="CQ222" s="200"/>
      <c r="CR222" s="200"/>
      <c r="CS222" s="200"/>
      <c r="CT222" s="200"/>
      <c r="CU222" s="200"/>
      <c r="CV222" s="200"/>
      <c r="CW222" s="200"/>
      <c r="CX222" s="200"/>
      <c r="CY222" s="200"/>
      <c r="CZ222" s="200"/>
      <c r="DA222" s="200"/>
      <c r="DB222" s="200"/>
      <c r="DC222" s="200"/>
      <c r="DD222" s="200"/>
      <c r="DE222" s="200"/>
      <c r="DF222" s="200"/>
      <c r="DG222" s="200"/>
      <c r="DH222" s="200"/>
      <c r="DI222" s="200"/>
      <c r="DJ222" s="200"/>
      <c r="DK222" s="200"/>
      <c r="DL222" s="200"/>
      <c r="DM222" s="200"/>
      <c r="DN222" s="200"/>
      <c r="DO222" s="200"/>
      <c r="DP222" s="200"/>
      <c r="DQ222" s="200"/>
      <c r="DR222" s="200"/>
      <c r="DS222" s="200"/>
      <c r="DT222" s="200"/>
      <c r="DU222" s="200"/>
      <c r="DV222" s="200"/>
      <c r="DW222" s="200"/>
      <c r="DX222" s="200"/>
      <c r="DY222" s="200"/>
      <c r="DZ222" s="200"/>
      <c r="EA222" s="200"/>
      <c r="EB222" s="200"/>
      <c r="EC222" s="200"/>
      <c r="ED222" s="200"/>
      <c r="EE222" s="200"/>
      <c r="EF222" s="200"/>
      <c r="EG222" s="200"/>
      <c r="EH222" s="200"/>
      <c r="EI222" s="200"/>
      <c r="EJ222" s="200"/>
      <c r="EK222" s="200"/>
      <c r="EL222" s="200"/>
      <c r="EM222" s="200"/>
      <c r="EN222" s="200"/>
      <c r="EO222" s="200"/>
      <c r="EP222" s="200"/>
      <c r="EQ222" s="200"/>
      <c r="ER222" s="200"/>
      <c r="ES222" s="200"/>
      <c r="ET222" s="200"/>
      <c r="EU222" s="200"/>
      <c r="EV222" s="200"/>
      <c r="EW222" s="200"/>
      <c r="EX222" s="200"/>
      <c r="EY222" s="200"/>
      <c r="EZ222" s="200"/>
      <c r="FA222" s="200"/>
      <c r="FB222" s="200"/>
      <c r="FC222" s="200"/>
      <c r="FD222" s="200"/>
      <c r="FE222" s="200"/>
      <c r="FF222" s="200"/>
      <c r="FG222" s="200"/>
      <c r="FH222" s="200"/>
      <c r="FI222" s="200"/>
      <c r="FJ222" s="200"/>
      <c r="FK222" s="200"/>
      <c r="FL222" s="200"/>
      <c r="FM222" s="200"/>
      <c r="FN222" s="200"/>
      <c r="FO222" s="200"/>
      <c r="FP222" s="200"/>
      <c r="FQ222" s="200"/>
      <c r="FR222" s="200"/>
      <c r="FS222" s="200"/>
      <c r="FT222" s="200"/>
      <c r="FU222" s="200"/>
      <c r="FV222" s="200"/>
      <c r="FW222" s="200"/>
      <c r="FX222" s="200"/>
      <c r="FY222" s="200"/>
      <c r="FZ222" s="200"/>
      <c r="GA222" s="200"/>
      <c r="GB222" s="200"/>
      <c r="GC222" s="200"/>
      <c r="GD222" s="200"/>
      <c r="GE222" s="200"/>
      <c r="GF222" s="200"/>
      <c r="GG222" s="200"/>
      <c r="GH222" s="200"/>
      <c r="GI222" s="200"/>
      <c r="GJ222" s="200"/>
      <c r="GK222" s="200"/>
      <c r="GL222" s="200"/>
      <c r="GM222" s="200"/>
      <c r="GN222" s="200"/>
      <c r="GO222" s="200"/>
      <c r="GP222" s="200"/>
      <c r="GQ222" s="200"/>
      <c r="GR222" s="200"/>
      <c r="GS222" s="200"/>
      <c r="GT222" s="200"/>
      <c r="GU222" s="200"/>
      <c r="GV222" s="200"/>
      <c r="GW222" s="200"/>
      <c r="GX222" s="200"/>
      <c r="GY222" s="200"/>
      <c r="GZ222" s="200"/>
      <c r="HA222" s="200"/>
      <c r="HB222" s="200"/>
      <c r="HC222" s="200"/>
      <c r="HD222" s="200"/>
      <c r="HE222" s="200"/>
      <c r="HF222" s="200"/>
      <c r="HG222" s="200"/>
      <c r="HH222" s="200"/>
      <c r="HI222" s="200"/>
      <c r="HJ222" s="200"/>
      <c r="HK222" s="200"/>
      <c r="HL222" s="200"/>
      <c r="HM222" s="200"/>
      <c r="HN222" s="200"/>
      <c r="HO222" s="200"/>
      <c r="HP222" s="200"/>
      <c r="HQ222" s="200"/>
      <c r="HR222" s="200"/>
      <c r="HS222" s="200"/>
      <c r="HT222" s="200"/>
      <c r="HU222" s="200"/>
      <c r="HV222" s="200"/>
      <c r="HW222" s="200"/>
      <c r="HX222" s="200"/>
      <c r="HY222" s="200"/>
      <c r="HZ222" s="200"/>
      <c r="IA222" s="200"/>
      <c r="IB222" s="200"/>
      <c r="IC222" s="200"/>
      <c r="ID222" s="200"/>
      <c r="IE222" s="200"/>
      <c r="IF222" s="200"/>
      <c r="IG222" s="200"/>
      <c r="IH222" s="200"/>
      <c r="II222" s="200"/>
      <c r="IJ222" s="200"/>
      <c r="IK222" s="200"/>
      <c r="IL222" s="200"/>
      <c r="IM222" s="200"/>
      <c r="IN222" s="200"/>
      <c r="IO222" s="200"/>
      <c r="IP222" s="200"/>
      <c r="IQ222" s="200"/>
      <c r="IR222" s="200"/>
      <c r="IS222" s="200"/>
      <c r="IT222" s="200"/>
      <c r="IU222" s="201"/>
      <c r="IV222" s="201"/>
    </row>
    <row r="223" s="10" customFormat="1" ht="15.95" customHeight="1" spans="1:256">
      <c r="A223" s="199">
        <v>3</v>
      </c>
      <c r="B223" s="20" t="s">
        <v>2218</v>
      </c>
      <c r="C223" s="20" t="s">
        <v>2221</v>
      </c>
      <c r="D223" s="199">
        <v>6003</v>
      </c>
      <c r="E223" s="199">
        <f>'05版台时'!F395</f>
        <v>236.534870752543</v>
      </c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200"/>
      <c r="AE223" s="200"/>
      <c r="AF223" s="200"/>
      <c r="AG223" s="200"/>
      <c r="AH223" s="200"/>
      <c r="AI223" s="200"/>
      <c r="AJ223" s="200"/>
      <c r="AK223" s="200"/>
      <c r="AL223" s="200"/>
      <c r="AM223" s="200"/>
      <c r="AN223" s="200"/>
      <c r="AO223" s="200"/>
      <c r="AP223" s="200"/>
      <c r="AQ223" s="200"/>
      <c r="AR223" s="200"/>
      <c r="AS223" s="200"/>
      <c r="AT223" s="200"/>
      <c r="AU223" s="200"/>
      <c r="AV223" s="200"/>
      <c r="AW223" s="200"/>
      <c r="AX223" s="200"/>
      <c r="AY223" s="200"/>
      <c r="AZ223" s="200"/>
      <c r="BA223" s="200"/>
      <c r="BB223" s="200"/>
      <c r="BC223" s="200"/>
      <c r="BD223" s="200"/>
      <c r="BE223" s="200"/>
      <c r="BF223" s="200"/>
      <c r="BG223" s="200"/>
      <c r="BH223" s="200"/>
      <c r="BI223" s="200"/>
      <c r="BJ223" s="200"/>
      <c r="BK223" s="200"/>
      <c r="BL223" s="200"/>
      <c r="BM223" s="200"/>
      <c r="BN223" s="200"/>
      <c r="BO223" s="200"/>
      <c r="BP223" s="200"/>
      <c r="BQ223" s="200"/>
      <c r="BR223" s="200"/>
      <c r="BS223" s="200"/>
      <c r="BT223" s="200"/>
      <c r="BU223" s="200"/>
      <c r="BV223" s="200"/>
      <c r="BW223" s="200"/>
      <c r="BX223" s="200"/>
      <c r="BY223" s="200"/>
      <c r="BZ223" s="200"/>
      <c r="CA223" s="200"/>
      <c r="CB223" s="200"/>
      <c r="CC223" s="200"/>
      <c r="CD223" s="200"/>
      <c r="CE223" s="200"/>
      <c r="CF223" s="200"/>
      <c r="CG223" s="200"/>
      <c r="CH223" s="200"/>
      <c r="CI223" s="200"/>
      <c r="CJ223" s="200"/>
      <c r="CK223" s="200"/>
      <c r="CL223" s="200"/>
      <c r="CM223" s="200"/>
      <c r="CN223" s="200"/>
      <c r="CO223" s="200"/>
      <c r="CP223" s="200"/>
      <c r="CQ223" s="200"/>
      <c r="CR223" s="200"/>
      <c r="CS223" s="200"/>
      <c r="CT223" s="200"/>
      <c r="CU223" s="200"/>
      <c r="CV223" s="200"/>
      <c r="CW223" s="200"/>
      <c r="CX223" s="200"/>
      <c r="CY223" s="200"/>
      <c r="CZ223" s="200"/>
      <c r="DA223" s="200"/>
      <c r="DB223" s="200"/>
      <c r="DC223" s="200"/>
      <c r="DD223" s="200"/>
      <c r="DE223" s="200"/>
      <c r="DF223" s="200"/>
      <c r="DG223" s="200"/>
      <c r="DH223" s="200"/>
      <c r="DI223" s="200"/>
      <c r="DJ223" s="200"/>
      <c r="DK223" s="200"/>
      <c r="DL223" s="200"/>
      <c r="DM223" s="200"/>
      <c r="DN223" s="200"/>
      <c r="DO223" s="200"/>
      <c r="DP223" s="200"/>
      <c r="DQ223" s="200"/>
      <c r="DR223" s="200"/>
      <c r="DS223" s="200"/>
      <c r="DT223" s="200"/>
      <c r="DU223" s="200"/>
      <c r="DV223" s="200"/>
      <c r="DW223" s="200"/>
      <c r="DX223" s="200"/>
      <c r="DY223" s="200"/>
      <c r="DZ223" s="200"/>
      <c r="EA223" s="200"/>
      <c r="EB223" s="200"/>
      <c r="EC223" s="200"/>
      <c r="ED223" s="200"/>
      <c r="EE223" s="200"/>
      <c r="EF223" s="200"/>
      <c r="EG223" s="200"/>
      <c r="EH223" s="200"/>
      <c r="EI223" s="200"/>
      <c r="EJ223" s="200"/>
      <c r="EK223" s="200"/>
      <c r="EL223" s="200"/>
      <c r="EM223" s="200"/>
      <c r="EN223" s="200"/>
      <c r="EO223" s="200"/>
      <c r="EP223" s="200"/>
      <c r="EQ223" s="200"/>
      <c r="ER223" s="200"/>
      <c r="ES223" s="200"/>
      <c r="ET223" s="200"/>
      <c r="EU223" s="200"/>
      <c r="EV223" s="200"/>
      <c r="EW223" s="200"/>
      <c r="EX223" s="200"/>
      <c r="EY223" s="200"/>
      <c r="EZ223" s="200"/>
      <c r="FA223" s="200"/>
      <c r="FB223" s="200"/>
      <c r="FC223" s="200"/>
      <c r="FD223" s="200"/>
      <c r="FE223" s="200"/>
      <c r="FF223" s="200"/>
      <c r="FG223" s="200"/>
      <c r="FH223" s="200"/>
      <c r="FI223" s="200"/>
      <c r="FJ223" s="200"/>
      <c r="FK223" s="200"/>
      <c r="FL223" s="200"/>
      <c r="FM223" s="200"/>
      <c r="FN223" s="200"/>
      <c r="FO223" s="200"/>
      <c r="FP223" s="200"/>
      <c r="FQ223" s="200"/>
      <c r="FR223" s="200"/>
      <c r="FS223" s="200"/>
      <c r="FT223" s="200"/>
      <c r="FU223" s="200"/>
      <c r="FV223" s="200"/>
      <c r="FW223" s="200"/>
      <c r="FX223" s="200"/>
      <c r="FY223" s="200"/>
      <c r="FZ223" s="200"/>
      <c r="GA223" s="200"/>
      <c r="GB223" s="200"/>
      <c r="GC223" s="200"/>
      <c r="GD223" s="200"/>
      <c r="GE223" s="200"/>
      <c r="GF223" s="200"/>
      <c r="GG223" s="200"/>
      <c r="GH223" s="200"/>
      <c r="GI223" s="200"/>
      <c r="GJ223" s="200"/>
      <c r="GK223" s="200"/>
      <c r="GL223" s="200"/>
      <c r="GM223" s="200"/>
      <c r="GN223" s="200"/>
      <c r="GO223" s="200"/>
      <c r="GP223" s="200"/>
      <c r="GQ223" s="200"/>
      <c r="GR223" s="200"/>
      <c r="GS223" s="200"/>
      <c r="GT223" s="200"/>
      <c r="GU223" s="200"/>
      <c r="GV223" s="200"/>
      <c r="GW223" s="200"/>
      <c r="GX223" s="200"/>
      <c r="GY223" s="200"/>
      <c r="GZ223" s="200"/>
      <c r="HA223" s="200"/>
      <c r="HB223" s="200"/>
      <c r="HC223" s="200"/>
      <c r="HD223" s="200"/>
      <c r="HE223" s="200"/>
      <c r="HF223" s="200"/>
      <c r="HG223" s="200"/>
      <c r="HH223" s="200"/>
      <c r="HI223" s="200"/>
      <c r="HJ223" s="200"/>
      <c r="HK223" s="200"/>
      <c r="HL223" s="200"/>
      <c r="HM223" s="200"/>
      <c r="HN223" s="200"/>
      <c r="HO223" s="200"/>
      <c r="HP223" s="200"/>
      <c r="HQ223" s="200"/>
      <c r="HR223" s="200"/>
      <c r="HS223" s="200"/>
      <c r="HT223" s="200"/>
      <c r="HU223" s="200"/>
      <c r="HV223" s="200"/>
      <c r="HW223" s="200"/>
      <c r="HX223" s="200"/>
      <c r="HY223" s="200"/>
      <c r="HZ223" s="200"/>
      <c r="IA223" s="200"/>
      <c r="IB223" s="200"/>
      <c r="IC223" s="200"/>
      <c r="ID223" s="200"/>
      <c r="IE223" s="200"/>
      <c r="IF223" s="200"/>
      <c r="IG223" s="200"/>
      <c r="IH223" s="200"/>
      <c r="II223" s="200"/>
      <c r="IJ223" s="200"/>
      <c r="IK223" s="200"/>
      <c r="IL223" s="200"/>
      <c r="IM223" s="200"/>
      <c r="IN223" s="200"/>
      <c r="IO223" s="200"/>
      <c r="IP223" s="200"/>
      <c r="IQ223" s="200"/>
      <c r="IR223" s="200"/>
      <c r="IS223" s="200"/>
      <c r="IT223" s="200"/>
      <c r="IU223" s="201"/>
      <c r="IV223" s="201"/>
    </row>
    <row r="224" s="10" customFormat="1" ht="15.95" customHeight="1" spans="1:256">
      <c r="A224" s="199">
        <v>4</v>
      </c>
      <c r="B224" s="20" t="s">
        <v>2218</v>
      </c>
      <c r="C224" s="20" t="s">
        <v>2222</v>
      </c>
      <c r="D224" s="199">
        <v>6004</v>
      </c>
      <c r="E224" s="199">
        <f>'05版台时'!G395</f>
        <v>266.92019185346</v>
      </c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200"/>
      <c r="BD224" s="200"/>
      <c r="BE224" s="200"/>
      <c r="BF224" s="200"/>
      <c r="BG224" s="200"/>
      <c r="BH224" s="200"/>
      <c r="BI224" s="200"/>
      <c r="BJ224" s="200"/>
      <c r="BK224" s="200"/>
      <c r="BL224" s="200"/>
      <c r="BM224" s="200"/>
      <c r="BN224" s="200"/>
      <c r="BO224" s="200"/>
      <c r="BP224" s="200"/>
      <c r="BQ224" s="200"/>
      <c r="BR224" s="200"/>
      <c r="BS224" s="200"/>
      <c r="BT224" s="200"/>
      <c r="BU224" s="200"/>
      <c r="BV224" s="200"/>
      <c r="BW224" s="200"/>
      <c r="BX224" s="200"/>
      <c r="BY224" s="200"/>
      <c r="BZ224" s="200"/>
      <c r="CA224" s="200"/>
      <c r="CB224" s="200"/>
      <c r="CC224" s="200"/>
      <c r="CD224" s="200"/>
      <c r="CE224" s="200"/>
      <c r="CF224" s="200"/>
      <c r="CG224" s="200"/>
      <c r="CH224" s="200"/>
      <c r="CI224" s="200"/>
      <c r="CJ224" s="200"/>
      <c r="CK224" s="200"/>
      <c r="CL224" s="200"/>
      <c r="CM224" s="200"/>
      <c r="CN224" s="200"/>
      <c r="CO224" s="200"/>
      <c r="CP224" s="200"/>
      <c r="CQ224" s="200"/>
      <c r="CR224" s="200"/>
      <c r="CS224" s="200"/>
      <c r="CT224" s="200"/>
      <c r="CU224" s="200"/>
      <c r="CV224" s="200"/>
      <c r="CW224" s="200"/>
      <c r="CX224" s="200"/>
      <c r="CY224" s="200"/>
      <c r="CZ224" s="200"/>
      <c r="DA224" s="200"/>
      <c r="DB224" s="200"/>
      <c r="DC224" s="200"/>
      <c r="DD224" s="200"/>
      <c r="DE224" s="200"/>
      <c r="DF224" s="200"/>
      <c r="DG224" s="200"/>
      <c r="DH224" s="200"/>
      <c r="DI224" s="200"/>
      <c r="DJ224" s="200"/>
      <c r="DK224" s="200"/>
      <c r="DL224" s="200"/>
      <c r="DM224" s="200"/>
      <c r="DN224" s="200"/>
      <c r="DO224" s="200"/>
      <c r="DP224" s="200"/>
      <c r="DQ224" s="200"/>
      <c r="DR224" s="200"/>
      <c r="DS224" s="200"/>
      <c r="DT224" s="200"/>
      <c r="DU224" s="200"/>
      <c r="DV224" s="200"/>
      <c r="DW224" s="200"/>
      <c r="DX224" s="200"/>
      <c r="DY224" s="200"/>
      <c r="DZ224" s="200"/>
      <c r="EA224" s="200"/>
      <c r="EB224" s="200"/>
      <c r="EC224" s="200"/>
      <c r="ED224" s="200"/>
      <c r="EE224" s="200"/>
      <c r="EF224" s="200"/>
      <c r="EG224" s="200"/>
      <c r="EH224" s="200"/>
      <c r="EI224" s="200"/>
      <c r="EJ224" s="200"/>
      <c r="EK224" s="200"/>
      <c r="EL224" s="200"/>
      <c r="EM224" s="200"/>
      <c r="EN224" s="200"/>
      <c r="EO224" s="200"/>
      <c r="EP224" s="200"/>
      <c r="EQ224" s="200"/>
      <c r="ER224" s="200"/>
      <c r="ES224" s="200"/>
      <c r="ET224" s="200"/>
      <c r="EU224" s="200"/>
      <c r="EV224" s="200"/>
      <c r="EW224" s="200"/>
      <c r="EX224" s="200"/>
      <c r="EY224" s="200"/>
      <c r="EZ224" s="200"/>
      <c r="FA224" s="200"/>
      <c r="FB224" s="200"/>
      <c r="FC224" s="200"/>
      <c r="FD224" s="200"/>
      <c r="FE224" s="200"/>
      <c r="FF224" s="200"/>
      <c r="FG224" s="200"/>
      <c r="FH224" s="200"/>
      <c r="FI224" s="200"/>
      <c r="FJ224" s="200"/>
      <c r="FK224" s="200"/>
      <c r="FL224" s="200"/>
      <c r="FM224" s="200"/>
      <c r="FN224" s="200"/>
      <c r="FO224" s="200"/>
      <c r="FP224" s="200"/>
      <c r="FQ224" s="200"/>
      <c r="FR224" s="200"/>
      <c r="FS224" s="200"/>
      <c r="FT224" s="200"/>
      <c r="FU224" s="200"/>
      <c r="FV224" s="200"/>
      <c r="FW224" s="200"/>
      <c r="FX224" s="200"/>
      <c r="FY224" s="200"/>
      <c r="FZ224" s="200"/>
      <c r="GA224" s="200"/>
      <c r="GB224" s="200"/>
      <c r="GC224" s="200"/>
      <c r="GD224" s="200"/>
      <c r="GE224" s="200"/>
      <c r="GF224" s="200"/>
      <c r="GG224" s="200"/>
      <c r="GH224" s="200"/>
      <c r="GI224" s="200"/>
      <c r="GJ224" s="200"/>
      <c r="GK224" s="200"/>
      <c r="GL224" s="200"/>
      <c r="GM224" s="200"/>
      <c r="GN224" s="200"/>
      <c r="GO224" s="200"/>
      <c r="GP224" s="200"/>
      <c r="GQ224" s="200"/>
      <c r="GR224" s="200"/>
      <c r="GS224" s="200"/>
      <c r="GT224" s="200"/>
      <c r="GU224" s="200"/>
      <c r="GV224" s="200"/>
      <c r="GW224" s="200"/>
      <c r="GX224" s="200"/>
      <c r="GY224" s="200"/>
      <c r="GZ224" s="200"/>
      <c r="HA224" s="200"/>
      <c r="HB224" s="200"/>
      <c r="HC224" s="200"/>
      <c r="HD224" s="200"/>
      <c r="HE224" s="200"/>
      <c r="HF224" s="200"/>
      <c r="HG224" s="200"/>
      <c r="HH224" s="200"/>
      <c r="HI224" s="200"/>
      <c r="HJ224" s="200"/>
      <c r="HK224" s="200"/>
      <c r="HL224" s="200"/>
      <c r="HM224" s="200"/>
      <c r="HN224" s="200"/>
      <c r="HO224" s="200"/>
      <c r="HP224" s="200"/>
      <c r="HQ224" s="200"/>
      <c r="HR224" s="200"/>
      <c r="HS224" s="200"/>
      <c r="HT224" s="200"/>
      <c r="HU224" s="200"/>
      <c r="HV224" s="200"/>
      <c r="HW224" s="200"/>
      <c r="HX224" s="200"/>
      <c r="HY224" s="200"/>
      <c r="HZ224" s="200"/>
      <c r="IA224" s="200"/>
      <c r="IB224" s="200"/>
      <c r="IC224" s="200"/>
      <c r="ID224" s="200"/>
      <c r="IE224" s="200"/>
      <c r="IF224" s="200"/>
      <c r="IG224" s="200"/>
      <c r="IH224" s="200"/>
      <c r="II224" s="200"/>
      <c r="IJ224" s="200"/>
      <c r="IK224" s="200"/>
      <c r="IL224" s="200"/>
      <c r="IM224" s="200"/>
      <c r="IN224" s="200"/>
      <c r="IO224" s="200"/>
      <c r="IP224" s="200"/>
      <c r="IQ224" s="200"/>
      <c r="IR224" s="200"/>
      <c r="IS224" s="200"/>
      <c r="IT224" s="200"/>
      <c r="IU224" s="201"/>
      <c r="IV224" s="201"/>
    </row>
    <row r="225" s="10" customFormat="1" ht="15.95" customHeight="1" spans="1:256">
      <c r="A225" s="199">
        <v>5</v>
      </c>
      <c r="B225" s="20" t="s">
        <v>2218</v>
      </c>
      <c r="C225" s="20" t="s">
        <v>2223</v>
      </c>
      <c r="D225" s="199">
        <v>6005</v>
      </c>
      <c r="E225" s="199">
        <f>'05版台时'!H395</f>
        <v>302.257755769495</v>
      </c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200"/>
      <c r="BD225" s="200"/>
      <c r="BE225" s="200"/>
      <c r="BF225" s="200"/>
      <c r="BG225" s="200"/>
      <c r="BH225" s="200"/>
      <c r="BI225" s="200"/>
      <c r="BJ225" s="200"/>
      <c r="BK225" s="200"/>
      <c r="BL225" s="200"/>
      <c r="BM225" s="200"/>
      <c r="BN225" s="200"/>
      <c r="BO225" s="200"/>
      <c r="BP225" s="200"/>
      <c r="BQ225" s="200"/>
      <c r="BR225" s="200"/>
      <c r="BS225" s="200"/>
      <c r="BT225" s="200"/>
      <c r="BU225" s="200"/>
      <c r="BV225" s="200"/>
      <c r="BW225" s="200"/>
      <c r="BX225" s="200"/>
      <c r="BY225" s="200"/>
      <c r="BZ225" s="200"/>
      <c r="CA225" s="200"/>
      <c r="CB225" s="200"/>
      <c r="CC225" s="200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0"/>
      <c r="CN225" s="200"/>
      <c r="CO225" s="200"/>
      <c r="CP225" s="200"/>
      <c r="CQ225" s="200"/>
      <c r="CR225" s="200"/>
      <c r="CS225" s="200"/>
      <c r="CT225" s="200"/>
      <c r="CU225" s="200"/>
      <c r="CV225" s="200"/>
      <c r="CW225" s="200"/>
      <c r="CX225" s="200"/>
      <c r="CY225" s="200"/>
      <c r="CZ225" s="200"/>
      <c r="DA225" s="200"/>
      <c r="DB225" s="200"/>
      <c r="DC225" s="200"/>
      <c r="DD225" s="200"/>
      <c r="DE225" s="200"/>
      <c r="DF225" s="200"/>
      <c r="DG225" s="200"/>
      <c r="DH225" s="200"/>
      <c r="DI225" s="200"/>
      <c r="DJ225" s="200"/>
      <c r="DK225" s="200"/>
      <c r="DL225" s="200"/>
      <c r="DM225" s="200"/>
      <c r="DN225" s="200"/>
      <c r="DO225" s="200"/>
      <c r="DP225" s="200"/>
      <c r="DQ225" s="200"/>
      <c r="DR225" s="200"/>
      <c r="DS225" s="200"/>
      <c r="DT225" s="200"/>
      <c r="DU225" s="200"/>
      <c r="DV225" s="200"/>
      <c r="DW225" s="200"/>
      <c r="DX225" s="200"/>
      <c r="DY225" s="200"/>
      <c r="DZ225" s="200"/>
      <c r="EA225" s="200"/>
      <c r="EB225" s="200"/>
      <c r="EC225" s="200"/>
      <c r="ED225" s="200"/>
      <c r="EE225" s="200"/>
      <c r="EF225" s="200"/>
      <c r="EG225" s="200"/>
      <c r="EH225" s="200"/>
      <c r="EI225" s="200"/>
      <c r="EJ225" s="200"/>
      <c r="EK225" s="200"/>
      <c r="EL225" s="200"/>
      <c r="EM225" s="200"/>
      <c r="EN225" s="200"/>
      <c r="EO225" s="200"/>
      <c r="EP225" s="200"/>
      <c r="EQ225" s="200"/>
      <c r="ER225" s="200"/>
      <c r="ES225" s="200"/>
      <c r="ET225" s="200"/>
      <c r="EU225" s="200"/>
      <c r="EV225" s="200"/>
      <c r="EW225" s="200"/>
      <c r="EX225" s="200"/>
      <c r="EY225" s="200"/>
      <c r="EZ225" s="200"/>
      <c r="FA225" s="200"/>
      <c r="FB225" s="200"/>
      <c r="FC225" s="200"/>
      <c r="FD225" s="200"/>
      <c r="FE225" s="200"/>
      <c r="FF225" s="200"/>
      <c r="FG225" s="200"/>
      <c r="FH225" s="200"/>
      <c r="FI225" s="200"/>
      <c r="FJ225" s="200"/>
      <c r="FK225" s="200"/>
      <c r="FL225" s="200"/>
      <c r="FM225" s="200"/>
      <c r="FN225" s="200"/>
      <c r="FO225" s="200"/>
      <c r="FP225" s="200"/>
      <c r="FQ225" s="200"/>
      <c r="FR225" s="200"/>
      <c r="FS225" s="200"/>
      <c r="FT225" s="200"/>
      <c r="FU225" s="200"/>
      <c r="FV225" s="200"/>
      <c r="FW225" s="200"/>
      <c r="FX225" s="200"/>
      <c r="FY225" s="200"/>
      <c r="FZ225" s="200"/>
      <c r="GA225" s="200"/>
      <c r="GB225" s="200"/>
      <c r="GC225" s="200"/>
      <c r="GD225" s="200"/>
      <c r="GE225" s="200"/>
      <c r="GF225" s="200"/>
      <c r="GG225" s="200"/>
      <c r="GH225" s="200"/>
      <c r="GI225" s="200"/>
      <c r="GJ225" s="200"/>
      <c r="GK225" s="200"/>
      <c r="GL225" s="200"/>
      <c r="GM225" s="200"/>
      <c r="GN225" s="200"/>
      <c r="GO225" s="200"/>
      <c r="GP225" s="200"/>
      <c r="GQ225" s="200"/>
      <c r="GR225" s="200"/>
      <c r="GS225" s="200"/>
      <c r="GT225" s="200"/>
      <c r="GU225" s="200"/>
      <c r="GV225" s="200"/>
      <c r="GW225" s="200"/>
      <c r="GX225" s="200"/>
      <c r="GY225" s="200"/>
      <c r="GZ225" s="200"/>
      <c r="HA225" s="200"/>
      <c r="HB225" s="200"/>
      <c r="HC225" s="200"/>
      <c r="HD225" s="200"/>
      <c r="HE225" s="200"/>
      <c r="HF225" s="200"/>
      <c r="HG225" s="200"/>
      <c r="HH225" s="200"/>
      <c r="HI225" s="200"/>
      <c r="HJ225" s="200"/>
      <c r="HK225" s="200"/>
      <c r="HL225" s="200"/>
      <c r="HM225" s="200"/>
      <c r="HN225" s="200"/>
      <c r="HO225" s="200"/>
      <c r="HP225" s="200"/>
      <c r="HQ225" s="200"/>
      <c r="HR225" s="200"/>
      <c r="HS225" s="200"/>
      <c r="HT225" s="200"/>
      <c r="HU225" s="200"/>
      <c r="HV225" s="200"/>
      <c r="HW225" s="200"/>
      <c r="HX225" s="200"/>
      <c r="HY225" s="200"/>
      <c r="HZ225" s="200"/>
      <c r="IA225" s="200"/>
      <c r="IB225" s="200"/>
      <c r="IC225" s="200"/>
      <c r="ID225" s="200"/>
      <c r="IE225" s="200"/>
      <c r="IF225" s="200"/>
      <c r="IG225" s="200"/>
      <c r="IH225" s="200"/>
      <c r="II225" s="200"/>
      <c r="IJ225" s="200"/>
      <c r="IK225" s="200"/>
      <c r="IL225" s="200"/>
      <c r="IM225" s="200"/>
      <c r="IN225" s="200"/>
      <c r="IO225" s="200"/>
      <c r="IP225" s="200"/>
      <c r="IQ225" s="200"/>
      <c r="IR225" s="200"/>
      <c r="IS225" s="200"/>
      <c r="IT225" s="200"/>
      <c r="IU225" s="201"/>
      <c r="IV225" s="201"/>
    </row>
    <row r="226" s="10" customFormat="1" ht="15.95" customHeight="1" spans="1:256">
      <c r="A226" s="199">
        <v>6</v>
      </c>
      <c r="B226" s="20" t="s">
        <v>2218</v>
      </c>
      <c r="C226" s="20" t="s">
        <v>2224</v>
      </c>
      <c r="D226" s="199">
        <v>6006</v>
      </c>
      <c r="E226" s="199">
        <f>'05版台时'!I395</f>
        <v>340.789865861238</v>
      </c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200"/>
      <c r="BD226" s="200"/>
      <c r="BE226" s="200"/>
      <c r="BF226" s="200"/>
      <c r="BG226" s="200"/>
      <c r="BH226" s="200"/>
      <c r="BI226" s="200"/>
      <c r="BJ226" s="200"/>
      <c r="BK226" s="200"/>
      <c r="BL226" s="200"/>
      <c r="BM226" s="200"/>
      <c r="BN226" s="200"/>
      <c r="BO226" s="200"/>
      <c r="BP226" s="200"/>
      <c r="BQ226" s="200"/>
      <c r="BR226" s="200"/>
      <c r="BS226" s="200"/>
      <c r="BT226" s="200"/>
      <c r="BU226" s="200"/>
      <c r="BV226" s="200"/>
      <c r="BW226" s="200"/>
      <c r="BX226" s="200"/>
      <c r="BY226" s="200"/>
      <c r="BZ226" s="200"/>
      <c r="CA226" s="200"/>
      <c r="CB226" s="200"/>
      <c r="CC226" s="200"/>
      <c r="CD226" s="200"/>
      <c r="CE226" s="200"/>
      <c r="CF226" s="200"/>
      <c r="CG226" s="200"/>
      <c r="CH226" s="200"/>
      <c r="CI226" s="200"/>
      <c r="CJ226" s="200"/>
      <c r="CK226" s="200"/>
      <c r="CL226" s="200"/>
      <c r="CM226" s="200"/>
      <c r="CN226" s="200"/>
      <c r="CO226" s="200"/>
      <c r="CP226" s="200"/>
      <c r="CQ226" s="200"/>
      <c r="CR226" s="200"/>
      <c r="CS226" s="200"/>
      <c r="CT226" s="200"/>
      <c r="CU226" s="200"/>
      <c r="CV226" s="200"/>
      <c r="CW226" s="200"/>
      <c r="CX226" s="200"/>
      <c r="CY226" s="200"/>
      <c r="CZ226" s="200"/>
      <c r="DA226" s="200"/>
      <c r="DB226" s="200"/>
      <c r="DC226" s="200"/>
      <c r="DD226" s="200"/>
      <c r="DE226" s="200"/>
      <c r="DF226" s="200"/>
      <c r="DG226" s="200"/>
      <c r="DH226" s="200"/>
      <c r="DI226" s="200"/>
      <c r="DJ226" s="200"/>
      <c r="DK226" s="200"/>
      <c r="DL226" s="200"/>
      <c r="DM226" s="200"/>
      <c r="DN226" s="200"/>
      <c r="DO226" s="200"/>
      <c r="DP226" s="200"/>
      <c r="DQ226" s="200"/>
      <c r="DR226" s="200"/>
      <c r="DS226" s="200"/>
      <c r="DT226" s="200"/>
      <c r="DU226" s="200"/>
      <c r="DV226" s="200"/>
      <c r="DW226" s="200"/>
      <c r="DX226" s="200"/>
      <c r="DY226" s="200"/>
      <c r="DZ226" s="200"/>
      <c r="EA226" s="200"/>
      <c r="EB226" s="200"/>
      <c r="EC226" s="200"/>
      <c r="ED226" s="200"/>
      <c r="EE226" s="200"/>
      <c r="EF226" s="200"/>
      <c r="EG226" s="200"/>
      <c r="EH226" s="200"/>
      <c r="EI226" s="200"/>
      <c r="EJ226" s="200"/>
      <c r="EK226" s="200"/>
      <c r="EL226" s="200"/>
      <c r="EM226" s="200"/>
      <c r="EN226" s="200"/>
      <c r="EO226" s="200"/>
      <c r="EP226" s="200"/>
      <c r="EQ226" s="200"/>
      <c r="ER226" s="200"/>
      <c r="ES226" s="200"/>
      <c r="ET226" s="200"/>
      <c r="EU226" s="200"/>
      <c r="EV226" s="200"/>
      <c r="EW226" s="200"/>
      <c r="EX226" s="200"/>
      <c r="EY226" s="200"/>
      <c r="EZ226" s="200"/>
      <c r="FA226" s="200"/>
      <c r="FB226" s="200"/>
      <c r="FC226" s="200"/>
      <c r="FD226" s="200"/>
      <c r="FE226" s="200"/>
      <c r="FF226" s="200"/>
      <c r="FG226" s="200"/>
      <c r="FH226" s="200"/>
      <c r="FI226" s="200"/>
      <c r="FJ226" s="200"/>
      <c r="FK226" s="200"/>
      <c r="FL226" s="200"/>
      <c r="FM226" s="200"/>
      <c r="FN226" s="200"/>
      <c r="FO226" s="200"/>
      <c r="FP226" s="200"/>
      <c r="FQ226" s="200"/>
      <c r="FR226" s="200"/>
      <c r="FS226" s="200"/>
      <c r="FT226" s="200"/>
      <c r="FU226" s="200"/>
      <c r="FV226" s="200"/>
      <c r="FW226" s="200"/>
      <c r="FX226" s="200"/>
      <c r="FY226" s="200"/>
      <c r="FZ226" s="200"/>
      <c r="GA226" s="200"/>
      <c r="GB226" s="200"/>
      <c r="GC226" s="200"/>
      <c r="GD226" s="200"/>
      <c r="GE226" s="200"/>
      <c r="GF226" s="200"/>
      <c r="GG226" s="200"/>
      <c r="GH226" s="200"/>
      <c r="GI226" s="200"/>
      <c r="GJ226" s="200"/>
      <c r="GK226" s="200"/>
      <c r="GL226" s="200"/>
      <c r="GM226" s="200"/>
      <c r="GN226" s="200"/>
      <c r="GO226" s="200"/>
      <c r="GP226" s="200"/>
      <c r="GQ226" s="200"/>
      <c r="GR226" s="200"/>
      <c r="GS226" s="200"/>
      <c r="GT226" s="200"/>
      <c r="GU226" s="200"/>
      <c r="GV226" s="200"/>
      <c r="GW226" s="200"/>
      <c r="GX226" s="200"/>
      <c r="GY226" s="200"/>
      <c r="GZ226" s="200"/>
      <c r="HA226" s="200"/>
      <c r="HB226" s="200"/>
      <c r="HC226" s="200"/>
      <c r="HD226" s="200"/>
      <c r="HE226" s="200"/>
      <c r="HF226" s="200"/>
      <c r="HG226" s="200"/>
      <c r="HH226" s="200"/>
      <c r="HI226" s="200"/>
      <c r="HJ226" s="200"/>
      <c r="HK226" s="200"/>
      <c r="HL226" s="200"/>
      <c r="HM226" s="200"/>
      <c r="HN226" s="200"/>
      <c r="HO226" s="200"/>
      <c r="HP226" s="200"/>
      <c r="HQ226" s="200"/>
      <c r="HR226" s="200"/>
      <c r="HS226" s="200"/>
      <c r="HT226" s="200"/>
      <c r="HU226" s="200"/>
      <c r="HV226" s="200"/>
      <c r="HW226" s="200"/>
      <c r="HX226" s="200"/>
      <c r="HY226" s="200"/>
      <c r="HZ226" s="200"/>
      <c r="IA226" s="200"/>
      <c r="IB226" s="200"/>
      <c r="IC226" s="200"/>
      <c r="ID226" s="200"/>
      <c r="IE226" s="200"/>
      <c r="IF226" s="200"/>
      <c r="IG226" s="200"/>
      <c r="IH226" s="200"/>
      <c r="II226" s="200"/>
      <c r="IJ226" s="200"/>
      <c r="IK226" s="200"/>
      <c r="IL226" s="200"/>
      <c r="IM226" s="200"/>
      <c r="IN226" s="200"/>
      <c r="IO226" s="200"/>
      <c r="IP226" s="200"/>
      <c r="IQ226" s="200"/>
      <c r="IR226" s="200"/>
      <c r="IS226" s="200"/>
      <c r="IT226" s="200"/>
      <c r="IU226" s="201"/>
      <c r="IV226" s="201"/>
    </row>
    <row r="227" s="10" customFormat="1" ht="15.95" customHeight="1" spans="1:256">
      <c r="A227" s="199">
        <v>7</v>
      </c>
      <c r="B227" s="20" t="s">
        <v>2218</v>
      </c>
      <c r="C227" s="20" t="s">
        <v>2225</v>
      </c>
      <c r="D227" s="199">
        <v>6007</v>
      </c>
      <c r="E227" s="199">
        <f>'05版台时'!J395</f>
        <v>333.880731836507</v>
      </c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200"/>
      <c r="AZ227" s="200"/>
      <c r="BA227" s="200"/>
      <c r="BB227" s="200"/>
      <c r="BC227" s="200"/>
      <c r="BD227" s="200"/>
      <c r="BE227" s="200"/>
      <c r="BF227" s="200"/>
      <c r="BG227" s="200"/>
      <c r="BH227" s="200"/>
      <c r="BI227" s="200"/>
      <c r="BJ227" s="200"/>
      <c r="BK227" s="200"/>
      <c r="BL227" s="200"/>
      <c r="BM227" s="200"/>
      <c r="BN227" s="200"/>
      <c r="BO227" s="200"/>
      <c r="BP227" s="200"/>
      <c r="BQ227" s="200"/>
      <c r="BR227" s="200"/>
      <c r="BS227" s="200"/>
      <c r="BT227" s="200"/>
      <c r="BU227" s="200"/>
      <c r="BV227" s="200"/>
      <c r="BW227" s="200"/>
      <c r="BX227" s="200"/>
      <c r="BY227" s="200"/>
      <c r="BZ227" s="200"/>
      <c r="CA227" s="200"/>
      <c r="CB227" s="200"/>
      <c r="CC227" s="200"/>
      <c r="CD227" s="200"/>
      <c r="CE227" s="200"/>
      <c r="CF227" s="200"/>
      <c r="CG227" s="200"/>
      <c r="CH227" s="200"/>
      <c r="CI227" s="200"/>
      <c r="CJ227" s="200"/>
      <c r="CK227" s="200"/>
      <c r="CL227" s="200"/>
      <c r="CM227" s="200"/>
      <c r="CN227" s="200"/>
      <c r="CO227" s="200"/>
      <c r="CP227" s="200"/>
      <c r="CQ227" s="200"/>
      <c r="CR227" s="200"/>
      <c r="CS227" s="200"/>
      <c r="CT227" s="200"/>
      <c r="CU227" s="200"/>
      <c r="CV227" s="200"/>
      <c r="CW227" s="200"/>
      <c r="CX227" s="200"/>
      <c r="CY227" s="200"/>
      <c r="CZ227" s="200"/>
      <c r="DA227" s="200"/>
      <c r="DB227" s="200"/>
      <c r="DC227" s="200"/>
      <c r="DD227" s="200"/>
      <c r="DE227" s="200"/>
      <c r="DF227" s="200"/>
      <c r="DG227" s="200"/>
      <c r="DH227" s="200"/>
      <c r="DI227" s="200"/>
      <c r="DJ227" s="200"/>
      <c r="DK227" s="200"/>
      <c r="DL227" s="200"/>
      <c r="DM227" s="200"/>
      <c r="DN227" s="200"/>
      <c r="DO227" s="200"/>
      <c r="DP227" s="200"/>
      <c r="DQ227" s="200"/>
      <c r="DR227" s="200"/>
      <c r="DS227" s="200"/>
      <c r="DT227" s="200"/>
      <c r="DU227" s="200"/>
      <c r="DV227" s="200"/>
      <c r="DW227" s="200"/>
      <c r="DX227" s="200"/>
      <c r="DY227" s="200"/>
      <c r="DZ227" s="200"/>
      <c r="EA227" s="200"/>
      <c r="EB227" s="200"/>
      <c r="EC227" s="200"/>
      <c r="ED227" s="200"/>
      <c r="EE227" s="200"/>
      <c r="EF227" s="200"/>
      <c r="EG227" s="200"/>
      <c r="EH227" s="200"/>
      <c r="EI227" s="200"/>
      <c r="EJ227" s="200"/>
      <c r="EK227" s="200"/>
      <c r="EL227" s="200"/>
      <c r="EM227" s="200"/>
      <c r="EN227" s="200"/>
      <c r="EO227" s="200"/>
      <c r="EP227" s="200"/>
      <c r="EQ227" s="200"/>
      <c r="ER227" s="200"/>
      <c r="ES227" s="200"/>
      <c r="ET227" s="200"/>
      <c r="EU227" s="200"/>
      <c r="EV227" s="200"/>
      <c r="EW227" s="200"/>
      <c r="EX227" s="200"/>
      <c r="EY227" s="200"/>
      <c r="EZ227" s="200"/>
      <c r="FA227" s="200"/>
      <c r="FB227" s="200"/>
      <c r="FC227" s="200"/>
      <c r="FD227" s="200"/>
      <c r="FE227" s="200"/>
      <c r="FF227" s="200"/>
      <c r="FG227" s="200"/>
      <c r="FH227" s="200"/>
      <c r="FI227" s="200"/>
      <c r="FJ227" s="200"/>
      <c r="FK227" s="200"/>
      <c r="FL227" s="200"/>
      <c r="FM227" s="200"/>
      <c r="FN227" s="200"/>
      <c r="FO227" s="200"/>
      <c r="FP227" s="200"/>
      <c r="FQ227" s="200"/>
      <c r="FR227" s="200"/>
      <c r="FS227" s="200"/>
      <c r="FT227" s="200"/>
      <c r="FU227" s="200"/>
      <c r="FV227" s="200"/>
      <c r="FW227" s="200"/>
      <c r="FX227" s="200"/>
      <c r="FY227" s="200"/>
      <c r="FZ227" s="200"/>
      <c r="GA227" s="200"/>
      <c r="GB227" s="200"/>
      <c r="GC227" s="200"/>
      <c r="GD227" s="200"/>
      <c r="GE227" s="200"/>
      <c r="GF227" s="200"/>
      <c r="GG227" s="200"/>
      <c r="GH227" s="200"/>
      <c r="GI227" s="200"/>
      <c r="GJ227" s="200"/>
      <c r="GK227" s="200"/>
      <c r="GL227" s="200"/>
      <c r="GM227" s="200"/>
      <c r="GN227" s="200"/>
      <c r="GO227" s="200"/>
      <c r="GP227" s="200"/>
      <c r="GQ227" s="200"/>
      <c r="GR227" s="200"/>
      <c r="GS227" s="200"/>
      <c r="GT227" s="200"/>
      <c r="GU227" s="200"/>
      <c r="GV227" s="200"/>
      <c r="GW227" s="200"/>
      <c r="GX227" s="200"/>
      <c r="GY227" s="200"/>
      <c r="GZ227" s="200"/>
      <c r="HA227" s="200"/>
      <c r="HB227" s="200"/>
      <c r="HC227" s="200"/>
      <c r="HD227" s="200"/>
      <c r="HE227" s="200"/>
      <c r="HF227" s="200"/>
      <c r="HG227" s="200"/>
      <c r="HH227" s="200"/>
      <c r="HI227" s="200"/>
      <c r="HJ227" s="200"/>
      <c r="HK227" s="200"/>
      <c r="HL227" s="200"/>
      <c r="HM227" s="200"/>
      <c r="HN227" s="200"/>
      <c r="HO227" s="200"/>
      <c r="HP227" s="200"/>
      <c r="HQ227" s="200"/>
      <c r="HR227" s="200"/>
      <c r="HS227" s="200"/>
      <c r="HT227" s="200"/>
      <c r="HU227" s="200"/>
      <c r="HV227" s="200"/>
      <c r="HW227" s="200"/>
      <c r="HX227" s="200"/>
      <c r="HY227" s="200"/>
      <c r="HZ227" s="200"/>
      <c r="IA227" s="200"/>
      <c r="IB227" s="200"/>
      <c r="IC227" s="200"/>
      <c r="ID227" s="200"/>
      <c r="IE227" s="200"/>
      <c r="IF227" s="200"/>
      <c r="IG227" s="200"/>
      <c r="IH227" s="200"/>
      <c r="II227" s="200"/>
      <c r="IJ227" s="200"/>
      <c r="IK227" s="200"/>
      <c r="IL227" s="200"/>
      <c r="IM227" s="200"/>
      <c r="IN227" s="200"/>
      <c r="IO227" s="200"/>
      <c r="IP227" s="200"/>
      <c r="IQ227" s="200"/>
      <c r="IR227" s="200"/>
      <c r="IS227" s="200"/>
      <c r="IT227" s="200"/>
      <c r="IU227" s="201"/>
      <c r="IV227" s="201"/>
    </row>
    <row r="228" s="10" customFormat="1" ht="15.95" customHeight="1" spans="1:256">
      <c r="A228" s="199">
        <v>8</v>
      </c>
      <c r="B228" s="20" t="s">
        <v>2218</v>
      </c>
      <c r="C228" s="20" t="s">
        <v>2226</v>
      </c>
      <c r="D228" s="199">
        <v>6008</v>
      </c>
      <c r="E228" s="199">
        <f>'05版台时'!K395</f>
        <v>381.284401561278</v>
      </c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  <c r="AA228" s="200"/>
      <c r="AB228" s="200"/>
      <c r="AC228" s="200"/>
      <c r="AD228" s="200"/>
      <c r="AE228" s="200"/>
      <c r="AF228" s="200"/>
      <c r="AG228" s="200"/>
      <c r="AH228" s="200"/>
      <c r="AI228" s="200"/>
      <c r="AJ228" s="200"/>
      <c r="AK228" s="200"/>
      <c r="AL228" s="200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200"/>
      <c r="AZ228" s="200"/>
      <c r="BA228" s="200"/>
      <c r="BB228" s="200"/>
      <c r="BC228" s="200"/>
      <c r="BD228" s="200"/>
      <c r="BE228" s="200"/>
      <c r="BF228" s="200"/>
      <c r="BG228" s="200"/>
      <c r="BH228" s="200"/>
      <c r="BI228" s="200"/>
      <c r="BJ228" s="200"/>
      <c r="BK228" s="200"/>
      <c r="BL228" s="200"/>
      <c r="BM228" s="200"/>
      <c r="BN228" s="200"/>
      <c r="BO228" s="200"/>
      <c r="BP228" s="200"/>
      <c r="BQ228" s="200"/>
      <c r="BR228" s="200"/>
      <c r="BS228" s="200"/>
      <c r="BT228" s="200"/>
      <c r="BU228" s="200"/>
      <c r="BV228" s="200"/>
      <c r="BW228" s="200"/>
      <c r="BX228" s="200"/>
      <c r="BY228" s="200"/>
      <c r="BZ228" s="200"/>
      <c r="CA228" s="200"/>
      <c r="CB228" s="200"/>
      <c r="CC228" s="200"/>
      <c r="CD228" s="200"/>
      <c r="CE228" s="200"/>
      <c r="CF228" s="200"/>
      <c r="CG228" s="200"/>
      <c r="CH228" s="200"/>
      <c r="CI228" s="200"/>
      <c r="CJ228" s="200"/>
      <c r="CK228" s="200"/>
      <c r="CL228" s="200"/>
      <c r="CM228" s="200"/>
      <c r="CN228" s="200"/>
      <c r="CO228" s="200"/>
      <c r="CP228" s="200"/>
      <c r="CQ228" s="200"/>
      <c r="CR228" s="200"/>
      <c r="CS228" s="200"/>
      <c r="CT228" s="200"/>
      <c r="CU228" s="200"/>
      <c r="CV228" s="200"/>
      <c r="CW228" s="200"/>
      <c r="CX228" s="200"/>
      <c r="CY228" s="200"/>
      <c r="CZ228" s="200"/>
      <c r="DA228" s="200"/>
      <c r="DB228" s="200"/>
      <c r="DC228" s="200"/>
      <c r="DD228" s="200"/>
      <c r="DE228" s="200"/>
      <c r="DF228" s="200"/>
      <c r="DG228" s="200"/>
      <c r="DH228" s="200"/>
      <c r="DI228" s="200"/>
      <c r="DJ228" s="200"/>
      <c r="DK228" s="200"/>
      <c r="DL228" s="200"/>
      <c r="DM228" s="200"/>
      <c r="DN228" s="200"/>
      <c r="DO228" s="200"/>
      <c r="DP228" s="200"/>
      <c r="DQ228" s="200"/>
      <c r="DR228" s="200"/>
      <c r="DS228" s="200"/>
      <c r="DT228" s="200"/>
      <c r="DU228" s="200"/>
      <c r="DV228" s="200"/>
      <c r="DW228" s="200"/>
      <c r="DX228" s="200"/>
      <c r="DY228" s="200"/>
      <c r="DZ228" s="200"/>
      <c r="EA228" s="200"/>
      <c r="EB228" s="200"/>
      <c r="EC228" s="200"/>
      <c r="ED228" s="200"/>
      <c r="EE228" s="200"/>
      <c r="EF228" s="200"/>
      <c r="EG228" s="200"/>
      <c r="EH228" s="200"/>
      <c r="EI228" s="200"/>
      <c r="EJ228" s="200"/>
      <c r="EK228" s="200"/>
      <c r="EL228" s="200"/>
      <c r="EM228" s="200"/>
      <c r="EN228" s="200"/>
      <c r="EO228" s="200"/>
      <c r="EP228" s="200"/>
      <c r="EQ228" s="200"/>
      <c r="ER228" s="200"/>
      <c r="ES228" s="200"/>
      <c r="ET228" s="200"/>
      <c r="EU228" s="200"/>
      <c r="EV228" s="200"/>
      <c r="EW228" s="200"/>
      <c r="EX228" s="200"/>
      <c r="EY228" s="200"/>
      <c r="EZ228" s="200"/>
      <c r="FA228" s="200"/>
      <c r="FB228" s="200"/>
      <c r="FC228" s="200"/>
      <c r="FD228" s="200"/>
      <c r="FE228" s="200"/>
      <c r="FF228" s="200"/>
      <c r="FG228" s="200"/>
      <c r="FH228" s="200"/>
      <c r="FI228" s="200"/>
      <c r="FJ228" s="200"/>
      <c r="FK228" s="200"/>
      <c r="FL228" s="200"/>
      <c r="FM228" s="200"/>
      <c r="FN228" s="200"/>
      <c r="FO228" s="200"/>
      <c r="FP228" s="200"/>
      <c r="FQ228" s="200"/>
      <c r="FR228" s="200"/>
      <c r="FS228" s="200"/>
      <c r="FT228" s="200"/>
      <c r="FU228" s="200"/>
      <c r="FV228" s="200"/>
      <c r="FW228" s="200"/>
      <c r="FX228" s="200"/>
      <c r="FY228" s="200"/>
      <c r="FZ228" s="200"/>
      <c r="GA228" s="200"/>
      <c r="GB228" s="200"/>
      <c r="GC228" s="200"/>
      <c r="GD228" s="200"/>
      <c r="GE228" s="200"/>
      <c r="GF228" s="200"/>
      <c r="GG228" s="200"/>
      <c r="GH228" s="200"/>
      <c r="GI228" s="200"/>
      <c r="GJ228" s="200"/>
      <c r="GK228" s="200"/>
      <c r="GL228" s="200"/>
      <c r="GM228" s="200"/>
      <c r="GN228" s="200"/>
      <c r="GO228" s="200"/>
      <c r="GP228" s="200"/>
      <c r="GQ228" s="200"/>
      <c r="GR228" s="200"/>
      <c r="GS228" s="200"/>
      <c r="GT228" s="200"/>
      <c r="GU228" s="200"/>
      <c r="GV228" s="200"/>
      <c r="GW228" s="200"/>
      <c r="GX228" s="200"/>
      <c r="GY228" s="200"/>
      <c r="GZ228" s="200"/>
      <c r="HA228" s="200"/>
      <c r="HB228" s="200"/>
      <c r="HC228" s="200"/>
      <c r="HD228" s="200"/>
      <c r="HE228" s="200"/>
      <c r="HF228" s="200"/>
      <c r="HG228" s="200"/>
      <c r="HH228" s="200"/>
      <c r="HI228" s="200"/>
      <c r="HJ228" s="200"/>
      <c r="HK228" s="200"/>
      <c r="HL228" s="200"/>
      <c r="HM228" s="200"/>
      <c r="HN228" s="200"/>
      <c r="HO228" s="200"/>
      <c r="HP228" s="200"/>
      <c r="HQ228" s="200"/>
      <c r="HR228" s="200"/>
      <c r="HS228" s="200"/>
      <c r="HT228" s="200"/>
      <c r="HU228" s="200"/>
      <c r="HV228" s="200"/>
      <c r="HW228" s="200"/>
      <c r="HX228" s="200"/>
      <c r="HY228" s="200"/>
      <c r="HZ228" s="200"/>
      <c r="IA228" s="200"/>
      <c r="IB228" s="200"/>
      <c r="IC228" s="200"/>
      <c r="ID228" s="200"/>
      <c r="IE228" s="200"/>
      <c r="IF228" s="200"/>
      <c r="IG228" s="200"/>
      <c r="IH228" s="200"/>
      <c r="II228" s="200"/>
      <c r="IJ228" s="200"/>
      <c r="IK228" s="200"/>
      <c r="IL228" s="200"/>
      <c r="IM228" s="200"/>
      <c r="IN228" s="200"/>
      <c r="IO228" s="200"/>
      <c r="IP228" s="200"/>
      <c r="IQ228" s="200"/>
      <c r="IR228" s="200"/>
      <c r="IS228" s="200"/>
      <c r="IT228" s="200"/>
      <c r="IU228" s="201"/>
      <c r="IV228" s="201"/>
    </row>
    <row r="229" s="10" customFormat="1" ht="15.95" customHeight="1" spans="1:256">
      <c r="A229" s="199">
        <v>9</v>
      </c>
      <c r="B229" s="20" t="s">
        <v>2218</v>
      </c>
      <c r="C229" s="20" t="s">
        <v>2227</v>
      </c>
      <c r="D229" s="199">
        <v>6009</v>
      </c>
      <c r="E229" s="199">
        <f>'05版台时'!L395</f>
        <v>427.867096016802</v>
      </c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  <c r="AA229" s="200"/>
      <c r="AB229" s="200"/>
      <c r="AC229" s="200"/>
      <c r="AD229" s="200"/>
      <c r="AE229" s="200"/>
      <c r="AF229" s="200"/>
      <c r="AG229" s="200"/>
      <c r="AH229" s="200"/>
      <c r="AI229" s="200"/>
      <c r="AJ229" s="200"/>
      <c r="AK229" s="200"/>
      <c r="AL229" s="200"/>
      <c r="AM229" s="200"/>
      <c r="AN229" s="200"/>
      <c r="AO229" s="200"/>
      <c r="AP229" s="200"/>
      <c r="AQ229" s="200"/>
      <c r="AR229" s="200"/>
      <c r="AS229" s="200"/>
      <c r="AT229" s="200"/>
      <c r="AU229" s="200"/>
      <c r="AV229" s="200"/>
      <c r="AW229" s="200"/>
      <c r="AX229" s="200"/>
      <c r="AY229" s="200"/>
      <c r="AZ229" s="200"/>
      <c r="BA229" s="200"/>
      <c r="BB229" s="200"/>
      <c r="BC229" s="200"/>
      <c r="BD229" s="200"/>
      <c r="BE229" s="200"/>
      <c r="BF229" s="200"/>
      <c r="BG229" s="200"/>
      <c r="BH229" s="200"/>
      <c r="BI229" s="200"/>
      <c r="BJ229" s="200"/>
      <c r="BK229" s="200"/>
      <c r="BL229" s="200"/>
      <c r="BM229" s="200"/>
      <c r="BN229" s="200"/>
      <c r="BO229" s="200"/>
      <c r="BP229" s="200"/>
      <c r="BQ229" s="200"/>
      <c r="BR229" s="200"/>
      <c r="BS229" s="200"/>
      <c r="BT229" s="200"/>
      <c r="BU229" s="200"/>
      <c r="BV229" s="200"/>
      <c r="BW229" s="200"/>
      <c r="BX229" s="200"/>
      <c r="BY229" s="200"/>
      <c r="BZ229" s="200"/>
      <c r="CA229" s="200"/>
      <c r="CB229" s="200"/>
      <c r="CC229" s="200"/>
      <c r="CD229" s="200"/>
      <c r="CE229" s="200"/>
      <c r="CF229" s="200"/>
      <c r="CG229" s="200"/>
      <c r="CH229" s="200"/>
      <c r="CI229" s="200"/>
      <c r="CJ229" s="200"/>
      <c r="CK229" s="200"/>
      <c r="CL229" s="200"/>
      <c r="CM229" s="200"/>
      <c r="CN229" s="200"/>
      <c r="CO229" s="200"/>
      <c r="CP229" s="200"/>
      <c r="CQ229" s="200"/>
      <c r="CR229" s="200"/>
      <c r="CS229" s="200"/>
      <c r="CT229" s="200"/>
      <c r="CU229" s="200"/>
      <c r="CV229" s="200"/>
      <c r="CW229" s="200"/>
      <c r="CX229" s="200"/>
      <c r="CY229" s="200"/>
      <c r="CZ229" s="200"/>
      <c r="DA229" s="200"/>
      <c r="DB229" s="200"/>
      <c r="DC229" s="200"/>
      <c r="DD229" s="200"/>
      <c r="DE229" s="200"/>
      <c r="DF229" s="200"/>
      <c r="DG229" s="200"/>
      <c r="DH229" s="200"/>
      <c r="DI229" s="200"/>
      <c r="DJ229" s="200"/>
      <c r="DK229" s="200"/>
      <c r="DL229" s="200"/>
      <c r="DM229" s="200"/>
      <c r="DN229" s="200"/>
      <c r="DO229" s="200"/>
      <c r="DP229" s="200"/>
      <c r="DQ229" s="200"/>
      <c r="DR229" s="200"/>
      <c r="DS229" s="200"/>
      <c r="DT229" s="200"/>
      <c r="DU229" s="200"/>
      <c r="DV229" s="200"/>
      <c r="DW229" s="200"/>
      <c r="DX229" s="200"/>
      <c r="DY229" s="200"/>
      <c r="DZ229" s="200"/>
      <c r="EA229" s="200"/>
      <c r="EB229" s="200"/>
      <c r="EC229" s="200"/>
      <c r="ED229" s="200"/>
      <c r="EE229" s="200"/>
      <c r="EF229" s="200"/>
      <c r="EG229" s="200"/>
      <c r="EH229" s="200"/>
      <c r="EI229" s="200"/>
      <c r="EJ229" s="200"/>
      <c r="EK229" s="200"/>
      <c r="EL229" s="200"/>
      <c r="EM229" s="200"/>
      <c r="EN229" s="200"/>
      <c r="EO229" s="200"/>
      <c r="EP229" s="200"/>
      <c r="EQ229" s="200"/>
      <c r="ER229" s="200"/>
      <c r="ES229" s="200"/>
      <c r="ET229" s="200"/>
      <c r="EU229" s="200"/>
      <c r="EV229" s="200"/>
      <c r="EW229" s="200"/>
      <c r="EX229" s="200"/>
      <c r="EY229" s="200"/>
      <c r="EZ229" s="200"/>
      <c r="FA229" s="200"/>
      <c r="FB229" s="200"/>
      <c r="FC229" s="200"/>
      <c r="FD229" s="200"/>
      <c r="FE229" s="200"/>
      <c r="FF229" s="200"/>
      <c r="FG229" s="200"/>
      <c r="FH229" s="200"/>
      <c r="FI229" s="200"/>
      <c r="FJ229" s="200"/>
      <c r="FK229" s="200"/>
      <c r="FL229" s="200"/>
      <c r="FM229" s="200"/>
      <c r="FN229" s="200"/>
      <c r="FO229" s="200"/>
      <c r="FP229" s="200"/>
      <c r="FQ229" s="200"/>
      <c r="FR229" s="200"/>
      <c r="FS229" s="200"/>
      <c r="FT229" s="200"/>
      <c r="FU229" s="200"/>
      <c r="FV229" s="200"/>
      <c r="FW229" s="200"/>
      <c r="FX229" s="200"/>
      <c r="FY229" s="200"/>
      <c r="FZ229" s="200"/>
      <c r="GA229" s="200"/>
      <c r="GB229" s="200"/>
      <c r="GC229" s="200"/>
      <c r="GD229" s="200"/>
      <c r="GE229" s="200"/>
      <c r="GF229" s="200"/>
      <c r="GG229" s="200"/>
      <c r="GH229" s="200"/>
      <c r="GI229" s="200"/>
      <c r="GJ229" s="200"/>
      <c r="GK229" s="200"/>
      <c r="GL229" s="200"/>
      <c r="GM229" s="200"/>
      <c r="GN229" s="200"/>
      <c r="GO229" s="200"/>
      <c r="GP229" s="200"/>
      <c r="GQ229" s="200"/>
      <c r="GR229" s="200"/>
      <c r="GS229" s="200"/>
      <c r="GT229" s="200"/>
      <c r="GU229" s="200"/>
      <c r="GV229" s="200"/>
      <c r="GW229" s="200"/>
      <c r="GX229" s="200"/>
      <c r="GY229" s="200"/>
      <c r="GZ229" s="200"/>
      <c r="HA229" s="200"/>
      <c r="HB229" s="200"/>
      <c r="HC229" s="200"/>
      <c r="HD229" s="200"/>
      <c r="HE229" s="200"/>
      <c r="HF229" s="200"/>
      <c r="HG229" s="200"/>
      <c r="HH229" s="200"/>
      <c r="HI229" s="200"/>
      <c r="HJ229" s="200"/>
      <c r="HK229" s="200"/>
      <c r="HL229" s="200"/>
      <c r="HM229" s="200"/>
      <c r="HN229" s="200"/>
      <c r="HO229" s="200"/>
      <c r="HP229" s="200"/>
      <c r="HQ229" s="200"/>
      <c r="HR229" s="200"/>
      <c r="HS229" s="200"/>
      <c r="HT229" s="200"/>
      <c r="HU229" s="200"/>
      <c r="HV229" s="200"/>
      <c r="HW229" s="200"/>
      <c r="HX229" s="200"/>
      <c r="HY229" s="200"/>
      <c r="HZ229" s="200"/>
      <c r="IA229" s="200"/>
      <c r="IB229" s="200"/>
      <c r="IC229" s="200"/>
      <c r="ID229" s="200"/>
      <c r="IE229" s="200"/>
      <c r="IF229" s="200"/>
      <c r="IG229" s="200"/>
      <c r="IH229" s="200"/>
      <c r="II229" s="200"/>
      <c r="IJ229" s="200"/>
      <c r="IK229" s="200"/>
      <c r="IL229" s="200"/>
      <c r="IM229" s="200"/>
      <c r="IN229" s="200"/>
      <c r="IO229" s="200"/>
      <c r="IP229" s="200"/>
      <c r="IQ229" s="200"/>
      <c r="IR229" s="200"/>
      <c r="IS229" s="200"/>
      <c r="IT229" s="200"/>
      <c r="IU229" s="201"/>
      <c r="IV229" s="201"/>
    </row>
    <row r="230" s="10" customFormat="1" ht="15.95" customHeight="1" spans="1:256">
      <c r="A230" s="199">
        <v>10</v>
      </c>
      <c r="B230" s="20" t="s">
        <v>2218</v>
      </c>
      <c r="C230" s="20" t="s">
        <v>2228</v>
      </c>
      <c r="D230" s="199">
        <v>6010</v>
      </c>
      <c r="E230" s="199">
        <f>'05版台时'!M395</f>
        <v>482.876270328729</v>
      </c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  <c r="AA230" s="200"/>
      <c r="AB230" s="200"/>
      <c r="AC230" s="200"/>
      <c r="AD230" s="200"/>
      <c r="AE230" s="200"/>
      <c r="AF230" s="200"/>
      <c r="AG230" s="200"/>
      <c r="AH230" s="200"/>
      <c r="AI230" s="200"/>
      <c r="AJ230" s="200"/>
      <c r="AK230" s="200"/>
      <c r="AL230" s="200"/>
      <c r="AM230" s="200"/>
      <c r="AN230" s="200"/>
      <c r="AO230" s="200"/>
      <c r="AP230" s="200"/>
      <c r="AQ230" s="200"/>
      <c r="AR230" s="200"/>
      <c r="AS230" s="200"/>
      <c r="AT230" s="200"/>
      <c r="AU230" s="200"/>
      <c r="AV230" s="200"/>
      <c r="AW230" s="200"/>
      <c r="AX230" s="200"/>
      <c r="AY230" s="200"/>
      <c r="AZ230" s="200"/>
      <c r="BA230" s="200"/>
      <c r="BB230" s="200"/>
      <c r="BC230" s="200"/>
      <c r="BD230" s="200"/>
      <c r="BE230" s="200"/>
      <c r="BF230" s="200"/>
      <c r="BG230" s="200"/>
      <c r="BH230" s="200"/>
      <c r="BI230" s="200"/>
      <c r="BJ230" s="200"/>
      <c r="BK230" s="200"/>
      <c r="BL230" s="200"/>
      <c r="BM230" s="200"/>
      <c r="BN230" s="200"/>
      <c r="BO230" s="200"/>
      <c r="BP230" s="200"/>
      <c r="BQ230" s="200"/>
      <c r="BR230" s="200"/>
      <c r="BS230" s="200"/>
      <c r="BT230" s="200"/>
      <c r="BU230" s="200"/>
      <c r="BV230" s="200"/>
      <c r="BW230" s="200"/>
      <c r="BX230" s="200"/>
      <c r="BY230" s="200"/>
      <c r="BZ230" s="200"/>
      <c r="CA230" s="200"/>
      <c r="CB230" s="200"/>
      <c r="CC230" s="200"/>
      <c r="CD230" s="200"/>
      <c r="CE230" s="200"/>
      <c r="CF230" s="200"/>
      <c r="CG230" s="200"/>
      <c r="CH230" s="200"/>
      <c r="CI230" s="200"/>
      <c r="CJ230" s="200"/>
      <c r="CK230" s="200"/>
      <c r="CL230" s="200"/>
      <c r="CM230" s="200"/>
      <c r="CN230" s="200"/>
      <c r="CO230" s="200"/>
      <c r="CP230" s="200"/>
      <c r="CQ230" s="200"/>
      <c r="CR230" s="200"/>
      <c r="CS230" s="200"/>
      <c r="CT230" s="200"/>
      <c r="CU230" s="200"/>
      <c r="CV230" s="200"/>
      <c r="CW230" s="200"/>
      <c r="CX230" s="200"/>
      <c r="CY230" s="200"/>
      <c r="CZ230" s="200"/>
      <c r="DA230" s="200"/>
      <c r="DB230" s="200"/>
      <c r="DC230" s="200"/>
      <c r="DD230" s="200"/>
      <c r="DE230" s="200"/>
      <c r="DF230" s="200"/>
      <c r="DG230" s="200"/>
      <c r="DH230" s="200"/>
      <c r="DI230" s="200"/>
      <c r="DJ230" s="200"/>
      <c r="DK230" s="200"/>
      <c r="DL230" s="200"/>
      <c r="DM230" s="200"/>
      <c r="DN230" s="200"/>
      <c r="DO230" s="200"/>
      <c r="DP230" s="200"/>
      <c r="DQ230" s="200"/>
      <c r="DR230" s="200"/>
      <c r="DS230" s="200"/>
      <c r="DT230" s="200"/>
      <c r="DU230" s="200"/>
      <c r="DV230" s="200"/>
      <c r="DW230" s="200"/>
      <c r="DX230" s="200"/>
      <c r="DY230" s="200"/>
      <c r="DZ230" s="200"/>
      <c r="EA230" s="200"/>
      <c r="EB230" s="200"/>
      <c r="EC230" s="200"/>
      <c r="ED230" s="200"/>
      <c r="EE230" s="200"/>
      <c r="EF230" s="200"/>
      <c r="EG230" s="200"/>
      <c r="EH230" s="200"/>
      <c r="EI230" s="200"/>
      <c r="EJ230" s="200"/>
      <c r="EK230" s="200"/>
      <c r="EL230" s="200"/>
      <c r="EM230" s="200"/>
      <c r="EN230" s="200"/>
      <c r="EO230" s="200"/>
      <c r="EP230" s="200"/>
      <c r="EQ230" s="200"/>
      <c r="ER230" s="200"/>
      <c r="ES230" s="200"/>
      <c r="ET230" s="200"/>
      <c r="EU230" s="200"/>
      <c r="EV230" s="200"/>
      <c r="EW230" s="200"/>
      <c r="EX230" s="200"/>
      <c r="EY230" s="200"/>
      <c r="EZ230" s="200"/>
      <c r="FA230" s="200"/>
      <c r="FB230" s="200"/>
      <c r="FC230" s="200"/>
      <c r="FD230" s="200"/>
      <c r="FE230" s="200"/>
      <c r="FF230" s="200"/>
      <c r="FG230" s="200"/>
      <c r="FH230" s="200"/>
      <c r="FI230" s="200"/>
      <c r="FJ230" s="200"/>
      <c r="FK230" s="200"/>
      <c r="FL230" s="200"/>
      <c r="FM230" s="200"/>
      <c r="FN230" s="200"/>
      <c r="FO230" s="200"/>
      <c r="FP230" s="200"/>
      <c r="FQ230" s="200"/>
      <c r="FR230" s="200"/>
      <c r="FS230" s="200"/>
      <c r="FT230" s="200"/>
      <c r="FU230" s="200"/>
      <c r="FV230" s="200"/>
      <c r="FW230" s="200"/>
      <c r="FX230" s="200"/>
      <c r="FY230" s="200"/>
      <c r="FZ230" s="200"/>
      <c r="GA230" s="200"/>
      <c r="GB230" s="200"/>
      <c r="GC230" s="200"/>
      <c r="GD230" s="200"/>
      <c r="GE230" s="200"/>
      <c r="GF230" s="200"/>
      <c r="GG230" s="200"/>
      <c r="GH230" s="200"/>
      <c r="GI230" s="200"/>
      <c r="GJ230" s="200"/>
      <c r="GK230" s="200"/>
      <c r="GL230" s="200"/>
      <c r="GM230" s="200"/>
      <c r="GN230" s="200"/>
      <c r="GO230" s="200"/>
      <c r="GP230" s="200"/>
      <c r="GQ230" s="200"/>
      <c r="GR230" s="200"/>
      <c r="GS230" s="200"/>
      <c r="GT230" s="200"/>
      <c r="GU230" s="200"/>
      <c r="GV230" s="200"/>
      <c r="GW230" s="200"/>
      <c r="GX230" s="200"/>
      <c r="GY230" s="200"/>
      <c r="GZ230" s="200"/>
      <c r="HA230" s="200"/>
      <c r="HB230" s="200"/>
      <c r="HC230" s="200"/>
      <c r="HD230" s="200"/>
      <c r="HE230" s="200"/>
      <c r="HF230" s="200"/>
      <c r="HG230" s="200"/>
      <c r="HH230" s="200"/>
      <c r="HI230" s="200"/>
      <c r="HJ230" s="200"/>
      <c r="HK230" s="200"/>
      <c r="HL230" s="200"/>
      <c r="HM230" s="200"/>
      <c r="HN230" s="200"/>
      <c r="HO230" s="200"/>
      <c r="HP230" s="200"/>
      <c r="HQ230" s="200"/>
      <c r="HR230" s="200"/>
      <c r="HS230" s="200"/>
      <c r="HT230" s="200"/>
      <c r="HU230" s="200"/>
      <c r="HV230" s="200"/>
      <c r="HW230" s="200"/>
      <c r="HX230" s="200"/>
      <c r="HY230" s="200"/>
      <c r="HZ230" s="200"/>
      <c r="IA230" s="200"/>
      <c r="IB230" s="200"/>
      <c r="IC230" s="200"/>
      <c r="ID230" s="200"/>
      <c r="IE230" s="200"/>
      <c r="IF230" s="200"/>
      <c r="IG230" s="200"/>
      <c r="IH230" s="200"/>
      <c r="II230" s="200"/>
      <c r="IJ230" s="200"/>
      <c r="IK230" s="200"/>
      <c r="IL230" s="200"/>
      <c r="IM230" s="200"/>
      <c r="IN230" s="200"/>
      <c r="IO230" s="200"/>
      <c r="IP230" s="200"/>
      <c r="IQ230" s="200"/>
      <c r="IR230" s="200"/>
      <c r="IS230" s="200"/>
      <c r="IT230" s="200"/>
      <c r="IU230" s="201"/>
      <c r="IV230" s="201"/>
    </row>
    <row r="231" s="10" customFormat="1" ht="15.95" customHeight="1" spans="1:256">
      <c r="A231" s="199">
        <v>11</v>
      </c>
      <c r="B231" s="20" t="s">
        <v>2218</v>
      </c>
      <c r="C231" s="20" t="s">
        <v>2229</v>
      </c>
      <c r="D231" s="199">
        <v>6011</v>
      </c>
      <c r="E231" s="199">
        <f>'05版台时'!N395</f>
        <v>682.904853238754</v>
      </c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  <c r="AA231" s="200"/>
      <c r="AB231" s="200"/>
      <c r="AC231" s="200"/>
      <c r="AD231" s="200"/>
      <c r="AE231" s="200"/>
      <c r="AF231" s="200"/>
      <c r="AG231" s="200"/>
      <c r="AH231" s="200"/>
      <c r="AI231" s="200"/>
      <c r="AJ231" s="200"/>
      <c r="AK231" s="200"/>
      <c r="AL231" s="200"/>
      <c r="AM231" s="200"/>
      <c r="AN231" s="200"/>
      <c r="AO231" s="200"/>
      <c r="AP231" s="200"/>
      <c r="AQ231" s="200"/>
      <c r="AR231" s="200"/>
      <c r="AS231" s="200"/>
      <c r="AT231" s="200"/>
      <c r="AU231" s="200"/>
      <c r="AV231" s="200"/>
      <c r="AW231" s="200"/>
      <c r="AX231" s="200"/>
      <c r="AY231" s="200"/>
      <c r="AZ231" s="200"/>
      <c r="BA231" s="200"/>
      <c r="BB231" s="200"/>
      <c r="BC231" s="200"/>
      <c r="BD231" s="200"/>
      <c r="BE231" s="200"/>
      <c r="BF231" s="200"/>
      <c r="BG231" s="200"/>
      <c r="BH231" s="200"/>
      <c r="BI231" s="200"/>
      <c r="BJ231" s="200"/>
      <c r="BK231" s="200"/>
      <c r="BL231" s="200"/>
      <c r="BM231" s="200"/>
      <c r="BN231" s="200"/>
      <c r="BO231" s="200"/>
      <c r="BP231" s="200"/>
      <c r="BQ231" s="200"/>
      <c r="BR231" s="200"/>
      <c r="BS231" s="200"/>
      <c r="BT231" s="200"/>
      <c r="BU231" s="200"/>
      <c r="BV231" s="200"/>
      <c r="BW231" s="200"/>
      <c r="BX231" s="200"/>
      <c r="BY231" s="200"/>
      <c r="BZ231" s="200"/>
      <c r="CA231" s="200"/>
      <c r="CB231" s="200"/>
      <c r="CC231" s="200"/>
      <c r="CD231" s="200"/>
      <c r="CE231" s="200"/>
      <c r="CF231" s="200"/>
      <c r="CG231" s="200"/>
      <c r="CH231" s="200"/>
      <c r="CI231" s="200"/>
      <c r="CJ231" s="200"/>
      <c r="CK231" s="200"/>
      <c r="CL231" s="200"/>
      <c r="CM231" s="200"/>
      <c r="CN231" s="200"/>
      <c r="CO231" s="200"/>
      <c r="CP231" s="200"/>
      <c r="CQ231" s="200"/>
      <c r="CR231" s="200"/>
      <c r="CS231" s="200"/>
      <c r="CT231" s="200"/>
      <c r="CU231" s="200"/>
      <c r="CV231" s="200"/>
      <c r="CW231" s="200"/>
      <c r="CX231" s="200"/>
      <c r="CY231" s="200"/>
      <c r="CZ231" s="200"/>
      <c r="DA231" s="200"/>
      <c r="DB231" s="200"/>
      <c r="DC231" s="200"/>
      <c r="DD231" s="200"/>
      <c r="DE231" s="200"/>
      <c r="DF231" s="200"/>
      <c r="DG231" s="200"/>
      <c r="DH231" s="200"/>
      <c r="DI231" s="200"/>
      <c r="DJ231" s="200"/>
      <c r="DK231" s="200"/>
      <c r="DL231" s="200"/>
      <c r="DM231" s="200"/>
      <c r="DN231" s="200"/>
      <c r="DO231" s="200"/>
      <c r="DP231" s="200"/>
      <c r="DQ231" s="200"/>
      <c r="DR231" s="200"/>
      <c r="DS231" s="200"/>
      <c r="DT231" s="200"/>
      <c r="DU231" s="200"/>
      <c r="DV231" s="200"/>
      <c r="DW231" s="200"/>
      <c r="DX231" s="200"/>
      <c r="DY231" s="200"/>
      <c r="DZ231" s="200"/>
      <c r="EA231" s="200"/>
      <c r="EB231" s="200"/>
      <c r="EC231" s="200"/>
      <c r="ED231" s="200"/>
      <c r="EE231" s="200"/>
      <c r="EF231" s="200"/>
      <c r="EG231" s="200"/>
      <c r="EH231" s="200"/>
      <c r="EI231" s="200"/>
      <c r="EJ231" s="200"/>
      <c r="EK231" s="200"/>
      <c r="EL231" s="200"/>
      <c r="EM231" s="200"/>
      <c r="EN231" s="200"/>
      <c r="EO231" s="200"/>
      <c r="EP231" s="200"/>
      <c r="EQ231" s="200"/>
      <c r="ER231" s="200"/>
      <c r="ES231" s="200"/>
      <c r="ET231" s="200"/>
      <c r="EU231" s="200"/>
      <c r="EV231" s="200"/>
      <c r="EW231" s="200"/>
      <c r="EX231" s="200"/>
      <c r="EY231" s="200"/>
      <c r="EZ231" s="200"/>
      <c r="FA231" s="200"/>
      <c r="FB231" s="200"/>
      <c r="FC231" s="200"/>
      <c r="FD231" s="200"/>
      <c r="FE231" s="200"/>
      <c r="FF231" s="200"/>
      <c r="FG231" s="200"/>
      <c r="FH231" s="200"/>
      <c r="FI231" s="200"/>
      <c r="FJ231" s="200"/>
      <c r="FK231" s="200"/>
      <c r="FL231" s="200"/>
      <c r="FM231" s="200"/>
      <c r="FN231" s="200"/>
      <c r="FO231" s="200"/>
      <c r="FP231" s="200"/>
      <c r="FQ231" s="200"/>
      <c r="FR231" s="200"/>
      <c r="FS231" s="200"/>
      <c r="FT231" s="200"/>
      <c r="FU231" s="200"/>
      <c r="FV231" s="200"/>
      <c r="FW231" s="200"/>
      <c r="FX231" s="200"/>
      <c r="FY231" s="200"/>
      <c r="FZ231" s="200"/>
      <c r="GA231" s="200"/>
      <c r="GB231" s="200"/>
      <c r="GC231" s="200"/>
      <c r="GD231" s="200"/>
      <c r="GE231" s="200"/>
      <c r="GF231" s="200"/>
      <c r="GG231" s="200"/>
      <c r="GH231" s="200"/>
      <c r="GI231" s="200"/>
      <c r="GJ231" s="200"/>
      <c r="GK231" s="200"/>
      <c r="GL231" s="200"/>
      <c r="GM231" s="200"/>
      <c r="GN231" s="200"/>
      <c r="GO231" s="200"/>
      <c r="GP231" s="200"/>
      <c r="GQ231" s="200"/>
      <c r="GR231" s="200"/>
      <c r="GS231" s="200"/>
      <c r="GT231" s="200"/>
      <c r="GU231" s="200"/>
      <c r="GV231" s="200"/>
      <c r="GW231" s="200"/>
      <c r="GX231" s="200"/>
      <c r="GY231" s="200"/>
      <c r="GZ231" s="200"/>
      <c r="HA231" s="200"/>
      <c r="HB231" s="200"/>
      <c r="HC231" s="200"/>
      <c r="HD231" s="200"/>
      <c r="HE231" s="200"/>
      <c r="HF231" s="200"/>
      <c r="HG231" s="200"/>
      <c r="HH231" s="200"/>
      <c r="HI231" s="200"/>
      <c r="HJ231" s="200"/>
      <c r="HK231" s="200"/>
      <c r="HL231" s="200"/>
      <c r="HM231" s="200"/>
      <c r="HN231" s="200"/>
      <c r="HO231" s="200"/>
      <c r="HP231" s="200"/>
      <c r="HQ231" s="200"/>
      <c r="HR231" s="200"/>
      <c r="HS231" s="200"/>
      <c r="HT231" s="200"/>
      <c r="HU231" s="200"/>
      <c r="HV231" s="200"/>
      <c r="HW231" s="200"/>
      <c r="HX231" s="200"/>
      <c r="HY231" s="200"/>
      <c r="HZ231" s="200"/>
      <c r="IA231" s="200"/>
      <c r="IB231" s="200"/>
      <c r="IC231" s="200"/>
      <c r="ID231" s="200"/>
      <c r="IE231" s="200"/>
      <c r="IF231" s="200"/>
      <c r="IG231" s="200"/>
      <c r="IH231" s="200"/>
      <c r="II231" s="200"/>
      <c r="IJ231" s="200"/>
      <c r="IK231" s="200"/>
      <c r="IL231" s="200"/>
      <c r="IM231" s="200"/>
      <c r="IN231" s="200"/>
      <c r="IO231" s="200"/>
      <c r="IP231" s="200"/>
      <c r="IQ231" s="200"/>
      <c r="IR231" s="200"/>
      <c r="IS231" s="200"/>
      <c r="IT231" s="200"/>
      <c r="IU231" s="201"/>
      <c r="IV231" s="201"/>
    </row>
    <row r="232" s="10" customFormat="1" ht="15.95" customHeight="1" spans="1:256">
      <c r="A232" s="199">
        <v>12</v>
      </c>
      <c r="B232" s="20" t="s">
        <v>2218</v>
      </c>
      <c r="C232" s="20" t="s">
        <v>2230</v>
      </c>
      <c r="D232" s="199">
        <v>6012</v>
      </c>
      <c r="E232" s="199">
        <f>'05版台时'!O395</f>
        <v>761.776412871781</v>
      </c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  <c r="AA232" s="200"/>
      <c r="AB232" s="200"/>
      <c r="AC232" s="200"/>
      <c r="AD232" s="200"/>
      <c r="AE232" s="200"/>
      <c r="AF232" s="200"/>
      <c r="AG232" s="200"/>
      <c r="AH232" s="200"/>
      <c r="AI232" s="200"/>
      <c r="AJ232" s="200"/>
      <c r="AK232" s="200"/>
      <c r="AL232" s="200"/>
      <c r="AM232" s="200"/>
      <c r="AN232" s="200"/>
      <c r="AO232" s="200"/>
      <c r="AP232" s="200"/>
      <c r="AQ232" s="200"/>
      <c r="AR232" s="200"/>
      <c r="AS232" s="200"/>
      <c r="AT232" s="200"/>
      <c r="AU232" s="200"/>
      <c r="AV232" s="200"/>
      <c r="AW232" s="200"/>
      <c r="AX232" s="200"/>
      <c r="AY232" s="200"/>
      <c r="AZ232" s="200"/>
      <c r="BA232" s="200"/>
      <c r="BB232" s="200"/>
      <c r="BC232" s="200"/>
      <c r="BD232" s="200"/>
      <c r="BE232" s="200"/>
      <c r="BF232" s="200"/>
      <c r="BG232" s="200"/>
      <c r="BH232" s="200"/>
      <c r="BI232" s="200"/>
      <c r="BJ232" s="200"/>
      <c r="BK232" s="200"/>
      <c r="BL232" s="200"/>
      <c r="BM232" s="200"/>
      <c r="BN232" s="200"/>
      <c r="BO232" s="200"/>
      <c r="BP232" s="200"/>
      <c r="BQ232" s="200"/>
      <c r="BR232" s="200"/>
      <c r="BS232" s="200"/>
      <c r="BT232" s="200"/>
      <c r="BU232" s="200"/>
      <c r="BV232" s="200"/>
      <c r="BW232" s="200"/>
      <c r="BX232" s="200"/>
      <c r="BY232" s="200"/>
      <c r="BZ232" s="200"/>
      <c r="CA232" s="200"/>
      <c r="CB232" s="200"/>
      <c r="CC232" s="200"/>
      <c r="CD232" s="200"/>
      <c r="CE232" s="200"/>
      <c r="CF232" s="200"/>
      <c r="CG232" s="200"/>
      <c r="CH232" s="200"/>
      <c r="CI232" s="200"/>
      <c r="CJ232" s="200"/>
      <c r="CK232" s="200"/>
      <c r="CL232" s="200"/>
      <c r="CM232" s="200"/>
      <c r="CN232" s="200"/>
      <c r="CO232" s="200"/>
      <c r="CP232" s="200"/>
      <c r="CQ232" s="200"/>
      <c r="CR232" s="200"/>
      <c r="CS232" s="200"/>
      <c r="CT232" s="200"/>
      <c r="CU232" s="200"/>
      <c r="CV232" s="200"/>
      <c r="CW232" s="200"/>
      <c r="CX232" s="200"/>
      <c r="CY232" s="200"/>
      <c r="CZ232" s="200"/>
      <c r="DA232" s="200"/>
      <c r="DB232" s="200"/>
      <c r="DC232" s="200"/>
      <c r="DD232" s="200"/>
      <c r="DE232" s="200"/>
      <c r="DF232" s="200"/>
      <c r="DG232" s="200"/>
      <c r="DH232" s="200"/>
      <c r="DI232" s="200"/>
      <c r="DJ232" s="200"/>
      <c r="DK232" s="200"/>
      <c r="DL232" s="200"/>
      <c r="DM232" s="200"/>
      <c r="DN232" s="200"/>
      <c r="DO232" s="200"/>
      <c r="DP232" s="200"/>
      <c r="DQ232" s="200"/>
      <c r="DR232" s="200"/>
      <c r="DS232" s="200"/>
      <c r="DT232" s="200"/>
      <c r="DU232" s="200"/>
      <c r="DV232" s="200"/>
      <c r="DW232" s="200"/>
      <c r="DX232" s="200"/>
      <c r="DY232" s="200"/>
      <c r="DZ232" s="200"/>
      <c r="EA232" s="200"/>
      <c r="EB232" s="200"/>
      <c r="EC232" s="200"/>
      <c r="ED232" s="200"/>
      <c r="EE232" s="200"/>
      <c r="EF232" s="200"/>
      <c r="EG232" s="200"/>
      <c r="EH232" s="200"/>
      <c r="EI232" s="200"/>
      <c r="EJ232" s="200"/>
      <c r="EK232" s="200"/>
      <c r="EL232" s="200"/>
      <c r="EM232" s="200"/>
      <c r="EN232" s="200"/>
      <c r="EO232" s="200"/>
      <c r="EP232" s="200"/>
      <c r="EQ232" s="200"/>
      <c r="ER232" s="200"/>
      <c r="ES232" s="200"/>
      <c r="ET232" s="200"/>
      <c r="EU232" s="200"/>
      <c r="EV232" s="200"/>
      <c r="EW232" s="200"/>
      <c r="EX232" s="200"/>
      <c r="EY232" s="200"/>
      <c r="EZ232" s="200"/>
      <c r="FA232" s="200"/>
      <c r="FB232" s="200"/>
      <c r="FC232" s="200"/>
      <c r="FD232" s="200"/>
      <c r="FE232" s="200"/>
      <c r="FF232" s="200"/>
      <c r="FG232" s="200"/>
      <c r="FH232" s="200"/>
      <c r="FI232" s="200"/>
      <c r="FJ232" s="200"/>
      <c r="FK232" s="200"/>
      <c r="FL232" s="200"/>
      <c r="FM232" s="200"/>
      <c r="FN232" s="200"/>
      <c r="FO232" s="200"/>
      <c r="FP232" s="200"/>
      <c r="FQ232" s="200"/>
      <c r="FR232" s="200"/>
      <c r="FS232" s="200"/>
      <c r="FT232" s="200"/>
      <c r="FU232" s="200"/>
      <c r="FV232" s="200"/>
      <c r="FW232" s="200"/>
      <c r="FX232" s="200"/>
      <c r="FY232" s="200"/>
      <c r="FZ232" s="200"/>
      <c r="GA232" s="200"/>
      <c r="GB232" s="200"/>
      <c r="GC232" s="200"/>
      <c r="GD232" s="200"/>
      <c r="GE232" s="200"/>
      <c r="GF232" s="200"/>
      <c r="GG232" s="200"/>
      <c r="GH232" s="200"/>
      <c r="GI232" s="200"/>
      <c r="GJ232" s="200"/>
      <c r="GK232" s="200"/>
      <c r="GL232" s="200"/>
      <c r="GM232" s="200"/>
      <c r="GN232" s="200"/>
      <c r="GO232" s="200"/>
      <c r="GP232" s="200"/>
      <c r="GQ232" s="200"/>
      <c r="GR232" s="200"/>
      <c r="GS232" s="200"/>
      <c r="GT232" s="200"/>
      <c r="GU232" s="200"/>
      <c r="GV232" s="200"/>
      <c r="GW232" s="200"/>
      <c r="GX232" s="200"/>
      <c r="GY232" s="200"/>
      <c r="GZ232" s="200"/>
      <c r="HA232" s="200"/>
      <c r="HB232" s="200"/>
      <c r="HC232" s="200"/>
      <c r="HD232" s="200"/>
      <c r="HE232" s="200"/>
      <c r="HF232" s="200"/>
      <c r="HG232" s="200"/>
      <c r="HH232" s="200"/>
      <c r="HI232" s="200"/>
      <c r="HJ232" s="200"/>
      <c r="HK232" s="200"/>
      <c r="HL232" s="200"/>
      <c r="HM232" s="200"/>
      <c r="HN232" s="200"/>
      <c r="HO232" s="200"/>
      <c r="HP232" s="200"/>
      <c r="HQ232" s="200"/>
      <c r="HR232" s="200"/>
      <c r="HS232" s="200"/>
      <c r="HT232" s="200"/>
      <c r="HU232" s="200"/>
      <c r="HV232" s="200"/>
      <c r="HW232" s="200"/>
      <c r="HX232" s="200"/>
      <c r="HY232" s="200"/>
      <c r="HZ232" s="200"/>
      <c r="IA232" s="200"/>
      <c r="IB232" s="200"/>
      <c r="IC232" s="200"/>
      <c r="ID232" s="200"/>
      <c r="IE232" s="200"/>
      <c r="IF232" s="200"/>
      <c r="IG232" s="200"/>
      <c r="IH232" s="200"/>
      <c r="II232" s="200"/>
      <c r="IJ232" s="200"/>
      <c r="IK232" s="200"/>
      <c r="IL232" s="200"/>
      <c r="IM232" s="200"/>
      <c r="IN232" s="200"/>
      <c r="IO232" s="200"/>
      <c r="IP232" s="200"/>
      <c r="IQ232" s="200"/>
      <c r="IR232" s="200"/>
      <c r="IS232" s="200"/>
      <c r="IT232" s="200"/>
      <c r="IU232" s="201"/>
      <c r="IV232" s="201"/>
    </row>
    <row r="233" s="10" customFormat="1" ht="15.95" customHeight="1" spans="1:256">
      <c r="A233" s="199">
        <v>13</v>
      </c>
      <c r="B233" s="20" t="s">
        <v>2218</v>
      </c>
      <c r="C233" s="20" t="s">
        <v>2231</v>
      </c>
      <c r="D233" s="199">
        <v>6013</v>
      </c>
      <c r="E233" s="199">
        <f>'05版台时'!P395</f>
        <v>989.214303954141</v>
      </c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200"/>
      <c r="AE233" s="200"/>
      <c r="AF233" s="200"/>
      <c r="AG233" s="200"/>
      <c r="AH233" s="200"/>
      <c r="AI233" s="200"/>
      <c r="AJ233" s="200"/>
      <c r="AK233" s="200"/>
      <c r="AL233" s="200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200"/>
      <c r="BB233" s="200"/>
      <c r="BC233" s="200"/>
      <c r="BD233" s="200"/>
      <c r="BE233" s="200"/>
      <c r="BF233" s="200"/>
      <c r="BG233" s="200"/>
      <c r="BH233" s="200"/>
      <c r="BI233" s="200"/>
      <c r="BJ233" s="200"/>
      <c r="BK233" s="200"/>
      <c r="BL233" s="200"/>
      <c r="BM233" s="200"/>
      <c r="BN233" s="200"/>
      <c r="BO233" s="200"/>
      <c r="BP233" s="200"/>
      <c r="BQ233" s="200"/>
      <c r="BR233" s="200"/>
      <c r="BS233" s="200"/>
      <c r="BT233" s="200"/>
      <c r="BU233" s="200"/>
      <c r="BV233" s="200"/>
      <c r="BW233" s="200"/>
      <c r="BX233" s="200"/>
      <c r="BY233" s="200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200"/>
      <c r="CX233" s="200"/>
      <c r="CY233" s="200"/>
      <c r="CZ233" s="200"/>
      <c r="DA233" s="200"/>
      <c r="DB233" s="200"/>
      <c r="DC233" s="200"/>
      <c r="DD233" s="200"/>
      <c r="DE233" s="200"/>
      <c r="DF233" s="200"/>
      <c r="DG233" s="200"/>
      <c r="DH233" s="200"/>
      <c r="DI233" s="200"/>
      <c r="DJ233" s="200"/>
      <c r="DK233" s="200"/>
      <c r="DL233" s="200"/>
      <c r="DM233" s="200"/>
      <c r="DN233" s="200"/>
      <c r="DO233" s="200"/>
      <c r="DP233" s="200"/>
      <c r="DQ233" s="200"/>
      <c r="DR233" s="200"/>
      <c r="DS233" s="200"/>
      <c r="DT233" s="200"/>
      <c r="DU233" s="200"/>
      <c r="DV233" s="200"/>
      <c r="DW233" s="200"/>
      <c r="DX233" s="200"/>
      <c r="DY233" s="200"/>
      <c r="DZ233" s="200"/>
      <c r="EA233" s="200"/>
      <c r="EB233" s="200"/>
      <c r="EC233" s="200"/>
      <c r="ED233" s="200"/>
      <c r="EE233" s="200"/>
      <c r="EF233" s="200"/>
      <c r="EG233" s="200"/>
      <c r="EH233" s="200"/>
      <c r="EI233" s="200"/>
      <c r="EJ233" s="200"/>
      <c r="EK233" s="200"/>
      <c r="EL233" s="200"/>
      <c r="EM233" s="200"/>
      <c r="EN233" s="200"/>
      <c r="EO233" s="200"/>
      <c r="EP233" s="200"/>
      <c r="EQ233" s="200"/>
      <c r="ER233" s="200"/>
      <c r="ES233" s="200"/>
      <c r="ET233" s="200"/>
      <c r="EU233" s="200"/>
      <c r="EV233" s="200"/>
      <c r="EW233" s="200"/>
      <c r="EX233" s="200"/>
      <c r="EY233" s="200"/>
      <c r="EZ233" s="200"/>
      <c r="FA233" s="200"/>
      <c r="FB233" s="200"/>
      <c r="FC233" s="200"/>
      <c r="FD233" s="200"/>
      <c r="FE233" s="200"/>
      <c r="FF233" s="200"/>
      <c r="FG233" s="200"/>
      <c r="FH233" s="200"/>
      <c r="FI233" s="200"/>
      <c r="FJ233" s="200"/>
      <c r="FK233" s="200"/>
      <c r="FL233" s="200"/>
      <c r="FM233" s="200"/>
      <c r="FN233" s="200"/>
      <c r="FO233" s="200"/>
      <c r="FP233" s="200"/>
      <c r="FQ233" s="200"/>
      <c r="FR233" s="200"/>
      <c r="FS233" s="200"/>
      <c r="FT233" s="200"/>
      <c r="FU233" s="200"/>
      <c r="FV233" s="200"/>
      <c r="FW233" s="200"/>
      <c r="FX233" s="200"/>
      <c r="FY233" s="200"/>
      <c r="FZ233" s="200"/>
      <c r="GA233" s="200"/>
      <c r="GB233" s="200"/>
      <c r="GC233" s="200"/>
      <c r="GD233" s="200"/>
      <c r="GE233" s="200"/>
      <c r="GF233" s="200"/>
      <c r="GG233" s="200"/>
      <c r="GH233" s="200"/>
      <c r="GI233" s="200"/>
      <c r="GJ233" s="200"/>
      <c r="GK233" s="200"/>
      <c r="GL233" s="200"/>
      <c r="GM233" s="200"/>
      <c r="GN233" s="200"/>
      <c r="GO233" s="200"/>
      <c r="GP233" s="200"/>
      <c r="GQ233" s="200"/>
      <c r="GR233" s="200"/>
      <c r="GS233" s="200"/>
      <c r="GT233" s="200"/>
      <c r="GU233" s="200"/>
      <c r="GV233" s="200"/>
      <c r="GW233" s="200"/>
      <c r="GX233" s="200"/>
      <c r="GY233" s="200"/>
      <c r="GZ233" s="200"/>
      <c r="HA233" s="200"/>
      <c r="HB233" s="200"/>
      <c r="HC233" s="200"/>
      <c r="HD233" s="200"/>
      <c r="HE233" s="200"/>
      <c r="HF233" s="200"/>
      <c r="HG233" s="200"/>
      <c r="HH233" s="200"/>
      <c r="HI233" s="200"/>
      <c r="HJ233" s="200"/>
      <c r="HK233" s="200"/>
      <c r="HL233" s="200"/>
      <c r="HM233" s="200"/>
      <c r="HN233" s="200"/>
      <c r="HO233" s="200"/>
      <c r="HP233" s="200"/>
      <c r="HQ233" s="200"/>
      <c r="HR233" s="200"/>
      <c r="HS233" s="200"/>
      <c r="HT233" s="200"/>
      <c r="HU233" s="200"/>
      <c r="HV233" s="200"/>
      <c r="HW233" s="200"/>
      <c r="HX233" s="200"/>
      <c r="HY233" s="200"/>
      <c r="HZ233" s="200"/>
      <c r="IA233" s="200"/>
      <c r="IB233" s="200"/>
      <c r="IC233" s="200"/>
      <c r="ID233" s="200"/>
      <c r="IE233" s="200"/>
      <c r="IF233" s="200"/>
      <c r="IG233" s="200"/>
      <c r="IH233" s="200"/>
      <c r="II233" s="200"/>
      <c r="IJ233" s="200"/>
      <c r="IK233" s="200"/>
      <c r="IL233" s="200"/>
      <c r="IM233" s="200"/>
      <c r="IN233" s="200"/>
      <c r="IO233" s="200"/>
      <c r="IP233" s="200"/>
      <c r="IQ233" s="200"/>
      <c r="IR233" s="200"/>
      <c r="IS233" s="200"/>
      <c r="IT233" s="200"/>
      <c r="IU233" s="201"/>
      <c r="IV233" s="201"/>
    </row>
    <row r="234" s="10" customFormat="1" ht="15.95" customHeight="1" spans="1:256">
      <c r="A234" s="199">
        <v>14</v>
      </c>
      <c r="B234" s="20" t="s">
        <v>2232</v>
      </c>
      <c r="C234" s="20" t="s">
        <v>2219</v>
      </c>
      <c r="D234" s="199">
        <v>6014</v>
      </c>
      <c r="E234" s="199">
        <f>'05版台时'!Q395</f>
        <v>152.996869978623</v>
      </c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  <c r="BD234" s="200"/>
      <c r="BE234" s="200"/>
      <c r="BF234" s="200"/>
      <c r="BG234" s="200"/>
      <c r="BH234" s="200"/>
      <c r="BI234" s="200"/>
      <c r="BJ234" s="200"/>
      <c r="BK234" s="200"/>
      <c r="BL234" s="200"/>
      <c r="BM234" s="200"/>
      <c r="BN234" s="200"/>
      <c r="BO234" s="200"/>
      <c r="BP234" s="200"/>
      <c r="BQ234" s="200"/>
      <c r="BR234" s="200"/>
      <c r="BS234" s="200"/>
      <c r="BT234" s="200"/>
      <c r="BU234" s="200"/>
      <c r="BV234" s="200"/>
      <c r="BW234" s="200"/>
      <c r="BX234" s="200"/>
      <c r="BY234" s="200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200"/>
      <c r="CX234" s="200"/>
      <c r="CY234" s="200"/>
      <c r="CZ234" s="200"/>
      <c r="DA234" s="200"/>
      <c r="DB234" s="200"/>
      <c r="DC234" s="200"/>
      <c r="DD234" s="200"/>
      <c r="DE234" s="200"/>
      <c r="DF234" s="200"/>
      <c r="DG234" s="200"/>
      <c r="DH234" s="200"/>
      <c r="DI234" s="200"/>
      <c r="DJ234" s="200"/>
      <c r="DK234" s="200"/>
      <c r="DL234" s="200"/>
      <c r="DM234" s="200"/>
      <c r="DN234" s="200"/>
      <c r="DO234" s="200"/>
      <c r="DP234" s="200"/>
      <c r="DQ234" s="200"/>
      <c r="DR234" s="200"/>
      <c r="DS234" s="200"/>
      <c r="DT234" s="200"/>
      <c r="DU234" s="200"/>
      <c r="DV234" s="200"/>
      <c r="DW234" s="200"/>
      <c r="DX234" s="200"/>
      <c r="DY234" s="200"/>
      <c r="DZ234" s="200"/>
      <c r="EA234" s="200"/>
      <c r="EB234" s="200"/>
      <c r="EC234" s="200"/>
      <c r="ED234" s="200"/>
      <c r="EE234" s="200"/>
      <c r="EF234" s="200"/>
      <c r="EG234" s="200"/>
      <c r="EH234" s="200"/>
      <c r="EI234" s="200"/>
      <c r="EJ234" s="200"/>
      <c r="EK234" s="200"/>
      <c r="EL234" s="200"/>
      <c r="EM234" s="200"/>
      <c r="EN234" s="200"/>
      <c r="EO234" s="200"/>
      <c r="EP234" s="200"/>
      <c r="EQ234" s="200"/>
      <c r="ER234" s="200"/>
      <c r="ES234" s="200"/>
      <c r="ET234" s="200"/>
      <c r="EU234" s="200"/>
      <c r="EV234" s="200"/>
      <c r="EW234" s="200"/>
      <c r="EX234" s="200"/>
      <c r="EY234" s="200"/>
      <c r="EZ234" s="200"/>
      <c r="FA234" s="200"/>
      <c r="FB234" s="200"/>
      <c r="FC234" s="200"/>
      <c r="FD234" s="200"/>
      <c r="FE234" s="200"/>
      <c r="FF234" s="200"/>
      <c r="FG234" s="200"/>
      <c r="FH234" s="200"/>
      <c r="FI234" s="200"/>
      <c r="FJ234" s="200"/>
      <c r="FK234" s="200"/>
      <c r="FL234" s="200"/>
      <c r="FM234" s="200"/>
      <c r="FN234" s="200"/>
      <c r="FO234" s="200"/>
      <c r="FP234" s="200"/>
      <c r="FQ234" s="200"/>
      <c r="FR234" s="200"/>
      <c r="FS234" s="200"/>
      <c r="FT234" s="200"/>
      <c r="FU234" s="200"/>
      <c r="FV234" s="200"/>
      <c r="FW234" s="200"/>
      <c r="FX234" s="200"/>
      <c r="FY234" s="200"/>
      <c r="FZ234" s="200"/>
      <c r="GA234" s="200"/>
      <c r="GB234" s="200"/>
      <c r="GC234" s="200"/>
      <c r="GD234" s="200"/>
      <c r="GE234" s="200"/>
      <c r="GF234" s="200"/>
      <c r="GG234" s="200"/>
      <c r="GH234" s="200"/>
      <c r="GI234" s="200"/>
      <c r="GJ234" s="200"/>
      <c r="GK234" s="200"/>
      <c r="GL234" s="200"/>
      <c r="GM234" s="200"/>
      <c r="GN234" s="200"/>
      <c r="GO234" s="200"/>
      <c r="GP234" s="200"/>
      <c r="GQ234" s="200"/>
      <c r="GR234" s="200"/>
      <c r="GS234" s="200"/>
      <c r="GT234" s="200"/>
      <c r="GU234" s="200"/>
      <c r="GV234" s="200"/>
      <c r="GW234" s="200"/>
      <c r="GX234" s="200"/>
      <c r="GY234" s="200"/>
      <c r="GZ234" s="200"/>
      <c r="HA234" s="200"/>
      <c r="HB234" s="200"/>
      <c r="HC234" s="200"/>
      <c r="HD234" s="200"/>
      <c r="HE234" s="200"/>
      <c r="HF234" s="200"/>
      <c r="HG234" s="200"/>
      <c r="HH234" s="200"/>
      <c r="HI234" s="200"/>
      <c r="HJ234" s="200"/>
      <c r="HK234" s="200"/>
      <c r="HL234" s="200"/>
      <c r="HM234" s="200"/>
      <c r="HN234" s="200"/>
      <c r="HO234" s="200"/>
      <c r="HP234" s="200"/>
      <c r="HQ234" s="200"/>
      <c r="HR234" s="200"/>
      <c r="HS234" s="200"/>
      <c r="HT234" s="200"/>
      <c r="HU234" s="200"/>
      <c r="HV234" s="200"/>
      <c r="HW234" s="200"/>
      <c r="HX234" s="200"/>
      <c r="HY234" s="200"/>
      <c r="HZ234" s="200"/>
      <c r="IA234" s="200"/>
      <c r="IB234" s="200"/>
      <c r="IC234" s="200"/>
      <c r="ID234" s="200"/>
      <c r="IE234" s="200"/>
      <c r="IF234" s="200"/>
      <c r="IG234" s="200"/>
      <c r="IH234" s="200"/>
      <c r="II234" s="200"/>
      <c r="IJ234" s="200"/>
      <c r="IK234" s="200"/>
      <c r="IL234" s="200"/>
      <c r="IM234" s="200"/>
      <c r="IN234" s="200"/>
      <c r="IO234" s="200"/>
      <c r="IP234" s="200"/>
      <c r="IQ234" s="200"/>
      <c r="IR234" s="200"/>
      <c r="IS234" s="200"/>
      <c r="IT234" s="200"/>
      <c r="IU234" s="201"/>
      <c r="IV234" s="201"/>
    </row>
    <row r="235" s="10" customFormat="1" ht="15.95" customHeight="1" spans="1:256">
      <c r="A235" s="199">
        <v>15</v>
      </c>
      <c r="B235" s="20" t="s">
        <v>2232</v>
      </c>
      <c r="C235" s="20" t="s">
        <v>2220</v>
      </c>
      <c r="D235" s="199">
        <v>6015</v>
      </c>
      <c r="E235" s="199">
        <f>'05版台时'!R395</f>
        <v>158.611548877705</v>
      </c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200"/>
      <c r="AE235" s="200"/>
      <c r="AF235" s="200"/>
      <c r="AG235" s="200"/>
      <c r="AH235" s="200"/>
      <c r="AI235" s="200"/>
      <c r="AJ235" s="200"/>
      <c r="AK235" s="200"/>
      <c r="AL235" s="200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200"/>
      <c r="BB235" s="200"/>
      <c r="BC235" s="200"/>
      <c r="BD235" s="200"/>
      <c r="BE235" s="200"/>
      <c r="BF235" s="200"/>
      <c r="BG235" s="200"/>
      <c r="BH235" s="200"/>
      <c r="BI235" s="200"/>
      <c r="BJ235" s="200"/>
      <c r="BK235" s="200"/>
      <c r="BL235" s="200"/>
      <c r="BM235" s="200"/>
      <c r="BN235" s="200"/>
      <c r="BO235" s="200"/>
      <c r="BP235" s="200"/>
      <c r="BQ235" s="200"/>
      <c r="BR235" s="200"/>
      <c r="BS235" s="200"/>
      <c r="BT235" s="200"/>
      <c r="BU235" s="200"/>
      <c r="BV235" s="200"/>
      <c r="BW235" s="200"/>
      <c r="BX235" s="200"/>
      <c r="BY235" s="200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200"/>
      <c r="CX235" s="200"/>
      <c r="CY235" s="200"/>
      <c r="CZ235" s="200"/>
      <c r="DA235" s="200"/>
      <c r="DB235" s="200"/>
      <c r="DC235" s="200"/>
      <c r="DD235" s="200"/>
      <c r="DE235" s="200"/>
      <c r="DF235" s="200"/>
      <c r="DG235" s="200"/>
      <c r="DH235" s="200"/>
      <c r="DI235" s="200"/>
      <c r="DJ235" s="200"/>
      <c r="DK235" s="200"/>
      <c r="DL235" s="200"/>
      <c r="DM235" s="200"/>
      <c r="DN235" s="200"/>
      <c r="DO235" s="200"/>
      <c r="DP235" s="200"/>
      <c r="DQ235" s="200"/>
      <c r="DR235" s="200"/>
      <c r="DS235" s="200"/>
      <c r="DT235" s="200"/>
      <c r="DU235" s="200"/>
      <c r="DV235" s="200"/>
      <c r="DW235" s="200"/>
      <c r="DX235" s="200"/>
      <c r="DY235" s="200"/>
      <c r="DZ235" s="200"/>
      <c r="EA235" s="200"/>
      <c r="EB235" s="200"/>
      <c r="EC235" s="200"/>
      <c r="ED235" s="200"/>
      <c r="EE235" s="200"/>
      <c r="EF235" s="200"/>
      <c r="EG235" s="200"/>
      <c r="EH235" s="200"/>
      <c r="EI235" s="200"/>
      <c r="EJ235" s="200"/>
      <c r="EK235" s="200"/>
      <c r="EL235" s="200"/>
      <c r="EM235" s="200"/>
      <c r="EN235" s="200"/>
      <c r="EO235" s="200"/>
      <c r="EP235" s="200"/>
      <c r="EQ235" s="200"/>
      <c r="ER235" s="200"/>
      <c r="ES235" s="200"/>
      <c r="ET235" s="200"/>
      <c r="EU235" s="200"/>
      <c r="EV235" s="200"/>
      <c r="EW235" s="200"/>
      <c r="EX235" s="200"/>
      <c r="EY235" s="200"/>
      <c r="EZ235" s="200"/>
      <c r="FA235" s="200"/>
      <c r="FB235" s="200"/>
      <c r="FC235" s="200"/>
      <c r="FD235" s="200"/>
      <c r="FE235" s="200"/>
      <c r="FF235" s="200"/>
      <c r="FG235" s="200"/>
      <c r="FH235" s="200"/>
      <c r="FI235" s="200"/>
      <c r="FJ235" s="200"/>
      <c r="FK235" s="200"/>
      <c r="FL235" s="200"/>
      <c r="FM235" s="200"/>
      <c r="FN235" s="200"/>
      <c r="FO235" s="200"/>
      <c r="FP235" s="200"/>
      <c r="FQ235" s="200"/>
      <c r="FR235" s="200"/>
      <c r="FS235" s="200"/>
      <c r="FT235" s="200"/>
      <c r="FU235" s="200"/>
      <c r="FV235" s="200"/>
      <c r="FW235" s="200"/>
      <c r="FX235" s="200"/>
      <c r="FY235" s="200"/>
      <c r="FZ235" s="200"/>
      <c r="GA235" s="200"/>
      <c r="GB235" s="200"/>
      <c r="GC235" s="200"/>
      <c r="GD235" s="200"/>
      <c r="GE235" s="200"/>
      <c r="GF235" s="200"/>
      <c r="GG235" s="200"/>
      <c r="GH235" s="200"/>
      <c r="GI235" s="200"/>
      <c r="GJ235" s="200"/>
      <c r="GK235" s="200"/>
      <c r="GL235" s="200"/>
      <c r="GM235" s="200"/>
      <c r="GN235" s="200"/>
      <c r="GO235" s="200"/>
      <c r="GP235" s="200"/>
      <c r="GQ235" s="200"/>
      <c r="GR235" s="200"/>
      <c r="GS235" s="200"/>
      <c r="GT235" s="200"/>
      <c r="GU235" s="200"/>
      <c r="GV235" s="200"/>
      <c r="GW235" s="200"/>
      <c r="GX235" s="200"/>
      <c r="GY235" s="200"/>
      <c r="GZ235" s="200"/>
      <c r="HA235" s="200"/>
      <c r="HB235" s="200"/>
      <c r="HC235" s="200"/>
      <c r="HD235" s="200"/>
      <c r="HE235" s="200"/>
      <c r="HF235" s="200"/>
      <c r="HG235" s="200"/>
      <c r="HH235" s="200"/>
      <c r="HI235" s="200"/>
      <c r="HJ235" s="200"/>
      <c r="HK235" s="200"/>
      <c r="HL235" s="200"/>
      <c r="HM235" s="200"/>
      <c r="HN235" s="200"/>
      <c r="HO235" s="200"/>
      <c r="HP235" s="200"/>
      <c r="HQ235" s="200"/>
      <c r="HR235" s="200"/>
      <c r="HS235" s="200"/>
      <c r="HT235" s="200"/>
      <c r="HU235" s="200"/>
      <c r="HV235" s="200"/>
      <c r="HW235" s="200"/>
      <c r="HX235" s="200"/>
      <c r="HY235" s="200"/>
      <c r="HZ235" s="200"/>
      <c r="IA235" s="200"/>
      <c r="IB235" s="200"/>
      <c r="IC235" s="200"/>
      <c r="ID235" s="200"/>
      <c r="IE235" s="200"/>
      <c r="IF235" s="200"/>
      <c r="IG235" s="200"/>
      <c r="IH235" s="200"/>
      <c r="II235" s="200"/>
      <c r="IJ235" s="200"/>
      <c r="IK235" s="200"/>
      <c r="IL235" s="200"/>
      <c r="IM235" s="200"/>
      <c r="IN235" s="200"/>
      <c r="IO235" s="200"/>
      <c r="IP235" s="200"/>
      <c r="IQ235" s="200"/>
      <c r="IR235" s="200"/>
      <c r="IS235" s="200"/>
      <c r="IT235" s="200"/>
      <c r="IU235" s="201"/>
      <c r="IV235" s="201"/>
    </row>
    <row r="236" s="10" customFormat="1" ht="15.95" customHeight="1" spans="1:256">
      <c r="A236" s="199">
        <v>16</v>
      </c>
      <c r="B236" s="20" t="s">
        <v>2232</v>
      </c>
      <c r="C236" s="20" t="s">
        <v>2221</v>
      </c>
      <c r="D236" s="199">
        <v>6016</v>
      </c>
      <c r="E236" s="199">
        <f>'05版台时'!S395</f>
        <v>199.815791270093</v>
      </c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200"/>
      <c r="AE236" s="200"/>
      <c r="AF236" s="200"/>
      <c r="AG236" s="200"/>
      <c r="AH236" s="200"/>
      <c r="AI236" s="200"/>
      <c r="AJ236" s="200"/>
      <c r="AK236" s="200"/>
      <c r="AL236" s="200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200"/>
      <c r="BA236" s="200"/>
      <c r="BB236" s="200"/>
      <c r="BC236" s="200"/>
      <c r="BD236" s="200"/>
      <c r="BE236" s="200"/>
      <c r="BF236" s="200"/>
      <c r="BG236" s="200"/>
      <c r="BH236" s="200"/>
      <c r="BI236" s="200"/>
      <c r="BJ236" s="200"/>
      <c r="BK236" s="200"/>
      <c r="BL236" s="200"/>
      <c r="BM236" s="200"/>
      <c r="BN236" s="200"/>
      <c r="BO236" s="200"/>
      <c r="BP236" s="200"/>
      <c r="BQ236" s="200"/>
      <c r="BR236" s="200"/>
      <c r="BS236" s="200"/>
      <c r="BT236" s="200"/>
      <c r="BU236" s="200"/>
      <c r="BV236" s="200"/>
      <c r="BW236" s="200"/>
      <c r="BX236" s="200"/>
      <c r="BY236" s="200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200"/>
      <c r="CX236" s="200"/>
      <c r="CY236" s="200"/>
      <c r="CZ236" s="200"/>
      <c r="DA236" s="200"/>
      <c r="DB236" s="200"/>
      <c r="DC236" s="200"/>
      <c r="DD236" s="200"/>
      <c r="DE236" s="200"/>
      <c r="DF236" s="200"/>
      <c r="DG236" s="200"/>
      <c r="DH236" s="200"/>
      <c r="DI236" s="200"/>
      <c r="DJ236" s="200"/>
      <c r="DK236" s="200"/>
      <c r="DL236" s="200"/>
      <c r="DM236" s="200"/>
      <c r="DN236" s="200"/>
      <c r="DO236" s="200"/>
      <c r="DP236" s="200"/>
      <c r="DQ236" s="200"/>
      <c r="DR236" s="200"/>
      <c r="DS236" s="200"/>
      <c r="DT236" s="200"/>
      <c r="DU236" s="200"/>
      <c r="DV236" s="200"/>
      <c r="DW236" s="200"/>
      <c r="DX236" s="200"/>
      <c r="DY236" s="200"/>
      <c r="DZ236" s="200"/>
      <c r="EA236" s="200"/>
      <c r="EB236" s="200"/>
      <c r="EC236" s="200"/>
      <c r="ED236" s="200"/>
      <c r="EE236" s="200"/>
      <c r="EF236" s="200"/>
      <c r="EG236" s="200"/>
      <c r="EH236" s="200"/>
      <c r="EI236" s="200"/>
      <c r="EJ236" s="200"/>
      <c r="EK236" s="200"/>
      <c r="EL236" s="200"/>
      <c r="EM236" s="200"/>
      <c r="EN236" s="200"/>
      <c r="EO236" s="200"/>
      <c r="EP236" s="200"/>
      <c r="EQ236" s="200"/>
      <c r="ER236" s="200"/>
      <c r="ES236" s="200"/>
      <c r="ET236" s="200"/>
      <c r="EU236" s="200"/>
      <c r="EV236" s="200"/>
      <c r="EW236" s="200"/>
      <c r="EX236" s="200"/>
      <c r="EY236" s="200"/>
      <c r="EZ236" s="200"/>
      <c r="FA236" s="200"/>
      <c r="FB236" s="200"/>
      <c r="FC236" s="200"/>
      <c r="FD236" s="200"/>
      <c r="FE236" s="200"/>
      <c r="FF236" s="200"/>
      <c r="FG236" s="200"/>
      <c r="FH236" s="200"/>
      <c r="FI236" s="200"/>
      <c r="FJ236" s="200"/>
      <c r="FK236" s="200"/>
      <c r="FL236" s="200"/>
      <c r="FM236" s="200"/>
      <c r="FN236" s="200"/>
      <c r="FO236" s="200"/>
      <c r="FP236" s="200"/>
      <c r="FQ236" s="200"/>
      <c r="FR236" s="200"/>
      <c r="FS236" s="200"/>
      <c r="FT236" s="200"/>
      <c r="FU236" s="200"/>
      <c r="FV236" s="200"/>
      <c r="FW236" s="200"/>
      <c r="FX236" s="200"/>
      <c r="FY236" s="200"/>
      <c r="FZ236" s="200"/>
      <c r="GA236" s="200"/>
      <c r="GB236" s="200"/>
      <c r="GC236" s="200"/>
      <c r="GD236" s="200"/>
      <c r="GE236" s="200"/>
      <c r="GF236" s="200"/>
      <c r="GG236" s="200"/>
      <c r="GH236" s="200"/>
      <c r="GI236" s="200"/>
      <c r="GJ236" s="200"/>
      <c r="GK236" s="200"/>
      <c r="GL236" s="200"/>
      <c r="GM236" s="200"/>
      <c r="GN236" s="200"/>
      <c r="GO236" s="200"/>
      <c r="GP236" s="200"/>
      <c r="GQ236" s="200"/>
      <c r="GR236" s="200"/>
      <c r="GS236" s="200"/>
      <c r="GT236" s="200"/>
      <c r="GU236" s="200"/>
      <c r="GV236" s="200"/>
      <c r="GW236" s="200"/>
      <c r="GX236" s="200"/>
      <c r="GY236" s="200"/>
      <c r="GZ236" s="200"/>
      <c r="HA236" s="200"/>
      <c r="HB236" s="200"/>
      <c r="HC236" s="200"/>
      <c r="HD236" s="200"/>
      <c r="HE236" s="200"/>
      <c r="HF236" s="200"/>
      <c r="HG236" s="200"/>
      <c r="HH236" s="200"/>
      <c r="HI236" s="200"/>
      <c r="HJ236" s="200"/>
      <c r="HK236" s="200"/>
      <c r="HL236" s="200"/>
      <c r="HM236" s="200"/>
      <c r="HN236" s="200"/>
      <c r="HO236" s="200"/>
      <c r="HP236" s="200"/>
      <c r="HQ236" s="200"/>
      <c r="HR236" s="200"/>
      <c r="HS236" s="200"/>
      <c r="HT236" s="200"/>
      <c r="HU236" s="200"/>
      <c r="HV236" s="200"/>
      <c r="HW236" s="200"/>
      <c r="HX236" s="200"/>
      <c r="HY236" s="200"/>
      <c r="HZ236" s="200"/>
      <c r="IA236" s="200"/>
      <c r="IB236" s="200"/>
      <c r="IC236" s="200"/>
      <c r="ID236" s="200"/>
      <c r="IE236" s="200"/>
      <c r="IF236" s="200"/>
      <c r="IG236" s="200"/>
      <c r="IH236" s="200"/>
      <c r="II236" s="200"/>
      <c r="IJ236" s="200"/>
      <c r="IK236" s="200"/>
      <c r="IL236" s="200"/>
      <c r="IM236" s="200"/>
      <c r="IN236" s="200"/>
      <c r="IO236" s="200"/>
      <c r="IP236" s="200"/>
      <c r="IQ236" s="200"/>
      <c r="IR236" s="200"/>
      <c r="IS236" s="200"/>
      <c r="IT236" s="200"/>
      <c r="IU236" s="201"/>
      <c r="IV236" s="201"/>
    </row>
    <row r="237" s="10" customFormat="1" ht="15.95" customHeight="1" spans="1:256">
      <c r="A237" s="199">
        <v>17</v>
      </c>
      <c r="B237" s="20" t="s">
        <v>2232</v>
      </c>
      <c r="C237" s="20" t="s">
        <v>2222</v>
      </c>
      <c r="D237" s="199">
        <v>6017</v>
      </c>
      <c r="E237" s="199">
        <f>'05版台时'!T395</f>
        <v>210.237809618717</v>
      </c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200"/>
      <c r="AE237" s="200"/>
      <c r="AF237" s="200"/>
      <c r="AG237" s="200"/>
      <c r="AH237" s="200"/>
      <c r="AI237" s="200"/>
      <c r="AJ237" s="200"/>
      <c r="AK237" s="200"/>
      <c r="AL237" s="200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200"/>
      <c r="AZ237" s="200"/>
      <c r="BA237" s="200"/>
      <c r="BB237" s="200"/>
      <c r="BC237" s="200"/>
      <c r="BD237" s="200"/>
      <c r="BE237" s="200"/>
      <c r="BF237" s="200"/>
      <c r="BG237" s="200"/>
      <c r="BH237" s="200"/>
      <c r="BI237" s="200"/>
      <c r="BJ237" s="200"/>
      <c r="BK237" s="200"/>
      <c r="BL237" s="200"/>
      <c r="BM237" s="200"/>
      <c r="BN237" s="200"/>
      <c r="BO237" s="200"/>
      <c r="BP237" s="200"/>
      <c r="BQ237" s="200"/>
      <c r="BR237" s="200"/>
      <c r="BS237" s="200"/>
      <c r="BT237" s="200"/>
      <c r="BU237" s="200"/>
      <c r="BV237" s="200"/>
      <c r="BW237" s="200"/>
      <c r="BX237" s="200"/>
      <c r="BY237" s="200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200"/>
      <c r="CX237" s="200"/>
      <c r="CY237" s="200"/>
      <c r="CZ237" s="200"/>
      <c r="DA237" s="200"/>
      <c r="DB237" s="200"/>
      <c r="DC237" s="200"/>
      <c r="DD237" s="200"/>
      <c r="DE237" s="200"/>
      <c r="DF237" s="200"/>
      <c r="DG237" s="200"/>
      <c r="DH237" s="200"/>
      <c r="DI237" s="200"/>
      <c r="DJ237" s="200"/>
      <c r="DK237" s="200"/>
      <c r="DL237" s="200"/>
      <c r="DM237" s="200"/>
      <c r="DN237" s="200"/>
      <c r="DO237" s="200"/>
      <c r="DP237" s="200"/>
      <c r="DQ237" s="200"/>
      <c r="DR237" s="200"/>
      <c r="DS237" s="200"/>
      <c r="DT237" s="200"/>
      <c r="DU237" s="200"/>
      <c r="DV237" s="200"/>
      <c r="DW237" s="200"/>
      <c r="DX237" s="200"/>
      <c r="DY237" s="200"/>
      <c r="DZ237" s="200"/>
      <c r="EA237" s="200"/>
      <c r="EB237" s="200"/>
      <c r="EC237" s="200"/>
      <c r="ED237" s="200"/>
      <c r="EE237" s="200"/>
      <c r="EF237" s="200"/>
      <c r="EG237" s="200"/>
      <c r="EH237" s="200"/>
      <c r="EI237" s="200"/>
      <c r="EJ237" s="200"/>
      <c r="EK237" s="200"/>
      <c r="EL237" s="200"/>
      <c r="EM237" s="200"/>
      <c r="EN237" s="200"/>
      <c r="EO237" s="200"/>
      <c r="EP237" s="200"/>
      <c r="EQ237" s="200"/>
      <c r="ER237" s="200"/>
      <c r="ES237" s="200"/>
      <c r="ET237" s="200"/>
      <c r="EU237" s="200"/>
      <c r="EV237" s="200"/>
      <c r="EW237" s="200"/>
      <c r="EX237" s="200"/>
      <c r="EY237" s="200"/>
      <c r="EZ237" s="200"/>
      <c r="FA237" s="200"/>
      <c r="FB237" s="200"/>
      <c r="FC237" s="200"/>
      <c r="FD237" s="200"/>
      <c r="FE237" s="200"/>
      <c r="FF237" s="200"/>
      <c r="FG237" s="200"/>
      <c r="FH237" s="200"/>
      <c r="FI237" s="200"/>
      <c r="FJ237" s="200"/>
      <c r="FK237" s="200"/>
      <c r="FL237" s="200"/>
      <c r="FM237" s="200"/>
      <c r="FN237" s="200"/>
      <c r="FO237" s="200"/>
      <c r="FP237" s="200"/>
      <c r="FQ237" s="200"/>
      <c r="FR237" s="200"/>
      <c r="FS237" s="200"/>
      <c r="FT237" s="200"/>
      <c r="FU237" s="200"/>
      <c r="FV237" s="200"/>
      <c r="FW237" s="200"/>
      <c r="FX237" s="200"/>
      <c r="FY237" s="200"/>
      <c r="FZ237" s="200"/>
      <c r="GA237" s="200"/>
      <c r="GB237" s="200"/>
      <c r="GC237" s="200"/>
      <c r="GD237" s="200"/>
      <c r="GE237" s="200"/>
      <c r="GF237" s="200"/>
      <c r="GG237" s="200"/>
      <c r="GH237" s="200"/>
      <c r="GI237" s="200"/>
      <c r="GJ237" s="200"/>
      <c r="GK237" s="200"/>
      <c r="GL237" s="200"/>
      <c r="GM237" s="200"/>
      <c r="GN237" s="200"/>
      <c r="GO237" s="200"/>
      <c r="GP237" s="200"/>
      <c r="GQ237" s="200"/>
      <c r="GR237" s="200"/>
      <c r="GS237" s="200"/>
      <c r="GT237" s="200"/>
      <c r="GU237" s="200"/>
      <c r="GV237" s="200"/>
      <c r="GW237" s="200"/>
      <c r="GX237" s="200"/>
      <c r="GY237" s="200"/>
      <c r="GZ237" s="200"/>
      <c r="HA237" s="200"/>
      <c r="HB237" s="200"/>
      <c r="HC237" s="200"/>
      <c r="HD237" s="200"/>
      <c r="HE237" s="200"/>
      <c r="HF237" s="200"/>
      <c r="HG237" s="200"/>
      <c r="HH237" s="200"/>
      <c r="HI237" s="200"/>
      <c r="HJ237" s="200"/>
      <c r="HK237" s="200"/>
      <c r="HL237" s="200"/>
      <c r="HM237" s="200"/>
      <c r="HN237" s="200"/>
      <c r="HO237" s="200"/>
      <c r="HP237" s="200"/>
      <c r="HQ237" s="200"/>
      <c r="HR237" s="200"/>
      <c r="HS237" s="200"/>
      <c r="HT237" s="200"/>
      <c r="HU237" s="200"/>
      <c r="HV237" s="200"/>
      <c r="HW237" s="200"/>
      <c r="HX237" s="200"/>
      <c r="HY237" s="200"/>
      <c r="HZ237" s="200"/>
      <c r="IA237" s="200"/>
      <c r="IB237" s="200"/>
      <c r="IC237" s="200"/>
      <c r="ID237" s="200"/>
      <c r="IE237" s="200"/>
      <c r="IF237" s="200"/>
      <c r="IG237" s="200"/>
      <c r="IH237" s="200"/>
      <c r="II237" s="200"/>
      <c r="IJ237" s="200"/>
      <c r="IK237" s="200"/>
      <c r="IL237" s="200"/>
      <c r="IM237" s="200"/>
      <c r="IN237" s="200"/>
      <c r="IO237" s="200"/>
      <c r="IP237" s="200"/>
      <c r="IQ237" s="200"/>
      <c r="IR237" s="200"/>
      <c r="IS237" s="200"/>
      <c r="IT237" s="200"/>
      <c r="IU237" s="201"/>
      <c r="IV237" s="201"/>
    </row>
    <row r="238" s="10" customFormat="1" ht="15.95" customHeight="1" spans="1:256">
      <c r="A238" s="199">
        <v>18</v>
      </c>
      <c r="B238" s="20" t="s">
        <v>2232</v>
      </c>
      <c r="C238" s="20" t="s">
        <v>2225</v>
      </c>
      <c r="D238" s="199">
        <v>6018</v>
      </c>
      <c r="E238" s="199">
        <f>'05版台时'!U395</f>
        <v>271.311579170276</v>
      </c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200"/>
      <c r="AE238" s="200"/>
      <c r="AF238" s="200"/>
      <c r="AG238" s="200"/>
      <c r="AH238" s="200"/>
      <c r="AI238" s="200"/>
      <c r="AJ238" s="200"/>
      <c r="AK238" s="200"/>
      <c r="AL238" s="200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200"/>
      <c r="AZ238" s="200"/>
      <c r="BA238" s="200"/>
      <c r="BB238" s="200"/>
      <c r="BC238" s="200"/>
      <c r="BD238" s="200"/>
      <c r="BE238" s="200"/>
      <c r="BF238" s="200"/>
      <c r="BG238" s="200"/>
      <c r="BH238" s="200"/>
      <c r="BI238" s="200"/>
      <c r="BJ238" s="200"/>
      <c r="BK238" s="200"/>
      <c r="BL238" s="200"/>
      <c r="BM238" s="200"/>
      <c r="BN238" s="200"/>
      <c r="BO238" s="200"/>
      <c r="BP238" s="200"/>
      <c r="BQ238" s="200"/>
      <c r="BR238" s="200"/>
      <c r="BS238" s="200"/>
      <c r="BT238" s="200"/>
      <c r="BU238" s="200"/>
      <c r="BV238" s="200"/>
      <c r="BW238" s="200"/>
      <c r="BX238" s="200"/>
      <c r="BY238" s="200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200"/>
      <c r="CX238" s="200"/>
      <c r="CY238" s="200"/>
      <c r="CZ238" s="200"/>
      <c r="DA238" s="200"/>
      <c r="DB238" s="200"/>
      <c r="DC238" s="200"/>
      <c r="DD238" s="200"/>
      <c r="DE238" s="200"/>
      <c r="DF238" s="200"/>
      <c r="DG238" s="200"/>
      <c r="DH238" s="200"/>
      <c r="DI238" s="200"/>
      <c r="DJ238" s="200"/>
      <c r="DK238" s="200"/>
      <c r="DL238" s="200"/>
      <c r="DM238" s="200"/>
      <c r="DN238" s="200"/>
      <c r="DO238" s="200"/>
      <c r="DP238" s="200"/>
      <c r="DQ238" s="200"/>
      <c r="DR238" s="200"/>
      <c r="DS238" s="200"/>
      <c r="DT238" s="200"/>
      <c r="DU238" s="200"/>
      <c r="DV238" s="200"/>
      <c r="DW238" s="200"/>
      <c r="DX238" s="200"/>
      <c r="DY238" s="200"/>
      <c r="DZ238" s="200"/>
      <c r="EA238" s="200"/>
      <c r="EB238" s="200"/>
      <c r="EC238" s="200"/>
      <c r="ED238" s="200"/>
      <c r="EE238" s="200"/>
      <c r="EF238" s="200"/>
      <c r="EG238" s="200"/>
      <c r="EH238" s="200"/>
      <c r="EI238" s="200"/>
      <c r="EJ238" s="200"/>
      <c r="EK238" s="200"/>
      <c r="EL238" s="200"/>
      <c r="EM238" s="200"/>
      <c r="EN238" s="200"/>
      <c r="EO238" s="200"/>
      <c r="EP238" s="200"/>
      <c r="EQ238" s="200"/>
      <c r="ER238" s="200"/>
      <c r="ES238" s="200"/>
      <c r="ET238" s="200"/>
      <c r="EU238" s="200"/>
      <c r="EV238" s="200"/>
      <c r="EW238" s="200"/>
      <c r="EX238" s="200"/>
      <c r="EY238" s="200"/>
      <c r="EZ238" s="200"/>
      <c r="FA238" s="200"/>
      <c r="FB238" s="200"/>
      <c r="FC238" s="200"/>
      <c r="FD238" s="200"/>
      <c r="FE238" s="200"/>
      <c r="FF238" s="200"/>
      <c r="FG238" s="200"/>
      <c r="FH238" s="200"/>
      <c r="FI238" s="200"/>
      <c r="FJ238" s="200"/>
      <c r="FK238" s="200"/>
      <c r="FL238" s="200"/>
      <c r="FM238" s="200"/>
      <c r="FN238" s="200"/>
      <c r="FO238" s="200"/>
      <c r="FP238" s="200"/>
      <c r="FQ238" s="200"/>
      <c r="FR238" s="200"/>
      <c r="FS238" s="200"/>
      <c r="FT238" s="200"/>
      <c r="FU238" s="200"/>
      <c r="FV238" s="200"/>
      <c r="FW238" s="200"/>
      <c r="FX238" s="200"/>
      <c r="FY238" s="200"/>
      <c r="FZ238" s="200"/>
      <c r="GA238" s="200"/>
      <c r="GB238" s="200"/>
      <c r="GC238" s="200"/>
      <c r="GD238" s="200"/>
      <c r="GE238" s="200"/>
      <c r="GF238" s="200"/>
      <c r="GG238" s="200"/>
      <c r="GH238" s="200"/>
      <c r="GI238" s="200"/>
      <c r="GJ238" s="200"/>
      <c r="GK238" s="200"/>
      <c r="GL238" s="200"/>
      <c r="GM238" s="200"/>
      <c r="GN238" s="200"/>
      <c r="GO238" s="200"/>
      <c r="GP238" s="200"/>
      <c r="GQ238" s="200"/>
      <c r="GR238" s="200"/>
      <c r="GS238" s="200"/>
      <c r="GT238" s="200"/>
      <c r="GU238" s="200"/>
      <c r="GV238" s="200"/>
      <c r="GW238" s="200"/>
      <c r="GX238" s="200"/>
      <c r="GY238" s="200"/>
      <c r="GZ238" s="200"/>
      <c r="HA238" s="200"/>
      <c r="HB238" s="200"/>
      <c r="HC238" s="200"/>
      <c r="HD238" s="200"/>
      <c r="HE238" s="200"/>
      <c r="HF238" s="200"/>
      <c r="HG238" s="200"/>
      <c r="HH238" s="200"/>
      <c r="HI238" s="200"/>
      <c r="HJ238" s="200"/>
      <c r="HK238" s="200"/>
      <c r="HL238" s="200"/>
      <c r="HM238" s="200"/>
      <c r="HN238" s="200"/>
      <c r="HO238" s="200"/>
      <c r="HP238" s="200"/>
      <c r="HQ238" s="200"/>
      <c r="HR238" s="200"/>
      <c r="HS238" s="200"/>
      <c r="HT238" s="200"/>
      <c r="HU238" s="200"/>
      <c r="HV238" s="200"/>
      <c r="HW238" s="200"/>
      <c r="HX238" s="200"/>
      <c r="HY238" s="200"/>
      <c r="HZ238" s="200"/>
      <c r="IA238" s="200"/>
      <c r="IB238" s="200"/>
      <c r="IC238" s="200"/>
      <c r="ID238" s="200"/>
      <c r="IE238" s="200"/>
      <c r="IF238" s="200"/>
      <c r="IG238" s="200"/>
      <c r="IH238" s="200"/>
      <c r="II238" s="200"/>
      <c r="IJ238" s="200"/>
      <c r="IK238" s="200"/>
      <c r="IL238" s="200"/>
      <c r="IM238" s="200"/>
      <c r="IN238" s="200"/>
      <c r="IO238" s="200"/>
      <c r="IP238" s="200"/>
      <c r="IQ238" s="200"/>
      <c r="IR238" s="200"/>
      <c r="IS238" s="200"/>
      <c r="IT238" s="200"/>
      <c r="IU238" s="201"/>
      <c r="IV238" s="201"/>
    </row>
    <row r="239" s="10" customFormat="1" ht="15.95" customHeight="1" spans="1:256">
      <c r="A239" s="199">
        <v>19</v>
      </c>
      <c r="B239" s="20" t="s">
        <v>2232</v>
      </c>
      <c r="C239" s="20" t="s">
        <v>2226</v>
      </c>
      <c r="D239" s="199">
        <v>6019</v>
      </c>
      <c r="E239" s="199">
        <f>'05版台时'!V395</f>
        <v>288.953781005139</v>
      </c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  <c r="AA239" s="200"/>
      <c r="AB239" s="200"/>
      <c r="AC239" s="200"/>
      <c r="AD239" s="200"/>
      <c r="AE239" s="200"/>
      <c r="AF239" s="200"/>
      <c r="AG239" s="200"/>
      <c r="AH239" s="200"/>
      <c r="AI239" s="200"/>
      <c r="AJ239" s="200"/>
      <c r="AK239" s="200"/>
      <c r="AL239" s="200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200"/>
      <c r="BA239" s="200"/>
      <c r="BB239" s="200"/>
      <c r="BC239" s="200"/>
      <c r="BD239" s="200"/>
      <c r="BE239" s="200"/>
      <c r="BF239" s="200"/>
      <c r="BG239" s="200"/>
      <c r="BH239" s="200"/>
      <c r="BI239" s="200"/>
      <c r="BJ239" s="200"/>
      <c r="BK239" s="200"/>
      <c r="BL239" s="200"/>
      <c r="BM239" s="200"/>
      <c r="BN239" s="200"/>
      <c r="BO239" s="200"/>
      <c r="BP239" s="200"/>
      <c r="BQ239" s="200"/>
      <c r="BR239" s="200"/>
      <c r="BS239" s="200"/>
      <c r="BT239" s="200"/>
      <c r="BU239" s="200"/>
      <c r="BV239" s="200"/>
      <c r="BW239" s="200"/>
      <c r="BX239" s="200"/>
      <c r="BY239" s="200"/>
      <c r="BZ239" s="200"/>
      <c r="CA239" s="200"/>
      <c r="CB239" s="200"/>
      <c r="CC239" s="200"/>
      <c r="CD239" s="200"/>
      <c r="CE239" s="200"/>
      <c r="CF239" s="200"/>
      <c r="CG239" s="200"/>
      <c r="CH239" s="200"/>
      <c r="CI239" s="200"/>
      <c r="CJ239" s="200"/>
      <c r="CK239" s="200"/>
      <c r="CL239" s="200"/>
      <c r="CM239" s="200"/>
      <c r="CN239" s="200"/>
      <c r="CO239" s="200"/>
      <c r="CP239" s="200"/>
      <c r="CQ239" s="200"/>
      <c r="CR239" s="200"/>
      <c r="CS239" s="200"/>
      <c r="CT239" s="200"/>
      <c r="CU239" s="200"/>
      <c r="CV239" s="200"/>
      <c r="CW239" s="200"/>
      <c r="CX239" s="200"/>
      <c r="CY239" s="200"/>
      <c r="CZ239" s="200"/>
      <c r="DA239" s="200"/>
      <c r="DB239" s="200"/>
      <c r="DC239" s="200"/>
      <c r="DD239" s="200"/>
      <c r="DE239" s="200"/>
      <c r="DF239" s="200"/>
      <c r="DG239" s="200"/>
      <c r="DH239" s="200"/>
      <c r="DI239" s="200"/>
      <c r="DJ239" s="200"/>
      <c r="DK239" s="200"/>
      <c r="DL239" s="200"/>
      <c r="DM239" s="200"/>
      <c r="DN239" s="200"/>
      <c r="DO239" s="200"/>
      <c r="DP239" s="200"/>
      <c r="DQ239" s="200"/>
      <c r="DR239" s="200"/>
      <c r="DS239" s="200"/>
      <c r="DT239" s="200"/>
      <c r="DU239" s="200"/>
      <c r="DV239" s="200"/>
      <c r="DW239" s="200"/>
      <c r="DX239" s="200"/>
      <c r="DY239" s="200"/>
      <c r="DZ239" s="200"/>
      <c r="EA239" s="200"/>
      <c r="EB239" s="200"/>
      <c r="EC239" s="200"/>
      <c r="ED239" s="200"/>
      <c r="EE239" s="200"/>
      <c r="EF239" s="200"/>
      <c r="EG239" s="200"/>
      <c r="EH239" s="200"/>
      <c r="EI239" s="200"/>
      <c r="EJ239" s="200"/>
      <c r="EK239" s="200"/>
      <c r="EL239" s="200"/>
      <c r="EM239" s="200"/>
      <c r="EN239" s="200"/>
      <c r="EO239" s="200"/>
      <c r="EP239" s="200"/>
      <c r="EQ239" s="200"/>
      <c r="ER239" s="200"/>
      <c r="ES239" s="200"/>
      <c r="ET239" s="200"/>
      <c r="EU239" s="200"/>
      <c r="EV239" s="200"/>
      <c r="EW239" s="200"/>
      <c r="EX239" s="200"/>
      <c r="EY239" s="200"/>
      <c r="EZ239" s="200"/>
      <c r="FA239" s="200"/>
      <c r="FB239" s="200"/>
      <c r="FC239" s="200"/>
      <c r="FD239" s="200"/>
      <c r="FE239" s="200"/>
      <c r="FF239" s="200"/>
      <c r="FG239" s="200"/>
      <c r="FH239" s="200"/>
      <c r="FI239" s="200"/>
      <c r="FJ239" s="200"/>
      <c r="FK239" s="200"/>
      <c r="FL239" s="200"/>
      <c r="FM239" s="200"/>
      <c r="FN239" s="200"/>
      <c r="FO239" s="200"/>
      <c r="FP239" s="200"/>
      <c r="FQ239" s="200"/>
      <c r="FR239" s="200"/>
      <c r="FS239" s="200"/>
      <c r="FT239" s="200"/>
      <c r="FU239" s="200"/>
      <c r="FV239" s="200"/>
      <c r="FW239" s="200"/>
      <c r="FX239" s="200"/>
      <c r="FY239" s="200"/>
      <c r="FZ239" s="200"/>
      <c r="GA239" s="200"/>
      <c r="GB239" s="200"/>
      <c r="GC239" s="200"/>
      <c r="GD239" s="200"/>
      <c r="GE239" s="200"/>
      <c r="GF239" s="200"/>
      <c r="GG239" s="200"/>
      <c r="GH239" s="200"/>
      <c r="GI239" s="200"/>
      <c r="GJ239" s="200"/>
      <c r="GK239" s="200"/>
      <c r="GL239" s="200"/>
      <c r="GM239" s="200"/>
      <c r="GN239" s="200"/>
      <c r="GO239" s="200"/>
      <c r="GP239" s="200"/>
      <c r="GQ239" s="200"/>
      <c r="GR239" s="200"/>
      <c r="GS239" s="200"/>
      <c r="GT239" s="200"/>
      <c r="GU239" s="200"/>
      <c r="GV239" s="200"/>
      <c r="GW239" s="200"/>
      <c r="GX239" s="200"/>
      <c r="GY239" s="200"/>
      <c r="GZ239" s="200"/>
      <c r="HA239" s="200"/>
      <c r="HB239" s="200"/>
      <c r="HC239" s="200"/>
      <c r="HD239" s="200"/>
      <c r="HE239" s="200"/>
      <c r="HF239" s="200"/>
      <c r="HG239" s="200"/>
      <c r="HH239" s="200"/>
      <c r="HI239" s="200"/>
      <c r="HJ239" s="200"/>
      <c r="HK239" s="200"/>
      <c r="HL239" s="200"/>
      <c r="HM239" s="200"/>
      <c r="HN239" s="200"/>
      <c r="HO239" s="200"/>
      <c r="HP239" s="200"/>
      <c r="HQ239" s="200"/>
      <c r="HR239" s="200"/>
      <c r="HS239" s="200"/>
      <c r="HT239" s="200"/>
      <c r="HU239" s="200"/>
      <c r="HV239" s="200"/>
      <c r="HW239" s="200"/>
      <c r="HX239" s="200"/>
      <c r="HY239" s="200"/>
      <c r="HZ239" s="200"/>
      <c r="IA239" s="200"/>
      <c r="IB239" s="200"/>
      <c r="IC239" s="200"/>
      <c r="ID239" s="200"/>
      <c r="IE239" s="200"/>
      <c r="IF239" s="200"/>
      <c r="IG239" s="200"/>
      <c r="IH239" s="200"/>
      <c r="II239" s="200"/>
      <c r="IJ239" s="200"/>
      <c r="IK239" s="200"/>
      <c r="IL239" s="200"/>
      <c r="IM239" s="200"/>
      <c r="IN239" s="200"/>
      <c r="IO239" s="200"/>
      <c r="IP239" s="200"/>
      <c r="IQ239" s="200"/>
      <c r="IR239" s="200"/>
      <c r="IS239" s="200"/>
      <c r="IT239" s="200"/>
      <c r="IU239" s="201"/>
      <c r="IV239" s="201"/>
    </row>
    <row r="240" s="10" customFormat="1" ht="15.95" customHeight="1" spans="1:256">
      <c r="A240" s="199">
        <v>20</v>
      </c>
      <c r="B240" s="20" t="s">
        <v>2232</v>
      </c>
      <c r="C240" s="20" t="s">
        <v>2227</v>
      </c>
      <c r="D240" s="199">
        <v>6020</v>
      </c>
      <c r="E240" s="199">
        <f>'05版台时'!W395</f>
        <v>314.762275491663</v>
      </c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  <c r="AA240" s="200"/>
      <c r="AB240" s="200"/>
      <c r="AC240" s="200"/>
      <c r="AD240" s="200"/>
      <c r="AE240" s="200"/>
      <c r="AF240" s="200"/>
      <c r="AG240" s="200"/>
      <c r="AH240" s="200"/>
      <c r="AI240" s="200"/>
      <c r="AJ240" s="200"/>
      <c r="AK240" s="200"/>
      <c r="AL240" s="200"/>
      <c r="AM240" s="200"/>
      <c r="AN240" s="200"/>
      <c r="AO240" s="200"/>
      <c r="AP240" s="200"/>
      <c r="AQ240" s="200"/>
      <c r="AR240" s="200"/>
      <c r="AS240" s="200"/>
      <c r="AT240" s="200"/>
      <c r="AU240" s="200"/>
      <c r="AV240" s="200"/>
      <c r="AW240" s="200"/>
      <c r="AX240" s="200"/>
      <c r="AY240" s="200"/>
      <c r="AZ240" s="200"/>
      <c r="BA240" s="200"/>
      <c r="BB240" s="200"/>
      <c r="BC240" s="200"/>
      <c r="BD240" s="200"/>
      <c r="BE240" s="200"/>
      <c r="BF240" s="200"/>
      <c r="BG240" s="200"/>
      <c r="BH240" s="200"/>
      <c r="BI240" s="200"/>
      <c r="BJ240" s="200"/>
      <c r="BK240" s="200"/>
      <c r="BL240" s="200"/>
      <c r="BM240" s="200"/>
      <c r="BN240" s="200"/>
      <c r="BO240" s="200"/>
      <c r="BP240" s="200"/>
      <c r="BQ240" s="200"/>
      <c r="BR240" s="200"/>
      <c r="BS240" s="200"/>
      <c r="BT240" s="200"/>
      <c r="BU240" s="200"/>
      <c r="BV240" s="200"/>
      <c r="BW240" s="200"/>
      <c r="BX240" s="200"/>
      <c r="BY240" s="200"/>
      <c r="BZ240" s="200"/>
      <c r="CA240" s="200"/>
      <c r="CB240" s="200"/>
      <c r="CC240" s="200"/>
      <c r="CD240" s="200"/>
      <c r="CE240" s="200"/>
      <c r="CF240" s="200"/>
      <c r="CG240" s="200"/>
      <c r="CH240" s="200"/>
      <c r="CI240" s="200"/>
      <c r="CJ240" s="200"/>
      <c r="CK240" s="200"/>
      <c r="CL240" s="200"/>
      <c r="CM240" s="200"/>
      <c r="CN240" s="200"/>
      <c r="CO240" s="200"/>
      <c r="CP240" s="200"/>
      <c r="CQ240" s="200"/>
      <c r="CR240" s="200"/>
      <c r="CS240" s="200"/>
      <c r="CT240" s="200"/>
      <c r="CU240" s="200"/>
      <c r="CV240" s="200"/>
      <c r="CW240" s="200"/>
      <c r="CX240" s="200"/>
      <c r="CY240" s="200"/>
      <c r="CZ240" s="200"/>
      <c r="DA240" s="200"/>
      <c r="DB240" s="200"/>
      <c r="DC240" s="200"/>
      <c r="DD240" s="200"/>
      <c r="DE240" s="200"/>
      <c r="DF240" s="200"/>
      <c r="DG240" s="200"/>
      <c r="DH240" s="200"/>
      <c r="DI240" s="200"/>
      <c r="DJ240" s="200"/>
      <c r="DK240" s="200"/>
      <c r="DL240" s="200"/>
      <c r="DM240" s="200"/>
      <c r="DN240" s="200"/>
      <c r="DO240" s="200"/>
      <c r="DP240" s="200"/>
      <c r="DQ240" s="200"/>
      <c r="DR240" s="200"/>
      <c r="DS240" s="200"/>
      <c r="DT240" s="200"/>
      <c r="DU240" s="200"/>
      <c r="DV240" s="200"/>
      <c r="DW240" s="200"/>
      <c r="DX240" s="200"/>
      <c r="DY240" s="200"/>
      <c r="DZ240" s="200"/>
      <c r="EA240" s="200"/>
      <c r="EB240" s="200"/>
      <c r="EC240" s="200"/>
      <c r="ED240" s="200"/>
      <c r="EE240" s="200"/>
      <c r="EF240" s="200"/>
      <c r="EG240" s="200"/>
      <c r="EH240" s="200"/>
      <c r="EI240" s="200"/>
      <c r="EJ240" s="200"/>
      <c r="EK240" s="200"/>
      <c r="EL240" s="200"/>
      <c r="EM240" s="200"/>
      <c r="EN240" s="200"/>
      <c r="EO240" s="200"/>
      <c r="EP240" s="200"/>
      <c r="EQ240" s="200"/>
      <c r="ER240" s="200"/>
      <c r="ES240" s="200"/>
      <c r="ET240" s="200"/>
      <c r="EU240" s="200"/>
      <c r="EV240" s="200"/>
      <c r="EW240" s="200"/>
      <c r="EX240" s="200"/>
      <c r="EY240" s="200"/>
      <c r="EZ240" s="200"/>
      <c r="FA240" s="200"/>
      <c r="FB240" s="200"/>
      <c r="FC240" s="200"/>
      <c r="FD240" s="200"/>
      <c r="FE240" s="200"/>
      <c r="FF240" s="200"/>
      <c r="FG240" s="200"/>
      <c r="FH240" s="200"/>
      <c r="FI240" s="200"/>
      <c r="FJ240" s="200"/>
      <c r="FK240" s="200"/>
      <c r="FL240" s="200"/>
      <c r="FM240" s="200"/>
      <c r="FN240" s="200"/>
      <c r="FO240" s="200"/>
      <c r="FP240" s="200"/>
      <c r="FQ240" s="200"/>
      <c r="FR240" s="200"/>
      <c r="FS240" s="200"/>
      <c r="FT240" s="200"/>
      <c r="FU240" s="200"/>
      <c r="FV240" s="200"/>
      <c r="FW240" s="200"/>
      <c r="FX240" s="200"/>
      <c r="FY240" s="200"/>
      <c r="FZ240" s="200"/>
      <c r="GA240" s="200"/>
      <c r="GB240" s="200"/>
      <c r="GC240" s="200"/>
      <c r="GD240" s="200"/>
      <c r="GE240" s="200"/>
      <c r="GF240" s="200"/>
      <c r="GG240" s="200"/>
      <c r="GH240" s="200"/>
      <c r="GI240" s="200"/>
      <c r="GJ240" s="200"/>
      <c r="GK240" s="200"/>
      <c r="GL240" s="200"/>
      <c r="GM240" s="200"/>
      <c r="GN240" s="200"/>
      <c r="GO240" s="200"/>
      <c r="GP240" s="200"/>
      <c r="GQ240" s="200"/>
      <c r="GR240" s="200"/>
      <c r="GS240" s="200"/>
      <c r="GT240" s="200"/>
      <c r="GU240" s="200"/>
      <c r="GV240" s="200"/>
      <c r="GW240" s="200"/>
      <c r="GX240" s="200"/>
      <c r="GY240" s="200"/>
      <c r="GZ240" s="200"/>
      <c r="HA240" s="200"/>
      <c r="HB240" s="200"/>
      <c r="HC240" s="200"/>
      <c r="HD240" s="200"/>
      <c r="HE240" s="200"/>
      <c r="HF240" s="200"/>
      <c r="HG240" s="200"/>
      <c r="HH240" s="200"/>
      <c r="HI240" s="200"/>
      <c r="HJ240" s="200"/>
      <c r="HK240" s="200"/>
      <c r="HL240" s="200"/>
      <c r="HM240" s="200"/>
      <c r="HN240" s="200"/>
      <c r="HO240" s="200"/>
      <c r="HP240" s="200"/>
      <c r="HQ240" s="200"/>
      <c r="HR240" s="200"/>
      <c r="HS240" s="200"/>
      <c r="HT240" s="200"/>
      <c r="HU240" s="200"/>
      <c r="HV240" s="200"/>
      <c r="HW240" s="200"/>
      <c r="HX240" s="200"/>
      <c r="HY240" s="200"/>
      <c r="HZ240" s="200"/>
      <c r="IA240" s="200"/>
      <c r="IB240" s="200"/>
      <c r="IC240" s="200"/>
      <c r="ID240" s="200"/>
      <c r="IE240" s="200"/>
      <c r="IF240" s="200"/>
      <c r="IG240" s="200"/>
      <c r="IH240" s="200"/>
      <c r="II240" s="200"/>
      <c r="IJ240" s="200"/>
      <c r="IK240" s="200"/>
      <c r="IL240" s="200"/>
      <c r="IM240" s="200"/>
      <c r="IN240" s="200"/>
      <c r="IO240" s="200"/>
      <c r="IP240" s="200"/>
      <c r="IQ240" s="200"/>
      <c r="IR240" s="200"/>
      <c r="IS240" s="200"/>
      <c r="IT240" s="200"/>
      <c r="IU240" s="201"/>
      <c r="IV240" s="201"/>
    </row>
    <row r="241" s="10" customFormat="1" ht="15.95" customHeight="1" spans="1:256">
      <c r="A241" s="199">
        <v>21</v>
      </c>
      <c r="B241" s="20" t="s">
        <v>2232</v>
      </c>
      <c r="C241" s="20" t="s">
        <v>2228</v>
      </c>
      <c r="D241" s="199">
        <v>6021</v>
      </c>
      <c r="E241" s="199">
        <f>'05版台时'!X395</f>
        <v>337.734752555883</v>
      </c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200"/>
      <c r="AI241" s="200"/>
      <c r="AJ241" s="200"/>
      <c r="AK241" s="200"/>
      <c r="AL241" s="200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200"/>
      <c r="BD241" s="200"/>
      <c r="BE241" s="200"/>
      <c r="BF241" s="200"/>
      <c r="BG241" s="200"/>
      <c r="BH241" s="200"/>
      <c r="BI241" s="200"/>
      <c r="BJ241" s="200"/>
      <c r="BK241" s="200"/>
      <c r="BL241" s="200"/>
      <c r="BM241" s="200"/>
      <c r="BN241" s="200"/>
      <c r="BO241" s="200"/>
      <c r="BP241" s="200"/>
      <c r="BQ241" s="200"/>
      <c r="BR241" s="200"/>
      <c r="BS241" s="200"/>
      <c r="BT241" s="200"/>
      <c r="BU241" s="200"/>
      <c r="BV241" s="200"/>
      <c r="BW241" s="200"/>
      <c r="BX241" s="200"/>
      <c r="BY241" s="200"/>
      <c r="BZ241" s="200"/>
      <c r="CA241" s="200"/>
      <c r="CB241" s="200"/>
      <c r="CC241" s="200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0"/>
      <c r="CN241" s="200"/>
      <c r="CO241" s="200"/>
      <c r="CP241" s="200"/>
      <c r="CQ241" s="200"/>
      <c r="CR241" s="200"/>
      <c r="CS241" s="200"/>
      <c r="CT241" s="200"/>
      <c r="CU241" s="200"/>
      <c r="CV241" s="200"/>
      <c r="CW241" s="200"/>
      <c r="CX241" s="200"/>
      <c r="CY241" s="200"/>
      <c r="CZ241" s="200"/>
      <c r="DA241" s="200"/>
      <c r="DB241" s="200"/>
      <c r="DC241" s="200"/>
      <c r="DD241" s="200"/>
      <c r="DE241" s="200"/>
      <c r="DF241" s="200"/>
      <c r="DG241" s="200"/>
      <c r="DH241" s="200"/>
      <c r="DI241" s="200"/>
      <c r="DJ241" s="200"/>
      <c r="DK241" s="200"/>
      <c r="DL241" s="200"/>
      <c r="DM241" s="200"/>
      <c r="DN241" s="200"/>
      <c r="DO241" s="200"/>
      <c r="DP241" s="200"/>
      <c r="DQ241" s="200"/>
      <c r="DR241" s="200"/>
      <c r="DS241" s="200"/>
      <c r="DT241" s="200"/>
      <c r="DU241" s="200"/>
      <c r="DV241" s="200"/>
      <c r="DW241" s="200"/>
      <c r="DX241" s="200"/>
      <c r="DY241" s="200"/>
      <c r="DZ241" s="200"/>
      <c r="EA241" s="200"/>
      <c r="EB241" s="200"/>
      <c r="EC241" s="200"/>
      <c r="ED241" s="200"/>
      <c r="EE241" s="200"/>
      <c r="EF241" s="200"/>
      <c r="EG241" s="200"/>
      <c r="EH241" s="200"/>
      <c r="EI241" s="200"/>
      <c r="EJ241" s="200"/>
      <c r="EK241" s="200"/>
      <c r="EL241" s="200"/>
      <c r="EM241" s="200"/>
      <c r="EN241" s="200"/>
      <c r="EO241" s="200"/>
      <c r="EP241" s="200"/>
      <c r="EQ241" s="200"/>
      <c r="ER241" s="200"/>
      <c r="ES241" s="200"/>
      <c r="ET241" s="200"/>
      <c r="EU241" s="200"/>
      <c r="EV241" s="200"/>
      <c r="EW241" s="200"/>
      <c r="EX241" s="200"/>
      <c r="EY241" s="200"/>
      <c r="EZ241" s="200"/>
      <c r="FA241" s="200"/>
      <c r="FB241" s="200"/>
      <c r="FC241" s="200"/>
      <c r="FD241" s="200"/>
      <c r="FE241" s="200"/>
      <c r="FF241" s="200"/>
      <c r="FG241" s="200"/>
      <c r="FH241" s="200"/>
      <c r="FI241" s="200"/>
      <c r="FJ241" s="200"/>
      <c r="FK241" s="200"/>
      <c r="FL241" s="200"/>
      <c r="FM241" s="200"/>
      <c r="FN241" s="200"/>
      <c r="FO241" s="200"/>
      <c r="FP241" s="200"/>
      <c r="FQ241" s="200"/>
      <c r="FR241" s="200"/>
      <c r="FS241" s="200"/>
      <c r="FT241" s="200"/>
      <c r="FU241" s="200"/>
      <c r="FV241" s="200"/>
      <c r="FW241" s="200"/>
      <c r="FX241" s="200"/>
      <c r="FY241" s="200"/>
      <c r="FZ241" s="200"/>
      <c r="GA241" s="200"/>
      <c r="GB241" s="200"/>
      <c r="GC241" s="200"/>
      <c r="GD241" s="200"/>
      <c r="GE241" s="200"/>
      <c r="GF241" s="200"/>
      <c r="GG241" s="200"/>
      <c r="GH241" s="200"/>
      <c r="GI241" s="200"/>
      <c r="GJ241" s="200"/>
      <c r="GK241" s="200"/>
      <c r="GL241" s="200"/>
      <c r="GM241" s="200"/>
      <c r="GN241" s="200"/>
      <c r="GO241" s="200"/>
      <c r="GP241" s="200"/>
      <c r="GQ241" s="200"/>
      <c r="GR241" s="200"/>
      <c r="GS241" s="200"/>
      <c r="GT241" s="200"/>
      <c r="GU241" s="200"/>
      <c r="GV241" s="200"/>
      <c r="GW241" s="200"/>
      <c r="GX241" s="200"/>
      <c r="GY241" s="200"/>
      <c r="GZ241" s="200"/>
      <c r="HA241" s="200"/>
      <c r="HB241" s="200"/>
      <c r="HC241" s="200"/>
      <c r="HD241" s="200"/>
      <c r="HE241" s="200"/>
      <c r="HF241" s="200"/>
      <c r="HG241" s="200"/>
      <c r="HH241" s="200"/>
      <c r="HI241" s="200"/>
      <c r="HJ241" s="200"/>
      <c r="HK241" s="200"/>
      <c r="HL241" s="200"/>
      <c r="HM241" s="200"/>
      <c r="HN241" s="200"/>
      <c r="HO241" s="200"/>
      <c r="HP241" s="200"/>
      <c r="HQ241" s="200"/>
      <c r="HR241" s="200"/>
      <c r="HS241" s="200"/>
      <c r="HT241" s="200"/>
      <c r="HU241" s="200"/>
      <c r="HV241" s="200"/>
      <c r="HW241" s="200"/>
      <c r="HX241" s="200"/>
      <c r="HY241" s="200"/>
      <c r="HZ241" s="200"/>
      <c r="IA241" s="200"/>
      <c r="IB241" s="200"/>
      <c r="IC241" s="200"/>
      <c r="ID241" s="200"/>
      <c r="IE241" s="200"/>
      <c r="IF241" s="200"/>
      <c r="IG241" s="200"/>
      <c r="IH241" s="200"/>
      <c r="II241" s="200"/>
      <c r="IJ241" s="200"/>
      <c r="IK241" s="200"/>
      <c r="IL241" s="200"/>
      <c r="IM241" s="200"/>
      <c r="IN241" s="200"/>
      <c r="IO241" s="200"/>
      <c r="IP241" s="200"/>
      <c r="IQ241" s="200"/>
      <c r="IR241" s="200"/>
      <c r="IS241" s="200"/>
      <c r="IT241" s="200"/>
      <c r="IU241" s="201"/>
      <c r="IV241" s="201"/>
    </row>
    <row r="242" s="10" customFormat="1" ht="15.95" customHeight="1" spans="1:256">
      <c r="A242" s="199">
        <v>22</v>
      </c>
      <c r="B242" s="20" t="s">
        <v>2232</v>
      </c>
      <c r="C242" s="20" t="s">
        <v>2233</v>
      </c>
      <c r="D242" s="199">
        <v>6022</v>
      </c>
      <c r="E242" s="199">
        <f>'05版台时'!Y395</f>
        <v>388.636367248005</v>
      </c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  <c r="AA242" s="200"/>
      <c r="AB242" s="200"/>
      <c r="AC242" s="200"/>
      <c r="AD242" s="200"/>
      <c r="AE242" s="200"/>
      <c r="AF242" s="200"/>
      <c r="AG242" s="200"/>
      <c r="AH242" s="200"/>
      <c r="AI242" s="200"/>
      <c r="AJ242" s="200"/>
      <c r="AK242" s="200"/>
      <c r="AL242" s="200"/>
      <c r="AM242" s="200"/>
      <c r="AN242" s="200"/>
      <c r="AO242" s="200"/>
      <c r="AP242" s="200"/>
      <c r="AQ242" s="200"/>
      <c r="AR242" s="200"/>
      <c r="AS242" s="200"/>
      <c r="AT242" s="200"/>
      <c r="AU242" s="200"/>
      <c r="AV242" s="200"/>
      <c r="AW242" s="200"/>
      <c r="AX242" s="200"/>
      <c r="AY242" s="200"/>
      <c r="AZ242" s="200"/>
      <c r="BA242" s="200"/>
      <c r="BB242" s="200"/>
      <c r="BC242" s="200"/>
      <c r="BD242" s="200"/>
      <c r="BE242" s="200"/>
      <c r="BF242" s="200"/>
      <c r="BG242" s="200"/>
      <c r="BH242" s="200"/>
      <c r="BI242" s="200"/>
      <c r="BJ242" s="200"/>
      <c r="BK242" s="200"/>
      <c r="BL242" s="200"/>
      <c r="BM242" s="200"/>
      <c r="BN242" s="200"/>
      <c r="BO242" s="200"/>
      <c r="BP242" s="200"/>
      <c r="BQ242" s="200"/>
      <c r="BR242" s="200"/>
      <c r="BS242" s="200"/>
      <c r="BT242" s="200"/>
      <c r="BU242" s="200"/>
      <c r="BV242" s="200"/>
      <c r="BW242" s="200"/>
      <c r="BX242" s="200"/>
      <c r="BY242" s="200"/>
      <c r="BZ242" s="200"/>
      <c r="CA242" s="200"/>
      <c r="CB242" s="200"/>
      <c r="CC242" s="200"/>
      <c r="CD242" s="200"/>
      <c r="CE242" s="200"/>
      <c r="CF242" s="200"/>
      <c r="CG242" s="200"/>
      <c r="CH242" s="200"/>
      <c r="CI242" s="200"/>
      <c r="CJ242" s="200"/>
      <c r="CK242" s="200"/>
      <c r="CL242" s="200"/>
      <c r="CM242" s="200"/>
      <c r="CN242" s="200"/>
      <c r="CO242" s="200"/>
      <c r="CP242" s="200"/>
      <c r="CQ242" s="200"/>
      <c r="CR242" s="200"/>
      <c r="CS242" s="200"/>
      <c r="CT242" s="200"/>
      <c r="CU242" s="200"/>
      <c r="CV242" s="200"/>
      <c r="CW242" s="200"/>
      <c r="CX242" s="200"/>
      <c r="CY242" s="200"/>
      <c r="CZ242" s="200"/>
      <c r="DA242" s="200"/>
      <c r="DB242" s="200"/>
      <c r="DC242" s="200"/>
      <c r="DD242" s="200"/>
      <c r="DE242" s="200"/>
      <c r="DF242" s="200"/>
      <c r="DG242" s="200"/>
      <c r="DH242" s="200"/>
      <c r="DI242" s="200"/>
      <c r="DJ242" s="200"/>
      <c r="DK242" s="200"/>
      <c r="DL242" s="200"/>
      <c r="DM242" s="200"/>
      <c r="DN242" s="200"/>
      <c r="DO242" s="200"/>
      <c r="DP242" s="200"/>
      <c r="DQ242" s="200"/>
      <c r="DR242" s="200"/>
      <c r="DS242" s="200"/>
      <c r="DT242" s="200"/>
      <c r="DU242" s="200"/>
      <c r="DV242" s="200"/>
      <c r="DW242" s="200"/>
      <c r="DX242" s="200"/>
      <c r="DY242" s="200"/>
      <c r="DZ242" s="200"/>
      <c r="EA242" s="200"/>
      <c r="EB242" s="200"/>
      <c r="EC242" s="200"/>
      <c r="ED242" s="200"/>
      <c r="EE242" s="200"/>
      <c r="EF242" s="200"/>
      <c r="EG242" s="200"/>
      <c r="EH242" s="200"/>
      <c r="EI242" s="200"/>
      <c r="EJ242" s="200"/>
      <c r="EK242" s="200"/>
      <c r="EL242" s="200"/>
      <c r="EM242" s="200"/>
      <c r="EN242" s="200"/>
      <c r="EO242" s="200"/>
      <c r="EP242" s="200"/>
      <c r="EQ242" s="200"/>
      <c r="ER242" s="200"/>
      <c r="ES242" s="200"/>
      <c r="ET242" s="200"/>
      <c r="EU242" s="200"/>
      <c r="EV242" s="200"/>
      <c r="EW242" s="200"/>
      <c r="EX242" s="200"/>
      <c r="EY242" s="200"/>
      <c r="EZ242" s="200"/>
      <c r="FA242" s="200"/>
      <c r="FB242" s="200"/>
      <c r="FC242" s="200"/>
      <c r="FD242" s="200"/>
      <c r="FE242" s="200"/>
      <c r="FF242" s="200"/>
      <c r="FG242" s="200"/>
      <c r="FH242" s="200"/>
      <c r="FI242" s="200"/>
      <c r="FJ242" s="200"/>
      <c r="FK242" s="200"/>
      <c r="FL242" s="200"/>
      <c r="FM242" s="200"/>
      <c r="FN242" s="200"/>
      <c r="FO242" s="200"/>
      <c r="FP242" s="200"/>
      <c r="FQ242" s="200"/>
      <c r="FR242" s="200"/>
      <c r="FS242" s="200"/>
      <c r="FT242" s="200"/>
      <c r="FU242" s="200"/>
      <c r="FV242" s="200"/>
      <c r="FW242" s="200"/>
      <c r="FX242" s="200"/>
      <c r="FY242" s="200"/>
      <c r="FZ242" s="200"/>
      <c r="GA242" s="200"/>
      <c r="GB242" s="200"/>
      <c r="GC242" s="200"/>
      <c r="GD242" s="200"/>
      <c r="GE242" s="200"/>
      <c r="GF242" s="200"/>
      <c r="GG242" s="200"/>
      <c r="GH242" s="200"/>
      <c r="GI242" s="200"/>
      <c r="GJ242" s="200"/>
      <c r="GK242" s="200"/>
      <c r="GL242" s="200"/>
      <c r="GM242" s="200"/>
      <c r="GN242" s="200"/>
      <c r="GO242" s="200"/>
      <c r="GP242" s="200"/>
      <c r="GQ242" s="200"/>
      <c r="GR242" s="200"/>
      <c r="GS242" s="200"/>
      <c r="GT242" s="200"/>
      <c r="GU242" s="200"/>
      <c r="GV242" s="200"/>
      <c r="GW242" s="200"/>
      <c r="GX242" s="200"/>
      <c r="GY242" s="200"/>
      <c r="GZ242" s="200"/>
      <c r="HA242" s="200"/>
      <c r="HB242" s="200"/>
      <c r="HC242" s="200"/>
      <c r="HD242" s="200"/>
      <c r="HE242" s="200"/>
      <c r="HF242" s="200"/>
      <c r="HG242" s="200"/>
      <c r="HH242" s="200"/>
      <c r="HI242" s="200"/>
      <c r="HJ242" s="200"/>
      <c r="HK242" s="200"/>
      <c r="HL242" s="200"/>
      <c r="HM242" s="200"/>
      <c r="HN242" s="200"/>
      <c r="HO242" s="200"/>
      <c r="HP242" s="200"/>
      <c r="HQ242" s="200"/>
      <c r="HR242" s="200"/>
      <c r="HS242" s="200"/>
      <c r="HT242" s="200"/>
      <c r="HU242" s="200"/>
      <c r="HV242" s="200"/>
      <c r="HW242" s="200"/>
      <c r="HX242" s="200"/>
      <c r="HY242" s="200"/>
      <c r="HZ242" s="200"/>
      <c r="IA242" s="200"/>
      <c r="IB242" s="200"/>
      <c r="IC242" s="200"/>
      <c r="ID242" s="200"/>
      <c r="IE242" s="200"/>
      <c r="IF242" s="200"/>
      <c r="IG242" s="200"/>
      <c r="IH242" s="200"/>
      <c r="II242" s="200"/>
      <c r="IJ242" s="200"/>
      <c r="IK242" s="200"/>
      <c r="IL242" s="200"/>
      <c r="IM242" s="200"/>
      <c r="IN242" s="200"/>
      <c r="IO242" s="200"/>
      <c r="IP242" s="200"/>
      <c r="IQ242" s="200"/>
      <c r="IR242" s="200"/>
      <c r="IS242" s="200"/>
      <c r="IT242" s="200"/>
      <c r="IU242" s="201"/>
      <c r="IV242" s="201"/>
    </row>
    <row r="243" s="10" customFormat="1" ht="15.95" customHeight="1" spans="1:256">
      <c r="A243" s="199">
        <v>23</v>
      </c>
      <c r="B243" s="20" t="s">
        <v>2232</v>
      </c>
      <c r="C243" s="20" t="s">
        <v>2234</v>
      </c>
      <c r="D243" s="199">
        <v>6023</v>
      </c>
      <c r="E243" s="199">
        <f>'05版台时'!Z395</f>
        <v>413.526275504885</v>
      </c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  <c r="AA243" s="200"/>
      <c r="AB243" s="200"/>
      <c r="AC243" s="200"/>
      <c r="AD243" s="200"/>
      <c r="AE243" s="200"/>
      <c r="AF243" s="200"/>
      <c r="AG243" s="200"/>
      <c r="AH243" s="200"/>
      <c r="AI243" s="200"/>
      <c r="AJ243" s="200"/>
      <c r="AK243" s="200"/>
      <c r="AL243" s="200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200"/>
      <c r="AZ243" s="200"/>
      <c r="BA243" s="200"/>
      <c r="BB243" s="200"/>
      <c r="BC243" s="200"/>
      <c r="BD243" s="200"/>
      <c r="BE243" s="200"/>
      <c r="BF243" s="200"/>
      <c r="BG243" s="200"/>
      <c r="BH243" s="200"/>
      <c r="BI243" s="200"/>
      <c r="BJ243" s="200"/>
      <c r="BK243" s="200"/>
      <c r="BL243" s="200"/>
      <c r="BM243" s="200"/>
      <c r="BN243" s="200"/>
      <c r="BO243" s="200"/>
      <c r="BP243" s="200"/>
      <c r="BQ243" s="200"/>
      <c r="BR243" s="200"/>
      <c r="BS243" s="200"/>
      <c r="BT243" s="200"/>
      <c r="BU243" s="200"/>
      <c r="BV243" s="200"/>
      <c r="BW243" s="200"/>
      <c r="BX243" s="200"/>
      <c r="BY243" s="200"/>
      <c r="BZ243" s="200"/>
      <c r="CA243" s="200"/>
      <c r="CB243" s="200"/>
      <c r="CC243" s="200"/>
      <c r="CD243" s="200"/>
      <c r="CE243" s="200"/>
      <c r="CF243" s="200"/>
      <c r="CG243" s="200"/>
      <c r="CH243" s="200"/>
      <c r="CI243" s="200"/>
      <c r="CJ243" s="200"/>
      <c r="CK243" s="200"/>
      <c r="CL243" s="200"/>
      <c r="CM243" s="200"/>
      <c r="CN243" s="200"/>
      <c r="CO243" s="200"/>
      <c r="CP243" s="200"/>
      <c r="CQ243" s="200"/>
      <c r="CR243" s="200"/>
      <c r="CS243" s="200"/>
      <c r="CT243" s="200"/>
      <c r="CU243" s="200"/>
      <c r="CV243" s="200"/>
      <c r="CW243" s="200"/>
      <c r="CX243" s="200"/>
      <c r="CY243" s="200"/>
      <c r="CZ243" s="200"/>
      <c r="DA243" s="200"/>
      <c r="DB243" s="200"/>
      <c r="DC243" s="200"/>
      <c r="DD243" s="200"/>
      <c r="DE243" s="200"/>
      <c r="DF243" s="200"/>
      <c r="DG243" s="200"/>
      <c r="DH243" s="200"/>
      <c r="DI243" s="200"/>
      <c r="DJ243" s="200"/>
      <c r="DK243" s="200"/>
      <c r="DL243" s="200"/>
      <c r="DM243" s="200"/>
      <c r="DN243" s="200"/>
      <c r="DO243" s="200"/>
      <c r="DP243" s="200"/>
      <c r="DQ243" s="200"/>
      <c r="DR243" s="200"/>
      <c r="DS243" s="200"/>
      <c r="DT243" s="200"/>
      <c r="DU243" s="200"/>
      <c r="DV243" s="200"/>
      <c r="DW243" s="200"/>
      <c r="DX243" s="200"/>
      <c r="DY243" s="200"/>
      <c r="DZ243" s="200"/>
      <c r="EA243" s="200"/>
      <c r="EB243" s="200"/>
      <c r="EC243" s="200"/>
      <c r="ED243" s="200"/>
      <c r="EE243" s="200"/>
      <c r="EF243" s="200"/>
      <c r="EG243" s="200"/>
      <c r="EH243" s="200"/>
      <c r="EI243" s="200"/>
      <c r="EJ243" s="200"/>
      <c r="EK243" s="200"/>
      <c r="EL243" s="200"/>
      <c r="EM243" s="200"/>
      <c r="EN243" s="200"/>
      <c r="EO243" s="200"/>
      <c r="EP243" s="200"/>
      <c r="EQ243" s="200"/>
      <c r="ER243" s="200"/>
      <c r="ES243" s="200"/>
      <c r="ET243" s="200"/>
      <c r="EU243" s="200"/>
      <c r="EV243" s="200"/>
      <c r="EW243" s="200"/>
      <c r="EX243" s="200"/>
      <c r="EY243" s="200"/>
      <c r="EZ243" s="200"/>
      <c r="FA243" s="200"/>
      <c r="FB243" s="200"/>
      <c r="FC243" s="200"/>
      <c r="FD243" s="200"/>
      <c r="FE243" s="200"/>
      <c r="FF243" s="200"/>
      <c r="FG243" s="200"/>
      <c r="FH243" s="200"/>
      <c r="FI243" s="200"/>
      <c r="FJ243" s="200"/>
      <c r="FK243" s="200"/>
      <c r="FL243" s="200"/>
      <c r="FM243" s="200"/>
      <c r="FN243" s="200"/>
      <c r="FO243" s="200"/>
      <c r="FP243" s="200"/>
      <c r="FQ243" s="200"/>
      <c r="FR243" s="200"/>
      <c r="FS243" s="200"/>
      <c r="FT243" s="200"/>
      <c r="FU243" s="200"/>
      <c r="FV243" s="200"/>
      <c r="FW243" s="200"/>
      <c r="FX243" s="200"/>
      <c r="FY243" s="200"/>
      <c r="FZ243" s="200"/>
      <c r="GA243" s="200"/>
      <c r="GB243" s="200"/>
      <c r="GC243" s="200"/>
      <c r="GD243" s="200"/>
      <c r="GE243" s="200"/>
      <c r="GF243" s="200"/>
      <c r="GG243" s="200"/>
      <c r="GH243" s="200"/>
      <c r="GI243" s="200"/>
      <c r="GJ243" s="200"/>
      <c r="GK243" s="200"/>
      <c r="GL243" s="200"/>
      <c r="GM243" s="200"/>
      <c r="GN243" s="200"/>
      <c r="GO243" s="200"/>
      <c r="GP243" s="200"/>
      <c r="GQ243" s="200"/>
      <c r="GR243" s="200"/>
      <c r="GS243" s="200"/>
      <c r="GT243" s="200"/>
      <c r="GU243" s="200"/>
      <c r="GV243" s="200"/>
      <c r="GW243" s="200"/>
      <c r="GX243" s="200"/>
      <c r="GY243" s="200"/>
      <c r="GZ243" s="200"/>
      <c r="HA243" s="200"/>
      <c r="HB243" s="200"/>
      <c r="HC243" s="200"/>
      <c r="HD243" s="200"/>
      <c r="HE243" s="200"/>
      <c r="HF243" s="200"/>
      <c r="HG243" s="200"/>
      <c r="HH243" s="200"/>
      <c r="HI243" s="200"/>
      <c r="HJ243" s="200"/>
      <c r="HK243" s="200"/>
      <c r="HL243" s="200"/>
      <c r="HM243" s="200"/>
      <c r="HN243" s="200"/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1"/>
      <c r="IV243" s="201"/>
    </row>
    <row r="244" s="10" customFormat="1" ht="15.95" customHeight="1" spans="1:256">
      <c r="A244" s="199">
        <v>24</v>
      </c>
      <c r="B244" s="20" t="s">
        <v>2232</v>
      </c>
      <c r="C244" s="20" t="s">
        <v>2235</v>
      </c>
      <c r="D244" s="199">
        <v>6024</v>
      </c>
      <c r="E244" s="199">
        <f>'05版台时'!AA395</f>
        <v>471.216638512377</v>
      </c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  <c r="AA244" s="200"/>
      <c r="AB244" s="200"/>
      <c r="AC244" s="200"/>
      <c r="AD244" s="200"/>
      <c r="AE244" s="200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200"/>
      <c r="BD244" s="200"/>
      <c r="BE244" s="200"/>
      <c r="BF244" s="200"/>
      <c r="BG244" s="200"/>
      <c r="BH244" s="200"/>
      <c r="BI244" s="200"/>
      <c r="BJ244" s="200"/>
      <c r="BK244" s="200"/>
      <c r="BL244" s="200"/>
      <c r="BM244" s="200"/>
      <c r="BN244" s="200"/>
      <c r="BO244" s="200"/>
      <c r="BP244" s="200"/>
      <c r="BQ244" s="200"/>
      <c r="BR244" s="200"/>
      <c r="BS244" s="200"/>
      <c r="BT244" s="200"/>
      <c r="BU244" s="200"/>
      <c r="BV244" s="200"/>
      <c r="BW244" s="200"/>
      <c r="BX244" s="200"/>
      <c r="BY244" s="200"/>
      <c r="BZ244" s="200"/>
      <c r="CA244" s="200"/>
      <c r="CB244" s="200"/>
      <c r="CC244" s="200"/>
      <c r="CD244" s="200"/>
      <c r="CE244" s="200"/>
      <c r="CF244" s="200"/>
      <c r="CG244" s="200"/>
      <c r="CH244" s="200"/>
      <c r="CI244" s="200"/>
      <c r="CJ244" s="200"/>
      <c r="CK244" s="200"/>
      <c r="CL244" s="200"/>
      <c r="CM244" s="200"/>
      <c r="CN244" s="200"/>
      <c r="CO244" s="200"/>
      <c r="CP244" s="200"/>
      <c r="CQ244" s="200"/>
      <c r="CR244" s="200"/>
      <c r="CS244" s="200"/>
      <c r="CT244" s="200"/>
      <c r="CU244" s="200"/>
      <c r="CV244" s="200"/>
      <c r="CW244" s="200"/>
      <c r="CX244" s="200"/>
      <c r="CY244" s="200"/>
      <c r="CZ244" s="200"/>
      <c r="DA244" s="200"/>
      <c r="DB244" s="200"/>
      <c r="DC244" s="200"/>
      <c r="DD244" s="200"/>
      <c r="DE244" s="200"/>
      <c r="DF244" s="200"/>
      <c r="DG244" s="200"/>
      <c r="DH244" s="200"/>
      <c r="DI244" s="200"/>
      <c r="DJ244" s="200"/>
      <c r="DK244" s="200"/>
      <c r="DL244" s="200"/>
      <c r="DM244" s="200"/>
      <c r="DN244" s="200"/>
      <c r="DO244" s="200"/>
      <c r="DP244" s="200"/>
      <c r="DQ244" s="200"/>
      <c r="DR244" s="200"/>
      <c r="DS244" s="200"/>
      <c r="DT244" s="200"/>
      <c r="DU244" s="200"/>
      <c r="DV244" s="200"/>
      <c r="DW244" s="200"/>
      <c r="DX244" s="200"/>
      <c r="DY244" s="200"/>
      <c r="DZ244" s="200"/>
      <c r="EA244" s="200"/>
      <c r="EB244" s="200"/>
      <c r="EC244" s="200"/>
      <c r="ED244" s="200"/>
      <c r="EE244" s="200"/>
      <c r="EF244" s="200"/>
      <c r="EG244" s="200"/>
      <c r="EH244" s="200"/>
      <c r="EI244" s="200"/>
      <c r="EJ244" s="200"/>
      <c r="EK244" s="200"/>
      <c r="EL244" s="200"/>
      <c r="EM244" s="200"/>
      <c r="EN244" s="200"/>
      <c r="EO244" s="200"/>
      <c r="EP244" s="200"/>
      <c r="EQ244" s="200"/>
      <c r="ER244" s="200"/>
      <c r="ES244" s="200"/>
      <c r="ET244" s="200"/>
      <c r="EU244" s="200"/>
      <c r="EV244" s="200"/>
      <c r="EW244" s="200"/>
      <c r="EX244" s="200"/>
      <c r="EY244" s="200"/>
      <c r="EZ244" s="200"/>
      <c r="FA244" s="200"/>
      <c r="FB244" s="200"/>
      <c r="FC244" s="200"/>
      <c r="FD244" s="200"/>
      <c r="FE244" s="200"/>
      <c r="FF244" s="200"/>
      <c r="FG244" s="200"/>
      <c r="FH244" s="200"/>
      <c r="FI244" s="200"/>
      <c r="FJ244" s="200"/>
      <c r="FK244" s="200"/>
      <c r="FL244" s="200"/>
      <c r="FM244" s="200"/>
      <c r="FN244" s="200"/>
      <c r="FO244" s="200"/>
      <c r="FP244" s="200"/>
      <c r="FQ244" s="200"/>
      <c r="FR244" s="200"/>
      <c r="FS244" s="200"/>
      <c r="FT244" s="200"/>
      <c r="FU244" s="200"/>
      <c r="FV244" s="200"/>
      <c r="FW244" s="200"/>
      <c r="FX244" s="200"/>
      <c r="FY244" s="200"/>
      <c r="FZ244" s="200"/>
      <c r="GA244" s="200"/>
      <c r="GB244" s="200"/>
      <c r="GC244" s="200"/>
      <c r="GD244" s="200"/>
      <c r="GE244" s="200"/>
      <c r="GF244" s="200"/>
      <c r="GG244" s="200"/>
      <c r="GH244" s="200"/>
      <c r="GI244" s="200"/>
      <c r="GJ244" s="200"/>
      <c r="GK244" s="200"/>
      <c r="GL244" s="200"/>
      <c r="GM244" s="200"/>
      <c r="GN244" s="200"/>
      <c r="GO244" s="200"/>
      <c r="GP244" s="200"/>
      <c r="GQ244" s="200"/>
      <c r="GR244" s="200"/>
      <c r="GS244" s="200"/>
      <c r="GT244" s="200"/>
      <c r="GU244" s="200"/>
      <c r="GV244" s="200"/>
      <c r="GW244" s="200"/>
      <c r="GX244" s="200"/>
      <c r="GY244" s="200"/>
      <c r="GZ244" s="200"/>
      <c r="HA244" s="200"/>
      <c r="HB244" s="200"/>
      <c r="HC244" s="200"/>
      <c r="HD244" s="200"/>
      <c r="HE244" s="200"/>
      <c r="HF244" s="200"/>
      <c r="HG244" s="200"/>
      <c r="HH244" s="200"/>
      <c r="HI244" s="200"/>
      <c r="HJ244" s="200"/>
      <c r="HK244" s="200"/>
      <c r="HL244" s="200"/>
      <c r="HM244" s="200"/>
      <c r="HN244" s="200"/>
      <c r="HO244" s="200"/>
      <c r="HP244" s="200"/>
      <c r="HQ244" s="200"/>
      <c r="HR244" s="200"/>
      <c r="HS244" s="200"/>
      <c r="HT244" s="200"/>
      <c r="HU244" s="200"/>
      <c r="HV244" s="200"/>
      <c r="HW244" s="200"/>
      <c r="HX244" s="200"/>
      <c r="HY244" s="200"/>
      <c r="HZ244" s="200"/>
      <c r="IA244" s="200"/>
      <c r="IB244" s="200"/>
      <c r="IC244" s="200"/>
      <c r="ID244" s="200"/>
      <c r="IE244" s="200"/>
      <c r="IF244" s="200"/>
      <c r="IG244" s="200"/>
      <c r="IH244" s="200"/>
      <c r="II244" s="200"/>
      <c r="IJ244" s="200"/>
      <c r="IK244" s="200"/>
      <c r="IL244" s="200"/>
      <c r="IM244" s="200"/>
      <c r="IN244" s="200"/>
      <c r="IO244" s="200"/>
      <c r="IP244" s="200"/>
      <c r="IQ244" s="200"/>
      <c r="IR244" s="200"/>
      <c r="IS244" s="200"/>
      <c r="IT244" s="200"/>
      <c r="IU244" s="201"/>
      <c r="IV244" s="201"/>
    </row>
    <row r="245" s="10" customFormat="1" ht="15.95" customHeight="1" spans="1:256">
      <c r="A245" s="199">
        <v>25</v>
      </c>
      <c r="B245" s="20" t="s">
        <v>2232</v>
      </c>
      <c r="C245" s="20" t="s">
        <v>2236</v>
      </c>
      <c r="D245" s="199">
        <v>6025</v>
      </c>
      <c r="E245" s="199">
        <f>'05版台时'!AB395</f>
        <v>499.26251007201</v>
      </c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0"/>
      <c r="BI245" s="200"/>
      <c r="BJ245" s="200"/>
      <c r="BK245" s="200"/>
      <c r="BL245" s="200"/>
      <c r="BM245" s="200"/>
      <c r="BN245" s="200"/>
      <c r="BO245" s="200"/>
      <c r="BP245" s="200"/>
      <c r="BQ245" s="200"/>
      <c r="BR245" s="200"/>
      <c r="BS245" s="200"/>
      <c r="BT245" s="200"/>
      <c r="BU245" s="200"/>
      <c r="BV245" s="200"/>
      <c r="BW245" s="200"/>
      <c r="BX245" s="200"/>
      <c r="BY245" s="200"/>
      <c r="BZ245" s="200"/>
      <c r="CA245" s="200"/>
      <c r="CB245" s="200"/>
      <c r="CC245" s="200"/>
      <c r="CD245" s="200"/>
      <c r="CE245" s="200"/>
      <c r="CF245" s="200"/>
      <c r="CG245" s="200"/>
      <c r="CH245" s="200"/>
      <c r="CI245" s="200"/>
      <c r="CJ245" s="200"/>
      <c r="CK245" s="200"/>
      <c r="CL245" s="200"/>
      <c r="CM245" s="200"/>
      <c r="CN245" s="200"/>
      <c r="CO245" s="200"/>
      <c r="CP245" s="200"/>
      <c r="CQ245" s="200"/>
      <c r="CR245" s="200"/>
      <c r="CS245" s="200"/>
      <c r="CT245" s="200"/>
      <c r="CU245" s="200"/>
      <c r="CV245" s="200"/>
      <c r="CW245" s="200"/>
      <c r="CX245" s="200"/>
      <c r="CY245" s="200"/>
      <c r="CZ245" s="200"/>
      <c r="DA245" s="200"/>
      <c r="DB245" s="200"/>
      <c r="DC245" s="200"/>
      <c r="DD245" s="200"/>
      <c r="DE245" s="200"/>
      <c r="DF245" s="200"/>
      <c r="DG245" s="200"/>
      <c r="DH245" s="200"/>
      <c r="DI245" s="200"/>
      <c r="DJ245" s="200"/>
      <c r="DK245" s="200"/>
      <c r="DL245" s="200"/>
      <c r="DM245" s="200"/>
      <c r="DN245" s="200"/>
      <c r="DO245" s="200"/>
      <c r="DP245" s="200"/>
      <c r="DQ245" s="200"/>
      <c r="DR245" s="200"/>
      <c r="DS245" s="200"/>
      <c r="DT245" s="200"/>
      <c r="DU245" s="200"/>
      <c r="DV245" s="200"/>
      <c r="DW245" s="200"/>
      <c r="DX245" s="200"/>
      <c r="DY245" s="200"/>
      <c r="DZ245" s="200"/>
      <c r="EA245" s="200"/>
      <c r="EB245" s="200"/>
      <c r="EC245" s="200"/>
      <c r="ED245" s="200"/>
      <c r="EE245" s="200"/>
      <c r="EF245" s="200"/>
      <c r="EG245" s="200"/>
      <c r="EH245" s="200"/>
      <c r="EI245" s="200"/>
      <c r="EJ245" s="200"/>
      <c r="EK245" s="200"/>
      <c r="EL245" s="200"/>
      <c r="EM245" s="200"/>
      <c r="EN245" s="200"/>
      <c r="EO245" s="200"/>
      <c r="EP245" s="200"/>
      <c r="EQ245" s="200"/>
      <c r="ER245" s="200"/>
      <c r="ES245" s="200"/>
      <c r="ET245" s="200"/>
      <c r="EU245" s="200"/>
      <c r="EV245" s="200"/>
      <c r="EW245" s="200"/>
      <c r="EX245" s="200"/>
      <c r="EY245" s="200"/>
      <c r="EZ245" s="200"/>
      <c r="FA245" s="200"/>
      <c r="FB245" s="200"/>
      <c r="FC245" s="200"/>
      <c r="FD245" s="200"/>
      <c r="FE245" s="200"/>
      <c r="FF245" s="200"/>
      <c r="FG245" s="200"/>
      <c r="FH245" s="200"/>
      <c r="FI245" s="200"/>
      <c r="FJ245" s="200"/>
      <c r="FK245" s="200"/>
      <c r="FL245" s="200"/>
      <c r="FM245" s="200"/>
      <c r="FN245" s="200"/>
      <c r="FO245" s="200"/>
      <c r="FP245" s="200"/>
      <c r="FQ245" s="200"/>
      <c r="FR245" s="200"/>
      <c r="FS245" s="200"/>
      <c r="FT245" s="200"/>
      <c r="FU245" s="200"/>
      <c r="FV245" s="200"/>
      <c r="FW245" s="200"/>
      <c r="FX245" s="200"/>
      <c r="FY245" s="200"/>
      <c r="FZ245" s="200"/>
      <c r="GA245" s="200"/>
      <c r="GB245" s="200"/>
      <c r="GC245" s="200"/>
      <c r="GD245" s="200"/>
      <c r="GE245" s="200"/>
      <c r="GF245" s="200"/>
      <c r="GG245" s="200"/>
      <c r="GH245" s="200"/>
      <c r="GI245" s="200"/>
      <c r="GJ245" s="200"/>
      <c r="GK245" s="200"/>
      <c r="GL245" s="200"/>
      <c r="GM245" s="200"/>
      <c r="GN245" s="200"/>
      <c r="GO245" s="200"/>
      <c r="GP245" s="200"/>
      <c r="GQ245" s="200"/>
      <c r="GR245" s="200"/>
      <c r="GS245" s="200"/>
      <c r="GT245" s="200"/>
      <c r="GU245" s="200"/>
      <c r="GV245" s="200"/>
      <c r="GW245" s="200"/>
      <c r="GX245" s="200"/>
      <c r="GY245" s="200"/>
      <c r="GZ245" s="200"/>
      <c r="HA245" s="200"/>
      <c r="HB245" s="200"/>
      <c r="HC245" s="200"/>
      <c r="HD245" s="200"/>
      <c r="HE245" s="200"/>
      <c r="HF245" s="200"/>
      <c r="HG245" s="200"/>
      <c r="HH245" s="200"/>
      <c r="HI245" s="200"/>
      <c r="HJ245" s="200"/>
      <c r="HK245" s="200"/>
      <c r="HL245" s="200"/>
      <c r="HM245" s="200"/>
      <c r="HN245" s="200"/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1"/>
      <c r="IV245" s="201"/>
    </row>
    <row r="246" s="10" customFormat="1" ht="15.95" customHeight="1" spans="1:256">
      <c r="A246" s="199">
        <v>26</v>
      </c>
      <c r="B246" s="20" t="s">
        <v>2237</v>
      </c>
      <c r="C246" s="199" t="s">
        <v>2034</v>
      </c>
      <c r="D246" s="199">
        <v>6026</v>
      </c>
      <c r="E246" s="199">
        <f>'05版台时'!D428</f>
        <v>182.814276839412</v>
      </c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  <c r="AA246" s="200"/>
      <c r="AB246" s="200"/>
      <c r="AC246" s="200"/>
      <c r="AD246" s="200"/>
      <c r="AE246" s="200"/>
      <c r="AF246" s="200"/>
      <c r="AG246" s="200"/>
      <c r="AH246" s="200"/>
      <c r="AI246" s="200"/>
      <c r="AJ246" s="200"/>
      <c r="AK246" s="200"/>
      <c r="AL246" s="200"/>
      <c r="AM246" s="200"/>
      <c r="AN246" s="200"/>
      <c r="AO246" s="200"/>
      <c r="AP246" s="200"/>
      <c r="AQ246" s="200"/>
      <c r="AR246" s="200"/>
      <c r="AS246" s="200"/>
      <c r="AT246" s="200"/>
      <c r="AU246" s="200"/>
      <c r="AV246" s="200"/>
      <c r="AW246" s="200"/>
      <c r="AX246" s="200"/>
      <c r="AY246" s="200"/>
      <c r="AZ246" s="200"/>
      <c r="BA246" s="200"/>
      <c r="BB246" s="200"/>
      <c r="BC246" s="200"/>
      <c r="BD246" s="200"/>
      <c r="BE246" s="200"/>
      <c r="BF246" s="200"/>
      <c r="BG246" s="200"/>
      <c r="BH246" s="200"/>
      <c r="BI246" s="200"/>
      <c r="BJ246" s="200"/>
      <c r="BK246" s="200"/>
      <c r="BL246" s="200"/>
      <c r="BM246" s="200"/>
      <c r="BN246" s="200"/>
      <c r="BO246" s="200"/>
      <c r="BP246" s="200"/>
      <c r="BQ246" s="200"/>
      <c r="BR246" s="200"/>
      <c r="BS246" s="200"/>
      <c r="BT246" s="200"/>
      <c r="BU246" s="200"/>
      <c r="BV246" s="200"/>
      <c r="BW246" s="200"/>
      <c r="BX246" s="200"/>
      <c r="BY246" s="200"/>
      <c r="BZ246" s="200"/>
      <c r="CA246" s="200"/>
      <c r="CB246" s="200"/>
      <c r="CC246" s="200"/>
      <c r="CD246" s="200"/>
      <c r="CE246" s="200"/>
      <c r="CF246" s="200"/>
      <c r="CG246" s="200"/>
      <c r="CH246" s="200"/>
      <c r="CI246" s="200"/>
      <c r="CJ246" s="200"/>
      <c r="CK246" s="200"/>
      <c r="CL246" s="200"/>
      <c r="CM246" s="200"/>
      <c r="CN246" s="200"/>
      <c r="CO246" s="200"/>
      <c r="CP246" s="200"/>
      <c r="CQ246" s="200"/>
      <c r="CR246" s="200"/>
      <c r="CS246" s="200"/>
      <c r="CT246" s="200"/>
      <c r="CU246" s="200"/>
      <c r="CV246" s="200"/>
      <c r="CW246" s="200"/>
      <c r="CX246" s="200"/>
      <c r="CY246" s="200"/>
      <c r="CZ246" s="200"/>
      <c r="DA246" s="200"/>
      <c r="DB246" s="200"/>
      <c r="DC246" s="200"/>
      <c r="DD246" s="200"/>
      <c r="DE246" s="200"/>
      <c r="DF246" s="200"/>
      <c r="DG246" s="200"/>
      <c r="DH246" s="200"/>
      <c r="DI246" s="200"/>
      <c r="DJ246" s="200"/>
      <c r="DK246" s="200"/>
      <c r="DL246" s="200"/>
      <c r="DM246" s="200"/>
      <c r="DN246" s="200"/>
      <c r="DO246" s="200"/>
      <c r="DP246" s="200"/>
      <c r="DQ246" s="200"/>
      <c r="DR246" s="200"/>
      <c r="DS246" s="200"/>
      <c r="DT246" s="200"/>
      <c r="DU246" s="200"/>
      <c r="DV246" s="200"/>
      <c r="DW246" s="200"/>
      <c r="DX246" s="200"/>
      <c r="DY246" s="200"/>
      <c r="DZ246" s="200"/>
      <c r="EA246" s="200"/>
      <c r="EB246" s="200"/>
      <c r="EC246" s="200"/>
      <c r="ED246" s="200"/>
      <c r="EE246" s="200"/>
      <c r="EF246" s="200"/>
      <c r="EG246" s="200"/>
      <c r="EH246" s="200"/>
      <c r="EI246" s="200"/>
      <c r="EJ246" s="200"/>
      <c r="EK246" s="200"/>
      <c r="EL246" s="200"/>
      <c r="EM246" s="200"/>
      <c r="EN246" s="200"/>
      <c r="EO246" s="200"/>
      <c r="EP246" s="200"/>
      <c r="EQ246" s="200"/>
      <c r="ER246" s="200"/>
      <c r="ES246" s="200"/>
      <c r="ET246" s="200"/>
      <c r="EU246" s="200"/>
      <c r="EV246" s="200"/>
      <c r="EW246" s="200"/>
      <c r="EX246" s="200"/>
      <c r="EY246" s="200"/>
      <c r="EZ246" s="200"/>
      <c r="FA246" s="200"/>
      <c r="FB246" s="200"/>
      <c r="FC246" s="200"/>
      <c r="FD246" s="200"/>
      <c r="FE246" s="200"/>
      <c r="FF246" s="200"/>
      <c r="FG246" s="200"/>
      <c r="FH246" s="200"/>
      <c r="FI246" s="200"/>
      <c r="FJ246" s="200"/>
      <c r="FK246" s="200"/>
      <c r="FL246" s="200"/>
      <c r="FM246" s="200"/>
      <c r="FN246" s="200"/>
      <c r="FO246" s="200"/>
      <c r="FP246" s="200"/>
      <c r="FQ246" s="200"/>
      <c r="FR246" s="200"/>
      <c r="FS246" s="200"/>
      <c r="FT246" s="200"/>
      <c r="FU246" s="200"/>
      <c r="FV246" s="200"/>
      <c r="FW246" s="200"/>
      <c r="FX246" s="200"/>
      <c r="FY246" s="200"/>
      <c r="FZ246" s="200"/>
      <c r="GA246" s="200"/>
      <c r="GB246" s="200"/>
      <c r="GC246" s="200"/>
      <c r="GD246" s="200"/>
      <c r="GE246" s="200"/>
      <c r="GF246" s="200"/>
      <c r="GG246" s="200"/>
      <c r="GH246" s="200"/>
      <c r="GI246" s="200"/>
      <c r="GJ246" s="200"/>
      <c r="GK246" s="200"/>
      <c r="GL246" s="200"/>
      <c r="GM246" s="200"/>
      <c r="GN246" s="200"/>
      <c r="GO246" s="200"/>
      <c r="GP246" s="200"/>
      <c r="GQ246" s="200"/>
      <c r="GR246" s="200"/>
      <c r="GS246" s="200"/>
      <c r="GT246" s="200"/>
      <c r="GU246" s="200"/>
      <c r="GV246" s="200"/>
      <c r="GW246" s="200"/>
      <c r="GX246" s="200"/>
      <c r="GY246" s="200"/>
      <c r="GZ246" s="200"/>
      <c r="HA246" s="200"/>
      <c r="HB246" s="200"/>
      <c r="HC246" s="200"/>
      <c r="HD246" s="200"/>
      <c r="HE246" s="200"/>
      <c r="HF246" s="200"/>
      <c r="HG246" s="200"/>
      <c r="HH246" s="200"/>
      <c r="HI246" s="200"/>
      <c r="HJ246" s="200"/>
      <c r="HK246" s="200"/>
      <c r="HL246" s="200"/>
      <c r="HM246" s="200"/>
      <c r="HN246" s="200"/>
      <c r="HO246" s="200"/>
      <c r="HP246" s="200"/>
      <c r="HQ246" s="200"/>
      <c r="HR246" s="200"/>
      <c r="HS246" s="200"/>
      <c r="HT246" s="200"/>
      <c r="HU246" s="200"/>
      <c r="HV246" s="200"/>
      <c r="HW246" s="200"/>
      <c r="HX246" s="200"/>
      <c r="HY246" s="200"/>
      <c r="HZ246" s="200"/>
      <c r="IA246" s="200"/>
      <c r="IB246" s="200"/>
      <c r="IC246" s="200"/>
      <c r="ID246" s="200"/>
      <c r="IE246" s="200"/>
      <c r="IF246" s="200"/>
      <c r="IG246" s="200"/>
      <c r="IH246" s="200"/>
      <c r="II246" s="200"/>
      <c r="IJ246" s="200"/>
      <c r="IK246" s="200"/>
      <c r="IL246" s="200"/>
      <c r="IM246" s="200"/>
      <c r="IN246" s="200"/>
      <c r="IO246" s="200"/>
      <c r="IP246" s="200"/>
      <c r="IQ246" s="200"/>
      <c r="IR246" s="200"/>
      <c r="IS246" s="200"/>
      <c r="IT246" s="200"/>
      <c r="IU246" s="201"/>
      <c r="IV246" s="201"/>
    </row>
    <row r="247" s="10" customFormat="1" ht="15.95" customHeight="1" spans="1:256">
      <c r="A247" s="199">
        <v>27</v>
      </c>
      <c r="B247" s="20" t="s">
        <v>2237</v>
      </c>
      <c r="C247" s="199" t="s">
        <v>2238</v>
      </c>
      <c r="D247" s="199">
        <v>6027</v>
      </c>
      <c r="E247" s="199">
        <f>'05版台时'!E428</f>
        <v>238.041606294329</v>
      </c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200"/>
      <c r="AF247" s="200"/>
      <c r="AG247" s="200"/>
      <c r="AH247" s="200"/>
      <c r="AI247" s="200"/>
      <c r="AJ247" s="200"/>
      <c r="AK247" s="200"/>
      <c r="AL247" s="200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200"/>
      <c r="AZ247" s="200"/>
      <c r="BA247" s="200"/>
      <c r="BB247" s="200"/>
      <c r="BC247" s="200"/>
      <c r="BD247" s="200"/>
      <c r="BE247" s="200"/>
      <c r="BF247" s="200"/>
      <c r="BG247" s="200"/>
      <c r="BH247" s="200"/>
      <c r="BI247" s="200"/>
      <c r="BJ247" s="200"/>
      <c r="BK247" s="200"/>
      <c r="BL247" s="200"/>
      <c r="BM247" s="200"/>
      <c r="BN247" s="200"/>
      <c r="BO247" s="200"/>
      <c r="BP247" s="200"/>
      <c r="BQ247" s="200"/>
      <c r="BR247" s="200"/>
      <c r="BS247" s="200"/>
      <c r="BT247" s="200"/>
      <c r="BU247" s="200"/>
      <c r="BV247" s="200"/>
      <c r="BW247" s="200"/>
      <c r="BX247" s="200"/>
      <c r="BY247" s="200"/>
      <c r="BZ247" s="200"/>
      <c r="CA247" s="200"/>
      <c r="CB247" s="200"/>
      <c r="CC247" s="200"/>
      <c r="CD247" s="200"/>
      <c r="CE247" s="200"/>
      <c r="CF247" s="200"/>
      <c r="CG247" s="200"/>
      <c r="CH247" s="200"/>
      <c r="CI247" s="200"/>
      <c r="CJ247" s="200"/>
      <c r="CK247" s="200"/>
      <c r="CL247" s="200"/>
      <c r="CM247" s="200"/>
      <c r="CN247" s="200"/>
      <c r="CO247" s="200"/>
      <c r="CP247" s="200"/>
      <c r="CQ247" s="200"/>
      <c r="CR247" s="200"/>
      <c r="CS247" s="200"/>
      <c r="CT247" s="200"/>
      <c r="CU247" s="200"/>
      <c r="CV247" s="200"/>
      <c r="CW247" s="200"/>
      <c r="CX247" s="200"/>
      <c r="CY247" s="200"/>
      <c r="CZ247" s="200"/>
      <c r="DA247" s="200"/>
      <c r="DB247" s="200"/>
      <c r="DC247" s="200"/>
      <c r="DD247" s="200"/>
      <c r="DE247" s="200"/>
      <c r="DF247" s="200"/>
      <c r="DG247" s="200"/>
      <c r="DH247" s="200"/>
      <c r="DI247" s="200"/>
      <c r="DJ247" s="200"/>
      <c r="DK247" s="200"/>
      <c r="DL247" s="200"/>
      <c r="DM247" s="200"/>
      <c r="DN247" s="200"/>
      <c r="DO247" s="200"/>
      <c r="DP247" s="200"/>
      <c r="DQ247" s="200"/>
      <c r="DR247" s="200"/>
      <c r="DS247" s="200"/>
      <c r="DT247" s="200"/>
      <c r="DU247" s="200"/>
      <c r="DV247" s="200"/>
      <c r="DW247" s="200"/>
      <c r="DX247" s="200"/>
      <c r="DY247" s="200"/>
      <c r="DZ247" s="200"/>
      <c r="EA247" s="200"/>
      <c r="EB247" s="200"/>
      <c r="EC247" s="200"/>
      <c r="ED247" s="200"/>
      <c r="EE247" s="200"/>
      <c r="EF247" s="200"/>
      <c r="EG247" s="200"/>
      <c r="EH247" s="200"/>
      <c r="EI247" s="200"/>
      <c r="EJ247" s="200"/>
      <c r="EK247" s="200"/>
      <c r="EL247" s="200"/>
      <c r="EM247" s="200"/>
      <c r="EN247" s="200"/>
      <c r="EO247" s="200"/>
      <c r="EP247" s="200"/>
      <c r="EQ247" s="200"/>
      <c r="ER247" s="200"/>
      <c r="ES247" s="200"/>
      <c r="ET247" s="200"/>
      <c r="EU247" s="200"/>
      <c r="EV247" s="200"/>
      <c r="EW247" s="200"/>
      <c r="EX247" s="200"/>
      <c r="EY247" s="200"/>
      <c r="EZ247" s="200"/>
      <c r="FA247" s="200"/>
      <c r="FB247" s="200"/>
      <c r="FC247" s="200"/>
      <c r="FD247" s="200"/>
      <c r="FE247" s="200"/>
      <c r="FF247" s="200"/>
      <c r="FG247" s="200"/>
      <c r="FH247" s="200"/>
      <c r="FI247" s="200"/>
      <c r="FJ247" s="200"/>
      <c r="FK247" s="200"/>
      <c r="FL247" s="200"/>
      <c r="FM247" s="200"/>
      <c r="FN247" s="200"/>
      <c r="FO247" s="200"/>
      <c r="FP247" s="200"/>
      <c r="FQ247" s="200"/>
      <c r="FR247" s="200"/>
      <c r="FS247" s="200"/>
      <c r="FT247" s="200"/>
      <c r="FU247" s="200"/>
      <c r="FV247" s="200"/>
      <c r="FW247" s="200"/>
      <c r="FX247" s="200"/>
      <c r="FY247" s="200"/>
      <c r="FZ247" s="200"/>
      <c r="GA247" s="200"/>
      <c r="GB247" s="200"/>
      <c r="GC247" s="200"/>
      <c r="GD247" s="200"/>
      <c r="GE247" s="200"/>
      <c r="GF247" s="200"/>
      <c r="GG247" s="200"/>
      <c r="GH247" s="200"/>
      <c r="GI247" s="200"/>
      <c r="GJ247" s="200"/>
      <c r="GK247" s="200"/>
      <c r="GL247" s="200"/>
      <c r="GM247" s="200"/>
      <c r="GN247" s="200"/>
      <c r="GO247" s="200"/>
      <c r="GP247" s="200"/>
      <c r="GQ247" s="200"/>
      <c r="GR247" s="200"/>
      <c r="GS247" s="200"/>
      <c r="GT247" s="200"/>
      <c r="GU247" s="200"/>
      <c r="GV247" s="200"/>
      <c r="GW247" s="200"/>
      <c r="GX247" s="200"/>
      <c r="GY247" s="200"/>
      <c r="GZ247" s="200"/>
      <c r="HA247" s="200"/>
      <c r="HB247" s="200"/>
      <c r="HC247" s="200"/>
      <c r="HD247" s="200"/>
      <c r="HE247" s="200"/>
      <c r="HF247" s="200"/>
      <c r="HG247" s="200"/>
      <c r="HH247" s="200"/>
      <c r="HI247" s="200"/>
      <c r="HJ247" s="200"/>
      <c r="HK247" s="200"/>
      <c r="HL247" s="200"/>
      <c r="HM247" s="200"/>
      <c r="HN247" s="200"/>
      <c r="HO247" s="200"/>
      <c r="HP247" s="200"/>
      <c r="HQ247" s="200"/>
      <c r="HR247" s="200"/>
      <c r="HS247" s="200"/>
      <c r="HT247" s="200"/>
      <c r="HU247" s="200"/>
      <c r="HV247" s="200"/>
      <c r="HW247" s="200"/>
      <c r="HX247" s="200"/>
      <c r="HY247" s="200"/>
      <c r="HZ247" s="200"/>
      <c r="IA247" s="200"/>
      <c r="IB247" s="200"/>
      <c r="IC247" s="200"/>
      <c r="ID247" s="200"/>
      <c r="IE247" s="200"/>
      <c r="IF247" s="200"/>
      <c r="IG247" s="200"/>
      <c r="IH247" s="200"/>
      <c r="II247" s="200"/>
      <c r="IJ247" s="200"/>
      <c r="IK247" s="200"/>
      <c r="IL247" s="200"/>
      <c r="IM247" s="200"/>
      <c r="IN247" s="200"/>
      <c r="IO247" s="200"/>
      <c r="IP247" s="200"/>
      <c r="IQ247" s="200"/>
      <c r="IR247" s="200"/>
      <c r="IS247" s="200"/>
      <c r="IT247" s="200"/>
      <c r="IU247" s="201"/>
      <c r="IV247" s="201"/>
    </row>
    <row r="248" s="10" customFormat="1" ht="15.95" customHeight="1" spans="1:256">
      <c r="A248" s="199">
        <v>28</v>
      </c>
      <c r="B248" s="20" t="s">
        <v>2237</v>
      </c>
      <c r="C248" s="199" t="s">
        <v>2035</v>
      </c>
      <c r="D248" s="199">
        <v>6028</v>
      </c>
      <c r="E248" s="199">
        <f>'05版台时'!F428</f>
        <v>286.965267537846</v>
      </c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  <c r="AA248" s="200"/>
      <c r="AB248" s="200"/>
      <c r="AC248" s="200"/>
      <c r="AD248" s="200"/>
      <c r="AE248" s="200"/>
      <c r="AF248" s="200"/>
      <c r="AG248" s="200"/>
      <c r="AH248" s="200"/>
      <c r="AI248" s="200"/>
      <c r="AJ248" s="200"/>
      <c r="AK248" s="200"/>
      <c r="AL248" s="200"/>
      <c r="AM248" s="200"/>
      <c r="AN248" s="200"/>
      <c r="AO248" s="200"/>
      <c r="AP248" s="200"/>
      <c r="AQ248" s="200"/>
      <c r="AR248" s="200"/>
      <c r="AS248" s="200"/>
      <c r="AT248" s="200"/>
      <c r="AU248" s="200"/>
      <c r="AV248" s="200"/>
      <c r="AW248" s="200"/>
      <c r="AX248" s="200"/>
      <c r="AY248" s="200"/>
      <c r="AZ248" s="200"/>
      <c r="BA248" s="200"/>
      <c r="BB248" s="200"/>
      <c r="BC248" s="200"/>
      <c r="BD248" s="200"/>
      <c r="BE248" s="200"/>
      <c r="BF248" s="200"/>
      <c r="BG248" s="200"/>
      <c r="BH248" s="200"/>
      <c r="BI248" s="200"/>
      <c r="BJ248" s="200"/>
      <c r="BK248" s="200"/>
      <c r="BL248" s="200"/>
      <c r="BM248" s="200"/>
      <c r="BN248" s="200"/>
      <c r="BO248" s="200"/>
      <c r="BP248" s="200"/>
      <c r="BQ248" s="200"/>
      <c r="BR248" s="200"/>
      <c r="BS248" s="200"/>
      <c r="BT248" s="200"/>
      <c r="BU248" s="200"/>
      <c r="BV248" s="200"/>
      <c r="BW248" s="200"/>
      <c r="BX248" s="200"/>
      <c r="BY248" s="200"/>
      <c r="BZ248" s="200"/>
      <c r="CA248" s="200"/>
      <c r="CB248" s="200"/>
      <c r="CC248" s="200"/>
      <c r="CD248" s="200"/>
      <c r="CE248" s="200"/>
      <c r="CF248" s="200"/>
      <c r="CG248" s="200"/>
      <c r="CH248" s="200"/>
      <c r="CI248" s="200"/>
      <c r="CJ248" s="200"/>
      <c r="CK248" s="200"/>
      <c r="CL248" s="200"/>
      <c r="CM248" s="200"/>
      <c r="CN248" s="200"/>
      <c r="CO248" s="200"/>
      <c r="CP248" s="200"/>
      <c r="CQ248" s="200"/>
      <c r="CR248" s="200"/>
      <c r="CS248" s="200"/>
      <c r="CT248" s="200"/>
      <c r="CU248" s="200"/>
      <c r="CV248" s="200"/>
      <c r="CW248" s="200"/>
      <c r="CX248" s="200"/>
      <c r="CY248" s="200"/>
      <c r="CZ248" s="200"/>
      <c r="DA248" s="200"/>
      <c r="DB248" s="200"/>
      <c r="DC248" s="200"/>
      <c r="DD248" s="200"/>
      <c r="DE248" s="200"/>
      <c r="DF248" s="200"/>
      <c r="DG248" s="200"/>
      <c r="DH248" s="200"/>
      <c r="DI248" s="200"/>
      <c r="DJ248" s="200"/>
      <c r="DK248" s="200"/>
      <c r="DL248" s="200"/>
      <c r="DM248" s="200"/>
      <c r="DN248" s="200"/>
      <c r="DO248" s="200"/>
      <c r="DP248" s="200"/>
      <c r="DQ248" s="200"/>
      <c r="DR248" s="200"/>
      <c r="DS248" s="200"/>
      <c r="DT248" s="200"/>
      <c r="DU248" s="200"/>
      <c r="DV248" s="200"/>
      <c r="DW248" s="200"/>
      <c r="DX248" s="200"/>
      <c r="DY248" s="200"/>
      <c r="DZ248" s="200"/>
      <c r="EA248" s="200"/>
      <c r="EB248" s="200"/>
      <c r="EC248" s="200"/>
      <c r="ED248" s="200"/>
      <c r="EE248" s="200"/>
      <c r="EF248" s="200"/>
      <c r="EG248" s="200"/>
      <c r="EH248" s="200"/>
      <c r="EI248" s="200"/>
      <c r="EJ248" s="200"/>
      <c r="EK248" s="200"/>
      <c r="EL248" s="200"/>
      <c r="EM248" s="200"/>
      <c r="EN248" s="200"/>
      <c r="EO248" s="200"/>
      <c r="EP248" s="200"/>
      <c r="EQ248" s="200"/>
      <c r="ER248" s="200"/>
      <c r="ES248" s="200"/>
      <c r="ET248" s="200"/>
      <c r="EU248" s="200"/>
      <c r="EV248" s="200"/>
      <c r="EW248" s="200"/>
      <c r="EX248" s="200"/>
      <c r="EY248" s="200"/>
      <c r="EZ248" s="200"/>
      <c r="FA248" s="200"/>
      <c r="FB248" s="200"/>
      <c r="FC248" s="200"/>
      <c r="FD248" s="200"/>
      <c r="FE248" s="200"/>
      <c r="FF248" s="200"/>
      <c r="FG248" s="200"/>
      <c r="FH248" s="200"/>
      <c r="FI248" s="200"/>
      <c r="FJ248" s="200"/>
      <c r="FK248" s="200"/>
      <c r="FL248" s="200"/>
      <c r="FM248" s="200"/>
      <c r="FN248" s="200"/>
      <c r="FO248" s="200"/>
      <c r="FP248" s="200"/>
      <c r="FQ248" s="200"/>
      <c r="FR248" s="200"/>
      <c r="FS248" s="200"/>
      <c r="FT248" s="200"/>
      <c r="FU248" s="200"/>
      <c r="FV248" s="200"/>
      <c r="FW248" s="200"/>
      <c r="FX248" s="200"/>
      <c r="FY248" s="200"/>
      <c r="FZ248" s="200"/>
      <c r="GA248" s="200"/>
      <c r="GB248" s="200"/>
      <c r="GC248" s="200"/>
      <c r="GD248" s="200"/>
      <c r="GE248" s="200"/>
      <c r="GF248" s="200"/>
      <c r="GG248" s="200"/>
      <c r="GH248" s="200"/>
      <c r="GI248" s="200"/>
      <c r="GJ248" s="200"/>
      <c r="GK248" s="200"/>
      <c r="GL248" s="200"/>
      <c r="GM248" s="200"/>
      <c r="GN248" s="200"/>
      <c r="GO248" s="200"/>
      <c r="GP248" s="200"/>
      <c r="GQ248" s="200"/>
      <c r="GR248" s="200"/>
      <c r="GS248" s="200"/>
      <c r="GT248" s="200"/>
      <c r="GU248" s="200"/>
      <c r="GV248" s="200"/>
      <c r="GW248" s="200"/>
      <c r="GX248" s="200"/>
      <c r="GY248" s="200"/>
      <c r="GZ248" s="200"/>
      <c r="HA248" s="200"/>
      <c r="HB248" s="200"/>
      <c r="HC248" s="200"/>
      <c r="HD248" s="200"/>
      <c r="HE248" s="200"/>
      <c r="HF248" s="200"/>
      <c r="HG248" s="200"/>
      <c r="HH248" s="200"/>
      <c r="HI248" s="200"/>
      <c r="HJ248" s="200"/>
      <c r="HK248" s="200"/>
      <c r="HL248" s="200"/>
      <c r="HM248" s="200"/>
      <c r="HN248" s="200"/>
      <c r="HO248" s="200"/>
      <c r="HP248" s="200"/>
      <c r="HQ248" s="200"/>
      <c r="HR248" s="200"/>
      <c r="HS248" s="200"/>
      <c r="HT248" s="200"/>
      <c r="HU248" s="200"/>
      <c r="HV248" s="200"/>
      <c r="HW248" s="200"/>
      <c r="HX248" s="200"/>
      <c r="HY248" s="200"/>
      <c r="HZ248" s="200"/>
      <c r="IA248" s="200"/>
      <c r="IB248" s="200"/>
      <c r="IC248" s="200"/>
      <c r="ID248" s="200"/>
      <c r="IE248" s="200"/>
      <c r="IF248" s="200"/>
      <c r="IG248" s="200"/>
      <c r="IH248" s="200"/>
      <c r="II248" s="200"/>
      <c r="IJ248" s="200"/>
      <c r="IK248" s="200"/>
      <c r="IL248" s="200"/>
      <c r="IM248" s="200"/>
      <c r="IN248" s="200"/>
      <c r="IO248" s="200"/>
      <c r="IP248" s="200"/>
      <c r="IQ248" s="200"/>
      <c r="IR248" s="200"/>
      <c r="IS248" s="200"/>
      <c r="IT248" s="200"/>
      <c r="IU248" s="201"/>
      <c r="IV248" s="201"/>
    </row>
    <row r="249" s="10" customFormat="1" ht="15.95" customHeight="1" spans="1:256">
      <c r="A249" s="199">
        <v>29</v>
      </c>
      <c r="B249" s="20" t="s">
        <v>2237</v>
      </c>
      <c r="C249" s="199" t="s">
        <v>2041</v>
      </c>
      <c r="D249" s="199">
        <v>6029</v>
      </c>
      <c r="E249" s="199">
        <f>'05版台时'!G428</f>
        <v>357.20594311731</v>
      </c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  <c r="AA249" s="200"/>
      <c r="AB249" s="200"/>
      <c r="AC249" s="200"/>
      <c r="AD249" s="200"/>
      <c r="AE249" s="200"/>
      <c r="AF249" s="200"/>
      <c r="AG249" s="200"/>
      <c r="AH249" s="200"/>
      <c r="AI249" s="200"/>
      <c r="AJ249" s="200"/>
      <c r="AK249" s="200"/>
      <c r="AL249" s="200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200"/>
      <c r="BA249" s="200"/>
      <c r="BB249" s="200"/>
      <c r="BC249" s="200"/>
      <c r="BD249" s="200"/>
      <c r="BE249" s="200"/>
      <c r="BF249" s="200"/>
      <c r="BG249" s="200"/>
      <c r="BH249" s="200"/>
      <c r="BI249" s="200"/>
      <c r="BJ249" s="200"/>
      <c r="BK249" s="200"/>
      <c r="BL249" s="200"/>
      <c r="BM249" s="200"/>
      <c r="BN249" s="200"/>
      <c r="BO249" s="200"/>
      <c r="BP249" s="200"/>
      <c r="BQ249" s="200"/>
      <c r="BR249" s="200"/>
      <c r="BS249" s="200"/>
      <c r="BT249" s="200"/>
      <c r="BU249" s="200"/>
      <c r="BV249" s="200"/>
      <c r="BW249" s="200"/>
      <c r="BX249" s="200"/>
      <c r="BY249" s="200"/>
      <c r="BZ249" s="200"/>
      <c r="CA249" s="200"/>
      <c r="CB249" s="200"/>
      <c r="CC249" s="200"/>
      <c r="CD249" s="200"/>
      <c r="CE249" s="200"/>
      <c r="CF249" s="200"/>
      <c r="CG249" s="200"/>
      <c r="CH249" s="200"/>
      <c r="CI249" s="200"/>
      <c r="CJ249" s="200"/>
      <c r="CK249" s="200"/>
      <c r="CL249" s="200"/>
      <c r="CM249" s="200"/>
      <c r="CN249" s="200"/>
      <c r="CO249" s="200"/>
      <c r="CP249" s="200"/>
      <c r="CQ249" s="200"/>
      <c r="CR249" s="200"/>
      <c r="CS249" s="200"/>
      <c r="CT249" s="200"/>
      <c r="CU249" s="200"/>
      <c r="CV249" s="200"/>
      <c r="CW249" s="200"/>
      <c r="CX249" s="200"/>
      <c r="CY249" s="200"/>
      <c r="CZ249" s="200"/>
      <c r="DA249" s="200"/>
      <c r="DB249" s="200"/>
      <c r="DC249" s="200"/>
      <c r="DD249" s="200"/>
      <c r="DE249" s="200"/>
      <c r="DF249" s="200"/>
      <c r="DG249" s="200"/>
      <c r="DH249" s="200"/>
      <c r="DI249" s="200"/>
      <c r="DJ249" s="200"/>
      <c r="DK249" s="200"/>
      <c r="DL249" s="200"/>
      <c r="DM249" s="200"/>
      <c r="DN249" s="200"/>
      <c r="DO249" s="200"/>
      <c r="DP249" s="200"/>
      <c r="DQ249" s="200"/>
      <c r="DR249" s="200"/>
      <c r="DS249" s="200"/>
      <c r="DT249" s="200"/>
      <c r="DU249" s="200"/>
      <c r="DV249" s="200"/>
      <c r="DW249" s="200"/>
      <c r="DX249" s="200"/>
      <c r="DY249" s="200"/>
      <c r="DZ249" s="200"/>
      <c r="EA249" s="200"/>
      <c r="EB249" s="200"/>
      <c r="EC249" s="200"/>
      <c r="ED249" s="200"/>
      <c r="EE249" s="200"/>
      <c r="EF249" s="200"/>
      <c r="EG249" s="200"/>
      <c r="EH249" s="200"/>
      <c r="EI249" s="200"/>
      <c r="EJ249" s="200"/>
      <c r="EK249" s="200"/>
      <c r="EL249" s="200"/>
      <c r="EM249" s="200"/>
      <c r="EN249" s="200"/>
      <c r="EO249" s="200"/>
      <c r="EP249" s="200"/>
      <c r="EQ249" s="200"/>
      <c r="ER249" s="200"/>
      <c r="ES249" s="200"/>
      <c r="ET249" s="200"/>
      <c r="EU249" s="200"/>
      <c r="EV249" s="200"/>
      <c r="EW249" s="200"/>
      <c r="EX249" s="200"/>
      <c r="EY249" s="200"/>
      <c r="EZ249" s="200"/>
      <c r="FA249" s="200"/>
      <c r="FB249" s="200"/>
      <c r="FC249" s="200"/>
      <c r="FD249" s="200"/>
      <c r="FE249" s="200"/>
      <c r="FF249" s="200"/>
      <c r="FG249" s="200"/>
      <c r="FH249" s="200"/>
      <c r="FI249" s="200"/>
      <c r="FJ249" s="200"/>
      <c r="FK249" s="200"/>
      <c r="FL249" s="200"/>
      <c r="FM249" s="200"/>
      <c r="FN249" s="200"/>
      <c r="FO249" s="200"/>
      <c r="FP249" s="200"/>
      <c r="FQ249" s="200"/>
      <c r="FR249" s="200"/>
      <c r="FS249" s="200"/>
      <c r="FT249" s="200"/>
      <c r="FU249" s="200"/>
      <c r="FV249" s="200"/>
      <c r="FW249" s="200"/>
      <c r="FX249" s="200"/>
      <c r="FY249" s="200"/>
      <c r="FZ249" s="200"/>
      <c r="GA249" s="200"/>
      <c r="GB249" s="200"/>
      <c r="GC249" s="200"/>
      <c r="GD249" s="200"/>
      <c r="GE249" s="200"/>
      <c r="GF249" s="200"/>
      <c r="GG249" s="200"/>
      <c r="GH249" s="200"/>
      <c r="GI249" s="200"/>
      <c r="GJ249" s="200"/>
      <c r="GK249" s="200"/>
      <c r="GL249" s="200"/>
      <c r="GM249" s="200"/>
      <c r="GN249" s="200"/>
      <c r="GO249" s="200"/>
      <c r="GP249" s="200"/>
      <c r="GQ249" s="200"/>
      <c r="GR249" s="200"/>
      <c r="GS249" s="200"/>
      <c r="GT249" s="200"/>
      <c r="GU249" s="200"/>
      <c r="GV249" s="200"/>
      <c r="GW249" s="200"/>
      <c r="GX249" s="200"/>
      <c r="GY249" s="200"/>
      <c r="GZ249" s="200"/>
      <c r="HA249" s="200"/>
      <c r="HB249" s="200"/>
      <c r="HC249" s="200"/>
      <c r="HD249" s="200"/>
      <c r="HE249" s="200"/>
      <c r="HF249" s="200"/>
      <c r="HG249" s="200"/>
      <c r="HH249" s="200"/>
      <c r="HI249" s="200"/>
      <c r="HJ249" s="200"/>
      <c r="HK249" s="200"/>
      <c r="HL249" s="200"/>
      <c r="HM249" s="200"/>
      <c r="HN249" s="200"/>
      <c r="HO249" s="200"/>
      <c r="HP249" s="200"/>
      <c r="HQ249" s="200"/>
      <c r="HR249" s="200"/>
      <c r="HS249" s="200"/>
      <c r="HT249" s="200"/>
      <c r="HU249" s="200"/>
      <c r="HV249" s="200"/>
      <c r="HW249" s="200"/>
      <c r="HX249" s="200"/>
      <c r="HY249" s="200"/>
      <c r="HZ249" s="200"/>
      <c r="IA249" s="200"/>
      <c r="IB249" s="200"/>
      <c r="IC249" s="200"/>
      <c r="ID249" s="200"/>
      <c r="IE249" s="200"/>
      <c r="IF249" s="200"/>
      <c r="IG249" s="200"/>
      <c r="IH249" s="200"/>
      <c r="II249" s="200"/>
      <c r="IJ249" s="200"/>
      <c r="IK249" s="200"/>
      <c r="IL249" s="200"/>
      <c r="IM249" s="200"/>
      <c r="IN249" s="200"/>
      <c r="IO249" s="200"/>
      <c r="IP249" s="200"/>
      <c r="IQ249" s="200"/>
      <c r="IR249" s="200"/>
      <c r="IS249" s="200"/>
      <c r="IT249" s="200"/>
      <c r="IU249" s="201"/>
      <c r="IV249" s="201"/>
    </row>
    <row r="250" s="10" customFormat="1" ht="15.95" customHeight="1" spans="1:256">
      <c r="A250" s="199">
        <v>30</v>
      </c>
      <c r="B250" s="20" t="s">
        <v>2237</v>
      </c>
      <c r="C250" s="199" t="s">
        <v>2039</v>
      </c>
      <c r="D250" s="199">
        <v>6030</v>
      </c>
      <c r="E250" s="199">
        <f>'05版台时'!H428</f>
        <v>447.545409529616</v>
      </c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  <c r="AA250" s="200"/>
      <c r="AB250" s="200"/>
      <c r="AC250" s="200"/>
      <c r="AD250" s="200"/>
      <c r="AE250" s="200"/>
      <c r="AF250" s="200"/>
      <c r="AG250" s="200"/>
      <c r="AH250" s="200"/>
      <c r="AI250" s="200"/>
      <c r="AJ250" s="200"/>
      <c r="AK250" s="200"/>
      <c r="AL250" s="200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200"/>
      <c r="AZ250" s="200"/>
      <c r="BA250" s="200"/>
      <c r="BB250" s="200"/>
      <c r="BC250" s="200"/>
      <c r="BD250" s="200"/>
      <c r="BE250" s="200"/>
      <c r="BF250" s="200"/>
      <c r="BG250" s="200"/>
      <c r="BH250" s="200"/>
      <c r="BI250" s="200"/>
      <c r="BJ250" s="200"/>
      <c r="BK250" s="200"/>
      <c r="BL250" s="200"/>
      <c r="BM250" s="200"/>
      <c r="BN250" s="200"/>
      <c r="BO250" s="200"/>
      <c r="BP250" s="200"/>
      <c r="BQ250" s="200"/>
      <c r="BR250" s="200"/>
      <c r="BS250" s="200"/>
      <c r="BT250" s="200"/>
      <c r="BU250" s="200"/>
      <c r="BV250" s="200"/>
      <c r="BW250" s="200"/>
      <c r="BX250" s="200"/>
      <c r="BY250" s="200"/>
      <c r="BZ250" s="200"/>
      <c r="CA250" s="200"/>
      <c r="CB250" s="200"/>
      <c r="CC250" s="200"/>
      <c r="CD250" s="200"/>
      <c r="CE250" s="200"/>
      <c r="CF250" s="200"/>
      <c r="CG250" s="200"/>
      <c r="CH250" s="200"/>
      <c r="CI250" s="200"/>
      <c r="CJ250" s="200"/>
      <c r="CK250" s="200"/>
      <c r="CL250" s="200"/>
      <c r="CM250" s="200"/>
      <c r="CN250" s="200"/>
      <c r="CO250" s="200"/>
      <c r="CP250" s="200"/>
      <c r="CQ250" s="200"/>
      <c r="CR250" s="200"/>
      <c r="CS250" s="200"/>
      <c r="CT250" s="200"/>
      <c r="CU250" s="200"/>
      <c r="CV250" s="200"/>
      <c r="CW250" s="200"/>
      <c r="CX250" s="200"/>
      <c r="CY250" s="200"/>
      <c r="CZ250" s="200"/>
      <c r="DA250" s="200"/>
      <c r="DB250" s="200"/>
      <c r="DC250" s="200"/>
      <c r="DD250" s="200"/>
      <c r="DE250" s="200"/>
      <c r="DF250" s="200"/>
      <c r="DG250" s="200"/>
      <c r="DH250" s="200"/>
      <c r="DI250" s="200"/>
      <c r="DJ250" s="200"/>
      <c r="DK250" s="200"/>
      <c r="DL250" s="200"/>
      <c r="DM250" s="200"/>
      <c r="DN250" s="200"/>
      <c r="DO250" s="200"/>
      <c r="DP250" s="200"/>
      <c r="DQ250" s="200"/>
      <c r="DR250" s="200"/>
      <c r="DS250" s="200"/>
      <c r="DT250" s="200"/>
      <c r="DU250" s="200"/>
      <c r="DV250" s="200"/>
      <c r="DW250" s="200"/>
      <c r="DX250" s="200"/>
      <c r="DY250" s="200"/>
      <c r="DZ250" s="200"/>
      <c r="EA250" s="200"/>
      <c r="EB250" s="200"/>
      <c r="EC250" s="200"/>
      <c r="ED250" s="200"/>
      <c r="EE250" s="200"/>
      <c r="EF250" s="200"/>
      <c r="EG250" s="200"/>
      <c r="EH250" s="200"/>
      <c r="EI250" s="200"/>
      <c r="EJ250" s="200"/>
      <c r="EK250" s="200"/>
      <c r="EL250" s="200"/>
      <c r="EM250" s="200"/>
      <c r="EN250" s="200"/>
      <c r="EO250" s="200"/>
      <c r="EP250" s="200"/>
      <c r="EQ250" s="200"/>
      <c r="ER250" s="200"/>
      <c r="ES250" s="200"/>
      <c r="ET250" s="200"/>
      <c r="EU250" s="200"/>
      <c r="EV250" s="200"/>
      <c r="EW250" s="200"/>
      <c r="EX250" s="200"/>
      <c r="EY250" s="200"/>
      <c r="EZ250" s="200"/>
      <c r="FA250" s="200"/>
      <c r="FB250" s="200"/>
      <c r="FC250" s="200"/>
      <c r="FD250" s="200"/>
      <c r="FE250" s="200"/>
      <c r="FF250" s="200"/>
      <c r="FG250" s="200"/>
      <c r="FH250" s="200"/>
      <c r="FI250" s="200"/>
      <c r="FJ250" s="200"/>
      <c r="FK250" s="200"/>
      <c r="FL250" s="200"/>
      <c r="FM250" s="200"/>
      <c r="FN250" s="200"/>
      <c r="FO250" s="200"/>
      <c r="FP250" s="200"/>
      <c r="FQ250" s="200"/>
      <c r="FR250" s="200"/>
      <c r="FS250" s="200"/>
      <c r="FT250" s="200"/>
      <c r="FU250" s="200"/>
      <c r="FV250" s="200"/>
      <c r="FW250" s="200"/>
      <c r="FX250" s="200"/>
      <c r="FY250" s="200"/>
      <c r="FZ250" s="200"/>
      <c r="GA250" s="200"/>
      <c r="GB250" s="200"/>
      <c r="GC250" s="200"/>
      <c r="GD250" s="200"/>
      <c r="GE250" s="200"/>
      <c r="GF250" s="200"/>
      <c r="GG250" s="200"/>
      <c r="GH250" s="200"/>
      <c r="GI250" s="200"/>
      <c r="GJ250" s="200"/>
      <c r="GK250" s="200"/>
      <c r="GL250" s="200"/>
      <c r="GM250" s="200"/>
      <c r="GN250" s="200"/>
      <c r="GO250" s="200"/>
      <c r="GP250" s="200"/>
      <c r="GQ250" s="200"/>
      <c r="GR250" s="200"/>
      <c r="GS250" s="200"/>
      <c r="GT250" s="200"/>
      <c r="GU250" s="200"/>
      <c r="GV250" s="200"/>
      <c r="GW250" s="200"/>
      <c r="GX250" s="200"/>
      <c r="GY250" s="200"/>
      <c r="GZ250" s="200"/>
      <c r="HA250" s="200"/>
      <c r="HB250" s="200"/>
      <c r="HC250" s="200"/>
      <c r="HD250" s="200"/>
      <c r="HE250" s="200"/>
      <c r="HF250" s="200"/>
      <c r="HG250" s="200"/>
      <c r="HH250" s="200"/>
      <c r="HI250" s="200"/>
      <c r="HJ250" s="200"/>
      <c r="HK250" s="200"/>
      <c r="HL250" s="200"/>
      <c r="HM250" s="200"/>
      <c r="HN250" s="200"/>
      <c r="HO250" s="200"/>
      <c r="HP250" s="200"/>
      <c r="HQ250" s="200"/>
      <c r="HR250" s="200"/>
      <c r="HS250" s="200"/>
      <c r="HT250" s="200"/>
      <c r="HU250" s="200"/>
      <c r="HV250" s="200"/>
      <c r="HW250" s="200"/>
      <c r="HX250" s="200"/>
      <c r="HY250" s="200"/>
      <c r="HZ250" s="200"/>
      <c r="IA250" s="200"/>
      <c r="IB250" s="200"/>
      <c r="IC250" s="200"/>
      <c r="ID250" s="200"/>
      <c r="IE250" s="200"/>
      <c r="IF250" s="200"/>
      <c r="IG250" s="200"/>
      <c r="IH250" s="200"/>
      <c r="II250" s="200"/>
      <c r="IJ250" s="200"/>
      <c r="IK250" s="200"/>
      <c r="IL250" s="200"/>
      <c r="IM250" s="200"/>
      <c r="IN250" s="200"/>
      <c r="IO250" s="200"/>
      <c r="IP250" s="200"/>
      <c r="IQ250" s="200"/>
      <c r="IR250" s="200"/>
      <c r="IS250" s="200"/>
      <c r="IT250" s="200"/>
      <c r="IU250" s="201"/>
      <c r="IV250" s="201"/>
    </row>
    <row r="251" s="10" customFormat="1" ht="15.95" customHeight="1" spans="1:256">
      <c r="A251" s="199">
        <v>31</v>
      </c>
      <c r="B251" s="20" t="s">
        <v>2239</v>
      </c>
      <c r="C251" s="199" t="s">
        <v>2238</v>
      </c>
      <c r="D251" s="199">
        <v>6031</v>
      </c>
      <c r="E251" s="199">
        <f>'05版台时'!I428</f>
        <v>258.241259560184</v>
      </c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  <c r="AA251" s="200"/>
      <c r="AB251" s="200"/>
      <c r="AC251" s="200"/>
      <c r="AD251" s="200"/>
      <c r="AE251" s="200"/>
      <c r="AF251" s="200"/>
      <c r="AG251" s="200"/>
      <c r="AH251" s="200"/>
      <c r="AI251" s="200"/>
      <c r="AJ251" s="200"/>
      <c r="AK251" s="200"/>
      <c r="AL251" s="200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200"/>
      <c r="BA251" s="200"/>
      <c r="BB251" s="200"/>
      <c r="BC251" s="200"/>
      <c r="BD251" s="200"/>
      <c r="BE251" s="200"/>
      <c r="BF251" s="200"/>
      <c r="BG251" s="200"/>
      <c r="BH251" s="200"/>
      <c r="BI251" s="200"/>
      <c r="BJ251" s="200"/>
      <c r="BK251" s="200"/>
      <c r="BL251" s="200"/>
      <c r="BM251" s="200"/>
      <c r="BN251" s="200"/>
      <c r="BO251" s="200"/>
      <c r="BP251" s="200"/>
      <c r="BQ251" s="200"/>
      <c r="BR251" s="200"/>
      <c r="BS251" s="200"/>
      <c r="BT251" s="200"/>
      <c r="BU251" s="200"/>
      <c r="BV251" s="200"/>
      <c r="BW251" s="200"/>
      <c r="BX251" s="200"/>
      <c r="BY251" s="200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200"/>
      <c r="CM251" s="200"/>
      <c r="CN251" s="200"/>
      <c r="CO251" s="200"/>
      <c r="CP251" s="200"/>
      <c r="CQ251" s="200"/>
      <c r="CR251" s="200"/>
      <c r="CS251" s="200"/>
      <c r="CT251" s="200"/>
      <c r="CU251" s="200"/>
      <c r="CV251" s="200"/>
      <c r="CW251" s="200"/>
      <c r="CX251" s="200"/>
      <c r="CY251" s="200"/>
      <c r="CZ251" s="200"/>
      <c r="DA251" s="200"/>
      <c r="DB251" s="200"/>
      <c r="DC251" s="200"/>
      <c r="DD251" s="200"/>
      <c r="DE251" s="200"/>
      <c r="DF251" s="200"/>
      <c r="DG251" s="200"/>
      <c r="DH251" s="200"/>
      <c r="DI251" s="200"/>
      <c r="DJ251" s="200"/>
      <c r="DK251" s="200"/>
      <c r="DL251" s="200"/>
      <c r="DM251" s="200"/>
      <c r="DN251" s="200"/>
      <c r="DO251" s="200"/>
      <c r="DP251" s="200"/>
      <c r="DQ251" s="200"/>
      <c r="DR251" s="200"/>
      <c r="DS251" s="200"/>
      <c r="DT251" s="200"/>
      <c r="DU251" s="200"/>
      <c r="DV251" s="200"/>
      <c r="DW251" s="200"/>
      <c r="DX251" s="200"/>
      <c r="DY251" s="200"/>
      <c r="DZ251" s="200"/>
      <c r="EA251" s="200"/>
      <c r="EB251" s="200"/>
      <c r="EC251" s="200"/>
      <c r="ED251" s="200"/>
      <c r="EE251" s="200"/>
      <c r="EF251" s="200"/>
      <c r="EG251" s="200"/>
      <c r="EH251" s="200"/>
      <c r="EI251" s="200"/>
      <c r="EJ251" s="200"/>
      <c r="EK251" s="200"/>
      <c r="EL251" s="200"/>
      <c r="EM251" s="200"/>
      <c r="EN251" s="200"/>
      <c r="EO251" s="200"/>
      <c r="EP251" s="200"/>
      <c r="EQ251" s="200"/>
      <c r="ER251" s="200"/>
      <c r="ES251" s="200"/>
      <c r="ET251" s="200"/>
      <c r="EU251" s="200"/>
      <c r="EV251" s="200"/>
      <c r="EW251" s="200"/>
      <c r="EX251" s="200"/>
      <c r="EY251" s="200"/>
      <c r="EZ251" s="200"/>
      <c r="FA251" s="200"/>
      <c r="FB251" s="200"/>
      <c r="FC251" s="200"/>
      <c r="FD251" s="200"/>
      <c r="FE251" s="200"/>
      <c r="FF251" s="200"/>
      <c r="FG251" s="200"/>
      <c r="FH251" s="200"/>
      <c r="FI251" s="200"/>
      <c r="FJ251" s="200"/>
      <c r="FK251" s="200"/>
      <c r="FL251" s="200"/>
      <c r="FM251" s="200"/>
      <c r="FN251" s="200"/>
      <c r="FO251" s="200"/>
      <c r="FP251" s="200"/>
      <c r="FQ251" s="200"/>
      <c r="FR251" s="200"/>
      <c r="FS251" s="200"/>
      <c r="FT251" s="200"/>
      <c r="FU251" s="200"/>
      <c r="FV251" s="200"/>
      <c r="FW251" s="200"/>
      <c r="FX251" s="200"/>
      <c r="FY251" s="200"/>
      <c r="FZ251" s="200"/>
      <c r="GA251" s="200"/>
      <c r="GB251" s="200"/>
      <c r="GC251" s="200"/>
      <c r="GD251" s="200"/>
      <c r="GE251" s="200"/>
      <c r="GF251" s="200"/>
      <c r="GG251" s="200"/>
      <c r="GH251" s="200"/>
      <c r="GI251" s="200"/>
      <c r="GJ251" s="200"/>
      <c r="GK251" s="200"/>
      <c r="GL251" s="200"/>
      <c r="GM251" s="200"/>
      <c r="GN251" s="200"/>
      <c r="GO251" s="200"/>
      <c r="GP251" s="200"/>
      <c r="GQ251" s="200"/>
      <c r="GR251" s="200"/>
      <c r="GS251" s="200"/>
      <c r="GT251" s="200"/>
      <c r="GU251" s="200"/>
      <c r="GV251" s="200"/>
      <c r="GW251" s="200"/>
      <c r="GX251" s="200"/>
      <c r="GY251" s="200"/>
      <c r="GZ251" s="200"/>
      <c r="HA251" s="200"/>
      <c r="HB251" s="200"/>
      <c r="HC251" s="200"/>
      <c r="HD251" s="200"/>
      <c r="HE251" s="200"/>
      <c r="HF251" s="200"/>
      <c r="HG251" s="200"/>
      <c r="HH251" s="200"/>
      <c r="HI251" s="200"/>
      <c r="HJ251" s="200"/>
      <c r="HK251" s="200"/>
      <c r="HL251" s="200"/>
      <c r="HM251" s="200"/>
      <c r="HN251" s="200"/>
      <c r="HO251" s="200"/>
      <c r="HP251" s="200"/>
      <c r="HQ251" s="200"/>
      <c r="HR251" s="200"/>
      <c r="HS251" s="200"/>
      <c r="HT251" s="200"/>
      <c r="HU251" s="200"/>
      <c r="HV251" s="200"/>
      <c r="HW251" s="200"/>
      <c r="HX251" s="200"/>
      <c r="HY251" s="200"/>
      <c r="HZ251" s="200"/>
      <c r="IA251" s="200"/>
      <c r="IB251" s="200"/>
      <c r="IC251" s="200"/>
      <c r="ID251" s="200"/>
      <c r="IE251" s="200"/>
      <c r="IF251" s="200"/>
      <c r="IG251" s="200"/>
      <c r="IH251" s="200"/>
      <c r="II251" s="200"/>
      <c r="IJ251" s="200"/>
      <c r="IK251" s="200"/>
      <c r="IL251" s="200"/>
      <c r="IM251" s="200"/>
      <c r="IN251" s="200"/>
      <c r="IO251" s="200"/>
      <c r="IP251" s="200"/>
      <c r="IQ251" s="200"/>
      <c r="IR251" s="200"/>
      <c r="IS251" s="200"/>
      <c r="IT251" s="200"/>
      <c r="IU251" s="201"/>
      <c r="IV251" s="201"/>
    </row>
    <row r="252" s="10" customFormat="1" ht="15.95" customHeight="1" spans="1:256">
      <c r="A252" s="199">
        <v>32</v>
      </c>
      <c r="B252" s="20" t="s">
        <v>2239</v>
      </c>
      <c r="C252" s="199" t="s">
        <v>2140</v>
      </c>
      <c r="D252" s="199">
        <v>6032</v>
      </c>
      <c r="E252" s="199">
        <f>'05版台时'!J428</f>
        <v>1029.63161178721</v>
      </c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  <c r="AA252" s="200"/>
      <c r="AB252" s="200"/>
      <c r="AC252" s="200"/>
      <c r="AD252" s="200"/>
      <c r="AE252" s="200"/>
      <c r="AF252" s="200"/>
      <c r="AG252" s="200"/>
      <c r="AH252" s="200"/>
      <c r="AI252" s="200"/>
      <c r="AJ252" s="200"/>
      <c r="AK252" s="200"/>
      <c r="AL252" s="200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200"/>
      <c r="AZ252" s="200"/>
      <c r="BA252" s="200"/>
      <c r="BB252" s="200"/>
      <c r="BC252" s="200"/>
      <c r="BD252" s="200"/>
      <c r="BE252" s="200"/>
      <c r="BF252" s="200"/>
      <c r="BG252" s="200"/>
      <c r="BH252" s="200"/>
      <c r="BI252" s="200"/>
      <c r="BJ252" s="200"/>
      <c r="BK252" s="200"/>
      <c r="BL252" s="200"/>
      <c r="BM252" s="200"/>
      <c r="BN252" s="200"/>
      <c r="BO252" s="200"/>
      <c r="BP252" s="200"/>
      <c r="BQ252" s="200"/>
      <c r="BR252" s="200"/>
      <c r="BS252" s="200"/>
      <c r="BT252" s="200"/>
      <c r="BU252" s="200"/>
      <c r="BV252" s="200"/>
      <c r="BW252" s="200"/>
      <c r="BX252" s="200"/>
      <c r="BY252" s="200"/>
      <c r="BZ252" s="200"/>
      <c r="CA252" s="200"/>
      <c r="CB252" s="200"/>
      <c r="CC252" s="200"/>
      <c r="CD252" s="200"/>
      <c r="CE252" s="200"/>
      <c r="CF252" s="200"/>
      <c r="CG252" s="200"/>
      <c r="CH252" s="200"/>
      <c r="CI252" s="200"/>
      <c r="CJ252" s="200"/>
      <c r="CK252" s="200"/>
      <c r="CL252" s="200"/>
      <c r="CM252" s="200"/>
      <c r="CN252" s="200"/>
      <c r="CO252" s="200"/>
      <c r="CP252" s="200"/>
      <c r="CQ252" s="200"/>
      <c r="CR252" s="200"/>
      <c r="CS252" s="200"/>
      <c r="CT252" s="200"/>
      <c r="CU252" s="200"/>
      <c r="CV252" s="200"/>
      <c r="CW252" s="200"/>
      <c r="CX252" s="200"/>
      <c r="CY252" s="200"/>
      <c r="CZ252" s="200"/>
      <c r="DA252" s="200"/>
      <c r="DB252" s="200"/>
      <c r="DC252" s="200"/>
      <c r="DD252" s="200"/>
      <c r="DE252" s="200"/>
      <c r="DF252" s="200"/>
      <c r="DG252" s="200"/>
      <c r="DH252" s="200"/>
      <c r="DI252" s="200"/>
      <c r="DJ252" s="200"/>
      <c r="DK252" s="200"/>
      <c r="DL252" s="200"/>
      <c r="DM252" s="200"/>
      <c r="DN252" s="200"/>
      <c r="DO252" s="200"/>
      <c r="DP252" s="200"/>
      <c r="DQ252" s="200"/>
      <c r="DR252" s="200"/>
      <c r="DS252" s="200"/>
      <c r="DT252" s="200"/>
      <c r="DU252" s="200"/>
      <c r="DV252" s="200"/>
      <c r="DW252" s="200"/>
      <c r="DX252" s="200"/>
      <c r="DY252" s="200"/>
      <c r="DZ252" s="200"/>
      <c r="EA252" s="200"/>
      <c r="EB252" s="200"/>
      <c r="EC252" s="200"/>
      <c r="ED252" s="200"/>
      <c r="EE252" s="200"/>
      <c r="EF252" s="200"/>
      <c r="EG252" s="200"/>
      <c r="EH252" s="200"/>
      <c r="EI252" s="200"/>
      <c r="EJ252" s="200"/>
      <c r="EK252" s="200"/>
      <c r="EL252" s="200"/>
      <c r="EM252" s="200"/>
      <c r="EN252" s="200"/>
      <c r="EO252" s="200"/>
      <c r="EP252" s="200"/>
      <c r="EQ252" s="200"/>
      <c r="ER252" s="200"/>
      <c r="ES252" s="200"/>
      <c r="ET252" s="200"/>
      <c r="EU252" s="200"/>
      <c r="EV252" s="200"/>
      <c r="EW252" s="200"/>
      <c r="EX252" s="200"/>
      <c r="EY252" s="200"/>
      <c r="EZ252" s="200"/>
      <c r="FA252" s="200"/>
      <c r="FB252" s="200"/>
      <c r="FC252" s="200"/>
      <c r="FD252" s="200"/>
      <c r="FE252" s="200"/>
      <c r="FF252" s="200"/>
      <c r="FG252" s="200"/>
      <c r="FH252" s="200"/>
      <c r="FI252" s="200"/>
      <c r="FJ252" s="200"/>
      <c r="FK252" s="200"/>
      <c r="FL252" s="200"/>
      <c r="FM252" s="200"/>
      <c r="FN252" s="200"/>
      <c r="FO252" s="200"/>
      <c r="FP252" s="200"/>
      <c r="FQ252" s="200"/>
      <c r="FR252" s="200"/>
      <c r="FS252" s="200"/>
      <c r="FT252" s="200"/>
      <c r="FU252" s="200"/>
      <c r="FV252" s="200"/>
      <c r="FW252" s="200"/>
      <c r="FX252" s="200"/>
      <c r="FY252" s="200"/>
      <c r="FZ252" s="200"/>
      <c r="GA252" s="200"/>
      <c r="GB252" s="200"/>
      <c r="GC252" s="200"/>
      <c r="GD252" s="200"/>
      <c r="GE252" s="200"/>
      <c r="GF252" s="200"/>
      <c r="GG252" s="200"/>
      <c r="GH252" s="200"/>
      <c r="GI252" s="200"/>
      <c r="GJ252" s="200"/>
      <c r="GK252" s="200"/>
      <c r="GL252" s="200"/>
      <c r="GM252" s="200"/>
      <c r="GN252" s="200"/>
      <c r="GO252" s="200"/>
      <c r="GP252" s="200"/>
      <c r="GQ252" s="200"/>
      <c r="GR252" s="200"/>
      <c r="GS252" s="200"/>
      <c r="GT252" s="200"/>
      <c r="GU252" s="200"/>
      <c r="GV252" s="200"/>
      <c r="GW252" s="200"/>
      <c r="GX252" s="200"/>
      <c r="GY252" s="200"/>
      <c r="GZ252" s="200"/>
      <c r="HA252" s="200"/>
      <c r="HB252" s="200"/>
      <c r="HC252" s="200"/>
      <c r="HD252" s="200"/>
      <c r="HE252" s="200"/>
      <c r="HF252" s="200"/>
      <c r="HG252" s="200"/>
      <c r="HH252" s="200"/>
      <c r="HI252" s="200"/>
      <c r="HJ252" s="200"/>
      <c r="HK252" s="200"/>
      <c r="HL252" s="200"/>
      <c r="HM252" s="200"/>
      <c r="HN252" s="200"/>
      <c r="HO252" s="200"/>
      <c r="HP252" s="200"/>
      <c r="HQ252" s="200"/>
      <c r="HR252" s="200"/>
      <c r="HS252" s="200"/>
      <c r="HT252" s="200"/>
      <c r="HU252" s="200"/>
      <c r="HV252" s="200"/>
      <c r="HW252" s="200"/>
      <c r="HX252" s="200"/>
      <c r="HY252" s="200"/>
      <c r="HZ252" s="200"/>
      <c r="IA252" s="200"/>
      <c r="IB252" s="200"/>
      <c r="IC252" s="200"/>
      <c r="ID252" s="200"/>
      <c r="IE252" s="200"/>
      <c r="IF252" s="200"/>
      <c r="IG252" s="200"/>
      <c r="IH252" s="200"/>
      <c r="II252" s="200"/>
      <c r="IJ252" s="200"/>
      <c r="IK252" s="200"/>
      <c r="IL252" s="200"/>
      <c r="IM252" s="200"/>
      <c r="IN252" s="200"/>
      <c r="IO252" s="200"/>
      <c r="IP252" s="200"/>
      <c r="IQ252" s="200"/>
      <c r="IR252" s="200"/>
      <c r="IS252" s="200"/>
      <c r="IT252" s="200"/>
      <c r="IU252" s="201"/>
      <c r="IV252" s="201"/>
    </row>
    <row r="253" s="10" customFormat="1" ht="15.95" customHeight="1" spans="1:256">
      <c r="A253" s="199">
        <v>33</v>
      </c>
      <c r="B253" s="20" t="s">
        <v>2240</v>
      </c>
      <c r="C253" s="199" t="s">
        <v>2140</v>
      </c>
      <c r="D253" s="199">
        <v>6033</v>
      </c>
      <c r="E253" s="199">
        <f>'05版台时'!K428</f>
        <v>1498.77600587051</v>
      </c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  <c r="AA253" s="200"/>
      <c r="AB253" s="200"/>
      <c r="AC253" s="200"/>
      <c r="AD253" s="200"/>
      <c r="AE253" s="200"/>
      <c r="AF253" s="200"/>
      <c r="AG253" s="200"/>
      <c r="AH253" s="200"/>
      <c r="AI253" s="200"/>
      <c r="AJ253" s="200"/>
      <c r="AK253" s="200"/>
      <c r="AL253" s="200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200"/>
      <c r="BA253" s="200"/>
      <c r="BB253" s="200"/>
      <c r="BC253" s="200"/>
      <c r="BD253" s="200"/>
      <c r="BE253" s="200"/>
      <c r="BF253" s="200"/>
      <c r="BG253" s="200"/>
      <c r="BH253" s="200"/>
      <c r="BI253" s="200"/>
      <c r="BJ253" s="200"/>
      <c r="BK253" s="200"/>
      <c r="BL253" s="200"/>
      <c r="BM253" s="200"/>
      <c r="BN253" s="200"/>
      <c r="BO253" s="200"/>
      <c r="BP253" s="200"/>
      <c r="BQ253" s="200"/>
      <c r="BR253" s="200"/>
      <c r="BS253" s="200"/>
      <c r="BT253" s="200"/>
      <c r="BU253" s="200"/>
      <c r="BV253" s="200"/>
      <c r="BW253" s="200"/>
      <c r="BX253" s="200"/>
      <c r="BY253" s="200"/>
      <c r="BZ253" s="200"/>
      <c r="CA253" s="200"/>
      <c r="CB253" s="200"/>
      <c r="CC253" s="200"/>
      <c r="CD253" s="200"/>
      <c r="CE253" s="200"/>
      <c r="CF253" s="200"/>
      <c r="CG253" s="200"/>
      <c r="CH253" s="200"/>
      <c r="CI253" s="200"/>
      <c r="CJ253" s="200"/>
      <c r="CK253" s="200"/>
      <c r="CL253" s="200"/>
      <c r="CM253" s="200"/>
      <c r="CN253" s="200"/>
      <c r="CO253" s="200"/>
      <c r="CP253" s="200"/>
      <c r="CQ253" s="200"/>
      <c r="CR253" s="200"/>
      <c r="CS253" s="200"/>
      <c r="CT253" s="200"/>
      <c r="CU253" s="200"/>
      <c r="CV253" s="200"/>
      <c r="CW253" s="200"/>
      <c r="CX253" s="200"/>
      <c r="CY253" s="200"/>
      <c r="CZ253" s="200"/>
      <c r="DA253" s="200"/>
      <c r="DB253" s="200"/>
      <c r="DC253" s="200"/>
      <c r="DD253" s="200"/>
      <c r="DE253" s="200"/>
      <c r="DF253" s="200"/>
      <c r="DG253" s="200"/>
      <c r="DH253" s="200"/>
      <c r="DI253" s="200"/>
      <c r="DJ253" s="200"/>
      <c r="DK253" s="200"/>
      <c r="DL253" s="200"/>
      <c r="DM253" s="200"/>
      <c r="DN253" s="200"/>
      <c r="DO253" s="200"/>
      <c r="DP253" s="200"/>
      <c r="DQ253" s="200"/>
      <c r="DR253" s="200"/>
      <c r="DS253" s="200"/>
      <c r="DT253" s="200"/>
      <c r="DU253" s="200"/>
      <c r="DV253" s="200"/>
      <c r="DW253" s="200"/>
      <c r="DX253" s="200"/>
      <c r="DY253" s="200"/>
      <c r="DZ253" s="200"/>
      <c r="EA253" s="200"/>
      <c r="EB253" s="200"/>
      <c r="EC253" s="200"/>
      <c r="ED253" s="200"/>
      <c r="EE253" s="200"/>
      <c r="EF253" s="200"/>
      <c r="EG253" s="200"/>
      <c r="EH253" s="200"/>
      <c r="EI253" s="200"/>
      <c r="EJ253" s="200"/>
      <c r="EK253" s="200"/>
      <c r="EL253" s="200"/>
      <c r="EM253" s="200"/>
      <c r="EN253" s="200"/>
      <c r="EO253" s="200"/>
      <c r="EP253" s="200"/>
      <c r="EQ253" s="200"/>
      <c r="ER253" s="200"/>
      <c r="ES253" s="200"/>
      <c r="ET253" s="200"/>
      <c r="EU253" s="200"/>
      <c r="EV253" s="200"/>
      <c r="EW253" s="200"/>
      <c r="EX253" s="200"/>
      <c r="EY253" s="200"/>
      <c r="EZ253" s="200"/>
      <c r="FA253" s="200"/>
      <c r="FB253" s="200"/>
      <c r="FC253" s="200"/>
      <c r="FD253" s="200"/>
      <c r="FE253" s="200"/>
      <c r="FF253" s="200"/>
      <c r="FG253" s="200"/>
      <c r="FH253" s="200"/>
      <c r="FI253" s="200"/>
      <c r="FJ253" s="200"/>
      <c r="FK253" s="200"/>
      <c r="FL253" s="200"/>
      <c r="FM253" s="200"/>
      <c r="FN253" s="200"/>
      <c r="FO253" s="200"/>
      <c r="FP253" s="200"/>
      <c r="FQ253" s="200"/>
      <c r="FR253" s="200"/>
      <c r="FS253" s="200"/>
      <c r="FT253" s="200"/>
      <c r="FU253" s="200"/>
      <c r="FV253" s="200"/>
      <c r="FW253" s="200"/>
      <c r="FX253" s="200"/>
      <c r="FY253" s="200"/>
      <c r="FZ253" s="200"/>
      <c r="GA253" s="200"/>
      <c r="GB253" s="200"/>
      <c r="GC253" s="200"/>
      <c r="GD253" s="200"/>
      <c r="GE253" s="200"/>
      <c r="GF253" s="200"/>
      <c r="GG253" s="200"/>
      <c r="GH253" s="200"/>
      <c r="GI253" s="200"/>
      <c r="GJ253" s="200"/>
      <c r="GK253" s="200"/>
      <c r="GL253" s="200"/>
      <c r="GM253" s="200"/>
      <c r="GN253" s="200"/>
      <c r="GO253" s="200"/>
      <c r="GP253" s="200"/>
      <c r="GQ253" s="200"/>
      <c r="GR253" s="200"/>
      <c r="GS253" s="200"/>
      <c r="GT253" s="200"/>
      <c r="GU253" s="200"/>
      <c r="GV253" s="200"/>
      <c r="GW253" s="200"/>
      <c r="GX253" s="200"/>
      <c r="GY253" s="200"/>
      <c r="GZ253" s="200"/>
      <c r="HA253" s="200"/>
      <c r="HB253" s="200"/>
      <c r="HC253" s="200"/>
      <c r="HD253" s="200"/>
      <c r="HE253" s="200"/>
      <c r="HF253" s="200"/>
      <c r="HG253" s="200"/>
      <c r="HH253" s="200"/>
      <c r="HI253" s="200"/>
      <c r="HJ253" s="200"/>
      <c r="HK253" s="200"/>
      <c r="HL253" s="200"/>
      <c r="HM253" s="200"/>
      <c r="HN253" s="200"/>
      <c r="HO253" s="200"/>
      <c r="HP253" s="200"/>
      <c r="HQ253" s="200"/>
      <c r="HR253" s="200"/>
      <c r="HS253" s="200"/>
      <c r="HT253" s="200"/>
      <c r="HU253" s="200"/>
      <c r="HV253" s="200"/>
      <c r="HW253" s="200"/>
      <c r="HX253" s="200"/>
      <c r="HY253" s="200"/>
      <c r="HZ253" s="200"/>
      <c r="IA253" s="200"/>
      <c r="IB253" s="200"/>
      <c r="IC253" s="200"/>
      <c r="ID253" s="200"/>
      <c r="IE253" s="200"/>
      <c r="IF253" s="200"/>
      <c r="IG253" s="200"/>
      <c r="IH253" s="200"/>
      <c r="II253" s="200"/>
      <c r="IJ253" s="200"/>
      <c r="IK253" s="200"/>
      <c r="IL253" s="200"/>
      <c r="IM253" s="200"/>
      <c r="IN253" s="200"/>
      <c r="IO253" s="200"/>
      <c r="IP253" s="200"/>
      <c r="IQ253" s="200"/>
      <c r="IR253" s="200"/>
      <c r="IS253" s="200"/>
      <c r="IT253" s="200"/>
      <c r="IU253" s="201"/>
      <c r="IV253" s="201"/>
    </row>
    <row r="254" s="10" customFormat="1" ht="15.95" customHeight="1" spans="1:256">
      <c r="A254" s="199">
        <v>34</v>
      </c>
      <c r="B254" s="20" t="s">
        <v>2241</v>
      </c>
      <c r="C254" s="20" t="s">
        <v>2242</v>
      </c>
      <c r="D254" s="199">
        <v>6034</v>
      </c>
      <c r="E254" s="199">
        <f>'05版台时'!L428</f>
        <v>15.2937277390695</v>
      </c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  <c r="AA254" s="200"/>
      <c r="AB254" s="200"/>
      <c r="AC254" s="200"/>
      <c r="AD254" s="200"/>
      <c r="AE254" s="200"/>
      <c r="AF254" s="200"/>
      <c r="AG254" s="200"/>
      <c r="AH254" s="200"/>
      <c r="AI254" s="200"/>
      <c r="AJ254" s="200"/>
      <c r="AK254" s="200"/>
      <c r="AL254" s="200"/>
      <c r="AM254" s="200"/>
      <c r="AN254" s="200"/>
      <c r="AO254" s="200"/>
      <c r="AP254" s="200"/>
      <c r="AQ254" s="200"/>
      <c r="AR254" s="200"/>
      <c r="AS254" s="200"/>
      <c r="AT254" s="200"/>
      <c r="AU254" s="200"/>
      <c r="AV254" s="200"/>
      <c r="AW254" s="200"/>
      <c r="AX254" s="200"/>
      <c r="AY254" s="200"/>
      <c r="AZ254" s="200"/>
      <c r="BA254" s="200"/>
      <c r="BB254" s="200"/>
      <c r="BC254" s="200"/>
      <c r="BD254" s="200"/>
      <c r="BE254" s="200"/>
      <c r="BF254" s="200"/>
      <c r="BG254" s="200"/>
      <c r="BH254" s="200"/>
      <c r="BI254" s="200"/>
      <c r="BJ254" s="200"/>
      <c r="BK254" s="200"/>
      <c r="BL254" s="200"/>
      <c r="BM254" s="200"/>
      <c r="BN254" s="200"/>
      <c r="BO254" s="200"/>
      <c r="BP254" s="200"/>
      <c r="BQ254" s="200"/>
      <c r="BR254" s="200"/>
      <c r="BS254" s="200"/>
      <c r="BT254" s="200"/>
      <c r="BU254" s="200"/>
      <c r="BV254" s="200"/>
      <c r="BW254" s="200"/>
      <c r="BX254" s="200"/>
      <c r="BY254" s="200"/>
      <c r="BZ254" s="200"/>
      <c r="CA254" s="200"/>
      <c r="CB254" s="200"/>
      <c r="CC254" s="200"/>
      <c r="CD254" s="200"/>
      <c r="CE254" s="200"/>
      <c r="CF254" s="200"/>
      <c r="CG254" s="200"/>
      <c r="CH254" s="200"/>
      <c r="CI254" s="200"/>
      <c r="CJ254" s="200"/>
      <c r="CK254" s="200"/>
      <c r="CL254" s="200"/>
      <c r="CM254" s="200"/>
      <c r="CN254" s="200"/>
      <c r="CO254" s="200"/>
      <c r="CP254" s="200"/>
      <c r="CQ254" s="200"/>
      <c r="CR254" s="200"/>
      <c r="CS254" s="200"/>
      <c r="CT254" s="200"/>
      <c r="CU254" s="200"/>
      <c r="CV254" s="200"/>
      <c r="CW254" s="200"/>
      <c r="CX254" s="200"/>
      <c r="CY254" s="200"/>
      <c r="CZ254" s="200"/>
      <c r="DA254" s="200"/>
      <c r="DB254" s="200"/>
      <c r="DC254" s="200"/>
      <c r="DD254" s="200"/>
      <c r="DE254" s="200"/>
      <c r="DF254" s="200"/>
      <c r="DG254" s="200"/>
      <c r="DH254" s="200"/>
      <c r="DI254" s="200"/>
      <c r="DJ254" s="200"/>
      <c r="DK254" s="200"/>
      <c r="DL254" s="200"/>
      <c r="DM254" s="200"/>
      <c r="DN254" s="200"/>
      <c r="DO254" s="200"/>
      <c r="DP254" s="200"/>
      <c r="DQ254" s="200"/>
      <c r="DR254" s="200"/>
      <c r="DS254" s="200"/>
      <c r="DT254" s="200"/>
      <c r="DU254" s="200"/>
      <c r="DV254" s="200"/>
      <c r="DW254" s="200"/>
      <c r="DX254" s="200"/>
      <c r="DY254" s="200"/>
      <c r="DZ254" s="200"/>
      <c r="EA254" s="200"/>
      <c r="EB254" s="200"/>
      <c r="EC254" s="200"/>
      <c r="ED254" s="200"/>
      <c r="EE254" s="200"/>
      <c r="EF254" s="200"/>
      <c r="EG254" s="200"/>
      <c r="EH254" s="200"/>
      <c r="EI254" s="200"/>
      <c r="EJ254" s="200"/>
      <c r="EK254" s="200"/>
      <c r="EL254" s="200"/>
      <c r="EM254" s="200"/>
      <c r="EN254" s="200"/>
      <c r="EO254" s="200"/>
      <c r="EP254" s="200"/>
      <c r="EQ254" s="200"/>
      <c r="ER254" s="200"/>
      <c r="ES254" s="200"/>
      <c r="ET254" s="200"/>
      <c r="EU254" s="200"/>
      <c r="EV254" s="200"/>
      <c r="EW254" s="200"/>
      <c r="EX254" s="200"/>
      <c r="EY254" s="200"/>
      <c r="EZ254" s="200"/>
      <c r="FA254" s="200"/>
      <c r="FB254" s="200"/>
      <c r="FC254" s="200"/>
      <c r="FD254" s="200"/>
      <c r="FE254" s="200"/>
      <c r="FF254" s="200"/>
      <c r="FG254" s="200"/>
      <c r="FH254" s="200"/>
      <c r="FI254" s="200"/>
      <c r="FJ254" s="200"/>
      <c r="FK254" s="200"/>
      <c r="FL254" s="200"/>
      <c r="FM254" s="200"/>
      <c r="FN254" s="200"/>
      <c r="FO254" s="200"/>
      <c r="FP254" s="200"/>
      <c r="FQ254" s="200"/>
      <c r="FR254" s="200"/>
      <c r="FS254" s="200"/>
      <c r="FT254" s="200"/>
      <c r="FU254" s="200"/>
      <c r="FV254" s="200"/>
      <c r="FW254" s="200"/>
      <c r="FX254" s="200"/>
      <c r="FY254" s="200"/>
      <c r="FZ254" s="200"/>
      <c r="GA254" s="200"/>
      <c r="GB254" s="200"/>
      <c r="GC254" s="200"/>
      <c r="GD254" s="200"/>
      <c r="GE254" s="200"/>
      <c r="GF254" s="200"/>
      <c r="GG254" s="200"/>
      <c r="GH254" s="200"/>
      <c r="GI254" s="200"/>
      <c r="GJ254" s="200"/>
      <c r="GK254" s="200"/>
      <c r="GL254" s="200"/>
      <c r="GM254" s="200"/>
      <c r="GN254" s="200"/>
      <c r="GO254" s="200"/>
      <c r="GP254" s="200"/>
      <c r="GQ254" s="200"/>
      <c r="GR254" s="200"/>
      <c r="GS254" s="200"/>
      <c r="GT254" s="200"/>
      <c r="GU254" s="200"/>
      <c r="GV254" s="200"/>
      <c r="GW254" s="200"/>
      <c r="GX254" s="200"/>
      <c r="GY254" s="200"/>
      <c r="GZ254" s="200"/>
      <c r="HA254" s="200"/>
      <c r="HB254" s="200"/>
      <c r="HC254" s="200"/>
      <c r="HD254" s="200"/>
      <c r="HE254" s="200"/>
      <c r="HF254" s="200"/>
      <c r="HG254" s="200"/>
      <c r="HH254" s="200"/>
      <c r="HI254" s="200"/>
      <c r="HJ254" s="200"/>
      <c r="HK254" s="200"/>
      <c r="HL254" s="200"/>
      <c r="HM254" s="200"/>
      <c r="HN254" s="200"/>
      <c r="HO254" s="200"/>
      <c r="HP254" s="200"/>
      <c r="HQ254" s="200"/>
      <c r="HR254" s="200"/>
      <c r="HS254" s="200"/>
      <c r="HT254" s="200"/>
      <c r="HU254" s="200"/>
      <c r="HV254" s="200"/>
      <c r="HW254" s="200"/>
      <c r="HX254" s="200"/>
      <c r="HY254" s="200"/>
      <c r="HZ254" s="200"/>
      <c r="IA254" s="200"/>
      <c r="IB254" s="200"/>
      <c r="IC254" s="200"/>
      <c r="ID254" s="200"/>
      <c r="IE254" s="200"/>
      <c r="IF254" s="200"/>
      <c r="IG254" s="200"/>
      <c r="IH254" s="200"/>
      <c r="II254" s="200"/>
      <c r="IJ254" s="200"/>
      <c r="IK254" s="200"/>
      <c r="IL254" s="200"/>
      <c r="IM254" s="200"/>
      <c r="IN254" s="200"/>
      <c r="IO254" s="200"/>
      <c r="IP254" s="200"/>
      <c r="IQ254" s="200"/>
      <c r="IR254" s="200"/>
      <c r="IS254" s="200"/>
      <c r="IT254" s="200"/>
      <c r="IU254" s="201"/>
      <c r="IV254" s="201"/>
    </row>
    <row r="255" s="10" customFormat="1" ht="15.95" customHeight="1" spans="1:256">
      <c r="A255" s="199">
        <v>35</v>
      </c>
      <c r="B255" s="20" t="s">
        <v>2241</v>
      </c>
      <c r="C255" s="20" t="s">
        <v>2243</v>
      </c>
      <c r="D255" s="199">
        <v>6035</v>
      </c>
      <c r="E255" s="199">
        <f>'05版台时'!M428</f>
        <v>18.9592517429451</v>
      </c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  <c r="AA255" s="200"/>
      <c r="AB255" s="200"/>
      <c r="AC255" s="200"/>
      <c r="AD255" s="200"/>
      <c r="AE255" s="200"/>
      <c r="AF255" s="200"/>
      <c r="AG255" s="200"/>
      <c r="AH255" s="200"/>
      <c r="AI255" s="200"/>
      <c r="AJ255" s="200"/>
      <c r="AK255" s="200"/>
      <c r="AL255" s="200"/>
      <c r="AM255" s="200"/>
      <c r="AN255" s="200"/>
      <c r="AO255" s="200"/>
      <c r="AP255" s="200"/>
      <c r="AQ255" s="200"/>
      <c r="AR255" s="200"/>
      <c r="AS255" s="200"/>
      <c r="AT255" s="200"/>
      <c r="AU255" s="200"/>
      <c r="AV255" s="200"/>
      <c r="AW255" s="200"/>
      <c r="AX255" s="200"/>
      <c r="AY255" s="200"/>
      <c r="AZ255" s="200"/>
      <c r="BA255" s="200"/>
      <c r="BB255" s="200"/>
      <c r="BC255" s="200"/>
      <c r="BD255" s="200"/>
      <c r="BE255" s="200"/>
      <c r="BF255" s="200"/>
      <c r="BG255" s="200"/>
      <c r="BH255" s="200"/>
      <c r="BI255" s="200"/>
      <c r="BJ255" s="200"/>
      <c r="BK255" s="200"/>
      <c r="BL255" s="200"/>
      <c r="BM255" s="200"/>
      <c r="BN255" s="200"/>
      <c r="BO255" s="200"/>
      <c r="BP255" s="200"/>
      <c r="BQ255" s="200"/>
      <c r="BR255" s="200"/>
      <c r="BS255" s="200"/>
      <c r="BT255" s="200"/>
      <c r="BU255" s="200"/>
      <c r="BV255" s="200"/>
      <c r="BW255" s="200"/>
      <c r="BX255" s="200"/>
      <c r="BY255" s="200"/>
      <c r="BZ255" s="200"/>
      <c r="CA255" s="200"/>
      <c r="CB255" s="200"/>
      <c r="CC255" s="200"/>
      <c r="CD255" s="200"/>
      <c r="CE255" s="200"/>
      <c r="CF255" s="200"/>
      <c r="CG255" s="200"/>
      <c r="CH255" s="200"/>
      <c r="CI255" s="200"/>
      <c r="CJ255" s="200"/>
      <c r="CK255" s="200"/>
      <c r="CL255" s="200"/>
      <c r="CM255" s="200"/>
      <c r="CN255" s="200"/>
      <c r="CO255" s="200"/>
      <c r="CP255" s="200"/>
      <c r="CQ255" s="200"/>
      <c r="CR255" s="200"/>
      <c r="CS255" s="200"/>
      <c r="CT255" s="200"/>
      <c r="CU255" s="200"/>
      <c r="CV255" s="200"/>
      <c r="CW255" s="200"/>
      <c r="CX255" s="200"/>
      <c r="CY255" s="200"/>
      <c r="CZ255" s="200"/>
      <c r="DA255" s="200"/>
      <c r="DB255" s="200"/>
      <c r="DC255" s="200"/>
      <c r="DD255" s="200"/>
      <c r="DE255" s="200"/>
      <c r="DF255" s="200"/>
      <c r="DG255" s="200"/>
      <c r="DH255" s="200"/>
      <c r="DI255" s="200"/>
      <c r="DJ255" s="200"/>
      <c r="DK255" s="200"/>
      <c r="DL255" s="200"/>
      <c r="DM255" s="200"/>
      <c r="DN255" s="200"/>
      <c r="DO255" s="200"/>
      <c r="DP255" s="200"/>
      <c r="DQ255" s="200"/>
      <c r="DR255" s="200"/>
      <c r="DS255" s="200"/>
      <c r="DT255" s="200"/>
      <c r="DU255" s="200"/>
      <c r="DV255" s="200"/>
      <c r="DW255" s="200"/>
      <c r="DX255" s="200"/>
      <c r="DY255" s="200"/>
      <c r="DZ255" s="200"/>
      <c r="EA255" s="200"/>
      <c r="EB255" s="200"/>
      <c r="EC255" s="200"/>
      <c r="ED255" s="200"/>
      <c r="EE255" s="200"/>
      <c r="EF255" s="200"/>
      <c r="EG255" s="200"/>
      <c r="EH255" s="200"/>
      <c r="EI255" s="200"/>
      <c r="EJ255" s="200"/>
      <c r="EK255" s="200"/>
      <c r="EL255" s="200"/>
      <c r="EM255" s="200"/>
      <c r="EN255" s="200"/>
      <c r="EO255" s="200"/>
      <c r="EP255" s="200"/>
      <c r="EQ255" s="200"/>
      <c r="ER255" s="200"/>
      <c r="ES255" s="200"/>
      <c r="ET255" s="200"/>
      <c r="EU255" s="200"/>
      <c r="EV255" s="200"/>
      <c r="EW255" s="200"/>
      <c r="EX255" s="200"/>
      <c r="EY255" s="200"/>
      <c r="EZ255" s="200"/>
      <c r="FA255" s="200"/>
      <c r="FB255" s="200"/>
      <c r="FC255" s="200"/>
      <c r="FD255" s="200"/>
      <c r="FE255" s="200"/>
      <c r="FF255" s="200"/>
      <c r="FG255" s="200"/>
      <c r="FH255" s="200"/>
      <c r="FI255" s="200"/>
      <c r="FJ255" s="200"/>
      <c r="FK255" s="200"/>
      <c r="FL255" s="200"/>
      <c r="FM255" s="200"/>
      <c r="FN255" s="200"/>
      <c r="FO255" s="200"/>
      <c r="FP255" s="200"/>
      <c r="FQ255" s="200"/>
      <c r="FR255" s="200"/>
      <c r="FS255" s="200"/>
      <c r="FT255" s="200"/>
      <c r="FU255" s="200"/>
      <c r="FV255" s="200"/>
      <c r="FW255" s="200"/>
      <c r="FX255" s="200"/>
      <c r="FY255" s="200"/>
      <c r="FZ255" s="200"/>
      <c r="GA255" s="200"/>
      <c r="GB255" s="200"/>
      <c r="GC255" s="200"/>
      <c r="GD255" s="200"/>
      <c r="GE255" s="200"/>
      <c r="GF255" s="200"/>
      <c r="GG255" s="200"/>
      <c r="GH255" s="200"/>
      <c r="GI255" s="200"/>
      <c r="GJ255" s="200"/>
      <c r="GK255" s="200"/>
      <c r="GL255" s="200"/>
      <c r="GM255" s="200"/>
      <c r="GN255" s="200"/>
      <c r="GO255" s="200"/>
      <c r="GP255" s="200"/>
      <c r="GQ255" s="200"/>
      <c r="GR255" s="200"/>
      <c r="GS255" s="200"/>
      <c r="GT255" s="200"/>
      <c r="GU255" s="200"/>
      <c r="GV255" s="200"/>
      <c r="GW255" s="200"/>
      <c r="GX255" s="200"/>
      <c r="GY255" s="200"/>
      <c r="GZ255" s="200"/>
      <c r="HA255" s="200"/>
      <c r="HB255" s="200"/>
      <c r="HC255" s="200"/>
      <c r="HD255" s="200"/>
      <c r="HE255" s="200"/>
      <c r="HF255" s="200"/>
      <c r="HG255" s="200"/>
      <c r="HH255" s="200"/>
      <c r="HI255" s="200"/>
      <c r="HJ255" s="200"/>
      <c r="HK255" s="200"/>
      <c r="HL255" s="200"/>
      <c r="HM255" s="200"/>
      <c r="HN255" s="200"/>
      <c r="HO255" s="200"/>
      <c r="HP255" s="200"/>
      <c r="HQ255" s="200"/>
      <c r="HR255" s="200"/>
      <c r="HS255" s="200"/>
      <c r="HT255" s="200"/>
      <c r="HU255" s="200"/>
      <c r="HV255" s="200"/>
      <c r="HW255" s="200"/>
      <c r="HX255" s="200"/>
      <c r="HY255" s="200"/>
      <c r="HZ255" s="200"/>
      <c r="IA255" s="200"/>
      <c r="IB255" s="200"/>
      <c r="IC255" s="200"/>
      <c r="ID255" s="200"/>
      <c r="IE255" s="200"/>
      <c r="IF255" s="200"/>
      <c r="IG255" s="200"/>
      <c r="IH255" s="200"/>
      <c r="II255" s="200"/>
      <c r="IJ255" s="200"/>
      <c r="IK255" s="200"/>
      <c r="IL255" s="200"/>
      <c r="IM255" s="200"/>
      <c r="IN255" s="200"/>
      <c r="IO255" s="200"/>
      <c r="IP255" s="200"/>
      <c r="IQ255" s="200"/>
      <c r="IR255" s="200"/>
      <c r="IS255" s="200"/>
      <c r="IT255" s="200"/>
      <c r="IU255" s="201"/>
      <c r="IV255" s="201"/>
    </row>
    <row r="256" s="10" customFormat="1" ht="15.95" customHeight="1" spans="1:256">
      <c r="A256" s="199">
        <v>36</v>
      </c>
      <c r="B256" s="20" t="s">
        <v>2241</v>
      </c>
      <c r="C256" s="20" t="s">
        <v>2244</v>
      </c>
      <c r="D256" s="199">
        <v>6036</v>
      </c>
      <c r="E256" s="199">
        <f>'05版台时'!N428</f>
        <v>14.7999064387105</v>
      </c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  <c r="AA256" s="200"/>
      <c r="AB256" s="200"/>
      <c r="AC256" s="200"/>
      <c r="AD256" s="200"/>
      <c r="AE256" s="200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200"/>
      <c r="BA256" s="200"/>
      <c r="BB256" s="200"/>
      <c r="BC256" s="200"/>
      <c r="BD256" s="200"/>
      <c r="BE256" s="200"/>
      <c r="BF256" s="200"/>
      <c r="BG256" s="200"/>
      <c r="BH256" s="200"/>
      <c r="BI256" s="200"/>
      <c r="BJ256" s="200"/>
      <c r="BK256" s="200"/>
      <c r="BL256" s="200"/>
      <c r="BM256" s="200"/>
      <c r="BN256" s="200"/>
      <c r="BO256" s="200"/>
      <c r="BP256" s="200"/>
      <c r="BQ256" s="200"/>
      <c r="BR256" s="200"/>
      <c r="BS256" s="200"/>
      <c r="BT256" s="200"/>
      <c r="BU256" s="200"/>
      <c r="BV256" s="200"/>
      <c r="BW256" s="200"/>
      <c r="BX256" s="200"/>
      <c r="BY256" s="200"/>
      <c r="BZ256" s="200"/>
      <c r="CA256" s="200"/>
      <c r="CB256" s="200"/>
      <c r="CC256" s="200"/>
      <c r="CD256" s="200"/>
      <c r="CE256" s="200"/>
      <c r="CF256" s="200"/>
      <c r="CG256" s="200"/>
      <c r="CH256" s="200"/>
      <c r="CI256" s="200"/>
      <c r="CJ256" s="200"/>
      <c r="CK256" s="200"/>
      <c r="CL256" s="200"/>
      <c r="CM256" s="200"/>
      <c r="CN256" s="200"/>
      <c r="CO256" s="200"/>
      <c r="CP256" s="200"/>
      <c r="CQ256" s="200"/>
      <c r="CR256" s="200"/>
      <c r="CS256" s="200"/>
      <c r="CT256" s="200"/>
      <c r="CU256" s="200"/>
      <c r="CV256" s="200"/>
      <c r="CW256" s="200"/>
      <c r="CX256" s="200"/>
      <c r="CY256" s="200"/>
      <c r="CZ256" s="200"/>
      <c r="DA256" s="200"/>
      <c r="DB256" s="200"/>
      <c r="DC256" s="200"/>
      <c r="DD256" s="200"/>
      <c r="DE256" s="200"/>
      <c r="DF256" s="200"/>
      <c r="DG256" s="200"/>
      <c r="DH256" s="200"/>
      <c r="DI256" s="200"/>
      <c r="DJ256" s="200"/>
      <c r="DK256" s="200"/>
      <c r="DL256" s="200"/>
      <c r="DM256" s="200"/>
      <c r="DN256" s="200"/>
      <c r="DO256" s="200"/>
      <c r="DP256" s="200"/>
      <c r="DQ256" s="200"/>
      <c r="DR256" s="200"/>
      <c r="DS256" s="200"/>
      <c r="DT256" s="200"/>
      <c r="DU256" s="200"/>
      <c r="DV256" s="200"/>
      <c r="DW256" s="200"/>
      <c r="DX256" s="200"/>
      <c r="DY256" s="200"/>
      <c r="DZ256" s="200"/>
      <c r="EA256" s="200"/>
      <c r="EB256" s="200"/>
      <c r="EC256" s="200"/>
      <c r="ED256" s="200"/>
      <c r="EE256" s="200"/>
      <c r="EF256" s="200"/>
      <c r="EG256" s="200"/>
      <c r="EH256" s="200"/>
      <c r="EI256" s="200"/>
      <c r="EJ256" s="200"/>
      <c r="EK256" s="200"/>
      <c r="EL256" s="200"/>
      <c r="EM256" s="200"/>
      <c r="EN256" s="200"/>
      <c r="EO256" s="200"/>
      <c r="EP256" s="200"/>
      <c r="EQ256" s="200"/>
      <c r="ER256" s="200"/>
      <c r="ES256" s="200"/>
      <c r="ET256" s="200"/>
      <c r="EU256" s="200"/>
      <c r="EV256" s="200"/>
      <c r="EW256" s="200"/>
      <c r="EX256" s="200"/>
      <c r="EY256" s="200"/>
      <c r="EZ256" s="200"/>
      <c r="FA256" s="200"/>
      <c r="FB256" s="200"/>
      <c r="FC256" s="200"/>
      <c r="FD256" s="200"/>
      <c r="FE256" s="200"/>
      <c r="FF256" s="200"/>
      <c r="FG256" s="200"/>
      <c r="FH256" s="200"/>
      <c r="FI256" s="200"/>
      <c r="FJ256" s="200"/>
      <c r="FK256" s="200"/>
      <c r="FL256" s="200"/>
      <c r="FM256" s="200"/>
      <c r="FN256" s="200"/>
      <c r="FO256" s="200"/>
      <c r="FP256" s="200"/>
      <c r="FQ256" s="200"/>
      <c r="FR256" s="200"/>
      <c r="FS256" s="200"/>
      <c r="FT256" s="200"/>
      <c r="FU256" s="200"/>
      <c r="FV256" s="200"/>
      <c r="FW256" s="200"/>
      <c r="FX256" s="200"/>
      <c r="FY256" s="200"/>
      <c r="FZ256" s="200"/>
      <c r="GA256" s="200"/>
      <c r="GB256" s="200"/>
      <c r="GC256" s="200"/>
      <c r="GD256" s="200"/>
      <c r="GE256" s="200"/>
      <c r="GF256" s="200"/>
      <c r="GG256" s="200"/>
      <c r="GH256" s="200"/>
      <c r="GI256" s="200"/>
      <c r="GJ256" s="200"/>
      <c r="GK256" s="200"/>
      <c r="GL256" s="200"/>
      <c r="GM256" s="200"/>
      <c r="GN256" s="200"/>
      <c r="GO256" s="200"/>
      <c r="GP256" s="200"/>
      <c r="GQ256" s="200"/>
      <c r="GR256" s="200"/>
      <c r="GS256" s="200"/>
      <c r="GT256" s="200"/>
      <c r="GU256" s="200"/>
      <c r="GV256" s="200"/>
      <c r="GW256" s="200"/>
      <c r="GX256" s="200"/>
      <c r="GY256" s="200"/>
      <c r="GZ256" s="200"/>
      <c r="HA256" s="200"/>
      <c r="HB256" s="200"/>
      <c r="HC256" s="200"/>
      <c r="HD256" s="200"/>
      <c r="HE256" s="200"/>
      <c r="HF256" s="200"/>
      <c r="HG256" s="200"/>
      <c r="HH256" s="200"/>
      <c r="HI256" s="200"/>
      <c r="HJ256" s="200"/>
      <c r="HK256" s="200"/>
      <c r="HL256" s="200"/>
      <c r="HM256" s="200"/>
      <c r="HN256" s="200"/>
      <c r="HO256" s="200"/>
      <c r="HP256" s="200"/>
      <c r="HQ256" s="200"/>
      <c r="HR256" s="200"/>
      <c r="HS256" s="200"/>
      <c r="HT256" s="200"/>
      <c r="HU256" s="200"/>
      <c r="HV256" s="200"/>
      <c r="HW256" s="200"/>
      <c r="HX256" s="200"/>
      <c r="HY256" s="200"/>
      <c r="HZ256" s="200"/>
      <c r="IA256" s="200"/>
      <c r="IB256" s="200"/>
      <c r="IC256" s="200"/>
      <c r="ID256" s="200"/>
      <c r="IE256" s="200"/>
      <c r="IF256" s="200"/>
      <c r="IG256" s="200"/>
      <c r="IH256" s="200"/>
      <c r="II256" s="200"/>
      <c r="IJ256" s="200"/>
      <c r="IK256" s="200"/>
      <c r="IL256" s="200"/>
      <c r="IM256" s="200"/>
      <c r="IN256" s="200"/>
      <c r="IO256" s="200"/>
      <c r="IP256" s="200"/>
      <c r="IQ256" s="200"/>
      <c r="IR256" s="200"/>
      <c r="IS256" s="200"/>
      <c r="IT256" s="200"/>
      <c r="IU256" s="201"/>
      <c r="IV256" s="201"/>
    </row>
    <row r="257" s="10" customFormat="1" ht="15.95" customHeight="1" spans="1:256">
      <c r="A257" s="199">
        <v>37</v>
      </c>
      <c r="B257" s="20" t="s">
        <v>2241</v>
      </c>
      <c r="C257" s="20" t="s">
        <v>2245</v>
      </c>
      <c r="D257" s="199">
        <v>6037</v>
      </c>
      <c r="E257" s="199">
        <f>'05版台时'!O428</f>
        <v>0.851136816912645</v>
      </c>
      <c r="F257" s="200"/>
      <c r="G257" s="200"/>
      <c r="H257" s="200"/>
      <c r="I257" s="200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  <c r="AA257" s="200"/>
      <c r="AB257" s="200"/>
      <c r="AC257" s="200"/>
      <c r="AD257" s="200"/>
      <c r="AE257" s="200"/>
      <c r="AF257" s="200"/>
      <c r="AG257" s="200"/>
      <c r="AH257" s="200"/>
      <c r="AI257" s="200"/>
      <c r="AJ257" s="200"/>
      <c r="AK257" s="200"/>
      <c r="AL257" s="200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200"/>
      <c r="BB257" s="200"/>
      <c r="BC257" s="200"/>
      <c r="BD257" s="200"/>
      <c r="BE257" s="200"/>
      <c r="BF257" s="200"/>
      <c r="BG257" s="200"/>
      <c r="BH257" s="200"/>
      <c r="BI257" s="200"/>
      <c r="BJ257" s="200"/>
      <c r="BK257" s="200"/>
      <c r="BL257" s="200"/>
      <c r="BM257" s="200"/>
      <c r="BN257" s="200"/>
      <c r="BO257" s="200"/>
      <c r="BP257" s="200"/>
      <c r="BQ257" s="200"/>
      <c r="BR257" s="200"/>
      <c r="BS257" s="200"/>
      <c r="BT257" s="200"/>
      <c r="BU257" s="200"/>
      <c r="BV257" s="200"/>
      <c r="BW257" s="200"/>
      <c r="BX257" s="200"/>
      <c r="BY257" s="200"/>
      <c r="BZ257" s="200"/>
      <c r="CA257" s="200"/>
      <c r="CB257" s="200"/>
      <c r="CC257" s="200"/>
      <c r="CD257" s="200"/>
      <c r="CE257" s="200"/>
      <c r="CF257" s="200"/>
      <c r="CG257" s="200"/>
      <c r="CH257" s="200"/>
      <c r="CI257" s="200"/>
      <c r="CJ257" s="200"/>
      <c r="CK257" s="200"/>
      <c r="CL257" s="200"/>
      <c r="CM257" s="200"/>
      <c r="CN257" s="200"/>
      <c r="CO257" s="200"/>
      <c r="CP257" s="200"/>
      <c r="CQ257" s="200"/>
      <c r="CR257" s="200"/>
      <c r="CS257" s="200"/>
      <c r="CT257" s="200"/>
      <c r="CU257" s="200"/>
      <c r="CV257" s="200"/>
      <c r="CW257" s="200"/>
      <c r="CX257" s="200"/>
      <c r="CY257" s="200"/>
      <c r="CZ257" s="200"/>
      <c r="DA257" s="200"/>
      <c r="DB257" s="200"/>
      <c r="DC257" s="200"/>
      <c r="DD257" s="200"/>
      <c r="DE257" s="200"/>
      <c r="DF257" s="200"/>
      <c r="DG257" s="200"/>
      <c r="DH257" s="200"/>
      <c r="DI257" s="200"/>
      <c r="DJ257" s="200"/>
      <c r="DK257" s="200"/>
      <c r="DL257" s="200"/>
      <c r="DM257" s="200"/>
      <c r="DN257" s="200"/>
      <c r="DO257" s="200"/>
      <c r="DP257" s="200"/>
      <c r="DQ257" s="200"/>
      <c r="DR257" s="200"/>
      <c r="DS257" s="200"/>
      <c r="DT257" s="200"/>
      <c r="DU257" s="200"/>
      <c r="DV257" s="200"/>
      <c r="DW257" s="200"/>
      <c r="DX257" s="200"/>
      <c r="DY257" s="200"/>
      <c r="DZ257" s="200"/>
      <c r="EA257" s="200"/>
      <c r="EB257" s="200"/>
      <c r="EC257" s="200"/>
      <c r="ED257" s="200"/>
      <c r="EE257" s="200"/>
      <c r="EF257" s="200"/>
      <c r="EG257" s="200"/>
      <c r="EH257" s="200"/>
      <c r="EI257" s="200"/>
      <c r="EJ257" s="200"/>
      <c r="EK257" s="200"/>
      <c r="EL257" s="200"/>
      <c r="EM257" s="200"/>
      <c r="EN257" s="200"/>
      <c r="EO257" s="200"/>
      <c r="EP257" s="200"/>
      <c r="EQ257" s="200"/>
      <c r="ER257" s="200"/>
      <c r="ES257" s="200"/>
      <c r="ET257" s="200"/>
      <c r="EU257" s="200"/>
      <c r="EV257" s="200"/>
      <c r="EW257" s="200"/>
      <c r="EX257" s="200"/>
      <c r="EY257" s="200"/>
      <c r="EZ257" s="200"/>
      <c r="FA257" s="200"/>
      <c r="FB257" s="200"/>
      <c r="FC257" s="200"/>
      <c r="FD257" s="200"/>
      <c r="FE257" s="200"/>
      <c r="FF257" s="200"/>
      <c r="FG257" s="200"/>
      <c r="FH257" s="200"/>
      <c r="FI257" s="200"/>
      <c r="FJ257" s="200"/>
      <c r="FK257" s="200"/>
      <c r="FL257" s="200"/>
      <c r="FM257" s="200"/>
      <c r="FN257" s="200"/>
      <c r="FO257" s="200"/>
      <c r="FP257" s="200"/>
      <c r="FQ257" s="200"/>
      <c r="FR257" s="200"/>
      <c r="FS257" s="200"/>
      <c r="FT257" s="200"/>
      <c r="FU257" s="200"/>
      <c r="FV257" s="200"/>
      <c r="FW257" s="200"/>
      <c r="FX257" s="200"/>
      <c r="FY257" s="200"/>
      <c r="FZ257" s="200"/>
      <c r="GA257" s="200"/>
      <c r="GB257" s="200"/>
      <c r="GC257" s="200"/>
      <c r="GD257" s="200"/>
      <c r="GE257" s="200"/>
      <c r="GF257" s="200"/>
      <c r="GG257" s="200"/>
      <c r="GH257" s="200"/>
      <c r="GI257" s="200"/>
      <c r="GJ257" s="200"/>
      <c r="GK257" s="200"/>
      <c r="GL257" s="200"/>
      <c r="GM257" s="200"/>
      <c r="GN257" s="200"/>
      <c r="GO257" s="200"/>
      <c r="GP257" s="200"/>
      <c r="GQ257" s="200"/>
      <c r="GR257" s="200"/>
      <c r="GS257" s="200"/>
      <c r="GT257" s="200"/>
      <c r="GU257" s="200"/>
      <c r="GV257" s="200"/>
      <c r="GW257" s="200"/>
      <c r="GX257" s="200"/>
      <c r="GY257" s="200"/>
      <c r="GZ257" s="200"/>
      <c r="HA257" s="200"/>
      <c r="HB257" s="200"/>
      <c r="HC257" s="200"/>
      <c r="HD257" s="200"/>
      <c r="HE257" s="200"/>
      <c r="HF257" s="200"/>
      <c r="HG257" s="200"/>
      <c r="HH257" s="200"/>
      <c r="HI257" s="200"/>
      <c r="HJ257" s="200"/>
      <c r="HK257" s="200"/>
      <c r="HL257" s="200"/>
      <c r="HM257" s="200"/>
      <c r="HN257" s="200"/>
      <c r="HO257" s="200"/>
      <c r="HP257" s="200"/>
      <c r="HQ257" s="200"/>
      <c r="HR257" s="200"/>
      <c r="HS257" s="200"/>
      <c r="HT257" s="200"/>
      <c r="HU257" s="200"/>
      <c r="HV257" s="200"/>
      <c r="HW257" s="200"/>
      <c r="HX257" s="200"/>
      <c r="HY257" s="200"/>
      <c r="HZ257" s="200"/>
      <c r="IA257" s="200"/>
      <c r="IB257" s="200"/>
      <c r="IC257" s="200"/>
      <c r="ID257" s="200"/>
      <c r="IE257" s="200"/>
      <c r="IF257" s="200"/>
      <c r="IG257" s="200"/>
      <c r="IH257" s="200"/>
      <c r="II257" s="200"/>
      <c r="IJ257" s="200"/>
      <c r="IK257" s="200"/>
      <c r="IL257" s="200"/>
      <c r="IM257" s="200"/>
      <c r="IN257" s="200"/>
      <c r="IO257" s="200"/>
      <c r="IP257" s="200"/>
      <c r="IQ257" s="200"/>
      <c r="IR257" s="200"/>
      <c r="IS257" s="200"/>
      <c r="IT257" s="200"/>
      <c r="IU257" s="201"/>
      <c r="IV257" s="201"/>
    </row>
    <row r="258" s="10" customFormat="1" ht="15.95" customHeight="1" spans="1:256">
      <c r="A258" s="199">
        <v>38</v>
      </c>
      <c r="B258" s="20" t="s">
        <v>2246</v>
      </c>
      <c r="C258" s="20" t="s">
        <v>2221</v>
      </c>
      <c r="D258" s="199">
        <v>6038</v>
      </c>
      <c r="E258" s="199">
        <f>'05版台时'!P428</f>
        <v>174.617200230006</v>
      </c>
      <c r="F258" s="200"/>
      <c r="G258" s="200"/>
      <c r="H258" s="200"/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  <c r="AA258" s="200"/>
      <c r="AB258" s="200"/>
      <c r="AC258" s="200"/>
      <c r="AD258" s="200"/>
      <c r="AE258" s="200"/>
      <c r="AF258" s="200"/>
      <c r="AG258" s="200"/>
      <c r="AH258" s="200"/>
      <c r="AI258" s="200"/>
      <c r="AJ258" s="200"/>
      <c r="AK258" s="200"/>
      <c r="AL258" s="200"/>
      <c r="AM258" s="200"/>
      <c r="AN258" s="200"/>
      <c r="AO258" s="200"/>
      <c r="AP258" s="200"/>
      <c r="AQ258" s="200"/>
      <c r="AR258" s="200"/>
      <c r="AS258" s="200"/>
      <c r="AT258" s="200"/>
      <c r="AU258" s="200"/>
      <c r="AV258" s="200"/>
      <c r="AW258" s="200"/>
      <c r="AX258" s="200"/>
      <c r="AY258" s="200"/>
      <c r="AZ258" s="200"/>
      <c r="BA258" s="200"/>
      <c r="BB258" s="200"/>
      <c r="BC258" s="200"/>
      <c r="BD258" s="200"/>
      <c r="BE258" s="200"/>
      <c r="BF258" s="200"/>
      <c r="BG258" s="200"/>
      <c r="BH258" s="200"/>
      <c r="BI258" s="200"/>
      <c r="BJ258" s="200"/>
      <c r="BK258" s="200"/>
      <c r="BL258" s="200"/>
      <c r="BM258" s="200"/>
      <c r="BN258" s="200"/>
      <c r="BO258" s="200"/>
      <c r="BP258" s="200"/>
      <c r="BQ258" s="200"/>
      <c r="BR258" s="200"/>
      <c r="BS258" s="200"/>
      <c r="BT258" s="200"/>
      <c r="BU258" s="200"/>
      <c r="BV258" s="200"/>
      <c r="BW258" s="200"/>
      <c r="BX258" s="200"/>
      <c r="BY258" s="200"/>
      <c r="BZ258" s="200"/>
      <c r="CA258" s="200"/>
      <c r="CB258" s="200"/>
      <c r="CC258" s="200"/>
      <c r="CD258" s="200"/>
      <c r="CE258" s="200"/>
      <c r="CF258" s="200"/>
      <c r="CG258" s="200"/>
      <c r="CH258" s="200"/>
      <c r="CI258" s="200"/>
      <c r="CJ258" s="200"/>
      <c r="CK258" s="200"/>
      <c r="CL258" s="200"/>
      <c r="CM258" s="200"/>
      <c r="CN258" s="200"/>
      <c r="CO258" s="200"/>
      <c r="CP258" s="200"/>
      <c r="CQ258" s="200"/>
      <c r="CR258" s="200"/>
      <c r="CS258" s="200"/>
      <c r="CT258" s="200"/>
      <c r="CU258" s="200"/>
      <c r="CV258" s="200"/>
      <c r="CW258" s="200"/>
      <c r="CX258" s="200"/>
      <c r="CY258" s="200"/>
      <c r="CZ258" s="200"/>
      <c r="DA258" s="200"/>
      <c r="DB258" s="200"/>
      <c r="DC258" s="200"/>
      <c r="DD258" s="200"/>
      <c r="DE258" s="200"/>
      <c r="DF258" s="200"/>
      <c r="DG258" s="200"/>
      <c r="DH258" s="200"/>
      <c r="DI258" s="200"/>
      <c r="DJ258" s="200"/>
      <c r="DK258" s="200"/>
      <c r="DL258" s="200"/>
      <c r="DM258" s="200"/>
      <c r="DN258" s="200"/>
      <c r="DO258" s="200"/>
      <c r="DP258" s="200"/>
      <c r="DQ258" s="200"/>
      <c r="DR258" s="200"/>
      <c r="DS258" s="200"/>
      <c r="DT258" s="200"/>
      <c r="DU258" s="200"/>
      <c r="DV258" s="200"/>
      <c r="DW258" s="200"/>
      <c r="DX258" s="200"/>
      <c r="DY258" s="200"/>
      <c r="DZ258" s="200"/>
      <c r="EA258" s="200"/>
      <c r="EB258" s="200"/>
      <c r="EC258" s="200"/>
      <c r="ED258" s="200"/>
      <c r="EE258" s="200"/>
      <c r="EF258" s="200"/>
      <c r="EG258" s="200"/>
      <c r="EH258" s="200"/>
      <c r="EI258" s="200"/>
      <c r="EJ258" s="200"/>
      <c r="EK258" s="200"/>
      <c r="EL258" s="200"/>
      <c r="EM258" s="200"/>
      <c r="EN258" s="200"/>
      <c r="EO258" s="200"/>
      <c r="EP258" s="200"/>
      <c r="EQ258" s="200"/>
      <c r="ER258" s="200"/>
      <c r="ES258" s="200"/>
      <c r="ET258" s="200"/>
      <c r="EU258" s="200"/>
      <c r="EV258" s="200"/>
      <c r="EW258" s="200"/>
      <c r="EX258" s="200"/>
      <c r="EY258" s="200"/>
      <c r="EZ258" s="200"/>
      <c r="FA258" s="200"/>
      <c r="FB258" s="200"/>
      <c r="FC258" s="200"/>
      <c r="FD258" s="200"/>
      <c r="FE258" s="200"/>
      <c r="FF258" s="200"/>
      <c r="FG258" s="200"/>
      <c r="FH258" s="200"/>
      <c r="FI258" s="200"/>
      <c r="FJ258" s="200"/>
      <c r="FK258" s="200"/>
      <c r="FL258" s="200"/>
      <c r="FM258" s="200"/>
      <c r="FN258" s="200"/>
      <c r="FO258" s="200"/>
      <c r="FP258" s="200"/>
      <c r="FQ258" s="200"/>
      <c r="FR258" s="200"/>
      <c r="FS258" s="200"/>
      <c r="FT258" s="200"/>
      <c r="FU258" s="200"/>
      <c r="FV258" s="200"/>
      <c r="FW258" s="200"/>
      <c r="FX258" s="200"/>
      <c r="FY258" s="200"/>
      <c r="FZ258" s="200"/>
      <c r="GA258" s="200"/>
      <c r="GB258" s="200"/>
      <c r="GC258" s="200"/>
      <c r="GD258" s="200"/>
      <c r="GE258" s="200"/>
      <c r="GF258" s="200"/>
      <c r="GG258" s="200"/>
      <c r="GH258" s="200"/>
      <c r="GI258" s="200"/>
      <c r="GJ258" s="200"/>
      <c r="GK258" s="200"/>
      <c r="GL258" s="200"/>
      <c r="GM258" s="200"/>
      <c r="GN258" s="200"/>
      <c r="GO258" s="200"/>
      <c r="GP258" s="200"/>
      <c r="GQ258" s="200"/>
      <c r="GR258" s="200"/>
      <c r="GS258" s="200"/>
      <c r="GT258" s="200"/>
      <c r="GU258" s="200"/>
      <c r="GV258" s="200"/>
      <c r="GW258" s="200"/>
      <c r="GX258" s="200"/>
      <c r="GY258" s="200"/>
      <c r="GZ258" s="200"/>
      <c r="HA258" s="200"/>
      <c r="HB258" s="200"/>
      <c r="HC258" s="200"/>
      <c r="HD258" s="200"/>
      <c r="HE258" s="200"/>
      <c r="HF258" s="200"/>
      <c r="HG258" s="200"/>
      <c r="HH258" s="200"/>
      <c r="HI258" s="200"/>
      <c r="HJ258" s="200"/>
      <c r="HK258" s="200"/>
      <c r="HL258" s="200"/>
      <c r="HM258" s="200"/>
      <c r="HN258" s="200"/>
      <c r="HO258" s="200"/>
      <c r="HP258" s="200"/>
      <c r="HQ258" s="200"/>
      <c r="HR258" s="200"/>
      <c r="HS258" s="200"/>
      <c r="HT258" s="200"/>
      <c r="HU258" s="200"/>
      <c r="HV258" s="200"/>
      <c r="HW258" s="200"/>
      <c r="HX258" s="200"/>
      <c r="HY258" s="200"/>
      <c r="HZ258" s="200"/>
      <c r="IA258" s="200"/>
      <c r="IB258" s="200"/>
      <c r="IC258" s="200"/>
      <c r="ID258" s="200"/>
      <c r="IE258" s="200"/>
      <c r="IF258" s="200"/>
      <c r="IG258" s="200"/>
      <c r="IH258" s="200"/>
      <c r="II258" s="200"/>
      <c r="IJ258" s="200"/>
      <c r="IK258" s="200"/>
      <c r="IL258" s="200"/>
      <c r="IM258" s="200"/>
      <c r="IN258" s="200"/>
      <c r="IO258" s="200"/>
      <c r="IP258" s="200"/>
      <c r="IQ258" s="200"/>
      <c r="IR258" s="200"/>
      <c r="IS258" s="200"/>
      <c r="IT258" s="200"/>
      <c r="IU258" s="201"/>
      <c r="IV258" s="201"/>
    </row>
    <row r="259" s="10" customFormat="1" ht="15.95" customHeight="1" spans="1:256">
      <c r="A259" s="199">
        <v>39</v>
      </c>
      <c r="B259" s="20" t="s">
        <v>2246</v>
      </c>
      <c r="C259" s="20" t="s">
        <v>2222</v>
      </c>
      <c r="D259" s="199">
        <v>6039</v>
      </c>
      <c r="E259" s="199">
        <f>'05版台时'!Q428</f>
        <v>202.130961697896</v>
      </c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0"/>
      <c r="AD259" s="200"/>
      <c r="AE259" s="200"/>
      <c r="AF259" s="200"/>
      <c r="AG259" s="200"/>
      <c r="AH259" s="200"/>
      <c r="AI259" s="200"/>
      <c r="AJ259" s="200"/>
      <c r="AK259" s="200"/>
      <c r="AL259" s="200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200"/>
      <c r="BB259" s="200"/>
      <c r="BC259" s="200"/>
      <c r="BD259" s="200"/>
      <c r="BE259" s="200"/>
      <c r="BF259" s="200"/>
      <c r="BG259" s="200"/>
      <c r="BH259" s="200"/>
      <c r="BI259" s="200"/>
      <c r="BJ259" s="200"/>
      <c r="BK259" s="200"/>
      <c r="BL259" s="200"/>
      <c r="BM259" s="200"/>
      <c r="BN259" s="200"/>
      <c r="BO259" s="200"/>
      <c r="BP259" s="200"/>
      <c r="BQ259" s="200"/>
      <c r="BR259" s="200"/>
      <c r="BS259" s="200"/>
      <c r="BT259" s="200"/>
      <c r="BU259" s="200"/>
      <c r="BV259" s="200"/>
      <c r="BW259" s="200"/>
      <c r="BX259" s="200"/>
      <c r="BY259" s="200"/>
      <c r="BZ259" s="200"/>
      <c r="CA259" s="200"/>
      <c r="CB259" s="200"/>
      <c r="CC259" s="200"/>
      <c r="CD259" s="200"/>
      <c r="CE259" s="200"/>
      <c r="CF259" s="200"/>
      <c r="CG259" s="200"/>
      <c r="CH259" s="200"/>
      <c r="CI259" s="200"/>
      <c r="CJ259" s="200"/>
      <c r="CK259" s="200"/>
      <c r="CL259" s="200"/>
      <c r="CM259" s="200"/>
      <c r="CN259" s="200"/>
      <c r="CO259" s="200"/>
      <c r="CP259" s="200"/>
      <c r="CQ259" s="200"/>
      <c r="CR259" s="200"/>
      <c r="CS259" s="200"/>
      <c r="CT259" s="200"/>
      <c r="CU259" s="200"/>
      <c r="CV259" s="200"/>
      <c r="CW259" s="200"/>
      <c r="CX259" s="200"/>
      <c r="CY259" s="200"/>
      <c r="CZ259" s="200"/>
      <c r="DA259" s="200"/>
      <c r="DB259" s="200"/>
      <c r="DC259" s="200"/>
      <c r="DD259" s="200"/>
      <c r="DE259" s="200"/>
      <c r="DF259" s="200"/>
      <c r="DG259" s="200"/>
      <c r="DH259" s="200"/>
      <c r="DI259" s="200"/>
      <c r="DJ259" s="200"/>
      <c r="DK259" s="200"/>
      <c r="DL259" s="200"/>
      <c r="DM259" s="200"/>
      <c r="DN259" s="200"/>
      <c r="DO259" s="200"/>
      <c r="DP259" s="200"/>
      <c r="DQ259" s="200"/>
      <c r="DR259" s="200"/>
      <c r="DS259" s="200"/>
      <c r="DT259" s="200"/>
      <c r="DU259" s="200"/>
      <c r="DV259" s="200"/>
      <c r="DW259" s="200"/>
      <c r="DX259" s="200"/>
      <c r="DY259" s="200"/>
      <c r="DZ259" s="200"/>
      <c r="EA259" s="200"/>
      <c r="EB259" s="200"/>
      <c r="EC259" s="200"/>
      <c r="ED259" s="200"/>
      <c r="EE259" s="200"/>
      <c r="EF259" s="200"/>
      <c r="EG259" s="200"/>
      <c r="EH259" s="200"/>
      <c r="EI259" s="200"/>
      <c r="EJ259" s="200"/>
      <c r="EK259" s="200"/>
      <c r="EL259" s="200"/>
      <c r="EM259" s="200"/>
      <c r="EN259" s="200"/>
      <c r="EO259" s="200"/>
      <c r="EP259" s="200"/>
      <c r="EQ259" s="200"/>
      <c r="ER259" s="200"/>
      <c r="ES259" s="200"/>
      <c r="ET259" s="200"/>
      <c r="EU259" s="200"/>
      <c r="EV259" s="200"/>
      <c r="EW259" s="200"/>
      <c r="EX259" s="200"/>
      <c r="EY259" s="200"/>
      <c r="EZ259" s="200"/>
      <c r="FA259" s="200"/>
      <c r="FB259" s="200"/>
      <c r="FC259" s="200"/>
      <c r="FD259" s="200"/>
      <c r="FE259" s="200"/>
      <c r="FF259" s="200"/>
      <c r="FG259" s="200"/>
      <c r="FH259" s="200"/>
      <c r="FI259" s="200"/>
      <c r="FJ259" s="200"/>
      <c r="FK259" s="200"/>
      <c r="FL259" s="200"/>
      <c r="FM259" s="200"/>
      <c r="FN259" s="200"/>
      <c r="FO259" s="200"/>
      <c r="FP259" s="200"/>
      <c r="FQ259" s="200"/>
      <c r="FR259" s="200"/>
      <c r="FS259" s="200"/>
      <c r="FT259" s="200"/>
      <c r="FU259" s="200"/>
      <c r="FV259" s="200"/>
      <c r="FW259" s="200"/>
      <c r="FX259" s="200"/>
      <c r="FY259" s="200"/>
      <c r="FZ259" s="200"/>
      <c r="GA259" s="200"/>
      <c r="GB259" s="200"/>
      <c r="GC259" s="200"/>
      <c r="GD259" s="200"/>
      <c r="GE259" s="200"/>
      <c r="GF259" s="200"/>
      <c r="GG259" s="200"/>
      <c r="GH259" s="200"/>
      <c r="GI259" s="200"/>
      <c r="GJ259" s="200"/>
      <c r="GK259" s="200"/>
      <c r="GL259" s="200"/>
      <c r="GM259" s="200"/>
      <c r="GN259" s="200"/>
      <c r="GO259" s="200"/>
      <c r="GP259" s="200"/>
      <c r="GQ259" s="200"/>
      <c r="GR259" s="200"/>
      <c r="GS259" s="200"/>
      <c r="GT259" s="200"/>
      <c r="GU259" s="200"/>
      <c r="GV259" s="200"/>
      <c r="GW259" s="200"/>
      <c r="GX259" s="200"/>
      <c r="GY259" s="200"/>
      <c r="GZ259" s="200"/>
      <c r="HA259" s="200"/>
      <c r="HB259" s="200"/>
      <c r="HC259" s="200"/>
      <c r="HD259" s="200"/>
      <c r="HE259" s="200"/>
      <c r="HF259" s="200"/>
      <c r="HG259" s="200"/>
      <c r="HH259" s="200"/>
      <c r="HI259" s="200"/>
      <c r="HJ259" s="200"/>
      <c r="HK259" s="200"/>
      <c r="HL259" s="200"/>
      <c r="HM259" s="200"/>
      <c r="HN259" s="200"/>
      <c r="HO259" s="200"/>
      <c r="HP259" s="200"/>
      <c r="HQ259" s="200"/>
      <c r="HR259" s="200"/>
      <c r="HS259" s="200"/>
      <c r="HT259" s="200"/>
      <c r="HU259" s="200"/>
      <c r="HV259" s="200"/>
      <c r="HW259" s="200"/>
      <c r="HX259" s="200"/>
      <c r="HY259" s="200"/>
      <c r="HZ259" s="200"/>
      <c r="IA259" s="200"/>
      <c r="IB259" s="200"/>
      <c r="IC259" s="200"/>
      <c r="ID259" s="200"/>
      <c r="IE259" s="200"/>
      <c r="IF259" s="200"/>
      <c r="IG259" s="200"/>
      <c r="IH259" s="200"/>
      <c r="II259" s="200"/>
      <c r="IJ259" s="200"/>
      <c r="IK259" s="200"/>
      <c r="IL259" s="200"/>
      <c r="IM259" s="200"/>
      <c r="IN259" s="200"/>
      <c r="IO259" s="200"/>
      <c r="IP259" s="200"/>
      <c r="IQ259" s="200"/>
      <c r="IR259" s="200"/>
      <c r="IS259" s="200"/>
      <c r="IT259" s="200"/>
      <c r="IU259" s="201"/>
      <c r="IV259" s="201"/>
    </row>
    <row r="260" s="10" customFormat="1" ht="15.95" customHeight="1" spans="1:256">
      <c r="A260" s="199">
        <v>40</v>
      </c>
      <c r="B260" s="20" t="s">
        <v>2246</v>
      </c>
      <c r="C260" s="20" t="s">
        <v>2223</v>
      </c>
      <c r="D260" s="199">
        <v>6040</v>
      </c>
      <c r="E260" s="199">
        <f>'05版台时'!R428</f>
        <v>215.219107314083</v>
      </c>
      <c r="F260" s="200"/>
      <c r="G260" s="200"/>
      <c r="H260" s="200"/>
      <c r="I260" s="200"/>
      <c r="J260" s="200"/>
      <c r="K260" s="200"/>
      <c r="L260" s="200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  <c r="AA260" s="200"/>
      <c r="AB260" s="200"/>
      <c r="AC260" s="200"/>
      <c r="AD260" s="200"/>
      <c r="AE260" s="200"/>
      <c r="AF260" s="200"/>
      <c r="AG260" s="200"/>
      <c r="AH260" s="200"/>
      <c r="AI260" s="200"/>
      <c r="AJ260" s="200"/>
      <c r="AK260" s="200"/>
      <c r="AL260" s="200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200"/>
      <c r="BB260" s="200"/>
      <c r="BC260" s="200"/>
      <c r="BD260" s="200"/>
      <c r="BE260" s="200"/>
      <c r="BF260" s="200"/>
      <c r="BG260" s="200"/>
      <c r="BH260" s="200"/>
      <c r="BI260" s="200"/>
      <c r="BJ260" s="200"/>
      <c r="BK260" s="200"/>
      <c r="BL260" s="200"/>
      <c r="BM260" s="200"/>
      <c r="BN260" s="200"/>
      <c r="BO260" s="200"/>
      <c r="BP260" s="200"/>
      <c r="BQ260" s="200"/>
      <c r="BR260" s="200"/>
      <c r="BS260" s="200"/>
      <c r="BT260" s="200"/>
      <c r="BU260" s="200"/>
      <c r="BV260" s="200"/>
      <c r="BW260" s="200"/>
      <c r="BX260" s="200"/>
      <c r="BY260" s="200"/>
      <c r="BZ260" s="200"/>
      <c r="CA260" s="200"/>
      <c r="CB260" s="200"/>
      <c r="CC260" s="200"/>
      <c r="CD260" s="200"/>
      <c r="CE260" s="200"/>
      <c r="CF260" s="200"/>
      <c r="CG260" s="200"/>
      <c r="CH260" s="200"/>
      <c r="CI260" s="200"/>
      <c r="CJ260" s="200"/>
      <c r="CK260" s="200"/>
      <c r="CL260" s="200"/>
      <c r="CM260" s="200"/>
      <c r="CN260" s="200"/>
      <c r="CO260" s="200"/>
      <c r="CP260" s="200"/>
      <c r="CQ260" s="200"/>
      <c r="CR260" s="200"/>
      <c r="CS260" s="200"/>
      <c r="CT260" s="200"/>
      <c r="CU260" s="200"/>
      <c r="CV260" s="200"/>
      <c r="CW260" s="200"/>
      <c r="CX260" s="200"/>
      <c r="CY260" s="200"/>
      <c r="CZ260" s="200"/>
      <c r="DA260" s="200"/>
      <c r="DB260" s="200"/>
      <c r="DC260" s="200"/>
      <c r="DD260" s="200"/>
      <c r="DE260" s="200"/>
      <c r="DF260" s="200"/>
      <c r="DG260" s="200"/>
      <c r="DH260" s="200"/>
      <c r="DI260" s="200"/>
      <c r="DJ260" s="200"/>
      <c r="DK260" s="200"/>
      <c r="DL260" s="200"/>
      <c r="DM260" s="200"/>
      <c r="DN260" s="200"/>
      <c r="DO260" s="200"/>
      <c r="DP260" s="200"/>
      <c r="DQ260" s="200"/>
      <c r="DR260" s="200"/>
      <c r="DS260" s="200"/>
      <c r="DT260" s="200"/>
      <c r="DU260" s="200"/>
      <c r="DV260" s="200"/>
      <c r="DW260" s="200"/>
      <c r="DX260" s="200"/>
      <c r="DY260" s="200"/>
      <c r="DZ260" s="200"/>
      <c r="EA260" s="200"/>
      <c r="EB260" s="200"/>
      <c r="EC260" s="200"/>
      <c r="ED260" s="200"/>
      <c r="EE260" s="200"/>
      <c r="EF260" s="200"/>
      <c r="EG260" s="200"/>
      <c r="EH260" s="200"/>
      <c r="EI260" s="200"/>
      <c r="EJ260" s="200"/>
      <c r="EK260" s="200"/>
      <c r="EL260" s="200"/>
      <c r="EM260" s="200"/>
      <c r="EN260" s="200"/>
      <c r="EO260" s="200"/>
      <c r="EP260" s="200"/>
      <c r="EQ260" s="200"/>
      <c r="ER260" s="200"/>
      <c r="ES260" s="200"/>
      <c r="ET260" s="200"/>
      <c r="EU260" s="200"/>
      <c r="EV260" s="200"/>
      <c r="EW260" s="200"/>
      <c r="EX260" s="200"/>
      <c r="EY260" s="200"/>
      <c r="EZ260" s="200"/>
      <c r="FA260" s="200"/>
      <c r="FB260" s="200"/>
      <c r="FC260" s="200"/>
      <c r="FD260" s="200"/>
      <c r="FE260" s="200"/>
      <c r="FF260" s="200"/>
      <c r="FG260" s="200"/>
      <c r="FH260" s="200"/>
      <c r="FI260" s="200"/>
      <c r="FJ260" s="200"/>
      <c r="FK260" s="200"/>
      <c r="FL260" s="200"/>
      <c r="FM260" s="200"/>
      <c r="FN260" s="200"/>
      <c r="FO260" s="200"/>
      <c r="FP260" s="200"/>
      <c r="FQ260" s="200"/>
      <c r="FR260" s="200"/>
      <c r="FS260" s="200"/>
      <c r="FT260" s="200"/>
      <c r="FU260" s="200"/>
      <c r="FV260" s="200"/>
      <c r="FW260" s="200"/>
      <c r="FX260" s="200"/>
      <c r="FY260" s="200"/>
      <c r="FZ260" s="200"/>
      <c r="GA260" s="200"/>
      <c r="GB260" s="200"/>
      <c r="GC260" s="200"/>
      <c r="GD260" s="200"/>
      <c r="GE260" s="200"/>
      <c r="GF260" s="200"/>
      <c r="GG260" s="200"/>
      <c r="GH260" s="200"/>
      <c r="GI260" s="200"/>
      <c r="GJ260" s="200"/>
      <c r="GK260" s="200"/>
      <c r="GL260" s="200"/>
      <c r="GM260" s="200"/>
      <c r="GN260" s="200"/>
      <c r="GO260" s="200"/>
      <c r="GP260" s="200"/>
      <c r="GQ260" s="200"/>
      <c r="GR260" s="200"/>
      <c r="GS260" s="200"/>
      <c r="GT260" s="200"/>
      <c r="GU260" s="200"/>
      <c r="GV260" s="200"/>
      <c r="GW260" s="200"/>
      <c r="GX260" s="200"/>
      <c r="GY260" s="200"/>
      <c r="GZ260" s="200"/>
      <c r="HA260" s="200"/>
      <c r="HB260" s="200"/>
      <c r="HC260" s="200"/>
      <c r="HD260" s="200"/>
      <c r="HE260" s="200"/>
      <c r="HF260" s="200"/>
      <c r="HG260" s="200"/>
      <c r="HH260" s="200"/>
      <c r="HI260" s="200"/>
      <c r="HJ260" s="200"/>
      <c r="HK260" s="200"/>
      <c r="HL260" s="200"/>
      <c r="HM260" s="200"/>
      <c r="HN260" s="200"/>
      <c r="HO260" s="200"/>
      <c r="HP260" s="200"/>
      <c r="HQ260" s="200"/>
      <c r="HR260" s="200"/>
      <c r="HS260" s="200"/>
      <c r="HT260" s="200"/>
      <c r="HU260" s="200"/>
      <c r="HV260" s="200"/>
      <c r="HW260" s="200"/>
      <c r="HX260" s="200"/>
      <c r="HY260" s="200"/>
      <c r="HZ260" s="200"/>
      <c r="IA260" s="200"/>
      <c r="IB260" s="200"/>
      <c r="IC260" s="200"/>
      <c r="ID260" s="200"/>
      <c r="IE260" s="200"/>
      <c r="IF260" s="200"/>
      <c r="IG260" s="200"/>
      <c r="IH260" s="200"/>
      <c r="II260" s="200"/>
      <c r="IJ260" s="200"/>
      <c r="IK260" s="200"/>
      <c r="IL260" s="200"/>
      <c r="IM260" s="200"/>
      <c r="IN260" s="200"/>
      <c r="IO260" s="200"/>
      <c r="IP260" s="200"/>
      <c r="IQ260" s="200"/>
      <c r="IR260" s="200"/>
      <c r="IS260" s="200"/>
      <c r="IT260" s="200"/>
      <c r="IU260" s="201"/>
      <c r="IV260" s="201"/>
    </row>
    <row r="261" s="10" customFormat="1" ht="15.95" customHeight="1" spans="1:256">
      <c r="A261" s="199">
        <v>41</v>
      </c>
      <c r="B261" s="20" t="s">
        <v>2246</v>
      </c>
      <c r="C261" s="20" t="s">
        <v>2224</v>
      </c>
      <c r="D261" s="199">
        <v>6041</v>
      </c>
      <c r="E261" s="199">
        <f>'05版台时'!S428</f>
        <v>215.219107314083</v>
      </c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  <c r="AA261" s="200"/>
      <c r="AB261" s="200"/>
      <c r="AC261" s="200"/>
      <c r="AD261" s="200"/>
      <c r="AE261" s="200"/>
      <c r="AF261" s="200"/>
      <c r="AG261" s="200"/>
      <c r="AH261" s="200"/>
      <c r="AI261" s="200"/>
      <c r="AJ261" s="200"/>
      <c r="AK261" s="200"/>
      <c r="AL261" s="200"/>
      <c r="AM261" s="200"/>
      <c r="AN261" s="200"/>
      <c r="AO261" s="200"/>
      <c r="AP261" s="200"/>
      <c r="AQ261" s="200"/>
      <c r="AR261" s="200"/>
      <c r="AS261" s="200"/>
      <c r="AT261" s="200"/>
      <c r="AU261" s="200"/>
      <c r="AV261" s="200"/>
      <c r="AW261" s="200"/>
      <c r="AX261" s="200"/>
      <c r="AY261" s="200"/>
      <c r="AZ261" s="200"/>
      <c r="BA261" s="200"/>
      <c r="BB261" s="200"/>
      <c r="BC261" s="200"/>
      <c r="BD261" s="200"/>
      <c r="BE261" s="200"/>
      <c r="BF261" s="200"/>
      <c r="BG261" s="200"/>
      <c r="BH261" s="200"/>
      <c r="BI261" s="200"/>
      <c r="BJ261" s="200"/>
      <c r="BK261" s="200"/>
      <c r="BL261" s="200"/>
      <c r="BM261" s="200"/>
      <c r="BN261" s="200"/>
      <c r="BO261" s="200"/>
      <c r="BP261" s="200"/>
      <c r="BQ261" s="200"/>
      <c r="BR261" s="200"/>
      <c r="BS261" s="200"/>
      <c r="BT261" s="200"/>
      <c r="BU261" s="200"/>
      <c r="BV261" s="200"/>
      <c r="BW261" s="200"/>
      <c r="BX261" s="200"/>
      <c r="BY261" s="200"/>
      <c r="BZ261" s="200"/>
      <c r="CA261" s="200"/>
      <c r="CB261" s="200"/>
      <c r="CC261" s="200"/>
      <c r="CD261" s="200"/>
      <c r="CE261" s="200"/>
      <c r="CF261" s="200"/>
      <c r="CG261" s="200"/>
      <c r="CH261" s="200"/>
      <c r="CI261" s="200"/>
      <c r="CJ261" s="200"/>
      <c r="CK261" s="200"/>
      <c r="CL261" s="200"/>
      <c r="CM261" s="200"/>
      <c r="CN261" s="200"/>
      <c r="CO261" s="200"/>
      <c r="CP261" s="200"/>
      <c r="CQ261" s="200"/>
      <c r="CR261" s="200"/>
      <c r="CS261" s="200"/>
      <c r="CT261" s="200"/>
      <c r="CU261" s="200"/>
      <c r="CV261" s="200"/>
      <c r="CW261" s="200"/>
      <c r="CX261" s="200"/>
      <c r="CY261" s="200"/>
      <c r="CZ261" s="200"/>
      <c r="DA261" s="200"/>
      <c r="DB261" s="200"/>
      <c r="DC261" s="200"/>
      <c r="DD261" s="200"/>
      <c r="DE261" s="200"/>
      <c r="DF261" s="200"/>
      <c r="DG261" s="200"/>
      <c r="DH261" s="200"/>
      <c r="DI261" s="200"/>
      <c r="DJ261" s="200"/>
      <c r="DK261" s="200"/>
      <c r="DL261" s="200"/>
      <c r="DM261" s="200"/>
      <c r="DN261" s="200"/>
      <c r="DO261" s="200"/>
      <c r="DP261" s="200"/>
      <c r="DQ261" s="200"/>
      <c r="DR261" s="200"/>
      <c r="DS261" s="200"/>
      <c r="DT261" s="200"/>
      <c r="DU261" s="200"/>
      <c r="DV261" s="200"/>
      <c r="DW261" s="200"/>
      <c r="DX261" s="200"/>
      <c r="DY261" s="200"/>
      <c r="DZ261" s="200"/>
      <c r="EA261" s="200"/>
      <c r="EB261" s="200"/>
      <c r="EC261" s="200"/>
      <c r="ED261" s="200"/>
      <c r="EE261" s="200"/>
      <c r="EF261" s="200"/>
      <c r="EG261" s="200"/>
      <c r="EH261" s="200"/>
      <c r="EI261" s="200"/>
      <c r="EJ261" s="200"/>
      <c r="EK261" s="200"/>
      <c r="EL261" s="200"/>
      <c r="EM261" s="200"/>
      <c r="EN261" s="200"/>
      <c r="EO261" s="200"/>
      <c r="EP261" s="200"/>
      <c r="EQ261" s="200"/>
      <c r="ER261" s="200"/>
      <c r="ES261" s="200"/>
      <c r="ET261" s="200"/>
      <c r="EU261" s="200"/>
      <c r="EV261" s="200"/>
      <c r="EW261" s="200"/>
      <c r="EX261" s="200"/>
      <c r="EY261" s="200"/>
      <c r="EZ261" s="200"/>
      <c r="FA261" s="200"/>
      <c r="FB261" s="200"/>
      <c r="FC261" s="200"/>
      <c r="FD261" s="200"/>
      <c r="FE261" s="200"/>
      <c r="FF261" s="200"/>
      <c r="FG261" s="200"/>
      <c r="FH261" s="200"/>
      <c r="FI261" s="200"/>
      <c r="FJ261" s="200"/>
      <c r="FK261" s="200"/>
      <c r="FL261" s="200"/>
      <c r="FM261" s="200"/>
      <c r="FN261" s="200"/>
      <c r="FO261" s="200"/>
      <c r="FP261" s="200"/>
      <c r="FQ261" s="200"/>
      <c r="FR261" s="200"/>
      <c r="FS261" s="200"/>
      <c r="FT261" s="200"/>
      <c r="FU261" s="200"/>
      <c r="FV261" s="200"/>
      <c r="FW261" s="200"/>
      <c r="FX261" s="200"/>
      <c r="FY261" s="200"/>
      <c r="FZ261" s="200"/>
      <c r="GA261" s="200"/>
      <c r="GB261" s="200"/>
      <c r="GC261" s="200"/>
      <c r="GD261" s="200"/>
      <c r="GE261" s="200"/>
      <c r="GF261" s="200"/>
      <c r="GG261" s="200"/>
      <c r="GH261" s="200"/>
      <c r="GI261" s="200"/>
      <c r="GJ261" s="200"/>
      <c r="GK261" s="200"/>
      <c r="GL261" s="200"/>
      <c r="GM261" s="200"/>
      <c r="GN261" s="200"/>
      <c r="GO261" s="200"/>
      <c r="GP261" s="200"/>
      <c r="GQ261" s="200"/>
      <c r="GR261" s="200"/>
      <c r="GS261" s="200"/>
      <c r="GT261" s="200"/>
      <c r="GU261" s="200"/>
      <c r="GV261" s="200"/>
      <c r="GW261" s="200"/>
      <c r="GX261" s="200"/>
      <c r="GY261" s="200"/>
      <c r="GZ261" s="200"/>
      <c r="HA261" s="200"/>
      <c r="HB261" s="200"/>
      <c r="HC261" s="200"/>
      <c r="HD261" s="200"/>
      <c r="HE261" s="200"/>
      <c r="HF261" s="200"/>
      <c r="HG261" s="200"/>
      <c r="HH261" s="200"/>
      <c r="HI261" s="200"/>
      <c r="HJ261" s="200"/>
      <c r="HK261" s="200"/>
      <c r="HL261" s="200"/>
      <c r="HM261" s="200"/>
      <c r="HN261" s="200"/>
      <c r="HO261" s="200"/>
      <c r="HP261" s="200"/>
      <c r="HQ261" s="200"/>
      <c r="HR261" s="200"/>
      <c r="HS261" s="200"/>
      <c r="HT261" s="200"/>
      <c r="HU261" s="200"/>
      <c r="HV261" s="200"/>
      <c r="HW261" s="200"/>
      <c r="HX261" s="200"/>
      <c r="HY261" s="200"/>
      <c r="HZ261" s="200"/>
      <c r="IA261" s="200"/>
      <c r="IB261" s="200"/>
      <c r="IC261" s="200"/>
      <c r="ID261" s="200"/>
      <c r="IE261" s="200"/>
      <c r="IF261" s="200"/>
      <c r="IG261" s="200"/>
      <c r="IH261" s="200"/>
      <c r="II261" s="200"/>
      <c r="IJ261" s="200"/>
      <c r="IK261" s="200"/>
      <c r="IL261" s="200"/>
      <c r="IM261" s="200"/>
      <c r="IN261" s="200"/>
      <c r="IO261" s="200"/>
      <c r="IP261" s="200"/>
      <c r="IQ261" s="200"/>
      <c r="IR261" s="200"/>
      <c r="IS261" s="200"/>
      <c r="IT261" s="200"/>
      <c r="IU261" s="201"/>
      <c r="IV261" s="201"/>
    </row>
    <row r="262" s="10" customFormat="1" ht="15.95" customHeight="1" spans="1:256">
      <c r="A262" s="199">
        <v>42</v>
      </c>
      <c r="B262" s="20" t="s">
        <v>2246</v>
      </c>
      <c r="C262" s="20" t="s">
        <v>2233</v>
      </c>
      <c r="D262" s="199">
        <v>6042</v>
      </c>
      <c r="E262" s="199">
        <f>'05版台时'!T428</f>
        <v>335.627780899132</v>
      </c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  <c r="AA262" s="200"/>
      <c r="AB262" s="200"/>
      <c r="AC262" s="200"/>
      <c r="AD262" s="200"/>
      <c r="AE262" s="200"/>
      <c r="AF262" s="200"/>
      <c r="AG262" s="200"/>
      <c r="AH262" s="200"/>
      <c r="AI262" s="200"/>
      <c r="AJ262" s="200"/>
      <c r="AK262" s="200"/>
      <c r="AL262" s="200"/>
      <c r="AM262" s="200"/>
      <c r="AN262" s="200"/>
      <c r="AO262" s="200"/>
      <c r="AP262" s="200"/>
      <c r="AQ262" s="200"/>
      <c r="AR262" s="200"/>
      <c r="AS262" s="200"/>
      <c r="AT262" s="200"/>
      <c r="AU262" s="200"/>
      <c r="AV262" s="200"/>
      <c r="AW262" s="200"/>
      <c r="AX262" s="200"/>
      <c r="AY262" s="200"/>
      <c r="AZ262" s="200"/>
      <c r="BA262" s="200"/>
      <c r="BB262" s="200"/>
      <c r="BC262" s="200"/>
      <c r="BD262" s="200"/>
      <c r="BE262" s="200"/>
      <c r="BF262" s="200"/>
      <c r="BG262" s="200"/>
      <c r="BH262" s="200"/>
      <c r="BI262" s="200"/>
      <c r="BJ262" s="200"/>
      <c r="BK262" s="200"/>
      <c r="BL262" s="200"/>
      <c r="BM262" s="200"/>
      <c r="BN262" s="200"/>
      <c r="BO262" s="200"/>
      <c r="BP262" s="200"/>
      <c r="BQ262" s="200"/>
      <c r="BR262" s="200"/>
      <c r="BS262" s="200"/>
      <c r="BT262" s="200"/>
      <c r="BU262" s="200"/>
      <c r="BV262" s="200"/>
      <c r="BW262" s="200"/>
      <c r="BX262" s="200"/>
      <c r="BY262" s="200"/>
      <c r="BZ262" s="200"/>
      <c r="CA262" s="200"/>
      <c r="CB262" s="200"/>
      <c r="CC262" s="200"/>
      <c r="CD262" s="200"/>
      <c r="CE262" s="200"/>
      <c r="CF262" s="200"/>
      <c r="CG262" s="200"/>
      <c r="CH262" s="200"/>
      <c r="CI262" s="200"/>
      <c r="CJ262" s="200"/>
      <c r="CK262" s="200"/>
      <c r="CL262" s="200"/>
      <c r="CM262" s="200"/>
      <c r="CN262" s="200"/>
      <c r="CO262" s="200"/>
      <c r="CP262" s="200"/>
      <c r="CQ262" s="200"/>
      <c r="CR262" s="200"/>
      <c r="CS262" s="200"/>
      <c r="CT262" s="200"/>
      <c r="CU262" s="200"/>
      <c r="CV262" s="200"/>
      <c r="CW262" s="200"/>
      <c r="CX262" s="200"/>
      <c r="CY262" s="200"/>
      <c r="CZ262" s="200"/>
      <c r="DA262" s="200"/>
      <c r="DB262" s="200"/>
      <c r="DC262" s="200"/>
      <c r="DD262" s="200"/>
      <c r="DE262" s="200"/>
      <c r="DF262" s="200"/>
      <c r="DG262" s="200"/>
      <c r="DH262" s="200"/>
      <c r="DI262" s="200"/>
      <c r="DJ262" s="200"/>
      <c r="DK262" s="200"/>
      <c r="DL262" s="200"/>
      <c r="DM262" s="200"/>
      <c r="DN262" s="200"/>
      <c r="DO262" s="200"/>
      <c r="DP262" s="200"/>
      <c r="DQ262" s="200"/>
      <c r="DR262" s="200"/>
      <c r="DS262" s="200"/>
      <c r="DT262" s="200"/>
      <c r="DU262" s="200"/>
      <c r="DV262" s="200"/>
      <c r="DW262" s="200"/>
      <c r="DX262" s="200"/>
      <c r="DY262" s="200"/>
      <c r="DZ262" s="200"/>
      <c r="EA262" s="200"/>
      <c r="EB262" s="200"/>
      <c r="EC262" s="200"/>
      <c r="ED262" s="200"/>
      <c r="EE262" s="200"/>
      <c r="EF262" s="200"/>
      <c r="EG262" s="200"/>
      <c r="EH262" s="200"/>
      <c r="EI262" s="200"/>
      <c r="EJ262" s="200"/>
      <c r="EK262" s="200"/>
      <c r="EL262" s="200"/>
      <c r="EM262" s="200"/>
      <c r="EN262" s="200"/>
      <c r="EO262" s="200"/>
      <c r="EP262" s="200"/>
      <c r="EQ262" s="200"/>
      <c r="ER262" s="200"/>
      <c r="ES262" s="200"/>
      <c r="ET262" s="200"/>
      <c r="EU262" s="200"/>
      <c r="EV262" s="200"/>
      <c r="EW262" s="200"/>
      <c r="EX262" s="200"/>
      <c r="EY262" s="200"/>
      <c r="EZ262" s="200"/>
      <c r="FA262" s="200"/>
      <c r="FB262" s="200"/>
      <c r="FC262" s="200"/>
      <c r="FD262" s="200"/>
      <c r="FE262" s="200"/>
      <c r="FF262" s="200"/>
      <c r="FG262" s="200"/>
      <c r="FH262" s="200"/>
      <c r="FI262" s="200"/>
      <c r="FJ262" s="200"/>
      <c r="FK262" s="200"/>
      <c r="FL262" s="200"/>
      <c r="FM262" s="200"/>
      <c r="FN262" s="200"/>
      <c r="FO262" s="200"/>
      <c r="FP262" s="200"/>
      <c r="FQ262" s="200"/>
      <c r="FR262" s="200"/>
      <c r="FS262" s="200"/>
      <c r="FT262" s="200"/>
      <c r="FU262" s="200"/>
      <c r="FV262" s="200"/>
      <c r="FW262" s="200"/>
      <c r="FX262" s="200"/>
      <c r="FY262" s="200"/>
      <c r="FZ262" s="200"/>
      <c r="GA262" s="200"/>
      <c r="GB262" s="200"/>
      <c r="GC262" s="200"/>
      <c r="GD262" s="200"/>
      <c r="GE262" s="200"/>
      <c r="GF262" s="200"/>
      <c r="GG262" s="200"/>
      <c r="GH262" s="200"/>
      <c r="GI262" s="200"/>
      <c r="GJ262" s="200"/>
      <c r="GK262" s="200"/>
      <c r="GL262" s="200"/>
      <c r="GM262" s="200"/>
      <c r="GN262" s="200"/>
      <c r="GO262" s="200"/>
      <c r="GP262" s="200"/>
      <c r="GQ262" s="200"/>
      <c r="GR262" s="200"/>
      <c r="GS262" s="200"/>
      <c r="GT262" s="200"/>
      <c r="GU262" s="200"/>
      <c r="GV262" s="200"/>
      <c r="GW262" s="200"/>
      <c r="GX262" s="200"/>
      <c r="GY262" s="200"/>
      <c r="GZ262" s="200"/>
      <c r="HA262" s="200"/>
      <c r="HB262" s="200"/>
      <c r="HC262" s="200"/>
      <c r="HD262" s="200"/>
      <c r="HE262" s="200"/>
      <c r="HF262" s="200"/>
      <c r="HG262" s="200"/>
      <c r="HH262" s="200"/>
      <c r="HI262" s="200"/>
      <c r="HJ262" s="200"/>
      <c r="HK262" s="200"/>
      <c r="HL262" s="200"/>
      <c r="HM262" s="200"/>
      <c r="HN262" s="200"/>
      <c r="HO262" s="200"/>
      <c r="HP262" s="200"/>
      <c r="HQ262" s="200"/>
      <c r="HR262" s="200"/>
      <c r="HS262" s="200"/>
      <c r="HT262" s="200"/>
      <c r="HU262" s="200"/>
      <c r="HV262" s="200"/>
      <c r="HW262" s="200"/>
      <c r="HX262" s="200"/>
      <c r="HY262" s="200"/>
      <c r="HZ262" s="200"/>
      <c r="IA262" s="200"/>
      <c r="IB262" s="200"/>
      <c r="IC262" s="200"/>
      <c r="ID262" s="200"/>
      <c r="IE262" s="200"/>
      <c r="IF262" s="200"/>
      <c r="IG262" s="200"/>
      <c r="IH262" s="200"/>
      <c r="II262" s="200"/>
      <c r="IJ262" s="200"/>
      <c r="IK262" s="200"/>
      <c r="IL262" s="200"/>
      <c r="IM262" s="200"/>
      <c r="IN262" s="200"/>
      <c r="IO262" s="200"/>
      <c r="IP262" s="200"/>
      <c r="IQ262" s="200"/>
      <c r="IR262" s="200"/>
      <c r="IS262" s="200"/>
      <c r="IT262" s="200"/>
      <c r="IU262" s="201"/>
      <c r="IV262" s="201"/>
    </row>
    <row r="263" s="10" customFormat="1" ht="15.95" customHeight="1" spans="1:256">
      <c r="A263" s="199">
        <v>43</v>
      </c>
      <c r="B263" s="20" t="s">
        <v>2246</v>
      </c>
      <c r="C263" s="20" t="s">
        <v>2234</v>
      </c>
      <c r="D263" s="199">
        <v>6043</v>
      </c>
      <c r="E263" s="199">
        <f>'05版台时'!U428</f>
        <v>379.544653655414</v>
      </c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  <c r="AA263" s="200"/>
      <c r="AB263" s="200"/>
      <c r="AC263" s="200"/>
      <c r="AD263" s="200"/>
      <c r="AE263" s="200"/>
      <c r="AF263" s="200"/>
      <c r="AG263" s="200"/>
      <c r="AH263" s="200"/>
      <c r="AI263" s="200"/>
      <c r="AJ263" s="200"/>
      <c r="AK263" s="200"/>
      <c r="AL263" s="200"/>
      <c r="AM263" s="200"/>
      <c r="AN263" s="200"/>
      <c r="AO263" s="200"/>
      <c r="AP263" s="200"/>
      <c r="AQ263" s="200"/>
      <c r="AR263" s="200"/>
      <c r="AS263" s="200"/>
      <c r="AT263" s="200"/>
      <c r="AU263" s="200"/>
      <c r="AV263" s="200"/>
      <c r="AW263" s="200"/>
      <c r="AX263" s="200"/>
      <c r="AY263" s="200"/>
      <c r="AZ263" s="200"/>
      <c r="BA263" s="200"/>
      <c r="BB263" s="200"/>
      <c r="BC263" s="200"/>
      <c r="BD263" s="200"/>
      <c r="BE263" s="200"/>
      <c r="BF263" s="200"/>
      <c r="BG263" s="200"/>
      <c r="BH263" s="200"/>
      <c r="BI263" s="200"/>
      <c r="BJ263" s="200"/>
      <c r="BK263" s="200"/>
      <c r="BL263" s="200"/>
      <c r="BM263" s="200"/>
      <c r="BN263" s="200"/>
      <c r="BO263" s="200"/>
      <c r="BP263" s="200"/>
      <c r="BQ263" s="200"/>
      <c r="BR263" s="200"/>
      <c r="BS263" s="200"/>
      <c r="BT263" s="200"/>
      <c r="BU263" s="200"/>
      <c r="BV263" s="200"/>
      <c r="BW263" s="200"/>
      <c r="BX263" s="200"/>
      <c r="BY263" s="200"/>
      <c r="BZ263" s="200"/>
      <c r="CA263" s="200"/>
      <c r="CB263" s="200"/>
      <c r="CC263" s="200"/>
      <c r="CD263" s="200"/>
      <c r="CE263" s="200"/>
      <c r="CF263" s="200"/>
      <c r="CG263" s="200"/>
      <c r="CH263" s="200"/>
      <c r="CI263" s="200"/>
      <c r="CJ263" s="200"/>
      <c r="CK263" s="200"/>
      <c r="CL263" s="200"/>
      <c r="CM263" s="200"/>
      <c r="CN263" s="200"/>
      <c r="CO263" s="200"/>
      <c r="CP263" s="200"/>
      <c r="CQ263" s="200"/>
      <c r="CR263" s="200"/>
      <c r="CS263" s="200"/>
      <c r="CT263" s="200"/>
      <c r="CU263" s="200"/>
      <c r="CV263" s="200"/>
      <c r="CW263" s="200"/>
      <c r="CX263" s="200"/>
      <c r="CY263" s="200"/>
      <c r="CZ263" s="200"/>
      <c r="DA263" s="200"/>
      <c r="DB263" s="200"/>
      <c r="DC263" s="200"/>
      <c r="DD263" s="200"/>
      <c r="DE263" s="200"/>
      <c r="DF263" s="200"/>
      <c r="DG263" s="200"/>
      <c r="DH263" s="200"/>
      <c r="DI263" s="200"/>
      <c r="DJ263" s="200"/>
      <c r="DK263" s="200"/>
      <c r="DL263" s="200"/>
      <c r="DM263" s="200"/>
      <c r="DN263" s="200"/>
      <c r="DO263" s="200"/>
      <c r="DP263" s="200"/>
      <c r="DQ263" s="200"/>
      <c r="DR263" s="200"/>
      <c r="DS263" s="200"/>
      <c r="DT263" s="200"/>
      <c r="DU263" s="200"/>
      <c r="DV263" s="200"/>
      <c r="DW263" s="200"/>
      <c r="DX263" s="200"/>
      <c r="DY263" s="200"/>
      <c r="DZ263" s="200"/>
      <c r="EA263" s="200"/>
      <c r="EB263" s="200"/>
      <c r="EC263" s="200"/>
      <c r="ED263" s="200"/>
      <c r="EE263" s="200"/>
      <c r="EF263" s="200"/>
      <c r="EG263" s="200"/>
      <c r="EH263" s="200"/>
      <c r="EI263" s="200"/>
      <c r="EJ263" s="200"/>
      <c r="EK263" s="200"/>
      <c r="EL263" s="200"/>
      <c r="EM263" s="200"/>
      <c r="EN263" s="200"/>
      <c r="EO263" s="200"/>
      <c r="EP263" s="200"/>
      <c r="EQ263" s="200"/>
      <c r="ER263" s="200"/>
      <c r="ES263" s="200"/>
      <c r="ET263" s="200"/>
      <c r="EU263" s="200"/>
      <c r="EV263" s="200"/>
      <c r="EW263" s="200"/>
      <c r="EX263" s="200"/>
      <c r="EY263" s="200"/>
      <c r="EZ263" s="200"/>
      <c r="FA263" s="200"/>
      <c r="FB263" s="200"/>
      <c r="FC263" s="200"/>
      <c r="FD263" s="200"/>
      <c r="FE263" s="200"/>
      <c r="FF263" s="200"/>
      <c r="FG263" s="200"/>
      <c r="FH263" s="200"/>
      <c r="FI263" s="200"/>
      <c r="FJ263" s="200"/>
      <c r="FK263" s="200"/>
      <c r="FL263" s="200"/>
      <c r="FM263" s="200"/>
      <c r="FN263" s="200"/>
      <c r="FO263" s="200"/>
      <c r="FP263" s="200"/>
      <c r="FQ263" s="200"/>
      <c r="FR263" s="200"/>
      <c r="FS263" s="200"/>
      <c r="FT263" s="200"/>
      <c r="FU263" s="200"/>
      <c r="FV263" s="200"/>
      <c r="FW263" s="200"/>
      <c r="FX263" s="200"/>
      <c r="FY263" s="200"/>
      <c r="FZ263" s="200"/>
      <c r="GA263" s="200"/>
      <c r="GB263" s="200"/>
      <c r="GC263" s="200"/>
      <c r="GD263" s="200"/>
      <c r="GE263" s="200"/>
      <c r="GF263" s="200"/>
      <c r="GG263" s="200"/>
      <c r="GH263" s="200"/>
      <c r="GI263" s="200"/>
      <c r="GJ263" s="200"/>
      <c r="GK263" s="200"/>
      <c r="GL263" s="200"/>
      <c r="GM263" s="200"/>
      <c r="GN263" s="200"/>
      <c r="GO263" s="200"/>
      <c r="GP263" s="200"/>
      <c r="GQ263" s="200"/>
      <c r="GR263" s="200"/>
      <c r="GS263" s="200"/>
      <c r="GT263" s="200"/>
      <c r="GU263" s="200"/>
      <c r="GV263" s="200"/>
      <c r="GW263" s="200"/>
      <c r="GX263" s="200"/>
      <c r="GY263" s="200"/>
      <c r="GZ263" s="200"/>
      <c r="HA263" s="200"/>
      <c r="HB263" s="200"/>
      <c r="HC263" s="200"/>
      <c r="HD263" s="200"/>
      <c r="HE263" s="200"/>
      <c r="HF263" s="200"/>
      <c r="HG263" s="200"/>
      <c r="HH263" s="200"/>
      <c r="HI263" s="200"/>
      <c r="HJ263" s="200"/>
      <c r="HK263" s="200"/>
      <c r="HL263" s="200"/>
      <c r="HM263" s="200"/>
      <c r="HN263" s="200"/>
      <c r="HO263" s="200"/>
      <c r="HP263" s="200"/>
      <c r="HQ263" s="200"/>
      <c r="HR263" s="200"/>
      <c r="HS263" s="200"/>
      <c r="HT263" s="200"/>
      <c r="HU263" s="200"/>
      <c r="HV263" s="200"/>
      <c r="HW263" s="200"/>
      <c r="HX263" s="200"/>
      <c r="HY263" s="200"/>
      <c r="HZ263" s="200"/>
      <c r="IA263" s="200"/>
      <c r="IB263" s="200"/>
      <c r="IC263" s="200"/>
      <c r="ID263" s="200"/>
      <c r="IE263" s="200"/>
      <c r="IF263" s="200"/>
      <c r="IG263" s="200"/>
      <c r="IH263" s="200"/>
      <c r="II263" s="200"/>
      <c r="IJ263" s="200"/>
      <c r="IK263" s="200"/>
      <c r="IL263" s="200"/>
      <c r="IM263" s="200"/>
      <c r="IN263" s="200"/>
      <c r="IO263" s="200"/>
      <c r="IP263" s="200"/>
      <c r="IQ263" s="200"/>
      <c r="IR263" s="200"/>
      <c r="IS263" s="200"/>
      <c r="IT263" s="200"/>
      <c r="IU263" s="201"/>
      <c r="IV263" s="201"/>
    </row>
    <row r="264" s="10" customFormat="1" ht="15.95" customHeight="1" spans="1:256">
      <c r="A264" s="199">
        <v>44</v>
      </c>
      <c r="B264" s="20" t="s">
        <v>2247</v>
      </c>
      <c r="C264" s="199" t="s">
        <v>2248</v>
      </c>
      <c r="D264" s="199">
        <v>6044</v>
      </c>
      <c r="E264" s="199">
        <f>'05版台时'!V428</f>
        <v>0.57891902672517</v>
      </c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  <c r="AA264" s="200"/>
      <c r="AB264" s="200"/>
      <c r="AC264" s="200"/>
      <c r="AD264" s="200"/>
      <c r="AE264" s="200"/>
      <c r="AF264" s="200"/>
      <c r="AG264" s="200"/>
      <c r="AH264" s="200"/>
      <c r="AI264" s="200"/>
      <c r="AJ264" s="200"/>
      <c r="AK264" s="200"/>
      <c r="AL264" s="200"/>
      <c r="AM264" s="200"/>
      <c r="AN264" s="200"/>
      <c r="AO264" s="200"/>
      <c r="AP264" s="200"/>
      <c r="AQ264" s="200"/>
      <c r="AR264" s="200"/>
      <c r="AS264" s="200"/>
      <c r="AT264" s="200"/>
      <c r="AU264" s="200"/>
      <c r="AV264" s="200"/>
      <c r="AW264" s="200"/>
      <c r="AX264" s="200"/>
      <c r="AY264" s="200"/>
      <c r="AZ264" s="200"/>
      <c r="BA264" s="200"/>
      <c r="BB264" s="200"/>
      <c r="BC264" s="200"/>
      <c r="BD264" s="200"/>
      <c r="BE264" s="200"/>
      <c r="BF264" s="200"/>
      <c r="BG264" s="200"/>
      <c r="BH264" s="200"/>
      <c r="BI264" s="200"/>
      <c r="BJ264" s="200"/>
      <c r="BK264" s="200"/>
      <c r="BL264" s="200"/>
      <c r="BM264" s="200"/>
      <c r="BN264" s="200"/>
      <c r="BO264" s="200"/>
      <c r="BP264" s="200"/>
      <c r="BQ264" s="200"/>
      <c r="BR264" s="200"/>
      <c r="BS264" s="200"/>
      <c r="BT264" s="200"/>
      <c r="BU264" s="200"/>
      <c r="BV264" s="200"/>
      <c r="BW264" s="200"/>
      <c r="BX264" s="200"/>
      <c r="BY264" s="200"/>
      <c r="BZ264" s="200"/>
      <c r="CA264" s="200"/>
      <c r="CB264" s="200"/>
      <c r="CC264" s="200"/>
      <c r="CD264" s="200"/>
      <c r="CE264" s="200"/>
      <c r="CF264" s="200"/>
      <c r="CG264" s="200"/>
      <c r="CH264" s="200"/>
      <c r="CI264" s="200"/>
      <c r="CJ264" s="200"/>
      <c r="CK264" s="200"/>
      <c r="CL264" s="200"/>
      <c r="CM264" s="200"/>
      <c r="CN264" s="200"/>
      <c r="CO264" s="200"/>
      <c r="CP264" s="200"/>
      <c r="CQ264" s="200"/>
      <c r="CR264" s="200"/>
      <c r="CS264" s="200"/>
      <c r="CT264" s="200"/>
      <c r="CU264" s="200"/>
      <c r="CV264" s="200"/>
      <c r="CW264" s="200"/>
      <c r="CX264" s="200"/>
      <c r="CY264" s="200"/>
      <c r="CZ264" s="200"/>
      <c r="DA264" s="200"/>
      <c r="DB264" s="200"/>
      <c r="DC264" s="200"/>
      <c r="DD264" s="200"/>
      <c r="DE264" s="200"/>
      <c r="DF264" s="200"/>
      <c r="DG264" s="200"/>
      <c r="DH264" s="200"/>
      <c r="DI264" s="200"/>
      <c r="DJ264" s="200"/>
      <c r="DK264" s="200"/>
      <c r="DL264" s="200"/>
      <c r="DM264" s="200"/>
      <c r="DN264" s="200"/>
      <c r="DO264" s="200"/>
      <c r="DP264" s="200"/>
      <c r="DQ264" s="200"/>
      <c r="DR264" s="200"/>
      <c r="DS264" s="200"/>
      <c r="DT264" s="200"/>
      <c r="DU264" s="200"/>
      <c r="DV264" s="200"/>
      <c r="DW264" s="200"/>
      <c r="DX264" s="200"/>
      <c r="DY264" s="200"/>
      <c r="DZ264" s="200"/>
      <c r="EA264" s="200"/>
      <c r="EB264" s="200"/>
      <c r="EC264" s="200"/>
      <c r="ED264" s="200"/>
      <c r="EE264" s="200"/>
      <c r="EF264" s="200"/>
      <c r="EG264" s="200"/>
      <c r="EH264" s="200"/>
      <c r="EI264" s="200"/>
      <c r="EJ264" s="200"/>
      <c r="EK264" s="200"/>
      <c r="EL264" s="200"/>
      <c r="EM264" s="200"/>
      <c r="EN264" s="200"/>
      <c r="EO264" s="200"/>
      <c r="EP264" s="200"/>
      <c r="EQ264" s="200"/>
      <c r="ER264" s="200"/>
      <c r="ES264" s="200"/>
      <c r="ET264" s="200"/>
      <c r="EU264" s="200"/>
      <c r="EV264" s="200"/>
      <c r="EW264" s="200"/>
      <c r="EX264" s="200"/>
      <c r="EY264" s="200"/>
      <c r="EZ264" s="200"/>
      <c r="FA264" s="200"/>
      <c r="FB264" s="200"/>
      <c r="FC264" s="200"/>
      <c r="FD264" s="200"/>
      <c r="FE264" s="200"/>
      <c r="FF264" s="200"/>
      <c r="FG264" s="200"/>
      <c r="FH264" s="200"/>
      <c r="FI264" s="200"/>
      <c r="FJ264" s="200"/>
      <c r="FK264" s="200"/>
      <c r="FL264" s="200"/>
      <c r="FM264" s="200"/>
      <c r="FN264" s="200"/>
      <c r="FO264" s="200"/>
      <c r="FP264" s="200"/>
      <c r="FQ264" s="200"/>
      <c r="FR264" s="200"/>
      <c r="FS264" s="200"/>
      <c r="FT264" s="200"/>
      <c r="FU264" s="200"/>
      <c r="FV264" s="200"/>
      <c r="FW264" s="200"/>
      <c r="FX264" s="200"/>
      <c r="FY264" s="200"/>
      <c r="FZ264" s="200"/>
      <c r="GA264" s="200"/>
      <c r="GB264" s="200"/>
      <c r="GC264" s="200"/>
      <c r="GD264" s="200"/>
      <c r="GE264" s="200"/>
      <c r="GF264" s="200"/>
      <c r="GG264" s="200"/>
      <c r="GH264" s="200"/>
      <c r="GI264" s="200"/>
      <c r="GJ264" s="200"/>
      <c r="GK264" s="200"/>
      <c r="GL264" s="200"/>
      <c r="GM264" s="200"/>
      <c r="GN264" s="200"/>
      <c r="GO264" s="200"/>
      <c r="GP264" s="200"/>
      <c r="GQ264" s="200"/>
      <c r="GR264" s="200"/>
      <c r="GS264" s="200"/>
      <c r="GT264" s="200"/>
      <c r="GU264" s="200"/>
      <c r="GV264" s="200"/>
      <c r="GW264" s="200"/>
      <c r="GX264" s="200"/>
      <c r="GY264" s="200"/>
      <c r="GZ264" s="200"/>
      <c r="HA264" s="200"/>
      <c r="HB264" s="200"/>
      <c r="HC264" s="200"/>
      <c r="HD264" s="200"/>
      <c r="HE264" s="200"/>
      <c r="HF264" s="200"/>
      <c r="HG264" s="200"/>
      <c r="HH264" s="200"/>
      <c r="HI264" s="200"/>
      <c r="HJ264" s="200"/>
      <c r="HK264" s="200"/>
      <c r="HL264" s="200"/>
      <c r="HM264" s="200"/>
      <c r="HN264" s="200"/>
      <c r="HO264" s="200"/>
      <c r="HP264" s="200"/>
      <c r="HQ264" s="200"/>
      <c r="HR264" s="200"/>
      <c r="HS264" s="200"/>
      <c r="HT264" s="200"/>
      <c r="HU264" s="200"/>
      <c r="HV264" s="200"/>
      <c r="HW264" s="200"/>
      <c r="HX264" s="200"/>
      <c r="HY264" s="200"/>
      <c r="HZ264" s="200"/>
      <c r="IA264" s="200"/>
      <c r="IB264" s="200"/>
      <c r="IC264" s="200"/>
      <c r="ID264" s="200"/>
      <c r="IE264" s="200"/>
      <c r="IF264" s="200"/>
      <c r="IG264" s="200"/>
      <c r="IH264" s="200"/>
      <c r="II264" s="200"/>
      <c r="IJ264" s="200"/>
      <c r="IK264" s="200"/>
      <c r="IL264" s="200"/>
      <c r="IM264" s="200"/>
      <c r="IN264" s="200"/>
      <c r="IO264" s="200"/>
      <c r="IP264" s="200"/>
      <c r="IQ264" s="200"/>
      <c r="IR264" s="200"/>
      <c r="IS264" s="200"/>
      <c r="IT264" s="200"/>
      <c r="IU264" s="201"/>
      <c r="IV264" s="201"/>
    </row>
    <row r="265" s="10" customFormat="1" ht="15.95" customHeight="1" spans="1:256">
      <c r="A265" s="199">
        <v>45</v>
      </c>
      <c r="B265" s="20" t="s">
        <v>2247</v>
      </c>
      <c r="C265" s="199" t="s">
        <v>2249</v>
      </c>
      <c r="D265" s="199">
        <v>6045</v>
      </c>
      <c r="E265" s="199">
        <f>'05版台时'!W428</f>
        <v>0.757355404866374</v>
      </c>
      <c r="F265" s="200"/>
      <c r="G265" s="200"/>
      <c r="H265" s="200"/>
      <c r="I265" s="200"/>
      <c r="J265" s="200"/>
      <c r="K265" s="200"/>
      <c r="L265" s="200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  <c r="AA265" s="200"/>
      <c r="AB265" s="200"/>
      <c r="AC265" s="200"/>
      <c r="AD265" s="200"/>
      <c r="AE265" s="200"/>
      <c r="AF265" s="200"/>
      <c r="AG265" s="200"/>
      <c r="AH265" s="200"/>
      <c r="AI265" s="200"/>
      <c r="AJ265" s="200"/>
      <c r="AK265" s="200"/>
      <c r="AL265" s="200"/>
      <c r="AM265" s="200"/>
      <c r="AN265" s="200"/>
      <c r="AO265" s="200"/>
      <c r="AP265" s="200"/>
      <c r="AQ265" s="200"/>
      <c r="AR265" s="200"/>
      <c r="AS265" s="200"/>
      <c r="AT265" s="200"/>
      <c r="AU265" s="200"/>
      <c r="AV265" s="200"/>
      <c r="AW265" s="200"/>
      <c r="AX265" s="200"/>
      <c r="AY265" s="200"/>
      <c r="AZ265" s="200"/>
      <c r="BA265" s="200"/>
      <c r="BB265" s="200"/>
      <c r="BC265" s="200"/>
      <c r="BD265" s="200"/>
      <c r="BE265" s="200"/>
      <c r="BF265" s="200"/>
      <c r="BG265" s="200"/>
      <c r="BH265" s="200"/>
      <c r="BI265" s="200"/>
      <c r="BJ265" s="200"/>
      <c r="BK265" s="200"/>
      <c r="BL265" s="200"/>
      <c r="BM265" s="200"/>
      <c r="BN265" s="200"/>
      <c r="BO265" s="200"/>
      <c r="BP265" s="200"/>
      <c r="BQ265" s="200"/>
      <c r="BR265" s="200"/>
      <c r="BS265" s="200"/>
      <c r="BT265" s="200"/>
      <c r="BU265" s="200"/>
      <c r="BV265" s="200"/>
      <c r="BW265" s="200"/>
      <c r="BX265" s="200"/>
      <c r="BY265" s="200"/>
      <c r="BZ265" s="200"/>
      <c r="CA265" s="200"/>
      <c r="CB265" s="200"/>
      <c r="CC265" s="200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0"/>
      <c r="CN265" s="200"/>
      <c r="CO265" s="200"/>
      <c r="CP265" s="200"/>
      <c r="CQ265" s="200"/>
      <c r="CR265" s="200"/>
      <c r="CS265" s="200"/>
      <c r="CT265" s="200"/>
      <c r="CU265" s="200"/>
      <c r="CV265" s="200"/>
      <c r="CW265" s="200"/>
      <c r="CX265" s="200"/>
      <c r="CY265" s="200"/>
      <c r="CZ265" s="200"/>
      <c r="DA265" s="200"/>
      <c r="DB265" s="200"/>
      <c r="DC265" s="200"/>
      <c r="DD265" s="200"/>
      <c r="DE265" s="200"/>
      <c r="DF265" s="200"/>
      <c r="DG265" s="200"/>
      <c r="DH265" s="200"/>
      <c r="DI265" s="200"/>
      <c r="DJ265" s="200"/>
      <c r="DK265" s="200"/>
      <c r="DL265" s="200"/>
      <c r="DM265" s="200"/>
      <c r="DN265" s="200"/>
      <c r="DO265" s="200"/>
      <c r="DP265" s="200"/>
      <c r="DQ265" s="200"/>
      <c r="DR265" s="200"/>
      <c r="DS265" s="200"/>
      <c r="DT265" s="200"/>
      <c r="DU265" s="200"/>
      <c r="DV265" s="200"/>
      <c r="DW265" s="200"/>
      <c r="DX265" s="200"/>
      <c r="DY265" s="200"/>
      <c r="DZ265" s="200"/>
      <c r="EA265" s="200"/>
      <c r="EB265" s="200"/>
      <c r="EC265" s="200"/>
      <c r="ED265" s="200"/>
      <c r="EE265" s="200"/>
      <c r="EF265" s="200"/>
      <c r="EG265" s="200"/>
      <c r="EH265" s="200"/>
      <c r="EI265" s="200"/>
      <c r="EJ265" s="200"/>
      <c r="EK265" s="200"/>
      <c r="EL265" s="200"/>
      <c r="EM265" s="200"/>
      <c r="EN265" s="200"/>
      <c r="EO265" s="200"/>
      <c r="EP265" s="200"/>
      <c r="EQ265" s="200"/>
      <c r="ER265" s="200"/>
      <c r="ES265" s="200"/>
      <c r="ET265" s="200"/>
      <c r="EU265" s="200"/>
      <c r="EV265" s="200"/>
      <c r="EW265" s="200"/>
      <c r="EX265" s="200"/>
      <c r="EY265" s="200"/>
      <c r="EZ265" s="200"/>
      <c r="FA265" s="200"/>
      <c r="FB265" s="200"/>
      <c r="FC265" s="200"/>
      <c r="FD265" s="200"/>
      <c r="FE265" s="200"/>
      <c r="FF265" s="200"/>
      <c r="FG265" s="200"/>
      <c r="FH265" s="200"/>
      <c r="FI265" s="200"/>
      <c r="FJ265" s="200"/>
      <c r="FK265" s="200"/>
      <c r="FL265" s="200"/>
      <c r="FM265" s="200"/>
      <c r="FN265" s="200"/>
      <c r="FO265" s="200"/>
      <c r="FP265" s="200"/>
      <c r="FQ265" s="200"/>
      <c r="FR265" s="200"/>
      <c r="FS265" s="200"/>
      <c r="FT265" s="200"/>
      <c r="FU265" s="200"/>
      <c r="FV265" s="200"/>
      <c r="FW265" s="200"/>
      <c r="FX265" s="200"/>
      <c r="FY265" s="200"/>
      <c r="FZ265" s="200"/>
      <c r="GA265" s="200"/>
      <c r="GB265" s="200"/>
      <c r="GC265" s="200"/>
      <c r="GD265" s="200"/>
      <c r="GE265" s="200"/>
      <c r="GF265" s="200"/>
      <c r="GG265" s="200"/>
      <c r="GH265" s="200"/>
      <c r="GI265" s="200"/>
      <c r="GJ265" s="200"/>
      <c r="GK265" s="200"/>
      <c r="GL265" s="200"/>
      <c r="GM265" s="200"/>
      <c r="GN265" s="200"/>
      <c r="GO265" s="200"/>
      <c r="GP265" s="200"/>
      <c r="GQ265" s="200"/>
      <c r="GR265" s="200"/>
      <c r="GS265" s="200"/>
      <c r="GT265" s="200"/>
      <c r="GU265" s="200"/>
      <c r="GV265" s="200"/>
      <c r="GW265" s="200"/>
      <c r="GX265" s="200"/>
      <c r="GY265" s="200"/>
      <c r="GZ265" s="200"/>
      <c r="HA265" s="200"/>
      <c r="HB265" s="200"/>
      <c r="HC265" s="200"/>
      <c r="HD265" s="200"/>
      <c r="HE265" s="200"/>
      <c r="HF265" s="200"/>
      <c r="HG265" s="200"/>
      <c r="HH265" s="200"/>
      <c r="HI265" s="200"/>
      <c r="HJ265" s="200"/>
      <c r="HK265" s="200"/>
      <c r="HL265" s="200"/>
      <c r="HM265" s="200"/>
      <c r="HN265" s="200"/>
      <c r="HO265" s="200"/>
      <c r="HP265" s="200"/>
      <c r="HQ265" s="200"/>
      <c r="HR265" s="200"/>
      <c r="HS265" s="200"/>
      <c r="HT265" s="200"/>
      <c r="HU265" s="200"/>
      <c r="HV265" s="200"/>
      <c r="HW265" s="200"/>
      <c r="HX265" s="200"/>
      <c r="HY265" s="200"/>
      <c r="HZ265" s="200"/>
      <c r="IA265" s="200"/>
      <c r="IB265" s="200"/>
      <c r="IC265" s="200"/>
      <c r="ID265" s="200"/>
      <c r="IE265" s="200"/>
      <c r="IF265" s="200"/>
      <c r="IG265" s="200"/>
      <c r="IH265" s="200"/>
      <c r="II265" s="200"/>
      <c r="IJ265" s="200"/>
      <c r="IK265" s="200"/>
      <c r="IL265" s="200"/>
      <c r="IM265" s="200"/>
      <c r="IN265" s="200"/>
      <c r="IO265" s="200"/>
      <c r="IP265" s="200"/>
      <c r="IQ265" s="200"/>
      <c r="IR265" s="200"/>
      <c r="IS265" s="200"/>
      <c r="IT265" s="200"/>
      <c r="IU265" s="201"/>
      <c r="IV265" s="201"/>
    </row>
    <row r="266" s="10" customFormat="1" ht="15.95" customHeight="1" spans="1:256">
      <c r="A266" s="199">
        <v>46</v>
      </c>
      <c r="B266" s="20" t="s">
        <v>2247</v>
      </c>
      <c r="C266" s="199" t="s">
        <v>2250</v>
      </c>
      <c r="D266" s="199">
        <v>6046</v>
      </c>
      <c r="E266" s="199">
        <f>'05版台时'!X428</f>
        <v>0.685528520143598</v>
      </c>
      <c r="F266" s="200"/>
      <c r="G266" s="200"/>
      <c r="H266" s="200"/>
      <c r="I266" s="200"/>
      <c r="J266" s="200"/>
      <c r="K266" s="200"/>
      <c r="L266" s="200"/>
      <c r="M266" s="200"/>
      <c r="N266" s="200"/>
      <c r="O266" s="20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  <c r="AA266" s="200"/>
      <c r="AB266" s="200"/>
      <c r="AC266" s="200"/>
      <c r="AD266" s="200"/>
      <c r="AE266" s="200"/>
      <c r="AF266" s="200"/>
      <c r="AG266" s="200"/>
      <c r="AH266" s="200"/>
      <c r="AI266" s="200"/>
      <c r="AJ266" s="200"/>
      <c r="AK266" s="200"/>
      <c r="AL266" s="200"/>
      <c r="AM266" s="200"/>
      <c r="AN266" s="200"/>
      <c r="AO266" s="200"/>
      <c r="AP266" s="200"/>
      <c r="AQ266" s="200"/>
      <c r="AR266" s="200"/>
      <c r="AS266" s="200"/>
      <c r="AT266" s="200"/>
      <c r="AU266" s="200"/>
      <c r="AV266" s="200"/>
      <c r="AW266" s="200"/>
      <c r="AX266" s="200"/>
      <c r="AY266" s="200"/>
      <c r="AZ266" s="200"/>
      <c r="BA266" s="200"/>
      <c r="BB266" s="200"/>
      <c r="BC266" s="200"/>
      <c r="BD266" s="200"/>
      <c r="BE266" s="200"/>
      <c r="BF266" s="200"/>
      <c r="BG266" s="200"/>
      <c r="BH266" s="200"/>
      <c r="BI266" s="200"/>
      <c r="BJ266" s="200"/>
      <c r="BK266" s="200"/>
      <c r="BL266" s="200"/>
      <c r="BM266" s="200"/>
      <c r="BN266" s="200"/>
      <c r="BO266" s="200"/>
      <c r="BP266" s="200"/>
      <c r="BQ266" s="200"/>
      <c r="BR266" s="200"/>
      <c r="BS266" s="200"/>
      <c r="BT266" s="200"/>
      <c r="BU266" s="200"/>
      <c r="BV266" s="200"/>
      <c r="BW266" s="200"/>
      <c r="BX266" s="200"/>
      <c r="BY266" s="200"/>
      <c r="BZ266" s="200"/>
      <c r="CA266" s="200"/>
      <c r="CB266" s="200"/>
      <c r="CC266" s="200"/>
      <c r="CD266" s="200"/>
      <c r="CE266" s="200"/>
      <c r="CF266" s="200"/>
      <c r="CG266" s="200"/>
      <c r="CH266" s="200"/>
      <c r="CI266" s="200"/>
      <c r="CJ266" s="200"/>
      <c r="CK266" s="200"/>
      <c r="CL266" s="200"/>
      <c r="CM266" s="200"/>
      <c r="CN266" s="200"/>
      <c r="CO266" s="200"/>
      <c r="CP266" s="200"/>
      <c r="CQ266" s="200"/>
      <c r="CR266" s="200"/>
      <c r="CS266" s="200"/>
      <c r="CT266" s="200"/>
      <c r="CU266" s="200"/>
      <c r="CV266" s="200"/>
      <c r="CW266" s="200"/>
      <c r="CX266" s="200"/>
      <c r="CY266" s="200"/>
      <c r="CZ266" s="200"/>
      <c r="DA266" s="200"/>
      <c r="DB266" s="200"/>
      <c r="DC266" s="200"/>
      <c r="DD266" s="200"/>
      <c r="DE266" s="200"/>
      <c r="DF266" s="200"/>
      <c r="DG266" s="200"/>
      <c r="DH266" s="200"/>
      <c r="DI266" s="200"/>
      <c r="DJ266" s="200"/>
      <c r="DK266" s="200"/>
      <c r="DL266" s="200"/>
      <c r="DM266" s="200"/>
      <c r="DN266" s="200"/>
      <c r="DO266" s="200"/>
      <c r="DP266" s="200"/>
      <c r="DQ266" s="200"/>
      <c r="DR266" s="200"/>
      <c r="DS266" s="200"/>
      <c r="DT266" s="200"/>
      <c r="DU266" s="200"/>
      <c r="DV266" s="200"/>
      <c r="DW266" s="200"/>
      <c r="DX266" s="200"/>
      <c r="DY266" s="200"/>
      <c r="DZ266" s="200"/>
      <c r="EA266" s="200"/>
      <c r="EB266" s="200"/>
      <c r="EC266" s="200"/>
      <c r="ED266" s="200"/>
      <c r="EE266" s="200"/>
      <c r="EF266" s="200"/>
      <c r="EG266" s="200"/>
      <c r="EH266" s="200"/>
      <c r="EI266" s="200"/>
      <c r="EJ266" s="200"/>
      <c r="EK266" s="200"/>
      <c r="EL266" s="200"/>
      <c r="EM266" s="200"/>
      <c r="EN266" s="200"/>
      <c r="EO266" s="200"/>
      <c r="EP266" s="200"/>
      <c r="EQ266" s="200"/>
      <c r="ER266" s="200"/>
      <c r="ES266" s="200"/>
      <c r="ET266" s="200"/>
      <c r="EU266" s="200"/>
      <c r="EV266" s="200"/>
      <c r="EW266" s="200"/>
      <c r="EX266" s="200"/>
      <c r="EY266" s="200"/>
      <c r="EZ266" s="200"/>
      <c r="FA266" s="200"/>
      <c r="FB266" s="200"/>
      <c r="FC266" s="200"/>
      <c r="FD266" s="200"/>
      <c r="FE266" s="200"/>
      <c r="FF266" s="200"/>
      <c r="FG266" s="200"/>
      <c r="FH266" s="200"/>
      <c r="FI266" s="200"/>
      <c r="FJ266" s="200"/>
      <c r="FK266" s="200"/>
      <c r="FL266" s="200"/>
      <c r="FM266" s="200"/>
      <c r="FN266" s="200"/>
      <c r="FO266" s="200"/>
      <c r="FP266" s="200"/>
      <c r="FQ266" s="200"/>
      <c r="FR266" s="200"/>
      <c r="FS266" s="200"/>
      <c r="FT266" s="200"/>
      <c r="FU266" s="200"/>
      <c r="FV266" s="200"/>
      <c r="FW266" s="200"/>
      <c r="FX266" s="200"/>
      <c r="FY266" s="200"/>
      <c r="FZ266" s="200"/>
      <c r="GA266" s="200"/>
      <c r="GB266" s="200"/>
      <c r="GC266" s="200"/>
      <c r="GD266" s="200"/>
      <c r="GE266" s="200"/>
      <c r="GF266" s="200"/>
      <c r="GG266" s="200"/>
      <c r="GH266" s="200"/>
      <c r="GI266" s="200"/>
      <c r="GJ266" s="200"/>
      <c r="GK266" s="200"/>
      <c r="GL266" s="200"/>
      <c r="GM266" s="200"/>
      <c r="GN266" s="200"/>
      <c r="GO266" s="200"/>
      <c r="GP266" s="200"/>
      <c r="GQ266" s="200"/>
      <c r="GR266" s="200"/>
      <c r="GS266" s="200"/>
      <c r="GT266" s="200"/>
      <c r="GU266" s="200"/>
      <c r="GV266" s="200"/>
      <c r="GW266" s="200"/>
      <c r="GX266" s="200"/>
      <c r="GY266" s="200"/>
      <c r="GZ266" s="200"/>
      <c r="HA266" s="200"/>
      <c r="HB266" s="200"/>
      <c r="HC266" s="200"/>
      <c r="HD266" s="200"/>
      <c r="HE266" s="200"/>
      <c r="HF266" s="200"/>
      <c r="HG266" s="200"/>
      <c r="HH266" s="200"/>
      <c r="HI266" s="200"/>
      <c r="HJ266" s="200"/>
      <c r="HK266" s="200"/>
      <c r="HL266" s="200"/>
      <c r="HM266" s="200"/>
      <c r="HN266" s="200"/>
      <c r="HO266" s="200"/>
      <c r="HP266" s="200"/>
      <c r="HQ266" s="200"/>
      <c r="HR266" s="200"/>
      <c r="HS266" s="200"/>
      <c r="HT266" s="200"/>
      <c r="HU266" s="200"/>
      <c r="HV266" s="200"/>
      <c r="HW266" s="200"/>
      <c r="HX266" s="200"/>
      <c r="HY266" s="200"/>
      <c r="HZ266" s="200"/>
      <c r="IA266" s="200"/>
      <c r="IB266" s="200"/>
      <c r="IC266" s="200"/>
      <c r="ID266" s="200"/>
      <c r="IE266" s="200"/>
      <c r="IF266" s="200"/>
      <c r="IG266" s="200"/>
      <c r="IH266" s="200"/>
      <c r="II266" s="200"/>
      <c r="IJ266" s="200"/>
      <c r="IK266" s="200"/>
      <c r="IL266" s="200"/>
      <c r="IM266" s="200"/>
      <c r="IN266" s="200"/>
      <c r="IO266" s="200"/>
      <c r="IP266" s="200"/>
      <c r="IQ266" s="200"/>
      <c r="IR266" s="200"/>
      <c r="IS266" s="200"/>
      <c r="IT266" s="200"/>
      <c r="IU266" s="201"/>
      <c r="IV266" s="201"/>
    </row>
    <row r="267" s="10" customFormat="1" ht="15.95" customHeight="1" spans="1:256">
      <c r="A267" s="199">
        <v>47</v>
      </c>
      <c r="B267" s="20" t="s">
        <v>2247</v>
      </c>
      <c r="C267" s="199" t="s">
        <v>2251</v>
      </c>
      <c r="D267" s="199">
        <v>6047</v>
      </c>
      <c r="E267" s="199">
        <f>'05版台时'!Y428</f>
        <v>0.89970482648584</v>
      </c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  <c r="AA267" s="200"/>
      <c r="AB267" s="200"/>
      <c r="AC267" s="200"/>
      <c r="AD267" s="200"/>
      <c r="AE267" s="200"/>
      <c r="AF267" s="200"/>
      <c r="AG267" s="200"/>
      <c r="AH267" s="200"/>
      <c r="AI267" s="200"/>
      <c r="AJ267" s="200"/>
      <c r="AK267" s="200"/>
      <c r="AL267" s="200"/>
      <c r="AM267" s="200"/>
      <c r="AN267" s="200"/>
      <c r="AO267" s="200"/>
      <c r="AP267" s="200"/>
      <c r="AQ267" s="200"/>
      <c r="AR267" s="200"/>
      <c r="AS267" s="200"/>
      <c r="AT267" s="200"/>
      <c r="AU267" s="200"/>
      <c r="AV267" s="200"/>
      <c r="AW267" s="200"/>
      <c r="AX267" s="200"/>
      <c r="AY267" s="200"/>
      <c r="AZ267" s="200"/>
      <c r="BA267" s="200"/>
      <c r="BB267" s="200"/>
      <c r="BC267" s="200"/>
      <c r="BD267" s="200"/>
      <c r="BE267" s="200"/>
      <c r="BF267" s="200"/>
      <c r="BG267" s="200"/>
      <c r="BH267" s="200"/>
      <c r="BI267" s="200"/>
      <c r="BJ267" s="200"/>
      <c r="BK267" s="200"/>
      <c r="BL267" s="200"/>
      <c r="BM267" s="200"/>
      <c r="BN267" s="200"/>
      <c r="BO267" s="200"/>
      <c r="BP267" s="200"/>
      <c r="BQ267" s="200"/>
      <c r="BR267" s="200"/>
      <c r="BS267" s="200"/>
      <c r="BT267" s="200"/>
      <c r="BU267" s="200"/>
      <c r="BV267" s="200"/>
      <c r="BW267" s="200"/>
      <c r="BX267" s="200"/>
      <c r="BY267" s="200"/>
      <c r="BZ267" s="200"/>
      <c r="CA267" s="200"/>
      <c r="CB267" s="200"/>
      <c r="CC267" s="200"/>
      <c r="CD267" s="200"/>
      <c r="CE267" s="200"/>
      <c r="CF267" s="200"/>
      <c r="CG267" s="200"/>
      <c r="CH267" s="200"/>
      <c r="CI267" s="200"/>
      <c r="CJ267" s="200"/>
      <c r="CK267" s="200"/>
      <c r="CL267" s="200"/>
      <c r="CM267" s="200"/>
      <c r="CN267" s="200"/>
      <c r="CO267" s="200"/>
      <c r="CP267" s="200"/>
      <c r="CQ267" s="200"/>
      <c r="CR267" s="200"/>
      <c r="CS267" s="200"/>
      <c r="CT267" s="200"/>
      <c r="CU267" s="200"/>
      <c r="CV267" s="200"/>
      <c r="CW267" s="200"/>
      <c r="CX267" s="200"/>
      <c r="CY267" s="200"/>
      <c r="CZ267" s="200"/>
      <c r="DA267" s="200"/>
      <c r="DB267" s="200"/>
      <c r="DC267" s="200"/>
      <c r="DD267" s="200"/>
      <c r="DE267" s="200"/>
      <c r="DF267" s="200"/>
      <c r="DG267" s="200"/>
      <c r="DH267" s="200"/>
      <c r="DI267" s="200"/>
      <c r="DJ267" s="200"/>
      <c r="DK267" s="200"/>
      <c r="DL267" s="200"/>
      <c r="DM267" s="200"/>
      <c r="DN267" s="200"/>
      <c r="DO267" s="200"/>
      <c r="DP267" s="200"/>
      <c r="DQ267" s="200"/>
      <c r="DR267" s="200"/>
      <c r="DS267" s="200"/>
      <c r="DT267" s="200"/>
      <c r="DU267" s="200"/>
      <c r="DV267" s="200"/>
      <c r="DW267" s="200"/>
      <c r="DX267" s="200"/>
      <c r="DY267" s="200"/>
      <c r="DZ267" s="200"/>
      <c r="EA267" s="200"/>
      <c r="EB267" s="200"/>
      <c r="EC267" s="200"/>
      <c r="ED267" s="200"/>
      <c r="EE267" s="200"/>
      <c r="EF267" s="200"/>
      <c r="EG267" s="200"/>
      <c r="EH267" s="200"/>
      <c r="EI267" s="200"/>
      <c r="EJ267" s="200"/>
      <c r="EK267" s="200"/>
      <c r="EL267" s="200"/>
      <c r="EM267" s="200"/>
      <c r="EN267" s="200"/>
      <c r="EO267" s="200"/>
      <c r="EP267" s="200"/>
      <c r="EQ267" s="200"/>
      <c r="ER267" s="200"/>
      <c r="ES267" s="200"/>
      <c r="ET267" s="200"/>
      <c r="EU267" s="200"/>
      <c r="EV267" s="200"/>
      <c r="EW267" s="200"/>
      <c r="EX267" s="200"/>
      <c r="EY267" s="200"/>
      <c r="EZ267" s="200"/>
      <c r="FA267" s="200"/>
      <c r="FB267" s="200"/>
      <c r="FC267" s="200"/>
      <c r="FD267" s="200"/>
      <c r="FE267" s="200"/>
      <c r="FF267" s="200"/>
      <c r="FG267" s="200"/>
      <c r="FH267" s="200"/>
      <c r="FI267" s="200"/>
      <c r="FJ267" s="200"/>
      <c r="FK267" s="200"/>
      <c r="FL267" s="200"/>
      <c r="FM267" s="200"/>
      <c r="FN267" s="200"/>
      <c r="FO267" s="200"/>
      <c r="FP267" s="200"/>
      <c r="FQ267" s="200"/>
      <c r="FR267" s="200"/>
      <c r="FS267" s="200"/>
      <c r="FT267" s="200"/>
      <c r="FU267" s="200"/>
      <c r="FV267" s="200"/>
      <c r="FW267" s="200"/>
      <c r="FX267" s="200"/>
      <c r="FY267" s="200"/>
      <c r="FZ267" s="200"/>
      <c r="GA267" s="200"/>
      <c r="GB267" s="200"/>
      <c r="GC267" s="200"/>
      <c r="GD267" s="200"/>
      <c r="GE267" s="200"/>
      <c r="GF267" s="200"/>
      <c r="GG267" s="200"/>
      <c r="GH267" s="200"/>
      <c r="GI267" s="200"/>
      <c r="GJ267" s="200"/>
      <c r="GK267" s="200"/>
      <c r="GL267" s="200"/>
      <c r="GM267" s="200"/>
      <c r="GN267" s="200"/>
      <c r="GO267" s="200"/>
      <c r="GP267" s="200"/>
      <c r="GQ267" s="200"/>
      <c r="GR267" s="200"/>
      <c r="GS267" s="200"/>
      <c r="GT267" s="200"/>
      <c r="GU267" s="200"/>
      <c r="GV267" s="200"/>
      <c r="GW267" s="200"/>
      <c r="GX267" s="200"/>
      <c r="GY267" s="200"/>
      <c r="GZ267" s="200"/>
      <c r="HA267" s="200"/>
      <c r="HB267" s="200"/>
      <c r="HC267" s="200"/>
      <c r="HD267" s="200"/>
      <c r="HE267" s="200"/>
      <c r="HF267" s="200"/>
      <c r="HG267" s="200"/>
      <c r="HH267" s="200"/>
      <c r="HI267" s="200"/>
      <c r="HJ267" s="200"/>
      <c r="HK267" s="200"/>
      <c r="HL267" s="200"/>
      <c r="HM267" s="200"/>
      <c r="HN267" s="200"/>
      <c r="HO267" s="200"/>
      <c r="HP267" s="200"/>
      <c r="HQ267" s="200"/>
      <c r="HR267" s="200"/>
      <c r="HS267" s="200"/>
      <c r="HT267" s="200"/>
      <c r="HU267" s="200"/>
      <c r="HV267" s="200"/>
      <c r="HW267" s="200"/>
      <c r="HX267" s="200"/>
      <c r="HY267" s="200"/>
      <c r="HZ267" s="200"/>
      <c r="IA267" s="200"/>
      <c r="IB267" s="200"/>
      <c r="IC267" s="200"/>
      <c r="ID267" s="200"/>
      <c r="IE267" s="200"/>
      <c r="IF267" s="200"/>
      <c r="IG267" s="200"/>
      <c r="IH267" s="200"/>
      <c r="II267" s="200"/>
      <c r="IJ267" s="200"/>
      <c r="IK267" s="200"/>
      <c r="IL267" s="200"/>
      <c r="IM267" s="200"/>
      <c r="IN267" s="200"/>
      <c r="IO267" s="200"/>
      <c r="IP267" s="200"/>
      <c r="IQ267" s="200"/>
      <c r="IR267" s="200"/>
      <c r="IS267" s="200"/>
      <c r="IT267" s="200"/>
      <c r="IU267" s="201"/>
      <c r="IV267" s="201"/>
    </row>
    <row r="268" s="10" customFormat="1" ht="15.95" customHeight="1" spans="1:256">
      <c r="A268" s="199">
        <v>48</v>
      </c>
      <c r="B268" s="20" t="s">
        <v>2247</v>
      </c>
      <c r="C268" s="199" t="s">
        <v>2252</v>
      </c>
      <c r="D268" s="199">
        <v>6048</v>
      </c>
      <c r="E268" s="199">
        <f>'05版台时'!Z428</f>
        <v>0.90792181890706</v>
      </c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00"/>
      <c r="AD268" s="200"/>
      <c r="AE268" s="200"/>
      <c r="AF268" s="200"/>
      <c r="AG268" s="200"/>
      <c r="AH268" s="200"/>
      <c r="AI268" s="200"/>
      <c r="AJ268" s="200"/>
      <c r="AK268" s="200"/>
      <c r="AL268" s="200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200"/>
      <c r="BB268" s="200"/>
      <c r="BC268" s="200"/>
      <c r="BD268" s="200"/>
      <c r="BE268" s="200"/>
      <c r="BF268" s="200"/>
      <c r="BG268" s="200"/>
      <c r="BH268" s="200"/>
      <c r="BI268" s="200"/>
      <c r="BJ268" s="200"/>
      <c r="BK268" s="200"/>
      <c r="BL268" s="200"/>
      <c r="BM268" s="200"/>
      <c r="BN268" s="200"/>
      <c r="BO268" s="200"/>
      <c r="BP268" s="200"/>
      <c r="BQ268" s="200"/>
      <c r="BR268" s="200"/>
      <c r="BS268" s="200"/>
      <c r="BT268" s="200"/>
      <c r="BU268" s="200"/>
      <c r="BV268" s="200"/>
      <c r="BW268" s="200"/>
      <c r="BX268" s="200"/>
      <c r="BY268" s="200"/>
      <c r="BZ268" s="200"/>
      <c r="CA268" s="200"/>
      <c r="CB268" s="200"/>
      <c r="CC268" s="200"/>
      <c r="CD268" s="200"/>
      <c r="CE268" s="200"/>
      <c r="CF268" s="200"/>
      <c r="CG268" s="200"/>
      <c r="CH268" s="200"/>
      <c r="CI268" s="200"/>
      <c r="CJ268" s="200"/>
      <c r="CK268" s="200"/>
      <c r="CL268" s="200"/>
      <c r="CM268" s="200"/>
      <c r="CN268" s="200"/>
      <c r="CO268" s="200"/>
      <c r="CP268" s="200"/>
      <c r="CQ268" s="200"/>
      <c r="CR268" s="200"/>
      <c r="CS268" s="200"/>
      <c r="CT268" s="200"/>
      <c r="CU268" s="200"/>
      <c r="CV268" s="200"/>
      <c r="CW268" s="200"/>
      <c r="CX268" s="200"/>
      <c r="CY268" s="200"/>
      <c r="CZ268" s="200"/>
      <c r="DA268" s="200"/>
      <c r="DB268" s="200"/>
      <c r="DC268" s="200"/>
      <c r="DD268" s="200"/>
      <c r="DE268" s="200"/>
      <c r="DF268" s="200"/>
      <c r="DG268" s="200"/>
      <c r="DH268" s="200"/>
      <c r="DI268" s="200"/>
      <c r="DJ268" s="200"/>
      <c r="DK268" s="200"/>
      <c r="DL268" s="200"/>
      <c r="DM268" s="200"/>
      <c r="DN268" s="200"/>
      <c r="DO268" s="200"/>
      <c r="DP268" s="200"/>
      <c r="DQ268" s="200"/>
      <c r="DR268" s="200"/>
      <c r="DS268" s="200"/>
      <c r="DT268" s="200"/>
      <c r="DU268" s="200"/>
      <c r="DV268" s="200"/>
      <c r="DW268" s="200"/>
      <c r="DX268" s="200"/>
      <c r="DY268" s="200"/>
      <c r="DZ268" s="200"/>
      <c r="EA268" s="200"/>
      <c r="EB268" s="200"/>
      <c r="EC268" s="200"/>
      <c r="ED268" s="200"/>
      <c r="EE268" s="200"/>
      <c r="EF268" s="200"/>
      <c r="EG268" s="200"/>
      <c r="EH268" s="200"/>
      <c r="EI268" s="200"/>
      <c r="EJ268" s="200"/>
      <c r="EK268" s="200"/>
      <c r="EL268" s="200"/>
      <c r="EM268" s="200"/>
      <c r="EN268" s="200"/>
      <c r="EO268" s="200"/>
      <c r="EP268" s="200"/>
      <c r="EQ268" s="200"/>
      <c r="ER268" s="200"/>
      <c r="ES268" s="200"/>
      <c r="ET268" s="200"/>
      <c r="EU268" s="200"/>
      <c r="EV268" s="200"/>
      <c r="EW268" s="200"/>
      <c r="EX268" s="200"/>
      <c r="EY268" s="200"/>
      <c r="EZ268" s="200"/>
      <c r="FA268" s="200"/>
      <c r="FB268" s="200"/>
      <c r="FC268" s="200"/>
      <c r="FD268" s="200"/>
      <c r="FE268" s="200"/>
      <c r="FF268" s="200"/>
      <c r="FG268" s="200"/>
      <c r="FH268" s="200"/>
      <c r="FI268" s="200"/>
      <c r="FJ268" s="200"/>
      <c r="FK268" s="200"/>
      <c r="FL268" s="200"/>
      <c r="FM268" s="200"/>
      <c r="FN268" s="200"/>
      <c r="FO268" s="200"/>
      <c r="FP268" s="200"/>
      <c r="FQ268" s="200"/>
      <c r="FR268" s="200"/>
      <c r="FS268" s="200"/>
      <c r="FT268" s="200"/>
      <c r="FU268" s="200"/>
      <c r="FV268" s="200"/>
      <c r="FW268" s="200"/>
      <c r="FX268" s="200"/>
      <c r="FY268" s="200"/>
      <c r="FZ268" s="200"/>
      <c r="GA268" s="200"/>
      <c r="GB268" s="200"/>
      <c r="GC268" s="200"/>
      <c r="GD268" s="200"/>
      <c r="GE268" s="200"/>
      <c r="GF268" s="200"/>
      <c r="GG268" s="200"/>
      <c r="GH268" s="200"/>
      <c r="GI268" s="200"/>
      <c r="GJ268" s="200"/>
      <c r="GK268" s="200"/>
      <c r="GL268" s="200"/>
      <c r="GM268" s="200"/>
      <c r="GN268" s="200"/>
      <c r="GO268" s="200"/>
      <c r="GP268" s="200"/>
      <c r="GQ268" s="200"/>
      <c r="GR268" s="200"/>
      <c r="GS268" s="200"/>
      <c r="GT268" s="200"/>
      <c r="GU268" s="200"/>
      <c r="GV268" s="200"/>
      <c r="GW268" s="200"/>
      <c r="GX268" s="200"/>
      <c r="GY268" s="200"/>
      <c r="GZ268" s="200"/>
      <c r="HA268" s="200"/>
      <c r="HB268" s="200"/>
      <c r="HC268" s="200"/>
      <c r="HD268" s="200"/>
      <c r="HE268" s="200"/>
      <c r="HF268" s="200"/>
      <c r="HG268" s="200"/>
      <c r="HH268" s="200"/>
      <c r="HI268" s="200"/>
      <c r="HJ268" s="200"/>
      <c r="HK268" s="200"/>
      <c r="HL268" s="200"/>
      <c r="HM268" s="200"/>
      <c r="HN268" s="200"/>
      <c r="HO268" s="200"/>
      <c r="HP268" s="200"/>
      <c r="HQ268" s="200"/>
      <c r="HR268" s="200"/>
      <c r="HS268" s="200"/>
      <c r="HT268" s="200"/>
      <c r="HU268" s="200"/>
      <c r="HV268" s="200"/>
      <c r="HW268" s="200"/>
      <c r="HX268" s="200"/>
      <c r="HY268" s="200"/>
      <c r="HZ268" s="200"/>
      <c r="IA268" s="200"/>
      <c r="IB268" s="200"/>
      <c r="IC268" s="200"/>
      <c r="ID268" s="200"/>
      <c r="IE268" s="200"/>
      <c r="IF268" s="200"/>
      <c r="IG268" s="200"/>
      <c r="IH268" s="200"/>
      <c r="II268" s="200"/>
      <c r="IJ268" s="200"/>
      <c r="IK268" s="200"/>
      <c r="IL268" s="200"/>
      <c r="IM268" s="200"/>
      <c r="IN268" s="200"/>
      <c r="IO268" s="200"/>
      <c r="IP268" s="200"/>
      <c r="IQ268" s="200"/>
      <c r="IR268" s="200"/>
      <c r="IS268" s="200"/>
      <c r="IT268" s="200"/>
      <c r="IU268" s="201"/>
      <c r="IV268" s="201"/>
    </row>
    <row r="269" s="10" customFormat="1" ht="15.95" customHeight="1" spans="1:256">
      <c r="A269" s="199">
        <v>49</v>
      </c>
      <c r="B269" s="20" t="s">
        <v>2247</v>
      </c>
      <c r="C269" s="199" t="s">
        <v>2253</v>
      </c>
      <c r="D269" s="199">
        <v>6049</v>
      </c>
      <c r="E269" s="199">
        <f>'05版台时'!AA428</f>
        <v>1.19309932189868</v>
      </c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  <c r="AA269" s="200"/>
      <c r="AB269" s="200"/>
      <c r="AC269" s="200"/>
      <c r="AD269" s="200"/>
      <c r="AE269" s="200"/>
      <c r="AF269" s="200"/>
      <c r="AG269" s="200"/>
      <c r="AH269" s="200"/>
      <c r="AI269" s="200"/>
      <c r="AJ269" s="200"/>
      <c r="AK269" s="200"/>
      <c r="AL269" s="200"/>
      <c r="AM269" s="200"/>
      <c r="AN269" s="200"/>
      <c r="AO269" s="200"/>
      <c r="AP269" s="200"/>
      <c r="AQ269" s="200"/>
      <c r="AR269" s="200"/>
      <c r="AS269" s="200"/>
      <c r="AT269" s="200"/>
      <c r="AU269" s="200"/>
      <c r="AV269" s="200"/>
      <c r="AW269" s="200"/>
      <c r="AX269" s="200"/>
      <c r="AY269" s="200"/>
      <c r="AZ269" s="200"/>
      <c r="BA269" s="200"/>
      <c r="BB269" s="200"/>
      <c r="BC269" s="200"/>
      <c r="BD269" s="200"/>
      <c r="BE269" s="200"/>
      <c r="BF269" s="200"/>
      <c r="BG269" s="200"/>
      <c r="BH269" s="200"/>
      <c r="BI269" s="200"/>
      <c r="BJ269" s="200"/>
      <c r="BK269" s="200"/>
      <c r="BL269" s="200"/>
      <c r="BM269" s="200"/>
      <c r="BN269" s="200"/>
      <c r="BO269" s="200"/>
      <c r="BP269" s="200"/>
      <c r="BQ269" s="200"/>
      <c r="BR269" s="200"/>
      <c r="BS269" s="200"/>
      <c r="BT269" s="200"/>
      <c r="BU269" s="200"/>
      <c r="BV269" s="200"/>
      <c r="BW269" s="200"/>
      <c r="BX269" s="200"/>
      <c r="BY269" s="200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200"/>
      <c r="CM269" s="200"/>
      <c r="CN269" s="200"/>
      <c r="CO269" s="200"/>
      <c r="CP269" s="200"/>
      <c r="CQ269" s="200"/>
      <c r="CR269" s="200"/>
      <c r="CS269" s="200"/>
      <c r="CT269" s="200"/>
      <c r="CU269" s="200"/>
      <c r="CV269" s="200"/>
      <c r="CW269" s="200"/>
      <c r="CX269" s="200"/>
      <c r="CY269" s="200"/>
      <c r="CZ269" s="200"/>
      <c r="DA269" s="200"/>
      <c r="DB269" s="200"/>
      <c r="DC269" s="200"/>
      <c r="DD269" s="200"/>
      <c r="DE269" s="200"/>
      <c r="DF269" s="200"/>
      <c r="DG269" s="200"/>
      <c r="DH269" s="200"/>
      <c r="DI269" s="200"/>
      <c r="DJ269" s="200"/>
      <c r="DK269" s="200"/>
      <c r="DL269" s="200"/>
      <c r="DM269" s="200"/>
      <c r="DN269" s="200"/>
      <c r="DO269" s="200"/>
      <c r="DP269" s="200"/>
      <c r="DQ269" s="200"/>
      <c r="DR269" s="200"/>
      <c r="DS269" s="200"/>
      <c r="DT269" s="200"/>
      <c r="DU269" s="200"/>
      <c r="DV269" s="200"/>
      <c r="DW269" s="200"/>
      <c r="DX269" s="200"/>
      <c r="DY269" s="200"/>
      <c r="DZ269" s="200"/>
      <c r="EA269" s="200"/>
      <c r="EB269" s="200"/>
      <c r="EC269" s="200"/>
      <c r="ED269" s="200"/>
      <c r="EE269" s="200"/>
      <c r="EF269" s="200"/>
      <c r="EG269" s="200"/>
      <c r="EH269" s="200"/>
      <c r="EI269" s="200"/>
      <c r="EJ269" s="200"/>
      <c r="EK269" s="200"/>
      <c r="EL269" s="200"/>
      <c r="EM269" s="200"/>
      <c r="EN269" s="200"/>
      <c r="EO269" s="200"/>
      <c r="EP269" s="200"/>
      <c r="EQ269" s="200"/>
      <c r="ER269" s="200"/>
      <c r="ES269" s="200"/>
      <c r="ET269" s="200"/>
      <c r="EU269" s="200"/>
      <c r="EV269" s="200"/>
      <c r="EW269" s="200"/>
      <c r="EX269" s="200"/>
      <c r="EY269" s="200"/>
      <c r="EZ269" s="200"/>
      <c r="FA269" s="200"/>
      <c r="FB269" s="200"/>
      <c r="FC269" s="200"/>
      <c r="FD269" s="200"/>
      <c r="FE269" s="200"/>
      <c r="FF269" s="200"/>
      <c r="FG269" s="200"/>
      <c r="FH269" s="200"/>
      <c r="FI269" s="200"/>
      <c r="FJ269" s="200"/>
      <c r="FK269" s="200"/>
      <c r="FL269" s="200"/>
      <c r="FM269" s="200"/>
      <c r="FN269" s="200"/>
      <c r="FO269" s="200"/>
      <c r="FP269" s="200"/>
      <c r="FQ269" s="200"/>
      <c r="FR269" s="200"/>
      <c r="FS269" s="200"/>
      <c r="FT269" s="200"/>
      <c r="FU269" s="200"/>
      <c r="FV269" s="200"/>
      <c r="FW269" s="200"/>
      <c r="FX269" s="200"/>
      <c r="FY269" s="200"/>
      <c r="FZ269" s="200"/>
      <c r="GA269" s="200"/>
      <c r="GB269" s="200"/>
      <c r="GC269" s="200"/>
      <c r="GD269" s="200"/>
      <c r="GE269" s="200"/>
      <c r="GF269" s="200"/>
      <c r="GG269" s="200"/>
      <c r="GH269" s="200"/>
      <c r="GI269" s="200"/>
      <c r="GJ269" s="200"/>
      <c r="GK269" s="200"/>
      <c r="GL269" s="200"/>
      <c r="GM269" s="200"/>
      <c r="GN269" s="200"/>
      <c r="GO269" s="200"/>
      <c r="GP269" s="200"/>
      <c r="GQ269" s="200"/>
      <c r="GR269" s="200"/>
      <c r="GS269" s="200"/>
      <c r="GT269" s="200"/>
      <c r="GU269" s="200"/>
      <c r="GV269" s="200"/>
      <c r="GW269" s="200"/>
      <c r="GX269" s="200"/>
      <c r="GY269" s="200"/>
      <c r="GZ269" s="200"/>
      <c r="HA269" s="200"/>
      <c r="HB269" s="200"/>
      <c r="HC269" s="200"/>
      <c r="HD269" s="200"/>
      <c r="HE269" s="200"/>
      <c r="HF269" s="200"/>
      <c r="HG269" s="200"/>
      <c r="HH269" s="200"/>
      <c r="HI269" s="200"/>
      <c r="HJ269" s="200"/>
      <c r="HK269" s="200"/>
      <c r="HL269" s="200"/>
      <c r="HM269" s="200"/>
      <c r="HN269" s="200"/>
      <c r="HO269" s="200"/>
      <c r="HP269" s="200"/>
      <c r="HQ269" s="200"/>
      <c r="HR269" s="200"/>
      <c r="HS269" s="200"/>
      <c r="HT269" s="200"/>
      <c r="HU269" s="200"/>
      <c r="HV269" s="200"/>
      <c r="HW269" s="200"/>
      <c r="HX269" s="200"/>
      <c r="HY269" s="200"/>
      <c r="HZ269" s="200"/>
      <c r="IA269" s="200"/>
      <c r="IB269" s="200"/>
      <c r="IC269" s="200"/>
      <c r="ID269" s="200"/>
      <c r="IE269" s="200"/>
      <c r="IF269" s="200"/>
      <c r="IG269" s="200"/>
      <c r="IH269" s="200"/>
      <c r="II269" s="200"/>
      <c r="IJ269" s="200"/>
      <c r="IK269" s="200"/>
      <c r="IL269" s="200"/>
      <c r="IM269" s="200"/>
      <c r="IN269" s="200"/>
      <c r="IO269" s="200"/>
      <c r="IP269" s="200"/>
      <c r="IQ269" s="200"/>
      <c r="IR269" s="200"/>
      <c r="IS269" s="200"/>
      <c r="IT269" s="200"/>
      <c r="IU269" s="201"/>
      <c r="IV269" s="201"/>
    </row>
    <row r="270" s="10" customFormat="1" ht="15.95" customHeight="1" spans="1:256">
      <c r="A270" s="199">
        <v>50</v>
      </c>
      <c r="B270" s="20" t="s">
        <v>2254</v>
      </c>
      <c r="C270" s="199" t="s">
        <v>2255</v>
      </c>
      <c r="D270" s="199">
        <v>6050</v>
      </c>
      <c r="E270" s="199">
        <f>'05版台时'!D461</f>
        <v>0.376306342241723</v>
      </c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  <c r="AA270" s="200"/>
      <c r="AB270" s="200"/>
      <c r="AC270" s="200"/>
      <c r="AD270" s="200"/>
      <c r="AE270" s="200"/>
      <c r="AF270" s="200"/>
      <c r="AG270" s="200"/>
      <c r="AH270" s="200"/>
      <c r="AI270" s="200"/>
      <c r="AJ270" s="200"/>
      <c r="AK270" s="200"/>
      <c r="AL270" s="200"/>
      <c r="AM270" s="200"/>
      <c r="AN270" s="200"/>
      <c r="AO270" s="200"/>
      <c r="AP270" s="200"/>
      <c r="AQ270" s="200"/>
      <c r="AR270" s="200"/>
      <c r="AS270" s="200"/>
      <c r="AT270" s="200"/>
      <c r="AU270" s="200"/>
      <c r="AV270" s="200"/>
      <c r="AW270" s="200"/>
      <c r="AX270" s="200"/>
      <c r="AY270" s="200"/>
      <c r="AZ270" s="200"/>
      <c r="BA270" s="200"/>
      <c r="BB270" s="200"/>
      <c r="BC270" s="200"/>
      <c r="BD270" s="200"/>
      <c r="BE270" s="200"/>
      <c r="BF270" s="200"/>
      <c r="BG270" s="200"/>
      <c r="BH270" s="200"/>
      <c r="BI270" s="200"/>
      <c r="BJ270" s="200"/>
      <c r="BK270" s="200"/>
      <c r="BL270" s="200"/>
      <c r="BM270" s="200"/>
      <c r="BN270" s="200"/>
      <c r="BO270" s="200"/>
      <c r="BP270" s="200"/>
      <c r="BQ270" s="200"/>
      <c r="BR270" s="200"/>
      <c r="BS270" s="200"/>
      <c r="BT270" s="200"/>
      <c r="BU270" s="200"/>
      <c r="BV270" s="200"/>
      <c r="BW270" s="200"/>
      <c r="BX270" s="200"/>
      <c r="BY270" s="200"/>
      <c r="BZ270" s="200"/>
      <c r="CA270" s="200"/>
      <c r="CB270" s="200"/>
      <c r="CC270" s="200"/>
      <c r="CD270" s="200"/>
      <c r="CE270" s="200"/>
      <c r="CF270" s="200"/>
      <c r="CG270" s="200"/>
      <c r="CH270" s="200"/>
      <c r="CI270" s="200"/>
      <c r="CJ270" s="200"/>
      <c r="CK270" s="200"/>
      <c r="CL270" s="200"/>
      <c r="CM270" s="200"/>
      <c r="CN270" s="200"/>
      <c r="CO270" s="200"/>
      <c r="CP270" s="200"/>
      <c r="CQ270" s="200"/>
      <c r="CR270" s="200"/>
      <c r="CS270" s="200"/>
      <c r="CT270" s="200"/>
      <c r="CU270" s="200"/>
      <c r="CV270" s="200"/>
      <c r="CW270" s="200"/>
      <c r="CX270" s="200"/>
      <c r="CY270" s="200"/>
      <c r="CZ270" s="200"/>
      <c r="DA270" s="200"/>
      <c r="DB270" s="200"/>
      <c r="DC270" s="200"/>
      <c r="DD270" s="200"/>
      <c r="DE270" s="200"/>
      <c r="DF270" s="200"/>
      <c r="DG270" s="200"/>
      <c r="DH270" s="200"/>
      <c r="DI270" s="200"/>
      <c r="DJ270" s="200"/>
      <c r="DK270" s="200"/>
      <c r="DL270" s="200"/>
      <c r="DM270" s="200"/>
      <c r="DN270" s="200"/>
      <c r="DO270" s="200"/>
      <c r="DP270" s="200"/>
      <c r="DQ270" s="200"/>
      <c r="DR270" s="200"/>
      <c r="DS270" s="200"/>
      <c r="DT270" s="200"/>
      <c r="DU270" s="200"/>
      <c r="DV270" s="200"/>
      <c r="DW270" s="200"/>
      <c r="DX270" s="200"/>
      <c r="DY270" s="200"/>
      <c r="DZ270" s="200"/>
      <c r="EA270" s="200"/>
      <c r="EB270" s="200"/>
      <c r="EC270" s="200"/>
      <c r="ED270" s="200"/>
      <c r="EE270" s="200"/>
      <c r="EF270" s="200"/>
      <c r="EG270" s="200"/>
      <c r="EH270" s="200"/>
      <c r="EI270" s="200"/>
      <c r="EJ270" s="200"/>
      <c r="EK270" s="200"/>
      <c r="EL270" s="200"/>
      <c r="EM270" s="200"/>
      <c r="EN270" s="200"/>
      <c r="EO270" s="200"/>
      <c r="EP270" s="200"/>
      <c r="EQ270" s="200"/>
      <c r="ER270" s="200"/>
      <c r="ES270" s="200"/>
      <c r="ET270" s="200"/>
      <c r="EU270" s="200"/>
      <c r="EV270" s="200"/>
      <c r="EW270" s="200"/>
      <c r="EX270" s="200"/>
      <c r="EY270" s="200"/>
      <c r="EZ270" s="200"/>
      <c r="FA270" s="200"/>
      <c r="FB270" s="200"/>
      <c r="FC270" s="200"/>
      <c r="FD270" s="200"/>
      <c r="FE270" s="200"/>
      <c r="FF270" s="200"/>
      <c r="FG270" s="200"/>
      <c r="FH270" s="200"/>
      <c r="FI270" s="200"/>
      <c r="FJ270" s="200"/>
      <c r="FK270" s="200"/>
      <c r="FL270" s="200"/>
      <c r="FM270" s="200"/>
      <c r="FN270" s="200"/>
      <c r="FO270" s="200"/>
      <c r="FP270" s="200"/>
      <c r="FQ270" s="200"/>
      <c r="FR270" s="200"/>
      <c r="FS270" s="200"/>
      <c r="FT270" s="200"/>
      <c r="FU270" s="200"/>
      <c r="FV270" s="200"/>
      <c r="FW270" s="200"/>
      <c r="FX270" s="200"/>
      <c r="FY270" s="200"/>
      <c r="FZ270" s="200"/>
      <c r="GA270" s="200"/>
      <c r="GB270" s="200"/>
      <c r="GC270" s="200"/>
      <c r="GD270" s="200"/>
      <c r="GE270" s="200"/>
      <c r="GF270" s="200"/>
      <c r="GG270" s="200"/>
      <c r="GH270" s="200"/>
      <c r="GI270" s="200"/>
      <c r="GJ270" s="200"/>
      <c r="GK270" s="200"/>
      <c r="GL270" s="200"/>
      <c r="GM270" s="200"/>
      <c r="GN270" s="200"/>
      <c r="GO270" s="200"/>
      <c r="GP270" s="200"/>
      <c r="GQ270" s="200"/>
      <c r="GR270" s="200"/>
      <c r="GS270" s="200"/>
      <c r="GT270" s="200"/>
      <c r="GU270" s="200"/>
      <c r="GV270" s="200"/>
      <c r="GW270" s="200"/>
      <c r="GX270" s="200"/>
      <c r="GY270" s="200"/>
      <c r="GZ270" s="200"/>
      <c r="HA270" s="200"/>
      <c r="HB270" s="200"/>
      <c r="HC270" s="200"/>
      <c r="HD270" s="200"/>
      <c r="HE270" s="200"/>
      <c r="HF270" s="200"/>
      <c r="HG270" s="200"/>
      <c r="HH270" s="200"/>
      <c r="HI270" s="200"/>
      <c r="HJ270" s="200"/>
      <c r="HK270" s="200"/>
      <c r="HL270" s="200"/>
      <c r="HM270" s="200"/>
      <c r="HN270" s="200"/>
      <c r="HO270" s="200"/>
      <c r="HP270" s="200"/>
      <c r="HQ270" s="200"/>
      <c r="HR270" s="200"/>
      <c r="HS270" s="200"/>
      <c r="HT270" s="200"/>
      <c r="HU270" s="200"/>
      <c r="HV270" s="200"/>
      <c r="HW270" s="200"/>
      <c r="HX270" s="200"/>
      <c r="HY270" s="200"/>
      <c r="HZ270" s="200"/>
      <c r="IA270" s="200"/>
      <c r="IB270" s="200"/>
      <c r="IC270" s="200"/>
      <c r="ID270" s="200"/>
      <c r="IE270" s="200"/>
      <c r="IF270" s="200"/>
      <c r="IG270" s="200"/>
      <c r="IH270" s="200"/>
      <c r="II270" s="200"/>
      <c r="IJ270" s="200"/>
      <c r="IK270" s="200"/>
      <c r="IL270" s="200"/>
      <c r="IM270" s="200"/>
      <c r="IN270" s="200"/>
      <c r="IO270" s="200"/>
      <c r="IP270" s="200"/>
      <c r="IQ270" s="200"/>
      <c r="IR270" s="200"/>
      <c r="IS270" s="200"/>
      <c r="IT270" s="200"/>
      <c r="IU270" s="201"/>
      <c r="IV270" s="201"/>
    </row>
    <row r="271" s="10" customFormat="1" ht="15.95" customHeight="1" spans="1:256">
      <c r="A271" s="199">
        <v>51</v>
      </c>
      <c r="B271" s="20" t="s">
        <v>2254</v>
      </c>
      <c r="C271" s="199" t="s">
        <v>2256</v>
      </c>
      <c r="D271" s="199">
        <v>6051</v>
      </c>
      <c r="E271" s="199">
        <f>'05版台时'!E461</f>
        <v>0.481611487834065</v>
      </c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  <c r="AA271" s="200"/>
      <c r="AB271" s="200"/>
      <c r="AC271" s="200"/>
      <c r="AD271" s="200"/>
      <c r="AE271" s="200"/>
      <c r="AF271" s="200"/>
      <c r="AG271" s="200"/>
      <c r="AH271" s="200"/>
      <c r="AI271" s="200"/>
      <c r="AJ271" s="200"/>
      <c r="AK271" s="200"/>
      <c r="AL271" s="200"/>
      <c r="AM271" s="200"/>
      <c r="AN271" s="200"/>
      <c r="AO271" s="200"/>
      <c r="AP271" s="200"/>
      <c r="AQ271" s="200"/>
      <c r="AR271" s="200"/>
      <c r="AS271" s="200"/>
      <c r="AT271" s="200"/>
      <c r="AU271" s="200"/>
      <c r="AV271" s="200"/>
      <c r="AW271" s="200"/>
      <c r="AX271" s="200"/>
      <c r="AY271" s="200"/>
      <c r="AZ271" s="200"/>
      <c r="BA271" s="200"/>
      <c r="BB271" s="200"/>
      <c r="BC271" s="200"/>
      <c r="BD271" s="200"/>
      <c r="BE271" s="200"/>
      <c r="BF271" s="200"/>
      <c r="BG271" s="200"/>
      <c r="BH271" s="200"/>
      <c r="BI271" s="200"/>
      <c r="BJ271" s="200"/>
      <c r="BK271" s="200"/>
      <c r="BL271" s="200"/>
      <c r="BM271" s="200"/>
      <c r="BN271" s="200"/>
      <c r="BO271" s="200"/>
      <c r="BP271" s="200"/>
      <c r="BQ271" s="200"/>
      <c r="BR271" s="200"/>
      <c r="BS271" s="200"/>
      <c r="BT271" s="200"/>
      <c r="BU271" s="200"/>
      <c r="BV271" s="200"/>
      <c r="BW271" s="200"/>
      <c r="BX271" s="200"/>
      <c r="BY271" s="200"/>
      <c r="BZ271" s="200"/>
      <c r="CA271" s="200"/>
      <c r="CB271" s="200"/>
      <c r="CC271" s="200"/>
      <c r="CD271" s="200"/>
      <c r="CE271" s="200"/>
      <c r="CF271" s="200"/>
      <c r="CG271" s="200"/>
      <c r="CH271" s="200"/>
      <c r="CI271" s="200"/>
      <c r="CJ271" s="200"/>
      <c r="CK271" s="200"/>
      <c r="CL271" s="200"/>
      <c r="CM271" s="200"/>
      <c r="CN271" s="200"/>
      <c r="CO271" s="200"/>
      <c r="CP271" s="200"/>
      <c r="CQ271" s="200"/>
      <c r="CR271" s="200"/>
      <c r="CS271" s="200"/>
      <c r="CT271" s="200"/>
      <c r="CU271" s="200"/>
      <c r="CV271" s="200"/>
      <c r="CW271" s="200"/>
      <c r="CX271" s="200"/>
      <c r="CY271" s="200"/>
      <c r="CZ271" s="200"/>
      <c r="DA271" s="200"/>
      <c r="DB271" s="200"/>
      <c r="DC271" s="200"/>
      <c r="DD271" s="200"/>
      <c r="DE271" s="200"/>
      <c r="DF271" s="200"/>
      <c r="DG271" s="200"/>
      <c r="DH271" s="200"/>
      <c r="DI271" s="200"/>
      <c r="DJ271" s="200"/>
      <c r="DK271" s="200"/>
      <c r="DL271" s="200"/>
      <c r="DM271" s="200"/>
      <c r="DN271" s="200"/>
      <c r="DO271" s="200"/>
      <c r="DP271" s="200"/>
      <c r="DQ271" s="200"/>
      <c r="DR271" s="200"/>
      <c r="DS271" s="200"/>
      <c r="DT271" s="200"/>
      <c r="DU271" s="200"/>
      <c r="DV271" s="200"/>
      <c r="DW271" s="200"/>
      <c r="DX271" s="200"/>
      <c r="DY271" s="200"/>
      <c r="DZ271" s="200"/>
      <c r="EA271" s="200"/>
      <c r="EB271" s="200"/>
      <c r="EC271" s="200"/>
      <c r="ED271" s="200"/>
      <c r="EE271" s="200"/>
      <c r="EF271" s="200"/>
      <c r="EG271" s="200"/>
      <c r="EH271" s="200"/>
      <c r="EI271" s="200"/>
      <c r="EJ271" s="200"/>
      <c r="EK271" s="200"/>
      <c r="EL271" s="200"/>
      <c r="EM271" s="200"/>
      <c r="EN271" s="200"/>
      <c r="EO271" s="200"/>
      <c r="EP271" s="200"/>
      <c r="EQ271" s="200"/>
      <c r="ER271" s="200"/>
      <c r="ES271" s="200"/>
      <c r="ET271" s="200"/>
      <c r="EU271" s="200"/>
      <c r="EV271" s="200"/>
      <c r="EW271" s="200"/>
      <c r="EX271" s="200"/>
      <c r="EY271" s="200"/>
      <c r="EZ271" s="200"/>
      <c r="FA271" s="200"/>
      <c r="FB271" s="200"/>
      <c r="FC271" s="200"/>
      <c r="FD271" s="200"/>
      <c r="FE271" s="200"/>
      <c r="FF271" s="200"/>
      <c r="FG271" s="200"/>
      <c r="FH271" s="200"/>
      <c r="FI271" s="200"/>
      <c r="FJ271" s="200"/>
      <c r="FK271" s="200"/>
      <c r="FL271" s="200"/>
      <c r="FM271" s="200"/>
      <c r="FN271" s="200"/>
      <c r="FO271" s="200"/>
      <c r="FP271" s="200"/>
      <c r="FQ271" s="200"/>
      <c r="FR271" s="200"/>
      <c r="FS271" s="200"/>
      <c r="FT271" s="200"/>
      <c r="FU271" s="200"/>
      <c r="FV271" s="200"/>
      <c r="FW271" s="200"/>
      <c r="FX271" s="200"/>
      <c r="FY271" s="200"/>
      <c r="FZ271" s="200"/>
      <c r="GA271" s="200"/>
      <c r="GB271" s="200"/>
      <c r="GC271" s="200"/>
      <c r="GD271" s="200"/>
      <c r="GE271" s="200"/>
      <c r="GF271" s="200"/>
      <c r="GG271" s="200"/>
      <c r="GH271" s="200"/>
      <c r="GI271" s="200"/>
      <c r="GJ271" s="200"/>
      <c r="GK271" s="200"/>
      <c r="GL271" s="200"/>
      <c r="GM271" s="200"/>
      <c r="GN271" s="200"/>
      <c r="GO271" s="200"/>
      <c r="GP271" s="200"/>
      <c r="GQ271" s="200"/>
      <c r="GR271" s="200"/>
      <c r="GS271" s="200"/>
      <c r="GT271" s="200"/>
      <c r="GU271" s="200"/>
      <c r="GV271" s="200"/>
      <c r="GW271" s="200"/>
      <c r="GX271" s="200"/>
      <c r="GY271" s="200"/>
      <c r="GZ271" s="200"/>
      <c r="HA271" s="200"/>
      <c r="HB271" s="200"/>
      <c r="HC271" s="200"/>
      <c r="HD271" s="200"/>
      <c r="HE271" s="200"/>
      <c r="HF271" s="200"/>
      <c r="HG271" s="200"/>
      <c r="HH271" s="200"/>
      <c r="HI271" s="200"/>
      <c r="HJ271" s="200"/>
      <c r="HK271" s="200"/>
      <c r="HL271" s="200"/>
      <c r="HM271" s="200"/>
      <c r="HN271" s="200"/>
      <c r="HO271" s="200"/>
      <c r="HP271" s="200"/>
      <c r="HQ271" s="200"/>
      <c r="HR271" s="200"/>
      <c r="HS271" s="200"/>
      <c r="HT271" s="200"/>
      <c r="HU271" s="200"/>
      <c r="HV271" s="200"/>
      <c r="HW271" s="200"/>
      <c r="HX271" s="200"/>
      <c r="HY271" s="200"/>
      <c r="HZ271" s="200"/>
      <c r="IA271" s="200"/>
      <c r="IB271" s="200"/>
      <c r="IC271" s="200"/>
      <c r="ID271" s="200"/>
      <c r="IE271" s="200"/>
      <c r="IF271" s="200"/>
      <c r="IG271" s="200"/>
      <c r="IH271" s="200"/>
      <c r="II271" s="200"/>
      <c r="IJ271" s="200"/>
      <c r="IK271" s="200"/>
      <c r="IL271" s="200"/>
      <c r="IM271" s="200"/>
      <c r="IN271" s="200"/>
      <c r="IO271" s="200"/>
      <c r="IP271" s="200"/>
      <c r="IQ271" s="200"/>
      <c r="IR271" s="200"/>
      <c r="IS271" s="200"/>
      <c r="IT271" s="200"/>
      <c r="IU271" s="201"/>
      <c r="IV271" s="201"/>
    </row>
    <row r="272" s="10" customFormat="1" ht="15.95" customHeight="1" spans="1:256">
      <c r="A272" s="199">
        <v>52</v>
      </c>
      <c r="B272" s="20" t="s">
        <v>2254</v>
      </c>
      <c r="C272" s="199" t="s">
        <v>2257</v>
      </c>
      <c r="D272" s="199">
        <v>6052</v>
      </c>
      <c r="E272" s="199">
        <f>'05版台时'!F461</f>
        <v>0.428958915037894</v>
      </c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  <c r="AA272" s="200"/>
      <c r="AB272" s="200"/>
      <c r="AC272" s="200"/>
      <c r="AD272" s="200"/>
      <c r="AE272" s="200"/>
      <c r="AF272" s="200"/>
      <c r="AG272" s="200"/>
      <c r="AH272" s="200"/>
      <c r="AI272" s="200"/>
      <c r="AJ272" s="200"/>
      <c r="AK272" s="200"/>
      <c r="AL272" s="200"/>
      <c r="AM272" s="200"/>
      <c r="AN272" s="200"/>
      <c r="AO272" s="200"/>
      <c r="AP272" s="200"/>
      <c r="AQ272" s="200"/>
      <c r="AR272" s="200"/>
      <c r="AS272" s="200"/>
      <c r="AT272" s="200"/>
      <c r="AU272" s="200"/>
      <c r="AV272" s="200"/>
      <c r="AW272" s="200"/>
      <c r="AX272" s="200"/>
      <c r="AY272" s="200"/>
      <c r="AZ272" s="200"/>
      <c r="BA272" s="200"/>
      <c r="BB272" s="200"/>
      <c r="BC272" s="200"/>
      <c r="BD272" s="200"/>
      <c r="BE272" s="200"/>
      <c r="BF272" s="200"/>
      <c r="BG272" s="200"/>
      <c r="BH272" s="200"/>
      <c r="BI272" s="200"/>
      <c r="BJ272" s="200"/>
      <c r="BK272" s="200"/>
      <c r="BL272" s="200"/>
      <c r="BM272" s="200"/>
      <c r="BN272" s="200"/>
      <c r="BO272" s="200"/>
      <c r="BP272" s="200"/>
      <c r="BQ272" s="200"/>
      <c r="BR272" s="200"/>
      <c r="BS272" s="200"/>
      <c r="BT272" s="200"/>
      <c r="BU272" s="200"/>
      <c r="BV272" s="200"/>
      <c r="BW272" s="200"/>
      <c r="BX272" s="200"/>
      <c r="BY272" s="200"/>
      <c r="BZ272" s="200"/>
      <c r="CA272" s="200"/>
      <c r="CB272" s="200"/>
      <c r="CC272" s="200"/>
      <c r="CD272" s="200"/>
      <c r="CE272" s="200"/>
      <c r="CF272" s="200"/>
      <c r="CG272" s="200"/>
      <c r="CH272" s="200"/>
      <c r="CI272" s="200"/>
      <c r="CJ272" s="200"/>
      <c r="CK272" s="200"/>
      <c r="CL272" s="200"/>
      <c r="CM272" s="200"/>
      <c r="CN272" s="200"/>
      <c r="CO272" s="200"/>
      <c r="CP272" s="200"/>
      <c r="CQ272" s="200"/>
      <c r="CR272" s="200"/>
      <c r="CS272" s="200"/>
      <c r="CT272" s="200"/>
      <c r="CU272" s="200"/>
      <c r="CV272" s="200"/>
      <c r="CW272" s="200"/>
      <c r="CX272" s="200"/>
      <c r="CY272" s="200"/>
      <c r="CZ272" s="200"/>
      <c r="DA272" s="200"/>
      <c r="DB272" s="200"/>
      <c r="DC272" s="200"/>
      <c r="DD272" s="200"/>
      <c r="DE272" s="200"/>
      <c r="DF272" s="200"/>
      <c r="DG272" s="200"/>
      <c r="DH272" s="200"/>
      <c r="DI272" s="200"/>
      <c r="DJ272" s="200"/>
      <c r="DK272" s="200"/>
      <c r="DL272" s="200"/>
      <c r="DM272" s="200"/>
      <c r="DN272" s="200"/>
      <c r="DO272" s="200"/>
      <c r="DP272" s="200"/>
      <c r="DQ272" s="200"/>
      <c r="DR272" s="200"/>
      <c r="DS272" s="200"/>
      <c r="DT272" s="200"/>
      <c r="DU272" s="200"/>
      <c r="DV272" s="200"/>
      <c r="DW272" s="200"/>
      <c r="DX272" s="200"/>
      <c r="DY272" s="200"/>
      <c r="DZ272" s="200"/>
      <c r="EA272" s="200"/>
      <c r="EB272" s="200"/>
      <c r="EC272" s="200"/>
      <c r="ED272" s="200"/>
      <c r="EE272" s="200"/>
      <c r="EF272" s="200"/>
      <c r="EG272" s="200"/>
      <c r="EH272" s="200"/>
      <c r="EI272" s="200"/>
      <c r="EJ272" s="200"/>
      <c r="EK272" s="200"/>
      <c r="EL272" s="200"/>
      <c r="EM272" s="200"/>
      <c r="EN272" s="200"/>
      <c r="EO272" s="200"/>
      <c r="EP272" s="200"/>
      <c r="EQ272" s="200"/>
      <c r="ER272" s="200"/>
      <c r="ES272" s="200"/>
      <c r="ET272" s="200"/>
      <c r="EU272" s="200"/>
      <c r="EV272" s="200"/>
      <c r="EW272" s="200"/>
      <c r="EX272" s="200"/>
      <c r="EY272" s="200"/>
      <c r="EZ272" s="200"/>
      <c r="FA272" s="200"/>
      <c r="FB272" s="200"/>
      <c r="FC272" s="200"/>
      <c r="FD272" s="200"/>
      <c r="FE272" s="200"/>
      <c r="FF272" s="200"/>
      <c r="FG272" s="200"/>
      <c r="FH272" s="200"/>
      <c r="FI272" s="200"/>
      <c r="FJ272" s="200"/>
      <c r="FK272" s="200"/>
      <c r="FL272" s="200"/>
      <c r="FM272" s="200"/>
      <c r="FN272" s="200"/>
      <c r="FO272" s="200"/>
      <c r="FP272" s="200"/>
      <c r="FQ272" s="200"/>
      <c r="FR272" s="200"/>
      <c r="FS272" s="200"/>
      <c r="FT272" s="200"/>
      <c r="FU272" s="200"/>
      <c r="FV272" s="200"/>
      <c r="FW272" s="200"/>
      <c r="FX272" s="200"/>
      <c r="FY272" s="200"/>
      <c r="FZ272" s="200"/>
      <c r="GA272" s="200"/>
      <c r="GB272" s="200"/>
      <c r="GC272" s="200"/>
      <c r="GD272" s="200"/>
      <c r="GE272" s="200"/>
      <c r="GF272" s="200"/>
      <c r="GG272" s="200"/>
      <c r="GH272" s="200"/>
      <c r="GI272" s="200"/>
      <c r="GJ272" s="200"/>
      <c r="GK272" s="200"/>
      <c r="GL272" s="200"/>
      <c r="GM272" s="200"/>
      <c r="GN272" s="200"/>
      <c r="GO272" s="200"/>
      <c r="GP272" s="200"/>
      <c r="GQ272" s="200"/>
      <c r="GR272" s="200"/>
      <c r="GS272" s="200"/>
      <c r="GT272" s="200"/>
      <c r="GU272" s="200"/>
      <c r="GV272" s="200"/>
      <c r="GW272" s="200"/>
      <c r="GX272" s="200"/>
      <c r="GY272" s="200"/>
      <c r="GZ272" s="200"/>
      <c r="HA272" s="200"/>
      <c r="HB272" s="200"/>
      <c r="HC272" s="200"/>
      <c r="HD272" s="200"/>
      <c r="HE272" s="200"/>
      <c r="HF272" s="200"/>
      <c r="HG272" s="200"/>
      <c r="HH272" s="200"/>
      <c r="HI272" s="200"/>
      <c r="HJ272" s="200"/>
      <c r="HK272" s="200"/>
      <c r="HL272" s="200"/>
      <c r="HM272" s="200"/>
      <c r="HN272" s="200"/>
      <c r="HO272" s="200"/>
      <c r="HP272" s="200"/>
      <c r="HQ272" s="200"/>
      <c r="HR272" s="200"/>
      <c r="HS272" s="200"/>
      <c r="HT272" s="200"/>
      <c r="HU272" s="200"/>
      <c r="HV272" s="200"/>
      <c r="HW272" s="200"/>
      <c r="HX272" s="200"/>
      <c r="HY272" s="200"/>
      <c r="HZ272" s="200"/>
      <c r="IA272" s="200"/>
      <c r="IB272" s="200"/>
      <c r="IC272" s="200"/>
      <c r="ID272" s="200"/>
      <c r="IE272" s="200"/>
      <c r="IF272" s="200"/>
      <c r="IG272" s="200"/>
      <c r="IH272" s="200"/>
      <c r="II272" s="200"/>
      <c r="IJ272" s="200"/>
      <c r="IK272" s="200"/>
      <c r="IL272" s="200"/>
      <c r="IM272" s="200"/>
      <c r="IN272" s="200"/>
      <c r="IO272" s="200"/>
      <c r="IP272" s="200"/>
      <c r="IQ272" s="200"/>
      <c r="IR272" s="200"/>
      <c r="IS272" s="200"/>
      <c r="IT272" s="200"/>
      <c r="IU272" s="201"/>
      <c r="IV272" s="201"/>
    </row>
    <row r="273" s="10" customFormat="1" ht="15.95" customHeight="1" spans="1:256">
      <c r="A273" s="199">
        <v>53</v>
      </c>
      <c r="B273" s="20" t="s">
        <v>2254</v>
      </c>
      <c r="C273" s="199" t="s">
        <v>2258</v>
      </c>
      <c r="D273" s="199">
        <v>6053</v>
      </c>
      <c r="E273" s="199">
        <f>'05版台时'!G461</f>
        <v>0.551655364978061</v>
      </c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  <c r="AA273" s="200"/>
      <c r="AB273" s="200"/>
      <c r="AC273" s="200"/>
      <c r="AD273" s="200"/>
      <c r="AE273" s="200"/>
      <c r="AF273" s="200"/>
      <c r="AG273" s="200"/>
      <c r="AH273" s="200"/>
      <c r="AI273" s="200"/>
      <c r="AJ273" s="200"/>
      <c r="AK273" s="200"/>
      <c r="AL273" s="200"/>
      <c r="AM273" s="200"/>
      <c r="AN273" s="200"/>
      <c r="AO273" s="200"/>
      <c r="AP273" s="200"/>
      <c r="AQ273" s="200"/>
      <c r="AR273" s="200"/>
      <c r="AS273" s="200"/>
      <c r="AT273" s="200"/>
      <c r="AU273" s="200"/>
      <c r="AV273" s="200"/>
      <c r="AW273" s="200"/>
      <c r="AX273" s="200"/>
      <c r="AY273" s="200"/>
      <c r="AZ273" s="200"/>
      <c r="BA273" s="200"/>
      <c r="BB273" s="200"/>
      <c r="BC273" s="200"/>
      <c r="BD273" s="200"/>
      <c r="BE273" s="200"/>
      <c r="BF273" s="200"/>
      <c r="BG273" s="200"/>
      <c r="BH273" s="200"/>
      <c r="BI273" s="200"/>
      <c r="BJ273" s="200"/>
      <c r="BK273" s="200"/>
      <c r="BL273" s="200"/>
      <c r="BM273" s="200"/>
      <c r="BN273" s="200"/>
      <c r="BO273" s="200"/>
      <c r="BP273" s="200"/>
      <c r="BQ273" s="200"/>
      <c r="BR273" s="200"/>
      <c r="BS273" s="200"/>
      <c r="BT273" s="200"/>
      <c r="BU273" s="200"/>
      <c r="BV273" s="200"/>
      <c r="BW273" s="200"/>
      <c r="BX273" s="200"/>
      <c r="BY273" s="200"/>
      <c r="BZ273" s="200"/>
      <c r="CA273" s="200"/>
      <c r="CB273" s="200"/>
      <c r="CC273" s="200"/>
      <c r="CD273" s="200"/>
      <c r="CE273" s="200"/>
      <c r="CF273" s="200"/>
      <c r="CG273" s="200"/>
      <c r="CH273" s="200"/>
      <c r="CI273" s="200"/>
      <c r="CJ273" s="200"/>
      <c r="CK273" s="200"/>
      <c r="CL273" s="200"/>
      <c r="CM273" s="200"/>
      <c r="CN273" s="200"/>
      <c r="CO273" s="200"/>
      <c r="CP273" s="200"/>
      <c r="CQ273" s="200"/>
      <c r="CR273" s="200"/>
      <c r="CS273" s="200"/>
      <c r="CT273" s="200"/>
      <c r="CU273" s="200"/>
      <c r="CV273" s="200"/>
      <c r="CW273" s="200"/>
      <c r="CX273" s="200"/>
      <c r="CY273" s="200"/>
      <c r="CZ273" s="200"/>
      <c r="DA273" s="200"/>
      <c r="DB273" s="200"/>
      <c r="DC273" s="200"/>
      <c r="DD273" s="200"/>
      <c r="DE273" s="200"/>
      <c r="DF273" s="200"/>
      <c r="DG273" s="200"/>
      <c r="DH273" s="200"/>
      <c r="DI273" s="200"/>
      <c r="DJ273" s="200"/>
      <c r="DK273" s="200"/>
      <c r="DL273" s="200"/>
      <c r="DM273" s="200"/>
      <c r="DN273" s="200"/>
      <c r="DO273" s="200"/>
      <c r="DP273" s="200"/>
      <c r="DQ273" s="200"/>
      <c r="DR273" s="200"/>
      <c r="DS273" s="200"/>
      <c r="DT273" s="200"/>
      <c r="DU273" s="200"/>
      <c r="DV273" s="200"/>
      <c r="DW273" s="200"/>
      <c r="DX273" s="200"/>
      <c r="DY273" s="200"/>
      <c r="DZ273" s="200"/>
      <c r="EA273" s="200"/>
      <c r="EB273" s="200"/>
      <c r="EC273" s="200"/>
      <c r="ED273" s="200"/>
      <c r="EE273" s="200"/>
      <c r="EF273" s="200"/>
      <c r="EG273" s="200"/>
      <c r="EH273" s="200"/>
      <c r="EI273" s="200"/>
      <c r="EJ273" s="200"/>
      <c r="EK273" s="200"/>
      <c r="EL273" s="200"/>
      <c r="EM273" s="200"/>
      <c r="EN273" s="200"/>
      <c r="EO273" s="200"/>
      <c r="EP273" s="200"/>
      <c r="EQ273" s="200"/>
      <c r="ER273" s="200"/>
      <c r="ES273" s="200"/>
      <c r="ET273" s="200"/>
      <c r="EU273" s="200"/>
      <c r="EV273" s="200"/>
      <c r="EW273" s="200"/>
      <c r="EX273" s="200"/>
      <c r="EY273" s="200"/>
      <c r="EZ273" s="200"/>
      <c r="FA273" s="200"/>
      <c r="FB273" s="200"/>
      <c r="FC273" s="200"/>
      <c r="FD273" s="200"/>
      <c r="FE273" s="200"/>
      <c r="FF273" s="200"/>
      <c r="FG273" s="200"/>
      <c r="FH273" s="200"/>
      <c r="FI273" s="200"/>
      <c r="FJ273" s="200"/>
      <c r="FK273" s="200"/>
      <c r="FL273" s="200"/>
      <c r="FM273" s="200"/>
      <c r="FN273" s="200"/>
      <c r="FO273" s="200"/>
      <c r="FP273" s="200"/>
      <c r="FQ273" s="200"/>
      <c r="FR273" s="200"/>
      <c r="FS273" s="200"/>
      <c r="FT273" s="200"/>
      <c r="FU273" s="200"/>
      <c r="FV273" s="200"/>
      <c r="FW273" s="200"/>
      <c r="FX273" s="200"/>
      <c r="FY273" s="200"/>
      <c r="FZ273" s="200"/>
      <c r="GA273" s="200"/>
      <c r="GB273" s="200"/>
      <c r="GC273" s="200"/>
      <c r="GD273" s="200"/>
      <c r="GE273" s="200"/>
      <c r="GF273" s="200"/>
      <c r="GG273" s="200"/>
      <c r="GH273" s="200"/>
      <c r="GI273" s="200"/>
      <c r="GJ273" s="200"/>
      <c r="GK273" s="200"/>
      <c r="GL273" s="200"/>
      <c r="GM273" s="200"/>
      <c r="GN273" s="200"/>
      <c r="GO273" s="200"/>
      <c r="GP273" s="200"/>
      <c r="GQ273" s="200"/>
      <c r="GR273" s="200"/>
      <c r="GS273" s="200"/>
      <c r="GT273" s="200"/>
      <c r="GU273" s="200"/>
      <c r="GV273" s="200"/>
      <c r="GW273" s="200"/>
      <c r="GX273" s="200"/>
      <c r="GY273" s="200"/>
      <c r="GZ273" s="200"/>
      <c r="HA273" s="200"/>
      <c r="HB273" s="200"/>
      <c r="HC273" s="200"/>
      <c r="HD273" s="200"/>
      <c r="HE273" s="200"/>
      <c r="HF273" s="200"/>
      <c r="HG273" s="200"/>
      <c r="HH273" s="200"/>
      <c r="HI273" s="200"/>
      <c r="HJ273" s="200"/>
      <c r="HK273" s="200"/>
      <c r="HL273" s="200"/>
      <c r="HM273" s="200"/>
      <c r="HN273" s="200"/>
      <c r="HO273" s="200"/>
      <c r="HP273" s="200"/>
      <c r="HQ273" s="200"/>
      <c r="HR273" s="200"/>
      <c r="HS273" s="200"/>
      <c r="HT273" s="200"/>
      <c r="HU273" s="200"/>
      <c r="HV273" s="200"/>
      <c r="HW273" s="200"/>
      <c r="HX273" s="200"/>
      <c r="HY273" s="200"/>
      <c r="HZ273" s="200"/>
      <c r="IA273" s="200"/>
      <c r="IB273" s="200"/>
      <c r="IC273" s="200"/>
      <c r="ID273" s="200"/>
      <c r="IE273" s="200"/>
      <c r="IF273" s="200"/>
      <c r="IG273" s="200"/>
      <c r="IH273" s="200"/>
      <c r="II273" s="200"/>
      <c r="IJ273" s="200"/>
      <c r="IK273" s="200"/>
      <c r="IL273" s="200"/>
      <c r="IM273" s="200"/>
      <c r="IN273" s="200"/>
      <c r="IO273" s="200"/>
      <c r="IP273" s="200"/>
      <c r="IQ273" s="200"/>
      <c r="IR273" s="200"/>
      <c r="IS273" s="200"/>
      <c r="IT273" s="200"/>
      <c r="IU273" s="201"/>
      <c r="IV273" s="201"/>
    </row>
    <row r="274" s="10" customFormat="1" ht="15.95" customHeight="1" spans="1:256">
      <c r="A274" s="199">
        <v>54</v>
      </c>
      <c r="B274" s="20" t="s">
        <v>2259</v>
      </c>
      <c r="C274" s="199" t="s">
        <v>2260</v>
      </c>
      <c r="D274" s="199">
        <v>6054</v>
      </c>
      <c r="E274" s="199">
        <f>'05版台时'!H461</f>
        <v>63.1189457651172</v>
      </c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  <c r="AA274" s="200"/>
      <c r="AB274" s="200"/>
      <c r="AC274" s="200"/>
      <c r="AD274" s="200"/>
      <c r="AE274" s="200"/>
      <c r="AF274" s="200"/>
      <c r="AG274" s="200"/>
      <c r="AH274" s="200"/>
      <c r="AI274" s="200"/>
      <c r="AJ274" s="200"/>
      <c r="AK274" s="200"/>
      <c r="AL274" s="200"/>
      <c r="AM274" s="200"/>
      <c r="AN274" s="200"/>
      <c r="AO274" s="200"/>
      <c r="AP274" s="200"/>
      <c r="AQ274" s="200"/>
      <c r="AR274" s="200"/>
      <c r="AS274" s="200"/>
      <c r="AT274" s="200"/>
      <c r="AU274" s="200"/>
      <c r="AV274" s="200"/>
      <c r="AW274" s="200"/>
      <c r="AX274" s="200"/>
      <c r="AY274" s="200"/>
      <c r="AZ274" s="200"/>
      <c r="BA274" s="200"/>
      <c r="BB274" s="200"/>
      <c r="BC274" s="200"/>
      <c r="BD274" s="200"/>
      <c r="BE274" s="200"/>
      <c r="BF274" s="200"/>
      <c r="BG274" s="200"/>
      <c r="BH274" s="200"/>
      <c r="BI274" s="200"/>
      <c r="BJ274" s="200"/>
      <c r="BK274" s="200"/>
      <c r="BL274" s="200"/>
      <c r="BM274" s="200"/>
      <c r="BN274" s="200"/>
      <c r="BO274" s="200"/>
      <c r="BP274" s="200"/>
      <c r="BQ274" s="200"/>
      <c r="BR274" s="200"/>
      <c r="BS274" s="200"/>
      <c r="BT274" s="200"/>
      <c r="BU274" s="200"/>
      <c r="BV274" s="200"/>
      <c r="BW274" s="200"/>
      <c r="BX274" s="200"/>
      <c r="BY274" s="200"/>
      <c r="BZ274" s="200"/>
      <c r="CA274" s="200"/>
      <c r="CB274" s="200"/>
      <c r="CC274" s="200"/>
      <c r="CD274" s="200"/>
      <c r="CE274" s="200"/>
      <c r="CF274" s="200"/>
      <c r="CG274" s="200"/>
      <c r="CH274" s="200"/>
      <c r="CI274" s="200"/>
      <c r="CJ274" s="200"/>
      <c r="CK274" s="200"/>
      <c r="CL274" s="200"/>
      <c r="CM274" s="200"/>
      <c r="CN274" s="200"/>
      <c r="CO274" s="200"/>
      <c r="CP274" s="200"/>
      <c r="CQ274" s="200"/>
      <c r="CR274" s="200"/>
      <c r="CS274" s="200"/>
      <c r="CT274" s="200"/>
      <c r="CU274" s="200"/>
      <c r="CV274" s="200"/>
      <c r="CW274" s="200"/>
      <c r="CX274" s="200"/>
      <c r="CY274" s="200"/>
      <c r="CZ274" s="200"/>
      <c r="DA274" s="200"/>
      <c r="DB274" s="200"/>
      <c r="DC274" s="200"/>
      <c r="DD274" s="200"/>
      <c r="DE274" s="200"/>
      <c r="DF274" s="200"/>
      <c r="DG274" s="200"/>
      <c r="DH274" s="200"/>
      <c r="DI274" s="200"/>
      <c r="DJ274" s="200"/>
      <c r="DK274" s="200"/>
      <c r="DL274" s="200"/>
      <c r="DM274" s="200"/>
      <c r="DN274" s="200"/>
      <c r="DO274" s="200"/>
      <c r="DP274" s="200"/>
      <c r="DQ274" s="200"/>
      <c r="DR274" s="200"/>
      <c r="DS274" s="200"/>
      <c r="DT274" s="200"/>
      <c r="DU274" s="200"/>
      <c r="DV274" s="200"/>
      <c r="DW274" s="200"/>
      <c r="DX274" s="200"/>
      <c r="DY274" s="200"/>
      <c r="DZ274" s="200"/>
      <c r="EA274" s="200"/>
      <c r="EB274" s="200"/>
      <c r="EC274" s="200"/>
      <c r="ED274" s="200"/>
      <c r="EE274" s="200"/>
      <c r="EF274" s="200"/>
      <c r="EG274" s="200"/>
      <c r="EH274" s="200"/>
      <c r="EI274" s="200"/>
      <c r="EJ274" s="200"/>
      <c r="EK274" s="200"/>
      <c r="EL274" s="200"/>
      <c r="EM274" s="200"/>
      <c r="EN274" s="200"/>
      <c r="EO274" s="200"/>
      <c r="EP274" s="200"/>
      <c r="EQ274" s="200"/>
      <c r="ER274" s="200"/>
      <c r="ES274" s="200"/>
      <c r="ET274" s="200"/>
      <c r="EU274" s="200"/>
      <c r="EV274" s="200"/>
      <c r="EW274" s="200"/>
      <c r="EX274" s="200"/>
      <c r="EY274" s="200"/>
      <c r="EZ274" s="200"/>
      <c r="FA274" s="200"/>
      <c r="FB274" s="200"/>
      <c r="FC274" s="200"/>
      <c r="FD274" s="200"/>
      <c r="FE274" s="200"/>
      <c r="FF274" s="200"/>
      <c r="FG274" s="200"/>
      <c r="FH274" s="200"/>
      <c r="FI274" s="200"/>
      <c r="FJ274" s="200"/>
      <c r="FK274" s="200"/>
      <c r="FL274" s="200"/>
      <c r="FM274" s="200"/>
      <c r="FN274" s="200"/>
      <c r="FO274" s="200"/>
      <c r="FP274" s="200"/>
      <c r="FQ274" s="200"/>
      <c r="FR274" s="200"/>
      <c r="FS274" s="200"/>
      <c r="FT274" s="200"/>
      <c r="FU274" s="200"/>
      <c r="FV274" s="200"/>
      <c r="FW274" s="200"/>
      <c r="FX274" s="200"/>
      <c r="FY274" s="200"/>
      <c r="FZ274" s="200"/>
      <c r="GA274" s="200"/>
      <c r="GB274" s="200"/>
      <c r="GC274" s="200"/>
      <c r="GD274" s="200"/>
      <c r="GE274" s="200"/>
      <c r="GF274" s="200"/>
      <c r="GG274" s="200"/>
      <c r="GH274" s="200"/>
      <c r="GI274" s="200"/>
      <c r="GJ274" s="200"/>
      <c r="GK274" s="200"/>
      <c r="GL274" s="200"/>
      <c r="GM274" s="200"/>
      <c r="GN274" s="200"/>
      <c r="GO274" s="200"/>
      <c r="GP274" s="200"/>
      <c r="GQ274" s="200"/>
      <c r="GR274" s="200"/>
      <c r="GS274" s="200"/>
      <c r="GT274" s="200"/>
      <c r="GU274" s="200"/>
      <c r="GV274" s="200"/>
      <c r="GW274" s="200"/>
      <c r="GX274" s="200"/>
      <c r="GY274" s="200"/>
      <c r="GZ274" s="200"/>
      <c r="HA274" s="200"/>
      <c r="HB274" s="200"/>
      <c r="HC274" s="200"/>
      <c r="HD274" s="200"/>
      <c r="HE274" s="200"/>
      <c r="HF274" s="200"/>
      <c r="HG274" s="200"/>
      <c r="HH274" s="200"/>
      <c r="HI274" s="200"/>
      <c r="HJ274" s="200"/>
      <c r="HK274" s="200"/>
      <c r="HL274" s="200"/>
      <c r="HM274" s="200"/>
      <c r="HN274" s="200"/>
      <c r="HO274" s="200"/>
      <c r="HP274" s="200"/>
      <c r="HQ274" s="200"/>
      <c r="HR274" s="200"/>
      <c r="HS274" s="200"/>
      <c r="HT274" s="200"/>
      <c r="HU274" s="200"/>
      <c r="HV274" s="200"/>
      <c r="HW274" s="200"/>
      <c r="HX274" s="200"/>
      <c r="HY274" s="200"/>
      <c r="HZ274" s="200"/>
      <c r="IA274" s="200"/>
      <c r="IB274" s="200"/>
      <c r="IC274" s="200"/>
      <c r="ID274" s="200"/>
      <c r="IE274" s="200"/>
      <c r="IF274" s="200"/>
      <c r="IG274" s="200"/>
      <c r="IH274" s="200"/>
      <c r="II274" s="200"/>
      <c r="IJ274" s="200"/>
      <c r="IK274" s="200"/>
      <c r="IL274" s="200"/>
      <c r="IM274" s="200"/>
      <c r="IN274" s="200"/>
      <c r="IO274" s="200"/>
      <c r="IP274" s="200"/>
      <c r="IQ274" s="200"/>
      <c r="IR274" s="200"/>
      <c r="IS274" s="200"/>
      <c r="IT274" s="200"/>
      <c r="IU274" s="201"/>
      <c r="IV274" s="201"/>
    </row>
    <row r="275" s="10" customFormat="1" ht="15.95" customHeight="1" spans="1:256">
      <c r="A275" s="199">
        <v>55</v>
      </c>
      <c r="B275" s="20" t="s">
        <v>2259</v>
      </c>
      <c r="C275" s="199" t="s">
        <v>2261</v>
      </c>
      <c r="D275" s="199">
        <v>6055</v>
      </c>
      <c r="E275" s="199">
        <f>'05版台时'!I461</f>
        <v>68.3289780746505</v>
      </c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200"/>
      <c r="AM275" s="200"/>
      <c r="AN275" s="200"/>
      <c r="AO275" s="200"/>
      <c r="AP275" s="200"/>
      <c r="AQ275" s="200"/>
      <c r="AR275" s="200"/>
      <c r="AS275" s="200"/>
      <c r="AT275" s="200"/>
      <c r="AU275" s="200"/>
      <c r="AV275" s="200"/>
      <c r="AW275" s="200"/>
      <c r="AX275" s="200"/>
      <c r="AY275" s="200"/>
      <c r="AZ275" s="200"/>
      <c r="BA275" s="200"/>
      <c r="BB275" s="200"/>
      <c r="BC275" s="200"/>
      <c r="BD275" s="200"/>
      <c r="BE275" s="200"/>
      <c r="BF275" s="200"/>
      <c r="BG275" s="200"/>
      <c r="BH275" s="200"/>
      <c r="BI275" s="200"/>
      <c r="BJ275" s="200"/>
      <c r="BK275" s="200"/>
      <c r="BL275" s="200"/>
      <c r="BM275" s="200"/>
      <c r="BN275" s="200"/>
      <c r="BO275" s="200"/>
      <c r="BP275" s="200"/>
      <c r="BQ275" s="200"/>
      <c r="BR275" s="200"/>
      <c r="BS275" s="200"/>
      <c r="BT275" s="200"/>
      <c r="BU275" s="200"/>
      <c r="BV275" s="200"/>
      <c r="BW275" s="200"/>
      <c r="BX275" s="200"/>
      <c r="BY275" s="200"/>
      <c r="BZ275" s="200"/>
      <c r="CA275" s="200"/>
      <c r="CB275" s="200"/>
      <c r="CC275" s="200"/>
      <c r="CD275" s="200"/>
      <c r="CE275" s="200"/>
      <c r="CF275" s="200"/>
      <c r="CG275" s="200"/>
      <c r="CH275" s="200"/>
      <c r="CI275" s="200"/>
      <c r="CJ275" s="200"/>
      <c r="CK275" s="200"/>
      <c r="CL275" s="200"/>
      <c r="CM275" s="200"/>
      <c r="CN275" s="200"/>
      <c r="CO275" s="200"/>
      <c r="CP275" s="200"/>
      <c r="CQ275" s="200"/>
      <c r="CR275" s="200"/>
      <c r="CS275" s="200"/>
      <c r="CT275" s="200"/>
      <c r="CU275" s="200"/>
      <c r="CV275" s="200"/>
      <c r="CW275" s="200"/>
      <c r="CX275" s="200"/>
      <c r="CY275" s="200"/>
      <c r="CZ275" s="200"/>
      <c r="DA275" s="200"/>
      <c r="DB275" s="200"/>
      <c r="DC275" s="200"/>
      <c r="DD275" s="200"/>
      <c r="DE275" s="200"/>
      <c r="DF275" s="200"/>
      <c r="DG275" s="200"/>
      <c r="DH275" s="200"/>
      <c r="DI275" s="200"/>
      <c r="DJ275" s="200"/>
      <c r="DK275" s="200"/>
      <c r="DL275" s="200"/>
      <c r="DM275" s="200"/>
      <c r="DN275" s="200"/>
      <c r="DO275" s="200"/>
      <c r="DP275" s="200"/>
      <c r="DQ275" s="200"/>
      <c r="DR275" s="200"/>
      <c r="DS275" s="200"/>
      <c r="DT275" s="200"/>
      <c r="DU275" s="200"/>
      <c r="DV275" s="200"/>
      <c r="DW275" s="200"/>
      <c r="DX275" s="200"/>
      <c r="DY275" s="200"/>
      <c r="DZ275" s="200"/>
      <c r="EA275" s="200"/>
      <c r="EB275" s="200"/>
      <c r="EC275" s="200"/>
      <c r="ED275" s="200"/>
      <c r="EE275" s="200"/>
      <c r="EF275" s="200"/>
      <c r="EG275" s="200"/>
      <c r="EH275" s="200"/>
      <c r="EI275" s="200"/>
      <c r="EJ275" s="200"/>
      <c r="EK275" s="200"/>
      <c r="EL275" s="200"/>
      <c r="EM275" s="200"/>
      <c r="EN275" s="200"/>
      <c r="EO275" s="200"/>
      <c r="EP275" s="200"/>
      <c r="EQ275" s="200"/>
      <c r="ER275" s="200"/>
      <c r="ES275" s="200"/>
      <c r="ET275" s="200"/>
      <c r="EU275" s="200"/>
      <c r="EV275" s="200"/>
      <c r="EW275" s="200"/>
      <c r="EX275" s="200"/>
      <c r="EY275" s="200"/>
      <c r="EZ275" s="200"/>
      <c r="FA275" s="200"/>
      <c r="FB275" s="200"/>
      <c r="FC275" s="200"/>
      <c r="FD275" s="200"/>
      <c r="FE275" s="200"/>
      <c r="FF275" s="200"/>
      <c r="FG275" s="200"/>
      <c r="FH275" s="200"/>
      <c r="FI275" s="200"/>
      <c r="FJ275" s="200"/>
      <c r="FK275" s="200"/>
      <c r="FL275" s="200"/>
      <c r="FM275" s="200"/>
      <c r="FN275" s="200"/>
      <c r="FO275" s="200"/>
      <c r="FP275" s="200"/>
      <c r="FQ275" s="200"/>
      <c r="FR275" s="200"/>
      <c r="FS275" s="200"/>
      <c r="FT275" s="200"/>
      <c r="FU275" s="200"/>
      <c r="FV275" s="200"/>
      <c r="FW275" s="200"/>
      <c r="FX275" s="200"/>
      <c r="FY275" s="200"/>
      <c r="FZ275" s="200"/>
      <c r="GA275" s="200"/>
      <c r="GB275" s="200"/>
      <c r="GC275" s="200"/>
      <c r="GD275" s="200"/>
      <c r="GE275" s="200"/>
      <c r="GF275" s="200"/>
      <c r="GG275" s="200"/>
      <c r="GH275" s="200"/>
      <c r="GI275" s="200"/>
      <c r="GJ275" s="200"/>
      <c r="GK275" s="200"/>
      <c r="GL275" s="200"/>
      <c r="GM275" s="200"/>
      <c r="GN275" s="200"/>
      <c r="GO275" s="200"/>
      <c r="GP275" s="200"/>
      <c r="GQ275" s="200"/>
      <c r="GR275" s="200"/>
      <c r="GS275" s="200"/>
      <c r="GT275" s="200"/>
      <c r="GU275" s="200"/>
      <c r="GV275" s="200"/>
      <c r="GW275" s="200"/>
      <c r="GX275" s="200"/>
      <c r="GY275" s="200"/>
      <c r="GZ275" s="200"/>
      <c r="HA275" s="200"/>
      <c r="HB275" s="200"/>
      <c r="HC275" s="200"/>
      <c r="HD275" s="200"/>
      <c r="HE275" s="200"/>
      <c r="HF275" s="200"/>
      <c r="HG275" s="200"/>
      <c r="HH275" s="200"/>
      <c r="HI275" s="200"/>
      <c r="HJ275" s="200"/>
      <c r="HK275" s="200"/>
      <c r="HL275" s="200"/>
      <c r="HM275" s="200"/>
      <c r="HN275" s="200"/>
      <c r="HO275" s="200"/>
      <c r="HP275" s="200"/>
      <c r="HQ275" s="200"/>
      <c r="HR275" s="200"/>
      <c r="HS275" s="200"/>
      <c r="HT275" s="200"/>
      <c r="HU275" s="200"/>
      <c r="HV275" s="200"/>
      <c r="HW275" s="200"/>
      <c r="HX275" s="200"/>
      <c r="HY275" s="200"/>
      <c r="HZ275" s="200"/>
      <c r="IA275" s="200"/>
      <c r="IB275" s="200"/>
      <c r="IC275" s="200"/>
      <c r="ID275" s="200"/>
      <c r="IE275" s="200"/>
      <c r="IF275" s="200"/>
      <c r="IG275" s="200"/>
      <c r="IH275" s="200"/>
      <c r="II275" s="200"/>
      <c r="IJ275" s="200"/>
      <c r="IK275" s="200"/>
      <c r="IL275" s="200"/>
      <c r="IM275" s="200"/>
      <c r="IN275" s="200"/>
      <c r="IO275" s="200"/>
      <c r="IP275" s="200"/>
      <c r="IQ275" s="200"/>
      <c r="IR275" s="200"/>
      <c r="IS275" s="200"/>
      <c r="IT275" s="200"/>
      <c r="IU275" s="201"/>
      <c r="IV275" s="201"/>
    </row>
    <row r="276" s="10" customFormat="1" ht="15.95" customHeight="1" spans="1:256">
      <c r="A276" s="199">
        <v>56</v>
      </c>
      <c r="B276" s="20" t="s">
        <v>2259</v>
      </c>
      <c r="C276" s="199" t="s">
        <v>2262</v>
      </c>
      <c r="D276" s="199">
        <v>6056</v>
      </c>
      <c r="E276" s="199">
        <f>'05版台时'!J461</f>
        <v>96.6659275225005</v>
      </c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  <c r="AA276" s="200"/>
      <c r="AB276" s="200"/>
      <c r="AC276" s="200"/>
      <c r="AD276" s="200"/>
      <c r="AE276" s="200"/>
      <c r="AF276" s="200"/>
      <c r="AG276" s="200"/>
      <c r="AH276" s="200"/>
      <c r="AI276" s="200"/>
      <c r="AJ276" s="200"/>
      <c r="AK276" s="200"/>
      <c r="AL276" s="200"/>
      <c r="AM276" s="200"/>
      <c r="AN276" s="200"/>
      <c r="AO276" s="200"/>
      <c r="AP276" s="200"/>
      <c r="AQ276" s="200"/>
      <c r="AR276" s="200"/>
      <c r="AS276" s="200"/>
      <c r="AT276" s="200"/>
      <c r="AU276" s="200"/>
      <c r="AV276" s="200"/>
      <c r="AW276" s="200"/>
      <c r="AX276" s="200"/>
      <c r="AY276" s="200"/>
      <c r="AZ276" s="200"/>
      <c r="BA276" s="200"/>
      <c r="BB276" s="200"/>
      <c r="BC276" s="200"/>
      <c r="BD276" s="200"/>
      <c r="BE276" s="200"/>
      <c r="BF276" s="200"/>
      <c r="BG276" s="200"/>
      <c r="BH276" s="200"/>
      <c r="BI276" s="200"/>
      <c r="BJ276" s="200"/>
      <c r="BK276" s="200"/>
      <c r="BL276" s="200"/>
      <c r="BM276" s="200"/>
      <c r="BN276" s="200"/>
      <c r="BO276" s="200"/>
      <c r="BP276" s="200"/>
      <c r="BQ276" s="200"/>
      <c r="BR276" s="200"/>
      <c r="BS276" s="200"/>
      <c r="BT276" s="200"/>
      <c r="BU276" s="200"/>
      <c r="BV276" s="200"/>
      <c r="BW276" s="200"/>
      <c r="BX276" s="200"/>
      <c r="BY276" s="200"/>
      <c r="BZ276" s="200"/>
      <c r="CA276" s="200"/>
      <c r="CB276" s="200"/>
      <c r="CC276" s="200"/>
      <c r="CD276" s="200"/>
      <c r="CE276" s="200"/>
      <c r="CF276" s="200"/>
      <c r="CG276" s="200"/>
      <c r="CH276" s="200"/>
      <c r="CI276" s="200"/>
      <c r="CJ276" s="200"/>
      <c r="CK276" s="200"/>
      <c r="CL276" s="200"/>
      <c r="CM276" s="200"/>
      <c r="CN276" s="200"/>
      <c r="CO276" s="200"/>
      <c r="CP276" s="200"/>
      <c r="CQ276" s="200"/>
      <c r="CR276" s="200"/>
      <c r="CS276" s="200"/>
      <c r="CT276" s="200"/>
      <c r="CU276" s="200"/>
      <c r="CV276" s="200"/>
      <c r="CW276" s="200"/>
      <c r="CX276" s="200"/>
      <c r="CY276" s="200"/>
      <c r="CZ276" s="200"/>
      <c r="DA276" s="200"/>
      <c r="DB276" s="200"/>
      <c r="DC276" s="200"/>
      <c r="DD276" s="200"/>
      <c r="DE276" s="200"/>
      <c r="DF276" s="200"/>
      <c r="DG276" s="200"/>
      <c r="DH276" s="200"/>
      <c r="DI276" s="200"/>
      <c r="DJ276" s="200"/>
      <c r="DK276" s="200"/>
      <c r="DL276" s="200"/>
      <c r="DM276" s="200"/>
      <c r="DN276" s="200"/>
      <c r="DO276" s="200"/>
      <c r="DP276" s="200"/>
      <c r="DQ276" s="200"/>
      <c r="DR276" s="200"/>
      <c r="DS276" s="200"/>
      <c r="DT276" s="200"/>
      <c r="DU276" s="200"/>
      <c r="DV276" s="200"/>
      <c r="DW276" s="200"/>
      <c r="DX276" s="200"/>
      <c r="DY276" s="200"/>
      <c r="DZ276" s="200"/>
      <c r="EA276" s="200"/>
      <c r="EB276" s="200"/>
      <c r="EC276" s="200"/>
      <c r="ED276" s="200"/>
      <c r="EE276" s="200"/>
      <c r="EF276" s="200"/>
      <c r="EG276" s="200"/>
      <c r="EH276" s="200"/>
      <c r="EI276" s="200"/>
      <c r="EJ276" s="200"/>
      <c r="EK276" s="200"/>
      <c r="EL276" s="200"/>
      <c r="EM276" s="200"/>
      <c r="EN276" s="200"/>
      <c r="EO276" s="200"/>
      <c r="EP276" s="200"/>
      <c r="EQ276" s="200"/>
      <c r="ER276" s="200"/>
      <c r="ES276" s="200"/>
      <c r="ET276" s="200"/>
      <c r="EU276" s="200"/>
      <c r="EV276" s="200"/>
      <c r="EW276" s="200"/>
      <c r="EX276" s="200"/>
      <c r="EY276" s="200"/>
      <c r="EZ276" s="200"/>
      <c r="FA276" s="200"/>
      <c r="FB276" s="200"/>
      <c r="FC276" s="200"/>
      <c r="FD276" s="200"/>
      <c r="FE276" s="200"/>
      <c r="FF276" s="200"/>
      <c r="FG276" s="200"/>
      <c r="FH276" s="200"/>
      <c r="FI276" s="200"/>
      <c r="FJ276" s="200"/>
      <c r="FK276" s="200"/>
      <c r="FL276" s="200"/>
      <c r="FM276" s="200"/>
      <c r="FN276" s="200"/>
      <c r="FO276" s="200"/>
      <c r="FP276" s="200"/>
      <c r="FQ276" s="200"/>
      <c r="FR276" s="200"/>
      <c r="FS276" s="200"/>
      <c r="FT276" s="200"/>
      <c r="FU276" s="200"/>
      <c r="FV276" s="200"/>
      <c r="FW276" s="200"/>
      <c r="FX276" s="200"/>
      <c r="FY276" s="200"/>
      <c r="FZ276" s="200"/>
      <c r="GA276" s="200"/>
      <c r="GB276" s="200"/>
      <c r="GC276" s="200"/>
      <c r="GD276" s="200"/>
      <c r="GE276" s="200"/>
      <c r="GF276" s="200"/>
      <c r="GG276" s="200"/>
      <c r="GH276" s="200"/>
      <c r="GI276" s="200"/>
      <c r="GJ276" s="200"/>
      <c r="GK276" s="200"/>
      <c r="GL276" s="200"/>
      <c r="GM276" s="200"/>
      <c r="GN276" s="200"/>
      <c r="GO276" s="200"/>
      <c r="GP276" s="200"/>
      <c r="GQ276" s="200"/>
      <c r="GR276" s="200"/>
      <c r="GS276" s="200"/>
      <c r="GT276" s="200"/>
      <c r="GU276" s="200"/>
      <c r="GV276" s="200"/>
      <c r="GW276" s="200"/>
      <c r="GX276" s="200"/>
      <c r="GY276" s="200"/>
      <c r="GZ276" s="200"/>
      <c r="HA276" s="200"/>
      <c r="HB276" s="200"/>
      <c r="HC276" s="200"/>
      <c r="HD276" s="200"/>
      <c r="HE276" s="200"/>
      <c r="HF276" s="200"/>
      <c r="HG276" s="200"/>
      <c r="HH276" s="200"/>
      <c r="HI276" s="200"/>
      <c r="HJ276" s="200"/>
      <c r="HK276" s="200"/>
      <c r="HL276" s="200"/>
      <c r="HM276" s="200"/>
      <c r="HN276" s="200"/>
      <c r="HO276" s="200"/>
      <c r="HP276" s="200"/>
      <c r="HQ276" s="200"/>
      <c r="HR276" s="200"/>
      <c r="HS276" s="200"/>
      <c r="HT276" s="200"/>
      <c r="HU276" s="200"/>
      <c r="HV276" s="200"/>
      <c r="HW276" s="200"/>
      <c r="HX276" s="200"/>
      <c r="HY276" s="200"/>
      <c r="HZ276" s="200"/>
      <c r="IA276" s="200"/>
      <c r="IB276" s="200"/>
      <c r="IC276" s="200"/>
      <c r="ID276" s="200"/>
      <c r="IE276" s="200"/>
      <c r="IF276" s="200"/>
      <c r="IG276" s="200"/>
      <c r="IH276" s="200"/>
      <c r="II276" s="200"/>
      <c r="IJ276" s="200"/>
      <c r="IK276" s="200"/>
      <c r="IL276" s="200"/>
      <c r="IM276" s="200"/>
      <c r="IN276" s="200"/>
      <c r="IO276" s="200"/>
      <c r="IP276" s="200"/>
      <c r="IQ276" s="200"/>
      <c r="IR276" s="200"/>
      <c r="IS276" s="200"/>
      <c r="IT276" s="200"/>
      <c r="IU276" s="201"/>
      <c r="IV276" s="201"/>
    </row>
    <row r="277" s="10" customFormat="1" ht="15.95" customHeight="1" spans="1:256">
      <c r="A277" s="199">
        <v>57</v>
      </c>
      <c r="B277" s="20" t="s">
        <v>2259</v>
      </c>
      <c r="C277" s="199" t="s">
        <v>2263</v>
      </c>
      <c r="D277" s="199">
        <v>6057</v>
      </c>
      <c r="E277" s="199">
        <f>'05版台时'!K461</f>
        <v>104.491724889872</v>
      </c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  <c r="P277" s="200"/>
      <c r="Q277" s="200"/>
      <c r="R277" s="200"/>
      <c r="S277" s="200"/>
      <c r="T277" s="200"/>
      <c r="U277" s="200"/>
      <c r="V277" s="200"/>
      <c r="W277" s="200"/>
      <c r="X277" s="200"/>
      <c r="Y277" s="200"/>
      <c r="Z277" s="200"/>
      <c r="AA277" s="200"/>
      <c r="AB277" s="200"/>
      <c r="AC277" s="200"/>
      <c r="AD277" s="200"/>
      <c r="AE277" s="200"/>
      <c r="AF277" s="200"/>
      <c r="AG277" s="200"/>
      <c r="AH277" s="200"/>
      <c r="AI277" s="200"/>
      <c r="AJ277" s="200"/>
      <c r="AK277" s="200"/>
      <c r="AL277" s="200"/>
      <c r="AM277" s="200"/>
      <c r="AN277" s="200"/>
      <c r="AO277" s="200"/>
      <c r="AP277" s="200"/>
      <c r="AQ277" s="200"/>
      <c r="AR277" s="200"/>
      <c r="AS277" s="200"/>
      <c r="AT277" s="200"/>
      <c r="AU277" s="200"/>
      <c r="AV277" s="200"/>
      <c r="AW277" s="200"/>
      <c r="AX277" s="200"/>
      <c r="AY277" s="200"/>
      <c r="AZ277" s="200"/>
      <c r="BA277" s="200"/>
      <c r="BB277" s="200"/>
      <c r="BC277" s="200"/>
      <c r="BD277" s="200"/>
      <c r="BE277" s="200"/>
      <c r="BF277" s="200"/>
      <c r="BG277" s="200"/>
      <c r="BH277" s="200"/>
      <c r="BI277" s="200"/>
      <c r="BJ277" s="200"/>
      <c r="BK277" s="200"/>
      <c r="BL277" s="200"/>
      <c r="BM277" s="200"/>
      <c r="BN277" s="200"/>
      <c r="BO277" s="200"/>
      <c r="BP277" s="200"/>
      <c r="BQ277" s="200"/>
      <c r="BR277" s="200"/>
      <c r="BS277" s="200"/>
      <c r="BT277" s="200"/>
      <c r="BU277" s="200"/>
      <c r="BV277" s="200"/>
      <c r="BW277" s="200"/>
      <c r="BX277" s="200"/>
      <c r="BY277" s="200"/>
      <c r="BZ277" s="200"/>
      <c r="CA277" s="200"/>
      <c r="CB277" s="200"/>
      <c r="CC277" s="200"/>
      <c r="CD277" s="200"/>
      <c r="CE277" s="200"/>
      <c r="CF277" s="200"/>
      <c r="CG277" s="200"/>
      <c r="CH277" s="200"/>
      <c r="CI277" s="200"/>
      <c r="CJ277" s="200"/>
      <c r="CK277" s="200"/>
      <c r="CL277" s="200"/>
      <c r="CM277" s="200"/>
      <c r="CN277" s="200"/>
      <c r="CO277" s="200"/>
      <c r="CP277" s="200"/>
      <c r="CQ277" s="200"/>
      <c r="CR277" s="200"/>
      <c r="CS277" s="200"/>
      <c r="CT277" s="200"/>
      <c r="CU277" s="200"/>
      <c r="CV277" s="200"/>
      <c r="CW277" s="200"/>
      <c r="CX277" s="200"/>
      <c r="CY277" s="200"/>
      <c r="CZ277" s="200"/>
      <c r="DA277" s="200"/>
      <c r="DB277" s="200"/>
      <c r="DC277" s="200"/>
      <c r="DD277" s="200"/>
      <c r="DE277" s="200"/>
      <c r="DF277" s="200"/>
      <c r="DG277" s="200"/>
      <c r="DH277" s="200"/>
      <c r="DI277" s="200"/>
      <c r="DJ277" s="200"/>
      <c r="DK277" s="200"/>
      <c r="DL277" s="200"/>
      <c r="DM277" s="200"/>
      <c r="DN277" s="200"/>
      <c r="DO277" s="200"/>
      <c r="DP277" s="200"/>
      <c r="DQ277" s="200"/>
      <c r="DR277" s="200"/>
      <c r="DS277" s="200"/>
      <c r="DT277" s="200"/>
      <c r="DU277" s="200"/>
      <c r="DV277" s="200"/>
      <c r="DW277" s="200"/>
      <c r="DX277" s="200"/>
      <c r="DY277" s="200"/>
      <c r="DZ277" s="200"/>
      <c r="EA277" s="200"/>
      <c r="EB277" s="200"/>
      <c r="EC277" s="200"/>
      <c r="ED277" s="200"/>
      <c r="EE277" s="200"/>
      <c r="EF277" s="200"/>
      <c r="EG277" s="200"/>
      <c r="EH277" s="200"/>
      <c r="EI277" s="200"/>
      <c r="EJ277" s="200"/>
      <c r="EK277" s="200"/>
      <c r="EL277" s="200"/>
      <c r="EM277" s="200"/>
      <c r="EN277" s="200"/>
      <c r="EO277" s="200"/>
      <c r="EP277" s="200"/>
      <c r="EQ277" s="200"/>
      <c r="ER277" s="200"/>
      <c r="ES277" s="200"/>
      <c r="ET277" s="200"/>
      <c r="EU277" s="200"/>
      <c r="EV277" s="200"/>
      <c r="EW277" s="200"/>
      <c r="EX277" s="200"/>
      <c r="EY277" s="200"/>
      <c r="EZ277" s="200"/>
      <c r="FA277" s="200"/>
      <c r="FB277" s="200"/>
      <c r="FC277" s="200"/>
      <c r="FD277" s="200"/>
      <c r="FE277" s="200"/>
      <c r="FF277" s="200"/>
      <c r="FG277" s="200"/>
      <c r="FH277" s="200"/>
      <c r="FI277" s="200"/>
      <c r="FJ277" s="200"/>
      <c r="FK277" s="200"/>
      <c r="FL277" s="200"/>
      <c r="FM277" s="200"/>
      <c r="FN277" s="200"/>
      <c r="FO277" s="200"/>
      <c r="FP277" s="200"/>
      <c r="FQ277" s="200"/>
      <c r="FR277" s="200"/>
      <c r="FS277" s="200"/>
      <c r="FT277" s="200"/>
      <c r="FU277" s="200"/>
      <c r="FV277" s="200"/>
      <c r="FW277" s="200"/>
      <c r="FX277" s="200"/>
      <c r="FY277" s="200"/>
      <c r="FZ277" s="200"/>
      <c r="GA277" s="200"/>
      <c r="GB277" s="200"/>
      <c r="GC277" s="200"/>
      <c r="GD277" s="200"/>
      <c r="GE277" s="200"/>
      <c r="GF277" s="200"/>
      <c r="GG277" s="200"/>
      <c r="GH277" s="200"/>
      <c r="GI277" s="200"/>
      <c r="GJ277" s="200"/>
      <c r="GK277" s="200"/>
      <c r="GL277" s="200"/>
      <c r="GM277" s="200"/>
      <c r="GN277" s="200"/>
      <c r="GO277" s="200"/>
      <c r="GP277" s="200"/>
      <c r="GQ277" s="200"/>
      <c r="GR277" s="200"/>
      <c r="GS277" s="200"/>
      <c r="GT277" s="200"/>
      <c r="GU277" s="200"/>
      <c r="GV277" s="200"/>
      <c r="GW277" s="200"/>
      <c r="GX277" s="200"/>
      <c r="GY277" s="200"/>
      <c r="GZ277" s="200"/>
      <c r="HA277" s="200"/>
      <c r="HB277" s="200"/>
      <c r="HC277" s="200"/>
      <c r="HD277" s="200"/>
      <c r="HE277" s="200"/>
      <c r="HF277" s="200"/>
      <c r="HG277" s="200"/>
      <c r="HH277" s="200"/>
      <c r="HI277" s="200"/>
      <c r="HJ277" s="200"/>
      <c r="HK277" s="200"/>
      <c r="HL277" s="200"/>
      <c r="HM277" s="200"/>
      <c r="HN277" s="200"/>
      <c r="HO277" s="200"/>
      <c r="HP277" s="200"/>
      <c r="HQ277" s="200"/>
      <c r="HR277" s="200"/>
      <c r="HS277" s="200"/>
      <c r="HT277" s="200"/>
      <c r="HU277" s="200"/>
      <c r="HV277" s="200"/>
      <c r="HW277" s="200"/>
      <c r="HX277" s="200"/>
      <c r="HY277" s="200"/>
      <c r="HZ277" s="200"/>
      <c r="IA277" s="200"/>
      <c r="IB277" s="200"/>
      <c r="IC277" s="200"/>
      <c r="ID277" s="200"/>
      <c r="IE277" s="200"/>
      <c r="IF277" s="200"/>
      <c r="IG277" s="200"/>
      <c r="IH277" s="200"/>
      <c r="II277" s="200"/>
      <c r="IJ277" s="200"/>
      <c r="IK277" s="200"/>
      <c r="IL277" s="200"/>
      <c r="IM277" s="200"/>
      <c r="IN277" s="200"/>
      <c r="IO277" s="200"/>
      <c r="IP277" s="200"/>
      <c r="IQ277" s="200"/>
      <c r="IR277" s="200"/>
      <c r="IS277" s="200"/>
      <c r="IT277" s="200"/>
      <c r="IU277" s="201"/>
      <c r="IV277" s="201"/>
    </row>
    <row r="278" s="10" customFormat="1" ht="15.95" customHeight="1" spans="1:256">
      <c r="A278" s="199">
        <v>58</v>
      </c>
      <c r="B278" s="20" t="s">
        <v>2259</v>
      </c>
      <c r="C278" s="199" t="s">
        <v>2264</v>
      </c>
      <c r="D278" s="199">
        <v>6058</v>
      </c>
      <c r="E278" s="199">
        <f>'05版台时'!L461</f>
        <v>126.529746301007</v>
      </c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  <c r="AA278" s="200"/>
      <c r="AB278" s="200"/>
      <c r="AC278" s="200"/>
      <c r="AD278" s="200"/>
      <c r="AE278" s="200"/>
      <c r="AF278" s="200"/>
      <c r="AG278" s="200"/>
      <c r="AH278" s="200"/>
      <c r="AI278" s="200"/>
      <c r="AJ278" s="200"/>
      <c r="AK278" s="200"/>
      <c r="AL278" s="200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200"/>
      <c r="BB278" s="200"/>
      <c r="BC278" s="200"/>
      <c r="BD278" s="200"/>
      <c r="BE278" s="200"/>
      <c r="BF278" s="200"/>
      <c r="BG278" s="200"/>
      <c r="BH278" s="200"/>
      <c r="BI278" s="200"/>
      <c r="BJ278" s="200"/>
      <c r="BK278" s="200"/>
      <c r="BL278" s="200"/>
      <c r="BM278" s="200"/>
      <c r="BN278" s="200"/>
      <c r="BO278" s="200"/>
      <c r="BP278" s="200"/>
      <c r="BQ278" s="200"/>
      <c r="BR278" s="200"/>
      <c r="BS278" s="200"/>
      <c r="BT278" s="200"/>
      <c r="BU278" s="200"/>
      <c r="BV278" s="200"/>
      <c r="BW278" s="200"/>
      <c r="BX278" s="200"/>
      <c r="BY278" s="200"/>
      <c r="BZ278" s="200"/>
      <c r="CA278" s="200"/>
      <c r="CB278" s="200"/>
      <c r="CC278" s="200"/>
      <c r="CD278" s="200"/>
      <c r="CE278" s="200"/>
      <c r="CF278" s="200"/>
      <c r="CG278" s="200"/>
      <c r="CH278" s="200"/>
      <c r="CI278" s="200"/>
      <c r="CJ278" s="200"/>
      <c r="CK278" s="200"/>
      <c r="CL278" s="200"/>
      <c r="CM278" s="200"/>
      <c r="CN278" s="200"/>
      <c r="CO278" s="200"/>
      <c r="CP278" s="200"/>
      <c r="CQ278" s="200"/>
      <c r="CR278" s="200"/>
      <c r="CS278" s="200"/>
      <c r="CT278" s="200"/>
      <c r="CU278" s="200"/>
      <c r="CV278" s="200"/>
      <c r="CW278" s="200"/>
      <c r="CX278" s="200"/>
      <c r="CY278" s="200"/>
      <c r="CZ278" s="200"/>
      <c r="DA278" s="200"/>
      <c r="DB278" s="200"/>
      <c r="DC278" s="200"/>
      <c r="DD278" s="200"/>
      <c r="DE278" s="200"/>
      <c r="DF278" s="200"/>
      <c r="DG278" s="200"/>
      <c r="DH278" s="200"/>
      <c r="DI278" s="200"/>
      <c r="DJ278" s="200"/>
      <c r="DK278" s="200"/>
      <c r="DL278" s="200"/>
      <c r="DM278" s="200"/>
      <c r="DN278" s="200"/>
      <c r="DO278" s="200"/>
      <c r="DP278" s="200"/>
      <c r="DQ278" s="200"/>
      <c r="DR278" s="200"/>
      <c r="DS278" s="200"/>
      <c r="DT278" s="200"/>
      <c r="DU278" s="200"/>
      <c r="DV278" s="200"/>
      <c r="DW278" s="200"/>
      <c r="DX278" s="200"/>
      <c r="DY278" s="200"/>
      <c r="DZ278" s="200"/>
      <c r="EA278" s="200"/>
      <c r="EB278" s="200"/>
      <c r="EC278" s="200"/>
      <c r="ED278" s="200"/>
      <c r="EE278" s="200"/>
      <c r="EF278" s="200"/>
      <c r="EG278" s="200"/>
      <c r="EH278" s="200"/>
      <c r="EI278" s="200"/>
      <c r="EJ278" s="200"/>
      <c r="EK278" s="200"/>
      <c r="EL278" s="200"/>
      <c r="EM278" s="200"/>
      <c r="EN278" s="200"/>
      <c r="EO278" s="200"/>
      <c r="EP278" s="200"/>
      <c r="EQ278" s="200"/>
      <c r="ER278" s="200"/>
      <c r="ES278" s="200"/>
      <c r="ET278" s="200"/>
      <c r="EU278" s="200"/>
      <c r="EV278" s="200"/>
      <c r="EW278" s="200"/>
      <c r="EX278" s="200"/>
      <c r="EY278" s="200"/>
      <c r="EZ278" s="200"/>
      <c r="FA278" s="200"/>
      <c r="FB278" s="200"/>
      <c r="FC278" s="200"/>
      <c r="FD278" s="200"/>
      <c r="FE278" s="200"/>
      <c r="FF278" s="200"/>
      <c r="FG278" s="200"/>
      <c r="FH278" s="200"/>
      <c r="FI278" s="200"/>
      <c r="FJ278" s="200"/>
      <c r="FK278" s="200"/>
      <c r="FL278" s="200"/>
      <c r="FM278" s="200"/>
      <c r="FN278" s="200"/>
      <c r="FO278" s="200"/>
      <c r="FP278" s="200"/>
      <c r="FQ278" s="200"/>
      <c r="FR278" s="200"/>
      <c r="FS278" s="200"/>
      <c r="FT278" s="200"/>
      <c r="FU278" s="200"/>
      <c r="FV278" s="200"/>
      <c r="FW278" s="200"/>
      <c r="FX278" s="200"/>
      <c r="FY278" s="200"/>
      <c r="FZ278" s="200"/>
      <c r="GA278" s="200"/>
      <c r="GB278" s="200"/>
      <c r="GC278" s="200"/>
      <c r="GD278" s="200"/>
      <c r="GE278" s="200"/>
      <c r="GF278" s="200"/>
      <c r="GG278" s="200"/>
      <c r="GH278" s="200"/>
      <c r="GI278" s="200"/>
      <c r="GJ278" s="200"/>
      <c r="GK278" s="200"/>
      <c r="GL278" s="200"/>
      <c r="GM278" s="200"/>
      <c r="GN278" s="200"/>
      <c r="GO278" s="200"/>
      <c r="GP278" s="200"/>
      <c r="GQ278" s="200"/>
      <c r="GR278" s="200"/>
      <c r="GS278" s="200"/>
      <c r="GT278" s="200"/>
      <c r="GU278" s="200"/>
      <c r="GV278" s="200"/>
      <c r="GW278" s="200"/>
      <c r="GX278" s="200"/>
      <c r="GY278" s="200"/>
      <c r="GZ278" s="200"/>
      <c r="HA278" s="200"/>
      <c r="HB278" s="200"/>
      <c r="HC278" s="200"/>
      <c r="HD278" s="200"/>
      <c r="HE278" s="200"/>
      <c r="HF278" s="200"/>
      <c r="HG278" s="200"/>
      <c r="HH278" s="200"/>
      <c r="HI278" s="200"/>
      <c r="HJ278" s="200"/>
      <c r="HK278" s="200"/>
      <c r="HL278" s="200"/>
      <c r="HM278" s="200"/>
      <c r="HN278" s="200"/>
      <c r="HO278" s="200"/>
      <c r="HP278" s="200"/>
      <c r="HQ278" s="200"/>
      <c r="HR278" s="200"/>
      <c r="HS278" s="200"/>
      <c r="HT278" s="200"/>
      <c r="HU278" s="200"/>
      <c r="HV278" s="200"/>
      <c r="HW278" s="200"/>
      <c r="HX278" s="200"/>
      <c r="HY278" s="200"/>
      <c r="HZ278" s="200"/>
      <c r="IA278" s="200"/>
      <c r="IB278" s="200"/>
      <c r="IC278" s="200"/>
      <c r="ID278" s="200"/>
      <c r="IE278" s="200"/>
      <c r="IF278" s="200"/>
      <c r="IG278" s="200"/>
      <c r="IH278" s="200"/>
      <c r="II278" s="200"/>
      <c r="IJ278" s="200"/>
      <c r="IK278" s="200"/>
      <c r="IL278" s="200"/>
      <c r="IM278" s="200"/>
      <c r="IN278" s="200"/>
      <c r="IO278" s="200"/>
      <c r="IP278" s="200"/>
      <c r="IQ278" s="200"/>
      <c r="IR278" s="200"/>
      <c r="IS278" s="200"/>
      <c r="IT278" s="200"/>
      <c r="IU278" s="201"/>
      <c r="IV278" s="201"/>
    </row>
    <row r="279" s="10" customFormat="1" ht="15.95" customHeight="1" spans="1:256">
      <c r="A279" s="199">
        <v>59</v>
      </c>
      <c r="B279" s="20" t="s">
        <v>2259</v>
      </c>
      <c r="C279" s="199" t="s">
        <v>2265</v>
      </c>
      <c r="D279" s="199">
        <v>6059</v>
      </c>
      <c r="E279" s="199">
        <f>'05版台时'!M461</f>
        <v>144.527861179348</v>
      </c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  <c r="P279" s="200"/>
      <c r="Q279" s="200"/>
      <c r="R279" s="200"/>
      <c r="S279" s="200"/>
      <c r="T279" s="200"/>
      <c r="U279" s="200"/>
      <c r="V279" s="200"/>
      <c r="W279" s="200"/>
      <c r="X279" s="200"/>
      <c r="Y279" s="200"/>
      <c r="Z279" s="200"/>
      <c r="AA279" s="200"/>
      <c r="AB279" s="200"/>
      <c r="AC279" s="200"/>
      <c r="AD279" s="200"/>
      <c r="AE279" s="200"/>
      <c r="AF279" s="200"/>
      <c r="AG279" s="200"/>
      <c r="AH279" s="200"/>
      <c r="AI279" s="200"/>
      <c r="AJ279" s="200"/>
      <c r="AK279" s="200"/>
      <c r="AL279" s="200"/>
      <c r="AM279" s="200"/>
      <c r="AN279" s="200"/>
      <c r="AO279" s="200"/>
      <c r="AP279" s="200"/>
      <c r="AQ279" s="200"/>
      <c r="AR279" s="200"/>
      <c r="AS279" s="200"/>
      <c r="AT279" s="200"/>
      <c r="AU279" s="200"/>
      <c r="AV279" s="200"/>
      <c r="AW279" s="200"/>
      <c r="AX279" s="200"/>
      <c r="AY279" s="200"/>
      <c r="AZ279" s="200"/>
      <c r="BA279" s="200"/>
      <c r="BB279" s="200"/>
      <c r="BC279" s="200"/>
      <c r="BD279" s="200"/>
      <c r="BE279" s="200"/>
      <c r="BF279" s="200"/>
      <c r="BG279" s="200"/>
      <c r="BH279" s="200"/>
      <c r="BI279" s="200"/>
      <c r="BJ279" s="200"/>
      <c r="BK279" s="200"/>
      <c r="BL279" s="200"/>
      <c r="BM279" s="200"/>
      <c r="BN279" s="200"/>
      <c r="BO279" s="200"/>
      <c r="BP279" s="200"/>
      <c r="BQ279" s="200"/>
      <c r="BR279" s="200"/>
      <c r="BS279" s="200"/>
      <c r="BT279" s="200"/>
      <c r="BU279" s="200"/>
      <c r="BV279" s="200"/>
      <c r="BW279" s="200"/>
      <c r="BX279" s="200"/>
      <c r="BY279" s="200"/>
      <c r="BZ279" s="200"/>
      <c r="CA279" s="200"/>
      <c r="CB279" s="200"/>
      <c r="CC279" s="200"/>
      <c r="CD279" s="200"/>
      <c r="CE279" s="200"/>
      <c r="CF279" s="200"/>
      <c r="CG279" s="200"/>
      <c r="CH279" s="200"/>
      <c r="CI279" s="200"/>
      <c r="CJ279" s="200"/>
      <c r="CK279" s="200"/>
      <c r="CL279" s="200"/>
      <c r="CM279" s="200"/>
      <c r="CN279" s="200"/>
      <c r="CO279" s="200"/>
      <c r="CP279" s="200"/>
      <c r="CQ279" s="200"/>
      <c r="CR279" s="200"/>
      <c r="CS279" s="200"/>
      <c r="CT279" s="200"/>
      <c r="CU279" s="200"/>
      <c r="CV279" s="200"/>
      <c r="CW279" s="200"/>
      <c r="CX279" s="200"/>
      <c r="CY279" s="200"/>
      <c r="CZ279" s="200"/>
      <c r="DA279" s="200"/>
      <c r="DB279" s="200"/>
      <c r="DC279" s="200"/>
      <c r="DD279" s="200"/>
      <c r="DE279" s="200"/>
      <c r="DF279" s="200"/>
      <c r="DG279" s="200"/>
      <c r="DH279" s="200"/>
      <c r="DI279" s="200"/>
      <c r="DJ279" s="200"/>
      <c r="DK279" s="200"/>
      <c r="DL279" s="200"/>
      <c r="DM279" s="200"/>
      <c r="DN279" s="200"/>
      <c r="DO279" s="200"/>
      <c r="DP279" s="200"/>
      <c r="DQ279" s="200"/>
      <c r="DR279" s="200"/>
      <c r="DS279" s="200"/>
      <c r="DT279" s="200"/>
      <c r="DU279" s="200"/>
      <c r="DV279" s="200"/>
      <c r="DW279" s="200"/>
      <c r="DX279" s="200"/>
      <c r="DY279" s="200"/>
      <c r="DZ279" s="200"/>
      <c r="EA279" s="200"/>
      <c r="EB279" s="200"/>
      <c r="EC279" s="200"/>
      <c r="ED279" s="200"/>
      <c r="EE279" s="200"/>
      <c r="EF279" s="200"/>
      <c r="EG279" s="200"/>
      <c r="EH279" s="200"/>
      <c r="EI279" s="200"/>
      <c r="EJ279" s="200"/>
      <c r="EK279" s="200"/>
      <c r="EL279" s="200"/>
      <c r="EM279" s="200"/>
      <c r="EN279" s="200"/>
      <c r="EO279" s="200"/>
      <c r="EP279" s="200"/>
      <c r="EQ279" s="200"/>
      <c r="ER279" s="200"/>
      <c r="ES279" s="200"/>
      <c r="ET279" s="200"/>
      <c r="EU279" s="200"/>
      <c r="EV279" s="200"/>
      <c r="EW279" s="200"/>
      <c r="EX279" s="200"/>
      <c r="EY279" s="200"/>
      <c r="EZ279" s="200"/>
      <c r="FA279" s="200"/>
      <c r="FB279" s="200"/>
      <c r="FC279" s="200"/>
      <c r="FD279" s="200"/>
      <c r="FE279" s="200"/>
      <c r="FF279" s="200"/>
      <c r="FG279" s="200"/>
      <c r="FH279" s="200"/>
      <c r="FI279" s="200"/>
      <c r="FJ279" s="200"/>
      <c r="FK279" s="200"/>
      <c r="FL279" s="200"/>
      <c r="FM279" s="200"/>
      <c r="FN279" s="200"/>
      <c r="FO279" s="200"/>
      <c r="FP279" s="200"/>
      <c r="FQ279" s="200"/>
      <c r="FR279" s="200"/>
      <c r="FS279" s="200"/>
      <c r="FT279" s="200"/>
      <c r="FU279" s="200"/>
      <c r="FV279" s="200"/>
      <c r="FW279" s="200"/>
      <c r="FX279" s="200"/>
      <c r="FY279" s="200"/>
      <c r="FZ279" s="200"/>
      <c r="GA279" s="200"/>
      <c r="GB279" s="200"/>
      <c r="GC279" s="200"/>
      <c r="GD279" s="200"/>
      <c r="GE279" s="200"/>
      <c r="GF279" s="200"/>
      <c r="GG279" s="200"/>
      <c r="GH279" s="200"/>
      <c r="GI279" s="200"/>
      <c r="GJ279" s="200"/>
      <c r="GK279" s="200"/>
      <c r="GL279" s="200"/>
      <c r="GM279" s="200"/>
      <c r="GN279" s="200"/>
      <c r="GO279" s="200"/>
      <c r="GP279" s="200"/>
      <c r="GQ279" s="200"/>
      <c r="GR279" s="200"/>
      <c r="GS279" s="200"/>
      <c r="GT279" s="200"/>
      <c r="GU279" s="200"/>
      <c r="GV279" s="200"/>
      <c r="GW279" s="200"/>
      <c r="GX279" s="200"/>
      <c r="GY279" s="200"/>
      <c r="GZ279" s="200"/>
      <c r="HA279" s="200"/>
      <c r="HB279" s="200"/>
      <c r="HC279" s="200"/>
      <c r="HD279" s="200"/>
      <c r="HE279" s="200"/>
      <c r="HF279" s="200"/>
      <c r="HG279" s="200"/>
      <c r="HH279" s="200"/>
      <c r="HI279" s="200"/>
      <c r="HJ279" s="200"/>
      <c r="HK279" s="200"/>
      <c r="HL279" s="200"/>
      <c r="HM279" s="200"/>
      <c r="HN279" s="200"/>
      <c r="HO279" s="200"/>
      <c r="HP279" s="200"/>
      <c r="HQ279" s="200"/>
      <c r="HR279" s="200"/>
      <c r="HS279" s="200"/>
      <c r="HT279" s="200"/>
      <c r="HU279" s="200"/>
      <c r="HV279" s="200"/>
      <c r="HW279" s="200"/>
      <c r="HX279" s="200"/>
      <c r="HY279" s="200"/>
      <c r="HZ279" s="200"/>
      <c r="IA279" s="200"/>
      <c r="IB279" s="200"/>
      <c r="IC279" s="200"/>
      <c r="ID279" s="200"/>
      <c r="IE279" s="200"/>
      <c r="IF279" s="200"/>
      <c r="IG279" s="200"/>
      <c r="IH279" s="200"/>
      <c r="II279" s="200"/>
      <c r="IJ279" s="200"/>
      <c r="IK279" s="200"/>
      <c r="IL279" s="200"/>
      <c r="IM279" s="200"/>
      <c r="IN279" s="200"/>
      <c r="IO279" s="200"/>
      <c r="IP279" s="200"/>
      <c r="IQ279" s="200"/>
      <c r="IR279" s="200"/>
      <c r="IS279" s="200"/>
      <c r="IT279" s="200"/>
      <c r="IU279" s="201"/>
      <c r="IV279" s="201"/>
    </row>
    <row r="280" s="10" customFormat="1" ht="15.95" customHeight="1" spans="1:256">
      <c r="A280" s="199">
        <v>60</v>
      </c>
      <c r="B280" s="20" t="s">
        <v>2259</v>
      </c>
      <c r="C280" s="199" t="s">
        <v>2266</v>
      </c>
      <c r="D280" s="199">
        <v>6060</v>
      </c>
      <c r="E280" s="199">
        <f>'05版台时'!N461</f>
        <v>163.215619855056</v>
      </c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200"/>
      <c r="AA280" s="200"/>
      <c r="AB280" s="200"/>
      <c r="AC280" s="200"/>
      <c r="AD280" s="200"/>
      <c r="AE280" s="200"/>
      <c r="AF280" s="200"/>
      <c r="AG280" s="200"/>
      <c r="AH280" s="200"/>
      <c r="AI280" s="200"/>
      <c r="AJ280" s="200"/>
      <c r="AK280" s="200"/>
      <c r="AL280" s="200"/>
      <c r="AM280" s="200"/>
      <c r="AN280" s="200"/>
      <c r="AO280" s="200"/>
      <c r="AP280" s="200"/>
      <c r="AQ280" s="200"/>
      <c r="AR280" s="200"/>
      <c r="AS280" s="200"/>
      <c r="AT280" s="200"/>
      <c r="AU280" s="200"/>
      <c r="AV280" s="200"/>
      <c r="AW280" s="200"/>
      <c r="AX280" s="200"/>
      <c r="AY280" s="200"/>
      <c r="AZ280" s="200"/>
      <c r="BA280" s="200"/>
      <c r="BB280" s="200"/>
      <c r="BC280" s="200"/>
      <c r="BD280" s="200"/>
      <c r="BE280" s="200"/>
      <c r="BF280" s="200"/>
      <c r="BG280" s="200"/>
      <c r="BH280" s="200"/>
      <c r="BI280" s="200"/>
      <c r="BJ280" s="200"/>
      <c r="BK280" s="200"/>
      <c r="BL280" s="200"/>
      <c r="BM280" s="200"/>
      <c r="BN280" s="200"/>
      <c r="BO280" s="200"/>
      <c r="BP280" s="200"/>
      <c r="BQ280" s="200"/>
      <c r="BR280" s="200"/>
      <c r="BS280" s="200"/>
      <c r="BT280" s="200"/>
      <c r="BU280" s="200"/>
      <c r="BV280" s="200"/>
      <c r="BW280" s="200"/>
      <c r="BX280" s="200"/>
      <c r="BY280" s="200"/>
      <c r="BZ280" s="200"/>
      <c r="CA280" s="200"/>
      <c r="CB280" s="200"/>
      <c r="CC280" s="200"/>
      <c r="CD280" s="200"/>
      <c r="CE280" s="200"/>
      <c r="CF280" s="200"/>
      <c r="CG280" s="200"/>
      <c r="CH280" s="200"/>
      <c r="CI280" s="200"/>
      <c r="CJ280" s="200"/>
      <c r="CK280" s="200"/>
      <c r="CL280" s="200"/>
      <c r="CM280" s="200"/>
      <c r="CN280" s="200"/>
      <c r="CO280" s="200"/>
      <c r="CP280" s="200"/>
      <c r="CQ280" s="200"/>
      <c r="CR280" s="200"/>
      <c r="CS280" s="200"/>
      <c r="CT280" s="200"/>
      <c r="CU280" s="200"/>
      <c r="CV280" s="200"/>
      <c r="CW280" s="200"/>
      <c r="CX280" s="200"/>
      <c r="CY280" s="200"/>
      <c r="CZ280" s="200"/>
      <c r="DA280" s="200"/>
      <c r="DB280" s="200"/>
      <c r="DC280" s="200"/>
      <c r="DD280" s="200"/>
      <c r="DE280" s="200"/>
      <c r="DF280" s="200"/>
      <c r="DG280" s="200"/>
      <c r="DH280" s="200"/>
      <c r="DI280" s="200"/>
      <c r="DJ280" s="200"/>
      <c r="DK280" s="200"/>
      <c r="DL280" s="200"/>
      <c r="DM280" s="200"/>
      <c r="DN280" s="200"/>
      <c r="DO280" s="200"/>
      <c r="DP280" s="200"/>
      <c r="DQ280" s="200"/>
      <c r="DR280" s="200"/>
      <c r="DS280" s="200"/>
      <c r="DT280" s="200"/>
      <c r="DU280" s="200"/>
      <c r="DV280" s="200"/>
      <c r="DW280" s="200"/>
      <c r="DX280" s="200"/>
      <c r="DY280" s="200"/>
      <c r="DZ280" s="200"/>
      <c r="EA280" s="200"/>
      <c r="EB280" s="200"/>
      <c r="EC280" s="200"/>
      <c r="ED280" s="200"/>
      <c r="EE280" s="200"/>
      <c r="EF280" s="200"/>
      <c r="EG280" s="200"/>
      <c r="EH280" s="200"/>
      <c r="EI280" s="200"/>
      <c r="EJ280" s="200"/>
      <c r="EK280" s="200"/>
      <c r="EL280" s="200"/>
      <c r="EM280" s="200"/>
      <c r="EN280" s="200"/>
      <c r="EO280" s="200"/>
      <c r="EP280" s="200"/>
      <c r="EQ280" s="200"/>
      <c r="ER280" s="200"/>
      <c r="ES280" s="200"/>
      <c r="ET280" s="200"/>
      <c r="EU280" s="200"/>
      <c r="EV280" s="200"/>
      <c r="EW280" s="200"/>
      <c r="EX280" s="200"/>
      <c r="EY280" s="200"/>
      <c r="EZ280" s="200"/>
      <c r="FA280" s="200"/>
      <c r="FB280" s="200"/>
      <c r="FC280" s="200"/>
      <c r="FD280" s="200"/>
      <c r="FE280" s="200"/>
      <c r="FF280" s="200"/>
      <c r="FG280" s="200"/>
      <c r="FH280" s="200"/>
      <c r="FI280" s="200"/>
      <c r="FJ280" s="200"/>
      <c r="FK280" s="200"/>
      <c r="FL280" s="200"/>
      <c r="FM280" s="200"/>
      <c r="FN280" s="200"/>
      <c r="FO280" s="200"/>
      <c r="FP280" s="200"/>
      <c r="FQ280" s="200"/>
      <c r="FR280" s="200"/>
      <c r="FS280" s="200"/>
      <c r="FT280" s="200"/>
      <c r="FU280" s="200"/>
      <c r="FV280" s="200"/>
      <c r="FW280" s="200"/>
      <c r="FX280" s="200"/>
      <c r="FY280" s="200"/>
      <c r="FZ280" s="200"/>
      <c r="GA280" s="200"/>
      <c r="GB280" s="200"/>
      <c r="GC280" s="200"/>
      <c r="GD280" s="200"/>
      <c r="GE280" s="200"/>
      <c r="GF280" s="200"/>
      <c r="GG280" s="200"/>
      <c r="GH280" s="200"/>
      <c r="GI280" s="200"/>
      <c r="GJ280" s="200"/>
      <c r="GK280" s="200"/>
      <c r="GL280" s="200"/>
      <c r="GM280" s="200"/>
      <c r="GN280" s="200"/>
      <c r="GO280" s="200"/>
      <c r="GP280" s="200"/>
      <c r="GQ280" s="200"/>
      <c r="GR280" s="200"/>
      <c r="GS280" s="200"/>
      <c r="GT280" s="200"/>
      <c r="GU280" s="200"/>
      <c r="GV280" s="200"/>
      <c r="GW280" s="200"/>
      <c r="GX280" s="200"/>
      <c r="GY280" s="200"/>
      <c r="GZ280" s="200"/>
      <c r="HA280" s="200"/>
      <c r="HB280" s="200"/>
      <c r="HC280" s="200"/>
      <c r="HD280" s="200"/>
      <c r="HE280" s="200"/>
      <c r="HF280" s="200"/>
      <c r="HG280" s="200"/>
      <c r="HH280" s="200"/>
      <c r="HI280" s="200"/>
      <c r="HJ280" s="200"/>
      <c r="HK280" s="200"/>
      <c r="HL280" s="200"/>
      <c r="HM280" s="200"/>
      <c r="HN280" s="200"/>
      <c r="HO280" s="200"/>
      <c r="HP280" s="200"/>
      <c r="HQ280" s="200"/>
      <c r="HR280" s="200"/>
      <c r="HS280" s="200"/>
      <c r="HT280" s="200"/>
      <c r="HU280" s="200"/>
      <c r="HV280" s="200"/>
      <c r="HW280" s="200"/>
      <c r="HX280" s="200"/>
      <c r="HY280" s="200"/>
      <c r="HZ280" s="200"/>
      <c r="IA280" s="200"/>
      <c r="IB280" s="200"/>
      <c r="IC280" s="200"/>
      <c r="ID280" s="200"/>
      <c r="IE280" s="200"/>
      <c r="IF280" s="200"/>
      <c r="IG280" s="200"/>
      <c r="IH280" s="200"/>
      <c r="II280" s="200"/>
      <c r="IJ280" s="200"/>
      <c r="IK280" s="200"/>
      <c r="IL280" s="200"/>
      <c r="IM280" s="200"/>
      <c r="IN280" s="200"/>
      <c r="IO280" s="200"/>
      <c r="IP280" s="200"/>
      <c r="IQ280" s="200"/>
      <c r="IR280" s="200"/>
      <c r="IS280" s="200"/>
      <c r="IT280" s="200"/>
      <c r="IU280" s="201"/>
      <c r="IV280" s="201"/>
    </row>
    <row r="281" s="10" customFormat="1" ht="15.95" customHeight="1" spans="1:256">
      <c r="A281" s="199">
        <v>61</v>
      </c>
      <c r="B281" s="20" t="s">
        <v>2259</v>
      </c>
      <c r="C281" s="199" t="s">
        <v>2267</v>
      </c>
      <c r="D281" s="199">
        <v>6061</v>
      </c>
      <c r="E281" s="199">
        <f>'05版台时'!O461</f>
        <v>365.558341834816</v>
      </c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  <c r="AA281" s="200"/>
      <c r="AB281" s="200"/>
      <c r="AC281" s="200"/>
      <c r="AD281" s="200"/>
      <c r="AE281" s="200"/>
      <c r="AF281" s="200"/>
      <c r="AG281" s="200"/>
      <c r="AH281" s="200"/>
      <c r="AI281" s="200"/>
      <c r="AJ281" s="200"/>
      <c r="AK281" s="200"/>
      <c r="AL281" s="200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0"/>
      <c r="AZ281" s="200"/>
      <c r="BA281" s="200"/>
      <c r="BB281" s="200"/>
      <c r="BC281" s="200"/>
      <c r="BD281" s="200"/>
      <c r="BE281" s="200"/>
      <c r="BF281" s="200"/>
      <c r="BG281" s="200"/>
      <c r="BH281" s="200"/>
      <c r="BI281" s="200"/>
      <c r="BJ281" s="200"/>
      <c r="BK281" s="200"/>
      <c r="BL281" s="200"/>
      <c r="BM281" s="200"/>
      <c r="BN281" s="200"/>
      <c r="BO281" s="200"/>
      <c r="BP281" s="200"/>
      <c r="BQ281" s="200"/>
      <c r="BR281" s="200"/>
      <c r="BS281" s="200"/>
      <c r="BT281" s="200"/>
      <c r="BU281" s="200"/>
      <c r="BV281" s="200"/>
      <c r="BW281" s="200"/>
      <c r="BX281" s="200"/>
      <c r="BY281" s="200"/>
      <c r="BZ281" s="200"/>
      <c r="CA281" s="200"/>
      <c r="CB281" s="200"/>
      <c r="CC281" s="200"/>
      <c r="CD281" s="200"/>
      <c r="CE281" s="200"/>
      <c r="CF281" s="200"/>
      <c r="CG281" s="200"/>
      <c r="CH281" s="200"/>
      <c r="CI281" s="200"/>
      <c r="CJ281" s="200"/>
      <c r="CK281" s="200"/>
      <c r="CL281" s="200"/>
      <c r="CM281" s="200"/>
      <c r="CN281" s="200"/>
      <c r="CO281" s="200"/>
      <c r="CP281" s="200"/>
      <c r="CQ281" s="200"/>
      <c r="CR281" s="200"/>
      <c r="CS281" s="200"/>
      <c r="CT281" s="200"/>
      <c r="CU281" s="200"/>
      <c r="CV281" s="200"/>
      <c r="CW281" s="200"/>
      <c r="CX281" s="200"/>
      <c r="CY281" s="200"/>
      <c r="CZ281" s="200"/>
      <c r="DA281" s="200"/>
      <c r="DB281" s="200"/>
      <c r="DC281" s="200"/>
      <c r="DD281" s="200"/>
      <c r="DE281" s="200"/>
      <c r="DF281" s="200"/>
      <c r="DG281" s="200"/>
      <c r="DH281" s="200"/>
      <c r="DI281" s="200"/>
      <c r="DJ281" s="200"/>
      <c r="DK281" s="200"/>
      <c r="DL281" s="200"/>
      <c r="DM281" s="200"/>
      <c r="DN281" s="200"/>
      <c r="DO281" s="200"/>
      <c r="DP281" s="200"/>
      <c r="DQ281" s="200"/>
      <c r="DR281" s="200"/>
      <c r="DS281" s="200"/>
      <c r="DT281" s="200"/>
      <c r="DU281" s="200"/>
      <c r="DV281" s="200"/>
      <c r="DW281" s="200"/>
      <c r="DX281" s="200"/>
      <c r="DY281" s="200"/>
      <c r="DZ281" s="200"/>
      <c r="EA281" s="200"/>
      <c r="EB281" s="200"/>
      <c r="EC281" s="200"/>
      <c r="ED281" s="200"/>
      <c r="EE281" s="200"/>
      <c r="EF281" s="200"/>
      <c r="EG281" s="200"/>
      <c r="EH281" s="200"/>
      <c r="EI281" s="200"/>
      <c r="EJ281" s="200"/>
      <c r="EK281" s="200"/>
      <c r="EL281" s="200"/>
      <c r="EM281" s="200"/>
      <c r="EN281" s="200"/>
      <c r="EO281" s="200"/>
      <c r="EP281" s="200"/>
      <c r="EQ281" s="200"/>
      <c r="ER281" s="200"/>
      <c r="ES281" s="200"/>
      <c r="ET281" s="200"/>
      <c r="EU281" s="200"/>
      <c r="EV281" s="200"/>
      <c r="EW281" s="200"/>
      <c r="EX281" s="200"/>
      <c r="EY281" s="200"/>
      <c r="EZ281" s="200"/>
      <c r="FA281" s="200"/>
      <c r="FB281" s="200"/>
      <c r="FC281" s="200"/>
      <c r="FD281" s="200"/>
      <c r="FE281" s="200"/>
      <c r="FF281" s="200"/>
      <c r="FG281" s="200"/>
      <c r="FH281" s="200"/>
      <c r="FI281" s="200"/>
      <c r="FJ281" s="200"/>
      <c r="FK281" s="200"/>
      <c r="FL281" s="200"/>
      <c r="FM281" s="200"/>
      <c r="FN281" s="200"/>
      <c r="FO281" s="200"/>
      <c r="FP281" s="200"/>
      <c r="FQ281" s="200"/>
      <c r="FR281" s="200"/>
      <c r="FS281" s="200"/>
      <c r="FT281" s="200"/>
      <c r="FU281" s="200"/>
      <c r="FV281" s="200"/>
      <c r="FW281" s="200"/>
      <c r="FX281" s="200"/>
      <c r="FY281" s="200"/>
      <c r="FZ281" s="200"/>
      <c r="GA281" s="200"/>
      <c r="GB281" s="200"/>
      <c r="GC281" s="200"/>
      <c r="GD281" s="200"/>
      <c r="GE281" s="200"/>
      <c r="GF281" s="200"/>
      <c r="GG281" s="200"/>
      <c r="GH281" s="200"/>
      <c r="GI281" s="200"/>
      <c r="GJ281" s="200"/>
      <c r="GK281" s="200"/>
      <c r="GL281" s="200"/>
      <c r="GM281" s="200"/>
      <c r="GN281" s="200"/>
      <c r="GO281" s="200"/>
      <c r="GP281" s="200"/>
      <c r="GQ281" s="200"/>
      <c r="GR281" s="200"/>
      <c r="GS281" s="200"/>
      <c r="GT281" s="200"/>
      <c r="GU281" s="200"/>
      <c r="GV281" s="200"/>
      <c r="GW281" s="200"/>
      <c r="GX281" s="200"/>
      <c r="GY281" s="200"/>
      <c r="GZ281" s="200"/>
      <c r="HA281" s="200"/>
      <c r="HB281" s="200"/>
      <c r="HC281" s="200"/>
      <c r="HD281" s="200"/>
      <c r="HE281" s="200"/>
      <c r="HF281" s="200"/>
      <c r="HG281" s="200"/>
      <c r="HH281" s="200"/>
      <c r="HI281" s="200"/>
      <c r="HJ281" s="200"/>
      <c r="HK281" s="200"/>
      <c r="HL281" s="200"/>
      <c r="HM281" s="200"/>
      <c r="HN281" s="200"/>
      <c r="HO281" s="200"/>
      <c r="HP281" s="200"/>
      <c r="HQ281" s="200"/>
      <c r="HR281" s="200"/>
      <c r="HS281" s="200"/>
      <c r="HT281" s="200"/>
      <c r="HU281" s="200"/>
      <c r="HV281" s="200"/>
      <c r="HW281" s="200"/>
      <c r="HX281" s="200"/>
      <c r="HY281" s="200"/>
      <c r="HZ281" s="200"/>
      <c r="IA281" s="200"/>
      <c r="IB281" s="200"/>
      <c r="IC281" s="200"/>
      <c r="ID281" s="200"/>
      <c r="IE281" s="200"/>
      <c r="IF281" s="200"/>
      <c r="IG281" s="200"/>
      <c r="IH281" s="200"/>
      <c r="II281" s="200"/>
      <c r="IJ281" s="200"/>
      <c r="IK281" s="200"/>
      <c r="IL281" s="200"/>
      <c r="IM281" s="200"/>
      <c r="IN281" s="200"/>
      <c r="IO281" s="200"/>
      <c r="IP281" s="200"/>
      <c r="IQ281" s="200"/>
      <c r="IR281" s="200"/>
      <c r="IS281" s="200"/>
      <c r="IT281" s="200"/>
      <c r="IU281" s="201"/>
      <c r="IV281" s="201"/>
    </row>
    <row r="282" s="10" customFormat="1" ht="15.95" customHeight="1" spans="1:256">
      <c r="A282" s="199">
        <v>62</v>
      </c>
      <c r="B282" s="20" t="s">
        <v>2268</v>
      </c>
      <c r="C282" s="199" t="s">
        <v>2269</v>
      </c>
      <c r="D282" s="199">
        <v>6062</v>
      </c>
      <c r="E282" s="199">
        <f>'05版台时'!P461</f>
        <v>132.182814133685</v>
      </c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200"/>
      <c r="AE282" s="200"/>
      <c r="AF282" s="200"/>
      <c r="AG282" s="200"/>
      <c r="AH282" s="200"/>
      <c r="AI282" s="200"/>
      <c r="AJ282" s="200"/>
      <c r="AK282" s="200"/>
      <c r="AL282" s="200"/>
      <c r="AM282" s="200"/>
      <c r="AN282" s="200"/>
      <c r="AO282" s="200"/>
      <c r="AP282" s="200"/>
      <c r="AQ282" s="200"/>
      <c r="AR282" s="200"/>
      <c r="AS282" s="200"/>
      <c r="AT282" s="200"/>
      <c r="AU282" s="200"/>
      <c r="AV282" s="200"/>
      <c r="AW282" s="200"/>
      <c r="AX282" s="200"/>
      <c r="AY282" s="200"/>
      <c r="AZ282" s="200"/>
      <c r="BA282" s="200"/>
      <c r="BB282" s="200"/>
      <c r="BC282" s="200"/>
      <c r="BD282" s="200"/>
      <c r="BE282" s="200"/>
      <c r="BF282" s="200"/>
      <c r="BG282" s="200"/>
      <c r="BH282" s="200"/>
      <c r="BI282" s="200"/>
      <c r="BJ282" s="200"/>
      <c r="BK282" s="200"/>
      <c r="BL282" s="200"/>
      <c r="BM282" s="200"/>
      <c r="BN282" s="200"/>
      <c r="BO282" s="200"/>
      <c r="BP282" s="200"/>
      <c r="BQ282" s="200"/>
      <c r="BR282" s="200"/>
      <c r="BS282" s="200"/>
      <c r="BT282" s="200"/>
      <c r="BU282" s="200"/>
      <c r="BV282" s="200"/>
      <c r="BW282" s="200"/>
      <c r="BX282" s="200"/>
      <c r="BY282" s="200"/>
      <c r="BZ282" s="200"/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200"/>
      <c r="CX282" s="200"/>
      <c r="CY282" s="200"/>
      <c r="CZ282" s="200"/>
      <c r="DA282" s="200"/>
      <c r="DB282" s="200"/>
      <c r="DC282" s="200"/>
      <c r="DD282" s="200"/>
      <c r="DE282" s="200"/>
      <c r="DF282" s="200"/>
      <c r="DG282" s="200"/>
      <c r="DH282" s="200"/>
      <c r="DI282" s="200"/>
      <c r="DJ282" s="200"/>
      <c r="DK282" s="200"/>
      <c r="DL282" s="200"/>
      <c r="DM282" s="200"/>
      <c r="DN282" s="200"/>
      <c r="DO282" s="200"/>
      <c r="DP282" s="200"/>
      <c r="DQ282" s="200"/>
      <c r="DR282" s="200"/>
      <c r="DS282" s="200"/>
      <c r="DT282" s="200"/>
      <c r="DU282" s="200"/>
      <c r="DV282" s="200"/>
      <c r="DW282" s="200"/>
      <c r="DX282" s="200"/>
      <c r="DY282" s="200"/>
      <c r="DZ282" s="200"/>
      <c r="EA282" s="200"/>
      <c r="EB282" s="200"/>
      <c r="EC282" s="200"/>
      <c r="ED282" s="200"/>
      <c r="EE282" s="200"/>
      <c r="EF282" s="200"/>
      <c r="EG282" s="200"/>
      <c r="EH282" s="200"/>
      <c r="EI282" s="200"/>
      <c r="EJ282" s="200"/>
      <c r="EK282" s="200"/>
      <c r="EL282" s="200"/>
      <c r="EM282" s="200"/>
      <c r="EN282" s="200"/>
      <c r="EO282" s="200"/>
      <c r="EP282" s="200"/>
      <c r="EQ282" s="200"/>
      <c r="ER282" s="200"/>
      <c r="ES282" s="200"/>
      <c r="ET282" s="200"/>
      <c r="EU282" s="200"/>
      <c r="EV282" s="200"/>
      <c r="EW282" s="200"/>
      <c r="EX282" s="200"/>
      <c r="EY282" s="200"/>
      <c r="EZ282" s="200"/>
      <c r="FA282" s="200"/>
      <c r="FB282" s="200"/>
      <c r="FC282" s="200"/>
      <c r="FD282" s="200"/>
      <c r="FE282" s="200"/>
      <c r="FF282" s="200"/>
      <c r="FG282" s="200"/>
      <c r="FH282" s="200"/>
      <c r="FI282" s="200"/>
      <c r="FJ282" s="200"/>
      <c r="FK282" s="200"/>
      <c r="FL282" s="200"/>
      <c r="FM282" s="200"/>
      <c r="FN282" s="200"/>
      <c r="FO282" s="200"/>
      <c r="FP282" s="200"/>
      <c r="FQ282" s="200"/>
      <c r="FR282" s="200"/>
      <c r="FS282" s="200"/>
      <c r="FT282" s="200"/>
      <c r="FU282" s="200"/>
      <c r="FV282" s="200"/>
      <c r="FW282" s="200"/>
      <c r="FX282" s="200"/>
      <c r="FY282" s="200"/>
      <c r="FZ282" s="200"/>
      <c r="GA282" s="200"/>
      <c r="GB282" s="200"/>
      <c r="GC282" s="200"/>
      <c r="GD282" s="200"/>
      <c r="GE282" s="200"/>
      <c r="GF282" s="200"/>
      <c r="GG282" s="200"/>
      <c r="GH282" s="200"/>
      <c r="GI282" s="200"/>
      <c r="GJ282" s="200"/>
      <c r="GK282" s="200"/>
      <c r="GL282" s="200"/>
      <c r="GM282" s="200"/>
      <c r="GN282" s="200"/>
      <c r="GO282" s="200"/>
      <c r="GP282" s="200"/>
      <c r="GQ282" s="200"/>
      <c r="GR282" s="200"/>
      <c r="GS282" s="200"/>
      <c r="GT282" s="200"/>
      <c r="GU282" s="200"/>
      <c r="GV282" s="200"/>
      <c r="GW282" s="200"/>
      <c r="GX282" s="200"/>
      <c r="GY282" s="200"/>
      <c r="GZ282" s="200"/>
      <c r="HA282" s="200"/>
      <c r="HB282" s="200"/>
      <c r="HC282" s="200"/>
      <c r="HD282" s="200"/>
      <c r="HE282" s="200"/>
      <c r="HF282" s="200"/>
      <c r="HG282" s="200"/>
      <c r="HH282" s="200"/>
      <c r="HI282" s="200"/>
      <c r="HJ282" s="200"/>
      <c r="HK282" s="200"/>
      <c r="HL282" s="200"/>
      <c r="HM282" s="200"/>
      <c r="HN282" s="200"/>
      <c r="HO282" s="200"/>
      <c r="HP282" s="200"/>
      <c r="HQ282" s="200"/>
      <c r="HR282" s="200"/>
      <c r="HS282" s="200"/>
      <c r="HT282" s="200"/>
      <c r="HU282" s="200"/>
      <c r="HV282" s="200"/>
      <c r="HW282" s="200"/>
      <c r="HX282" s="200"/>
      <c r="HY282" s="200"/>
      <c r="HZ282" s="200"/>
      <c r="IA282" s="200"/>
      <c r="IB282" s="200"/>
      <c r="IC282" s="200"/>
      <c r="ID282" s="200"/>
      <c r="IE282" s="200"/>
      <c r="IF282" s="200"/>
      <c r="IG282" s="200"/>
      <c r="IH282" s="200"/>
      <c r="II282" s="200"/>
      <c r="IJ282" s="200"/>
      <c r="IK282" s="200"/>
      <c r="IL282" s="200"/>
      <c r="IM282" s="200"/>
      <c r="IN282" s="200"/>
      <c r="IO282" s="200"/>
      <c r="IP282" s="200"/>
      <c r="IQ282" s="200"/>
      <c r="IR282" s="200"/>
      <c r="IS282" s="200"/>
      <c r="IT282" s="200"/>
      <c r="IU282" s="201"/>
      <c r="IV282" s="201"/>
    </row>
    <row r="283" s="10" customFormat="1" ht="15.95" customHeight="1" spans="1:256">
      <c r="A283" s="199">
        <v>63</v>
      </c>
      <c r="B283" s="20" t="s">
        <v>2268</v>
      </c>
      <c r="C283" s="199" t="s">
        <v>2264</v>
      </c>
      <c r="D283" s="199">
        <v>6063</v>
      </c>
      <c r="E283" s="199">
        <f>'05版台时'!Q461</f>
        <v>138.891755497865</v>
      </c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200"/>
      <c r="AE283" s="200"/>
      <c r="AF283" s="200"/>
      <c r="AG283" s="200"/>
      <c r="AH283" s="200"/>
      <c r="AI283" s="200"/>
      <c r="AJ283" s="200"/>
      <c r="AK283" s="200"/>
      <c r="AL283" s="200"/>
      <c r="AM283" s="200"/>
      <c r="AN283" s="200"/>
      <c r="AO283" s="200"/>
      <c r="AP283" s="200"/>
      <c r="AQ283" s="200"/>
      <c r="AR283" s="200"/>
      <c r="AS283" s="200"/>
      <c r="AT283" s="200"/>
      <c r="AU283" s="200"/>
      <c r="AV283" s="200"/>
      <c r="AW283" s="200"/>
      <c r="AX283" s="200"/>
      <c r="AY283" s="200"/>
      <c r="AZ283" s="200"/>
      <c r="BA283" s="200"/>
      <c r="BB283" s="200"/>
      <c r="BC283" s="200"/>
      <c r="BD283" s="200"/>
      <c r="BE283" s="200"/>
      <c r="BF283" s="200"/>
      <c r="BG283" s="200"/>
      <c r="BH283" s="200"/>
      <c r="BI283" s="200"/>
      <c r="BJ283" s="200"/>
      <c r="BK283" s="200"/>
      <c r="BL283" s="200"/>
      <c r="BM283" s="200"/>
      <c r="BN283" s="200"/>
      <c r="BO283" s="200"/>
      <c r="BP283" s="200"/>
      <c r="BQ283" s="200"/>
      <c r="BR283" s="200"/>
      <c r="BS283" s="200"/>
      <c r="BT283" s="200"/>
      <c r="BU283" s="200"/>
      <c r="BV283" s="200"/>
      <c r="BW283" s="200"/>
      <c r="BX283" s="200"/>
      <c r="BY283" s="200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200"/>
      <c r="CX283" s="200"/>
      <c r="CY283" s="200"/>
      <c r="CZ283" s="200"/>
      <c r="DA283" s="200"/>
      <c r="DB283" s="200"/>
      <c r="DC283" s="200"/>
      <c r="DD283" s="200"/>
      <c r="DE283" s="200"/>
      <c r="DF283" s="200"/>
      <c r="DG283" s="200"/>
      <c r="DH283" s="200"/>
      <c r="DI283" s="200"/>
      <c r="DJ283" s="200"/>
      <c r="DK283" s="200"/>
      <c r="DL283" s="200"/>
      <c r="DM283" s="200"/>
      <c r="DN283" s="200"/>
      <c r="DO283" s="200"/>
      <c r="DP283" s="200"/>
      <c r="DQ283" s="200"/>
      <c r="DR283" s="200"/>
      <c r="DS283" s="200"/>
      <c r="DT283" s="200"/>
      <c r="DU283" s="200"/>
      <c r="DV283" s="200"/>
      <c r="DW283" s="200"/>
      <c r="DX283" s="200"/>
      <c r="DY283" s="200"/>
      <c r="DZ283" s="200"/>
      <c r="EA283" s="200"/>
      <c r="EB283" s="200"/>
      <c r="EC283" s="200"/>
      <c r="ED283" s="200"/>
      <c r="EE283" s="200"/>
      <c r="EF283" s="200"/>
      <c r="EG283" s="200"/>
      <c r="EH283" s="200"/>
      <c r="EI283" s="200"/>
      <c r="EJ283" s="200"/>
      <c r="EK283" s="200"/>
      <c r="EL283" s="200"/>
      <c r="EM283" s="200"/>
      <c r="EN283" s="200"/>
      <c r="EO283" s="200"/>
      <c r="EP283" s="200"/>
      <c r="EQ283" s="200"/>
      <c r="ER283" s="200"/>
      <c r="ES283" s="200"/>
      <c r="ET283" s="200"/>
      <c r="EU283" s="200"/>
      <c r="EV283" s="200"/>
      <c r="EW283" s="200"/>
      <c r="EX283" s="200"/>
      <c r="EY283" s="200"/>
      <c r="EZ283" s="200"/>
      <c r="FA283" s="200"/>
      <c r="FB283" s="200"/>
      <c r="FC283" s="200"/>
      <c r="FD283" s="200"/>
      <c r="FE283" s="200"/>
      <c r="FF283" s="200"/>
      <c r="FG283" s="200"/>
      <c r="FH283" s="200"/>
      <c r="FI283" s="200"/>
      <c r="FJ283" s="200"/>
      <c r="FK283" s="200"/>
      <c r="FL283" s="200"/>
      <c r="FM283" s="200"/>
      <c r="FN283" s="200"/>
      <c r="FO283" s="200"/>
      <c r="FP283" s="200"/>
      <c r="FQ283" s="200"/>
      <c r="FR283" s="200"/>
      <c r="FS283" s="200"/>
      <c r="FT283" s="200"/>
      <c r="FU283" s="200"/>
      <c r="FV283" s="200"/>
      <c r="FW283" s="200"/>
      <c r="FX283" s="200"/>
      <c r="FY283" s="200"/>
      <c r="FZ283" s="200"/>
      <c r="GA283" s="200"/>
      <c r="GB283" s="200"/>
      <c r="GC283" s="200"/>
      <c r="GD283" s="200"/>
      <c r="GE283" s="200"/>
      <c r="GF283" s="200"/>
      <c r="GG283" s="200"/>
      <c r="GH283" s="200"/>
      <c r="GI283" s="200"/>
      <c r="GJ283" s="200"/>
      <c r="GK283" s="200"/>
      <c r="GL283" s="200"/>
      <c r="GM283" s="200"/>
      <c r="GN283" s="200"/>
      <c r="GO283" s="200"/>
      <c r="GP283" s="200"/>
      <c r="GQ283" s="200"/>
      <c r="GR283" s="200"/>
      <c r="GS283" s="200"/>
      <c r="GT283" s="200"/>
      <c r="GU283" s="200"/>
      <c r="GV283" s="200"/>
      <c r="GW283" s="200"/>
      <c r="GX283" s="200"/>
      <c r="GY283" s="200"/>
      <c r="GZ283" s="200"/>
      <c r="HA283" s="200"/>
      <c r="HB283" s="200"/>
      <c r="HC283" s="200"/>
      <c r="HD283" s="200"/>
      <c r="HE283" s="200"/>
      <c r="HF283" s="200"/>
      <c r="HG283" s="200"/>
      <c r="HH283" s="200"/>
      <c r="HI283" s="200"/>
      <c r="HJ283" s="200"/>
      <c r="HK283" s="200"/>
      <c r="HL283" s="200"/>
      <c r="HM283" s="200"/>
      <c r="HN283" s="200"/>
      <c r="HO283" s="200"/>
      <c r="HP283" s="200"/>
      <c r="HQ283" s="200"/>
      <c r="HR283" s="200"/>
      <c r="HS283" s="200"/>
      <c r="HT283" s="200"/>
      <c r="HU283" s="200"/>
      <c r="HV283" s="200"/>
      <c r="HW283" s="200"/>
      <c r="HX283" s="200"/>
      <c r="HY283" s="200"/>
      <c r="HZ283" s="200"/>
      <c r="IA283" s="200"/>
      <c r="IB283" s="200"/>
      <c r="IC283" s="200"/>
      <c r="ID283" s="200"/>
      <c r="IE283" s="200"/>
      <c r="IF283" s="200"/>
      <c r="IG283" s="200"/>
      <c r="IH283" s="200"/>
      <c r="II283" s="200"/>
      <c r="IJ283" s="200"/>
      <c r="IK283" s="200"/>
      <c r="IL283" s="200"/>
      <c r="IM283" s="200"/>
      <c r="IN283" s="200"/>
      <c r="IO283" s="200"/>
      <c r="IP283" s="200"/>
      <c r="IQ283" s="200"/>
      <c r="IR283" s="200"/>
      <c r="IS283" s="200"/>
      <c r="IT283" s="200"/>
      <c r="IU283" s="201"/>
      <c r="IV283" s="201"/>
    </row>
    <row r="284" s="10" customFormat="1" ht="15.95" customHeight="1" spans="1:256">
      <c r="A284" s="199">
        <v>64</v>
      </c>
      <c r="B284" s="20" t="s">
        <v>2268</v>
      </c>
      <c r="C284" s="199" t="s">
        <v>2046</v>
      </c>
      <c r="D284" s="199">
        <v>6064</v>
      </c>
      <c r="E284" s="199">
        <f>'05版台时'!R461</f>
        <v>114.589522151236</v>
      </c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200"/>
      <c r="AE284" s="200"/>
      <c r="AF284" s="200"/>
      <c r="AG284" s="200"/>
      <c r="AH284" s="200"/>
      <c r="AI284" s="200"/>
      <c r="AJ284" s="200"/>
      <c r="AK284" s="200"/>
      <c r="AL284" s="200"/>
      <c r="AM284" s="200"/>
      <c r="AN284" s="200"/>
      <c r="AO284" s="200"/>
      <c r="AP284" s="200"/>
      <c r="AQ284" s="200"/>
      <c r="AR284" s="200"/>
      <c r="AS284" s="200"/>
      <c r="AT284" s="200"/>
      <c r="AU284" s="200"/>
      <c r="AV284" s="200"/>
      <c r="AW284" s="200"/>
      <c r="AX284" s="200"/>
      <c r="AY284" s="200"/>
      <c r="AZ284" s="200"/>
      <c r="BA284" s="200"/>
      <c r="BB284" s="200"/>
      <c r="BC284" s="200"/>
      <c r="BD284" s="200"/>
      <c r="BE284" s="200"/>
      <c r="BF284" s="200"/>
      <c r="BG284" s="200"/>
      <c r="BH284" s="200"/>
      <c r="BI284" s="200"/>
      <c r="BJ284" s="200"/>
      <c r="BK284" s="200"/>
      <c r="BL284" s="200"/>
      <c r="BM284" s="200"/>
      <c r="BN284" s="200"/>
      <c r="BO284" s="200"/>
      <c r="BP284" s="200"/>
      <c r="BQ284" s="200"/>
      <c r="BR284" s="200"/>
      <c r="BS284" s="200"/>
      <c r="BT284" s="200"/>
      <c r="BU284" s="200"/>
      <c r="BV284" s="200"/>
      <c r="BW284" s="200"/>
      <c r="BX284" s="200"/>
      <c r="BY284" s="200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200"/>
      <c r="CX284" s="200"/>
      <c r="CY284" s="200"/>
      <c r="CZ284" s="200"/>
      <c r="DA284" s="200"/>
      <c r="DB284" s="200"/>
      <c r="DC284" s="200"/>
      <c r="DD284" s="200"/>
      <c r="DE284" s="200"/>
      <c r="DF284" s="200"/>
      <c r="DG284" s="200"/>
      <c r="DH284" s="200"/>
      <c r="DI284" s="200"/>
      <c r="DJ284" s="200"/>
      <c r="DK284" s="200"/>
      <c r="DL284" s="200"/>
      <c r="DM284" s="200"/>
      <c r="DN284" s="200"/>
      <c r="DO284" s="200"/>
      <c r="DP284" s="200"/>
      <c r="DQ284" s="200"/>
      <c r="DR284" s="200"/>
      <c r="DS284" s="200"/>
      <c r="DT284" s="200"/>
      <c r="DU284" s="200"/>
      <c r="DV284" s="200"/>
      <c r="DW284" s="200"/>
      <c r="DX284" s="200"/>
      <c r="DY284" s="200"/>
      <c r="DZ284" s="200"/>
      <c r="EA284" s="200"/>
      <c r="EB284" s="200"/>
      <c r="EC284" s="200"/>
      <c r="ED284" s="200"/>
      <c r="EE284" s="200"/>
      <c r="EF284" s="200"/>
      <c r="EG284" s="200"/>
      <c r="EH284" s="200"/>
      <c r="EI284" s="200"/>
      <c r="EJ284" s="200"/>
      <c r="EK284" s="200"/>
      <c r="EL284" s="200"/>
      <c r="EM284" s="200"/>
      <c r="EN284" s="200"/>
      <c r="EO284" s="200"/>
      <c r="EP284" s="200"/>
      <c r="EQ284" s="200"/>
      <c r="ER284" s="200"/>
      <c r="ES284" s="200"/>
      <c r="ET284" s="200"/>
      <c r="EU284" s="200"/>
      <c r="EV284" s="200"/>
      <c r="EW284" s="200"/>
      <c r="EX284" s="200"/>
      <c r="EY284" s="200"/>
      <c r="EZ284" s="200"/>
      <c r="FA284" s="200"/>
      <c r="FB284" s="200"/>
      <c r="FC284" s="200"/>
      <c r="FD284" s="200"/>
      <c r="FE284" s="200"/>
      <c r="FF284" s="200"/>
      <c r="FG284" s="200"/>
      <c r="FH284" s="200"/>
      <c r="FI284" s="200"/>
      <c r="FJ284" s="200"/>
      <c r="FK284" s="200"/>
      <c r="FL284" s="200"/>
      <c r="FM284" s="200"/>
      <c r="FN284" s="200"/>
      <c r="FO284" s="200"/>
      <c r="FP284" s="200"/>
      <c r="FQ284" s="200"/>
      <c r="FR284" s="200"/>
      <c r="FS284" s="200"/>
      <c r="FT284" s="200"/>
      <c r="FU284" s="200"/>
      <c r="FV284" s="200"/>
      <c r="FW284" s="200"/>
      <c r="FX284" s="200"/>
      <c r="FY284" s="200"/>
      <c r="FZ284" s="200"/>
      <c r="GA284" s="200"/>
      <c r="GB284" s="200"/>
      <c r="GC284" s="200"/>
      <c r="GD284" s="200"/>
      <c r="GE284" s="200"/>
      <c r="GF284" s="200"/>
      <c r="GG284" s="200"/>
      <c r="GH284" s="200"/>
      <c r="GI284" s="200"/>
      <c r="GJ284" s="200"/>
      <c r="GK284" s="200"/>
      <c r="GL284" s="200"/>
      <c r="GM284" s="200"/>
      <c r="GN284" s="200"/>
      <c r="GO284" s="200"/>
      <c r="GP284" s="200"/>
      <c r="GQ284" s="200"/>
      <c r="GR284" s="200"/>
      <c r="GS284" s="200"/>
      <c r="GT284" s="200"/>
      <c r="GU284" s="200"/>
      <c r="GV284" s="200"/>
      <c r="GW284" s="200"/>
      <c r="GX284" s="200"/>
      <c r="GY284" s="200"/>
      <c r="GZ284" s="200"/>
      <c r="HA284" s="200"/>
      <c r="HB284" s="200"/>
      <c r="HC284" s="200"/>
      <c r="HD284" s="200"/>
      <c r="HE284" s="200"/>
      <c r="HF284" s="200"/>
      <c r="HG284" s="200"/>
      <c r="HH284" s="200"/>
      <c r="HI284" s="200"/>
      <c r="HJ284" s="200"/>
      <c r="HK284" s="200"/>
      <c r="HL284" s="200"/>
      <c r="HM284" s="200"/>
      <c r="HN284" s="200"/>
      <c r="HO284" s="200"/>
      <c r="HP284" s="200"/>
      <c r="HQ284" s="200"/>
      <c r="HR284" s="200"/>
      <c r="HS284" s="200"/>
      <c r="HT284" s="200"/>
      <c r="HU284" s="200"/>
      <c r="HV284" s="200"/>
      <c r="HW284" s="200"/>
      <c r="HX284" s="200"/>
      <c r="HY284" s="200"/>
      <c r="HZ284" s="200"/>
      <c r="IA284" s="200"/>
      <c r="IB284" s="200"/>
      <c r="IC284" s="200"/>
      <c r="ID284" s="200"/>
      <c r="IE284" s="200"/>
      <c r="IF284" s="200"/>
      <c r="IG284" s="200"/>
      <c r="IH284" s="200"/>
      <c r="II284" s="200"/>
      <c r="IJ284" s="200"/>
      <c r="IK284" s="200"/>
      <c r="IL284" s="200"/>
      <c r="IM284" s="200"/>
      <c r="IN284" s="200"/>
      <c r="IO284" s="200"/>
      <c r="IP284" s="200"/>
      <c r="IQ284" s="200"/>
      <c r="IR284" s="200"/>
      <c r="IS284" s="200"/>
      <c r="IT284" s="200"/>
      <c r="IU284" s="201"/>
      <c r="IV284" s="201"/>
    </row>
    <row r="285" s="10" customFormat="1" ht="15.95" customHeight="1" spans="1:256">
      <c r="A285" s="199">
        <v>65</v>
      </c>
      <c r="B285" s="20" t="s">
        <v>2268</v>
      </c>
      <c r="C285" s="199" t="s">
        <v>2270</v>
      </c>
      <c r="D285" s="199">
        <v>6065</v>
      </c>
      <c r="E285" s="199">
        <f>'05版台时'!S461</f>
        <v>186.013657372616</v>
      </c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200"/>
      <c r="AE285" s="200"/>
      <c r="AF285" s="200"/>
      <c r="AG285" s="200"/>
      <c r="AH285" s="200"/>
      <c r="AI285" s="200"/>
      <c r="AJ285" s="200"/>
      <c r="AK285" s="200"/>
      <c r="AL285" s="200"/>
      <c r="AM285" s="200"/>
      <c r="AN285" s="200"/>
      <c r="AO285" s="200"/>
      <c r="AP285" s="200"/>
      <c r="AQ285" s="200"/>
      <c r="AR285" s="200"/>
      <c r="AS285" s="200"/>
      <c r="AT285" s="200"/>
      <c r="AU285" s="200"/>
      <c r="AV285" s="200"/>
      <c r="AW285" s="200"/>
      <c r="AX285" s="200"/>
      <c r="AY285" s="200"/>
      <c r="AZ285" s="200"/>
      <c r="BA285" s="200"/>
      <c r="BB285" s="200"/>
      <c r="BC285" s="200"/>
      <c r="BD285" s="200"/>
      <c r="BE285" s="200"/>
      <c r="BF285" s="200"/>
      <c r="BG285" s="200"/>
      <c r="BH285" s="200"/>
      <c r="BI285" s="200"/>
      <c r="BJ285" s="200"/>
      <c r="BK285" s="200"/>
      <c r="BL285" s="200"/>
      <c r="BM285" s="200"/>
      <c r="BN285" s="200"/>
      <c r="BO285" s="200"/>
      <c r="BP285" s="200"/>
      <c r="BQ285" s="200"/>
      <c r="BR285" s="200"/>
      <c r="BS285" s="200"/>
      <c r="BT285" s="200"/>
      <c r="BU285" s="200"/>
      <c r="BV285" s="200"/>
      <c r="BW285" s="200"/>
      <c r="BX285" s="200"/>
      <c r="BY285" s="200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200"/>
      <c r="CX285" s="200"/>
      <c r="CY285" s="200"/>
      <c r="CZ285" s="200"/>
      <c r="DA285" s="200"/>
      <c r="DB285" s="200"/>
      <c r="DC285" s="200"/>
      <c r="DD285" s="200"/>
      <c r="DE285" s="200"/>
      <c r="DF285" s="200"/>
      <c r="DG285" s="200"/>
      <c r="DH285" s="200"/>
      <c r="DI285" s="200"/>
      <c r="DJ285" s="200"/>
      <c r="DK285" s="200"/>
      <c r="DL285" s="200"/>
      <c r="DM285" s="200"/>
      <c r="DN285" s="200"/>
      <c r="DO285" s="200"/>
      <c r="DP285" s="200"/>
      <c r="DQ285" s="200"/>
      <c r="DR285" s="200"/>
      <c r="DS285" s="200"/>
      <c r="DT285" s="200"/>
      <c r="DU285" s="200"/>
      <c r="DV285" s="200"/>
      <c r="DW285" s="200"/>
      <c r="DX285" s="200"/>
      <c r="DY285" s="200"/>
      <c r="DZ285" s="200"/>
      <c r="EA285" s="200"/>
      <c r="EB285" s="200"/>
      <c r="EC285" s="200"/>
      <c r="ED285" s="200"/>
      <c r="EE285" s="200"/>
      <c r="EF285" s="200"/>
      <c r="EG285" s="200"/>
      <c r="EH285" s="200"/>
      <c r="EI285" s="200"/>
      <c r="EJ285" s="200"/>
      <c r="EK285" s="200"/>
      <c r="EL285" s="200"/>
      <c r="EM285" s="200"/>
      <c r="EN285" s="200"/>
      <c r="EO285" s="200"/>
      <c r="EP285" s="200"/>
      <c r="EQ285" s="200"/>
      <c r="ER285" s="200"/>
      <c r="ES285" s="200"/>
      <c r="ET285" s="200"/>
      <c r="EU285" s="200"/>
      <c r="EV285" s="200"/>
      <c r="EW285" s="200"/>
      <c r="EX285" s="200"/>
      <c r="EY285" s="200"/>
      <c r="EZ285" s="200"/>
      <c r="FA285" s="200"/>
      <c r="FB285" s="200"/>
      <c r="FC285" s="200"/>
      <c r="FD285" s="200"/>
      <c r="FE285" s="200"/>
      <c r="FF285" s="200"/>
      <c r="FG285" s="200"/>
      <c r="FH285" s="200"/>
      <c r="FI285" s="200"/>
      <c r="FJ285" s="200"/>
      <c r="FK285" s="200"/>
      <c r="FL285" s="200"/>
      <c r="FM285" s="200"/>
      <c r="FN285" s="200"/>
      <c r="FO285" s="200"/>
      <c r="FP285" s="200"/>
      <c r="FQ285" s="200"/>
      <c r="FR285" s="200"/>
      <c r="FS285" s="200"/>
      <c r="FT285" s="200"/>
      <c r="FU285" s="200"/>
      <c r="FV285" s="200"/>
      <c r="FW285" s="200"/>
      <c r="FX285" s="200"/>
      <c r="FY285" s="200"/>
      <c r="FZ285" s="200"/>
      <c r="GA285" s="200"/>
      <c r="GB285" s="200"/>
      <c r="GC285" s="200"/>
      <c r="GD285" s="200"/>
      <c r="GE285" s="200"/>
      <c r="GF285" s="200"/>
      <c r="GG285" s="200"/>
      <c r="GH285" s="200"/>
      <c r="GI285" s="200"/>
      <c r="GJ285" s="200"/>
      <c r="GK285" s="200"/>
      <c r="GL285" s="200"/>
      <c r="GM285" s="200"/>
      <c r="GN285" s="200"/>
      <c r="GO285" s="200"/>
      <c r="GP285" s="200"/>
      <c r="GQ285" s="200"/>
      <c r="GR285" s="200"/>
      <c r="GS285" s="200"/>
      <c r="GT285" s="200"/>
      <c r="GU285" s="200"/>
      <c r="GV285" s="200"/>
      <c r="GW285" s="200"/>
      <c r="GX285" s="200"/>
      <c r="GY285" s="200"/>
      <c r="GZ285" s="200"/>
      <c r="HA285" s="200"/>
      <c r="HB285" s="200"/>
      <c r="HC285" s="200"/>
      <c r="HD285" s="200"/>
      <c r="HE285" s="200"/>
      <c r="HF285" s="200"/>
      <c r="HG285" s="200"/>
      <c r="HH285" s="200"/>
      <c r="HI285" s="200"/>
      <c r="HJ285" s="200"/>
      <c r="HK285" s="200"/>
      <c r="HL285" s="200"/>
      <c r="HM285" s="200"/>
      <c r="HN285" s="200"/>
      <c r="HO285" s="200"/>
      <c r="HP285" s="200"/>
      <c r="HQ285" s="200"/>
      <c r="HR285" s="200"/>
      <c r="HS285" s="200"/>
      <c r="HT285" s="200"/>
      <c r="HU285" s="200"/>
      <c r="HV285" s="200"/>
      <c r="HW285" s="200"/>
      <c r="HX285" s="200"/>
      <c r="HY285" s="200"/>
      <c r="HZ285" s="200"/>
      <c r="IA285" s="200"/>
      <c r="IB285" s="200"/>
      <c r="IC285" s="200"/>
      <c r="ID285" s="200"/>
      <c r="IE285" s="200"/>
      <c r="IF285" s="200"/>
      <c r="IG285" s="200"/>
      <c r="IH285" s="200"/>
      <c r="II285" s="200"/>
      <c r="IJ285" s="200"/>
      <c r="IK285" s="200"/>
      <c r="IL285" s="200"/>
      <c r="IM285" s="200"/>
      <c r="IN285" s="200"/>
      <c r="IO285" s="200"/>
      <c r="IP285" s="200"/>
      <c r="IQ285" s="200"/>
      <c r="IR285" s="200"/>
      <c r="IS285" s="200"/>
      <c r="IT285" s="200"/>
      <c r="IU285" s="201"/>
      <c r="IV285" s="201"/>
    </row>
    <row r="286" s="10" customFormat="1" ht="15.95" customHeight="1" spans="1:256">
      <c r="A286" s="199">
        <v>66</v>
      </c>
      <c r="B286" s="20" t="s">
        <v>2268</v>
      </c>
      <c r="C286" s="199" t="s">
        <v>2271</v>
      </c>
      <c r="D286" s="199">
        <v>6066</v>
      </c>
      <c r="E286" s="199">
        <f>'05版台时'!T461</f>
        <v>223.140364698408</v>
      </c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  <c r="AE286" s="200"/>
      <c r="AF286" s="200"/>
      <c r="AG286" s="200"/>
      <c r="AH286" s="200"/>
      <c r="AI286" s="200"/>
      <c r="AJ286" s="200"/>
      <c r="AK286" s="200"/>
      <c r="AL286" s="200"/>
      <c r="AM286" s="200"/>
      <c r="AN286" s="200"/>
      <c r="AO286" s="200"/>
      <c r="AP286" s="200"/>
      <c r="AQ286" s="200"/>
      <c r="AR286" s="200"/>
      <c r="AS286" s="200"/>
      <c r="AT286" s="200"/>
      <c r="AU286" s="200"/>
      <c r="AV286" s="200"/>
      <c r="AW286" s="200"/>
      <c r="AX286" s="200"/>
      <c r="AY286" s="200"/>
      <c r="AZ286" s="200"/>
      <c r="BA286" s="200"/>
      <c r="BB286" s="200"/>
      <c r="BC286" s="200"/>
      <c r="BD286" s="200"/>
      <c r="BE286" s="200"/>
      <c r="BF286" s="200"/>
      <c r="BG286" s="200"/>
      <c r="BH286" s="200"/>
      <c r="BI286" s="200"/>
      <c r="BJ286" s="200"/>
      <c r="BK286" s="200"/>
      <c r="BL286" s="200"/>
      <c r="BM286" s="200"/>
      <c r="BN286" s="200"/>
      <c r="BO286" s="200"/>
      <c r="BP286" s="200"/>
      <c r="BQ286" s="200"/>
      <c r="BR286" s="200"/>
      <c r="BS286" s="200"/>
      <c r="BT286" s="200"/>
      <c r="BU286" s="200"/>
      <c r="BV286" s="200"/>
      <c r="BW286" s="200"/>
      <c r="BX286" s="200"/>
      <c r="BY286" s="200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200"/>
      <c r="CX286" s="200"/>
      <c r="CY286" s="200"/>
      <c r="CZ286" s="200"/>
      <c r="DA286" s="200"/>
      <c r="DB286" s="200"/>
      <c r="DC286" s="200"/>
      <c r="DD286" s="200"/>
      <c r="DE286" s="200"/>
      <c r="DF286" s="200"/>
      <c r="DG286" s="200"/>
      <c r="DH286" s="200"/>
      <c r="DI286" s="200"/>
      <c r="DJ286" s="200"/>
      <c r="DK286" s="200"/>
      <c r="DL286" s="200"/>
      <c r="DM286" s="200"/>
      <c r="DN286" s="200"/>
      <c r="DO286" s="200"/>
      <c r="DP286" s="200"/>
      <c r="DQ286" s="200"/>
      <c r="DR286" s="200"/>
      <c r="DS286" s="200"/>
      <c r="DT286" s="200"/>
      <c r="DU286" s="200"/>
      <c r="DV286" s="200"/>
      <c r="DW286" s="200"/>
      <c r="DX286" s="200"/>
      <c r="DY286" s="200"/>
      <c r="DZ286" s="200"/>
      <c r="EA286" s="200"/>
      <c r="EB286" s="200"/>
      <c r="EC286" s="200"/>
      <c r="ED286" s="200"/>
      <c r="EE286" s="200"/>
      <c r="EF286" s="200"/>
      <c r="EG286" s="200"/>
      <c r="EH286" s="200"/>
      <c r="EI286" s="200"/>
      <c r="EJ286" s="200"/>
      <c r="EK286" s="200"/>
      <c r="EL286" s="200"/>
      <c r="EM286" s="200"/>
      <c r="EN286" s="200"/>
      <c r="EO286" s="200"/>
      <c r="EP286" s="200"/>
      <c r="EQ286" s="200"/>
      <c r="ER286" s="200"/>
      <c r="ES286" s="200"/>
      <c r="ET286" s="200"/>
      <c r="EU286" s="200"/>
      <c r="EV286" s="200"/>
      <c r="EW286" s="200"/>
      <c r="EX286" s="200"/>
      <c r="EY286" s="200"/>
      <c r="EZ286" s="200"/>
      <c r="FA286" s="200"/>
      <c r="FB286" s="200"/>
      <c r="FC286" s="200"/>
      <c r="FD286" s="200"/>
      <c r="FE286" s="200"/>
      <c r="FF286" s="200"/>
      <c r="FG286" s="200"/>
      <c r="FH286" s="200"/>
      <c r="FI286" s="200"/>
      <c r="FJ286" s="200"/>
      <c r="FK286" s="200"/>
      <c r="FL286" s="200"/>
      <c r="FM286" s="200"/>
      <c r="FN286" s="200"/>
      <c r="FO286" s="200"/>
      <c r="FP286" s="200"/>
      <c r="FQ286" s="200"/>
      <c r="FR286" s="200"/>
      <c r="FS286" s="200"/>
      <c r="FT286" s="200"/>
      <c r="FU286" s="200"/>
      <c r="FV286" s="200"/>
      <c r="FW286" s="200"/>
      <c r="FX286" s="200"/>
      <c r="FY286" s="200"/>
      <c r="FZ286" s="200"/>
      <c r="GA286" s="200"/>
      <c r="GB286" s="200"/>
      <c r="GC286" s="200"/>
      <c r="GD286" s="200"/>
      <c r="GE286" s="200"/>
      <c r="GF286" s="200"/>
      <c r="GG286" s="200"/>
      <c r="GH286" s="200"/>
      <c r="GI286" s="200"/>
      <c r="GJ286" s="200"/>
      <c r="GK286" s="200"/>
      <c r="GL286" s="200"/>
      <c r="GM286" s="200"/>
      <c r="GN286" s="200"/>
      <c r="GO286" s="200"/>
      <c r="GP286" s="200"/>
      <c r="GQ286" s="200"/>
      <c r="GR286" s="200"/>
      <c r="GS286" s="200"/>
      <c r="GT286" s="200"/>
      <c r="GU286" s="200"/>
      <c r="GV286" s="200"/>
      <c r="GW286" s="200"/>
      <c r="GX286" s="200"/>
      <c r="GY286" s="200"/>
      <c r="GZ286" s="200"/>
      <c r="HA286" s="200"/>
      <c r="HB286" s="200"/>
      <c r="HC286" s="200"/>
      <c r="HD286" s="200"/>
      <c r="HE286" s="200"/>
      <c r="HF286" s="200"/>
      <c r="HG286" s="200"/>
      <c r="HH286" s="200"/>
      <c r="HI286" s="200"/>
      <c r="HJ286" s="200"/>
      <c r="HK286" s="200"/>
      <c r="HL286" s="200"/>
      <c r="HM286" s="200"/>
      <c r="HN286" s="200"/>
      <c r="HO286" s="200"/>
      <c r="HP286" s="200"/>
      <c r="HQ286" s="200"/>
      <c r="HR286" s="200"/>
      <c r="HS286" s="200"/>
      <c r="HT286" s="200"/>
      <c r="HU286" s="200"/>
      <c r="HV286" s="200"/>
      <c r="HW286" s="200"/>
      <c r="HX286" s="200"/>
      <c r="HY286" s="200"/>
      <c r="HZ286" s="200"/>
      <c r="IA286" s="200"/>
      <c r="IB286" s="200"/>
      <c r="IC286" s="200"/>
      <c r="ID286" s="200"/>
      <c r="IE286" s="200"/>
      <c r="IF286" s="200"/>
      <c r="IG286" s="200"/>
      <c r="IH286" s="200"/>
      <c r="II286" s="200"/>
      <c r="IJ286" s="200"/>
      <c r="IK286" s="200"/>
      <c r="IL286" s="200"/>
      <c r="IM286" s="200"/>
      <c r="IN286" s="200"/>
      <c r="IO286" s="200"/>
      <c r="IP286" s="200"/>
      <c r="IQ286" s="200"/>
      <c r="IR286" s="200"/>
      <c r="IS286" s="200"/>
      <c r="IT286" s="200"/>
      <c r="IU286" s="201"/>
      <c r="IV286" s="201"/>
    </row>
    <row r="287" s="10" customFormat="1" ht="15.95" customHeight="1" spans="1:256">
      <c r="A287" s="199">
        <v>67</v>
      </c>
      <c r="B287" s="20" t="s">
        <v>2272</v>
      </c>
      <c r="C287" s="199" t="s">
        <v>2273</v>
      </c>
      <c r="D287" s="199">
        <v>6067</v>
      </c>
      <c r="E287" s="199">
        <f>'05版台时'!U461</f>
        <v>61.3115756015751</v>
      </c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200"/>
      <c r="AE287" s="200"/>
      <c r="AF287" s="200"/>
      <c r="AG287" s="200"/>
      <c r="AH287" s="200"/>
      <c r="AI287" s="200"/>
      <c r="AJ287" s="200"/>
      <c r="AK287" s="200"/>
      <c r="AL287" s="200"/>
      <c r="AM287" s="200"/>
      <c r="AN287" s="200"/>
      <c r="AO287" s="200"/>
      <c r="AP287" s="200"/>
      <c r="AQ287" s="200"/>
      <c r="AR287" s="200"/>
      <c r="AS287" s="200"/>
      <c r="AT287" s="200"/>
      <c r="AU287" s="200"/>
      <c r="AV287" s="200"/>
      <c r="AW287" s="200"/>
      <c r="AX287" s="200"/>
      <c r="AY287" s="200"/>
      <c r="AZ287" s="200"/>
      <c r="BA287" s="200"/>
      <c r="BB287" s="200"/>
      <c r="BC287" s="200"/>
      <c r="BD287" s="200"/>
      <c r="BE287" s="200"/>
      <c r="BF287" s="200"/>
      <c r="BG287" s="200"/>
      <c r="BH287" s="200"/>
      <c r="BI287" s="200"/>
      <c r="BJ287" s="200"/>
      <c r="BK287" s="200"/>
      <c r="BL287" s="200"/>
      <c r="BM287" s="200"/>
      <c r="BN287" s="200"/>
      <c r="BO287" s="200"/>
      <c r="BP287" s="200"/>
      <c r="BQ287" s="200"/>
      <c r="BR287" s="200"/>
      <c r="BS287" s="200"/>
      <c r="BT287" s="200"/>
      <c r="BU287" s="200"/>
      <c r="BV287" s="200"/>
      <c r="BW287" s="200"/>
      <c r="BX287" s="200"/>
      <c r="BY287" s="200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200"/>
      <c r="CX287" s="200"/>
      <c r="CY287" s="200"/>
      <c r="CZ287" s="200"/>
      <c r="DA287" s="200"/>
      <c r="DB287" s="200"/>
      <c r="DC287" s="200"/>
      <c r="DD287" s="200"/>
      <c r="DE287" s="200"/>
      <c r="DF287" s="200"/>
      <c r="DG287" s="200"/>
      <c r="DH287" s="200"/>
      <c r="DI287" s="200"/>
      <c r="DJ287" s="200"/>
      <c r="DK287" s="200"/>
      <c r="DL287" s="200"/>
      <c r="DM287" s="200"/>
      <c r="DN287" s="200"/>
      <c r="DO287" s="200"/>
      <c r="DP287" s="200"/>
      <c r="DQ287" s="200"/>
      <c r="DR287" s="200"/>
      <c r="DS287" s="200"/>
      <c r="DT287" s="200"/>
      <c r="DU287" s="200"/>
      <c r="DV287" s="200"/>
      <c r="DW287" s="200"/>
      <c r="DX287" s="200"/>
      <c r="DY287" s="200"/>
      <c r="DZ287" s="200"/>
      <c r="EA287" s="200"/>
      <c r="EB287" s="200"/>
      <c r="EC287" s="200"/>
      <c r="ED287" s="200"/>
      <c r="EE287" s="200"/>
      <c r="EF287" s="200"/>
      <c r="EG287" s="200"/>
      <c r="EH287" s="200"/>
      <c r="EI287" s="200"/>
      <c r="EJ287" s="200"/>
      <c r="EK287" s="200"/>
      <c r="EL287" s="200"/>
      <c r="EM287" s="200"/>
      <c r="EN287" s="200"/>
      <c r="EO287" s="200"/>
      <c r="EP287" s="200"/>
      <c r="EQ287" s="200"/>
      <c r="ER287" s="200"/>
      <c r="ES287" s="200"/>
      <c r="ET287" s="200"/>
      <c r="EU287" s="200"/>
      <c r="EV287" s="200"/>
      <c r="EW287" s="200"/>
      <c r="EX287" s="200"/>
      <c r="EY287" s="200"/>
      <c r="EZ287" s="200"/>
      <c r="FA287" s="200"/>
      <c r="FB287" s="200"/>
      <c r="FC287" s="200"/>
      <c r="FD287" s="200"/>
      <c r="FE287" s="200"/>
      <c r="FF287" s="200"/>
      <c r="FG287" s="200"/>
      <c r="FH287" s="200"/>
      <c r="FI287" s="200"/>
      <c r="FJ287" s="200"/>
      <c r="FK287" s="200"/>
      <c r="FL287" s="200"/>
      <c r="FM287" s="200"/>
      <c r="FN287" s="200"/>
      <c r="FO287" s="200"/>
      <c r="FP287" s="200"/>
      <c r="FQ287" s="200"/>
      <c r="FR287" s="200"/>
      <c r="FS287" s="200"/>
      <c r="FT287" s="200"/>
      <c r="FU287" s="200"/>
      <c r="FV287" s="200"/>
      <c r="FW287" s="200"/>
      <c r="FX287" s="200"/>
      <c r="FY287" s="200"/>
      <c r="FZ287" s="200"/>
      <c r="GA287" s="200"/>
      <c r="GB287" s="200"/>
      <c r="GC287" s="200"/>
      <c r="GD287" s="200"/>
      <c r="GE287" s="200"/>
      <c r="GF287" s="200"/>
      <c r="GG287" s="200"/>
      <c r="GH287" s="200"/>
      <c r="GI287" s="200"/>
      <c r="GJ287" s="200"/>
      <c r="GK287" s="200"/>
      <c r="GL287" s="200"/>
      <c r="GM287" s="200"/>
      <c r="GN287" s="200"/>
      <c r="GO287" s="200"/>
      <c r="GP287" s="200"/>
      <c r="GQ287" s="200"/>
      <c r="GR287" s="200"/>
      <c r="GS287" s="200"/>
      <c r="GT287" s="200"/>
      <c r="GU287" s="200"/>
      <c r="GV287" s="200"/>
      <c r="GW287" s="200"/>
      <c r="GX287" s="200"/>
      <c r="GY287" s="200"/>
      <c r="GZ287" s="200"/>
      <c r="HA287" s="200"/>
      <c r="HB287" s="200"/>
      <c r="HC287" s="200"/>
      <c r="HD287" s="200"/>
      <c r="HE287" s="200"/>
      <c r="HF287" s="200"/>
      <c r="HG287" s="200"/>
      <c r="HH287" s="200"/>
      <c r="HI287" s="200"/>
      <c r="HJ287" s="200"/>
      <c r="HK287" s="200"/>
      <c r="HL287" s="200"/>
      <c r="HM287" s="200"/>
      <c r="HN287" s="200"/>
      <c r="HO287" s="200"/>
      <c r="HP287" s="200"/>
      <c r="HQ287" s="200"/>
      <c r="HR287" s="200"/>
      <c r="HS287" s="200"/>
      <c r="HT287" s="200"/>
      <c r="HU287" s="200"/>
      <c r="HV287" s="200"/>
      <c r="HW287" s="200"/>
      <c r="HX287" s="200"/>
      <c r="HY287" s="200"/>
      <c r="HZ287" s="200"/>
      <c r="IA287" s="200"/>
      <c r="IB287" s="200"/>
      <c r="IC287" s="200"/>
      <c r="ID287" s="200"/>
      <c r="IE287" s="200"/>
      <c r="IF287" s="200"/>
      <c r="IG287" s="200"/>
      <c r="IH287" s="200"/>
      <c r="II287" s="200"/>
      <c r="IJ287" s="200"/>
      <c r="IK287" s="200"/>
      <c r="IL287" s="200"/>
      <c r="IM287" s="200"/>
      <c r="IN287" s="200"/>
      <c r="IO287" s="200"/>
      <c r="IP287" s="200"/>
      <c r="IQ287" s="200"/>
      <c r="IR287" s="200"/>
      <c r="IS287" s="200"/>
      <c r="IT287" s="200"/>
      <c r="IU287" s="201"/>
      <c r="IV287" s="201"/>
    </row>
    <row r="288" s="10" customFormat="1" ht="15.95" customHeight="1" spans="1:256">
      <c r="A288" s="199">
        <v>68</v>
      </c>
      <c r="B288" s="20" t="s">
        <v>2272</v>
      </c>
      <c r="C288" s="199" t="s">
        <v>2274</v>
      </c>
      <c r="D288" s="199">
        <v>6068</v>
      </c>
      <c r="E288" s="199">
        <f>'05版台时'!V461</f>
        <v>91.6680028054044</v>
      </c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/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00"/>
      <c r="BJ288" s="200"/>
      <c r="BK288" s="200"/>
      <c r="BL288" s="200"/>
      <c r="BM288" s="200"/>
      <c r="BN288" s="200"/>
      <c r="BO288" s="200"/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/>
      <c r="CI288" s="200"/>
      <c r="CJ288" s="200"/>
      <c r="CK288" s="200"/>
      <c r="CL288" s="200"/>
      <c r="CM288" s="200"/>
      <c r="CN288" s="200"/>
      <c r="CO288" s="200"/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/>
      <c r="DC288" s="200"/>
      <c r="DD288" s="200"/>
      <c r="DE288" s="200"/>
      <c r="DF288" s="200"/>
      <c r="DG288" s="200"/>
      <c r="DH288" s="200"/>
      <c r="DI288" s="200"/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/>
      <c r="EA288" s="200"/>
      <c r="EB288" s="200"/>
      <c r="EC288" s="200"/>
      <c r="ED288" s="200"/>
      <c r="EE288" s="200"/>
      <c r="EF288" s="200"/>
      <c r="EG288" s="200"/>
      <c r="EH288" s="200"/>
      <c r="EI288" s="200"/>
      <c r="EJ288" s="200"/>
      <c r="EK288" s="200"/>
      <c r="EL288" s="200"/>
      <c r="EM288" s="200"/>
      <c r="EN288" s="200"/>
      <c r="EO288" s="200"/>
      <c r="EP288" s="200"/>
      <c r="EQ288" s="200"/>
      <c r="ER288" s="200"/>
      <c r="ES288" s="200"/>
      <c r="ET288" s="200"/>
      <c r="EU288" s="200"/>
      <c r="EV288" s="200"/>
      <c r="EW288" s="200"/>
      <c r="EX288" s="200"/>
      <c r="EY288" s="200"/>
      <c r="EZ288" s="200"/>
      <c r="FA288" s="200"/>
      <c r="FB288" s="200"/>
      <c r="FC288" s="200"/>
      <c r="FD288" s="200"/>
      <c r="FE288" s="200"/>
      <c r="FF288" s="200"/>
      <c r="FG288" s="200"/>
      <c r="FH288" s="200"/>
      <c r="FI288" s="200"/>
      <c r="FJ288" s="200"/>
      <c r="FK288" s="200"/>
      <c r="FL288" s="200"/>
      <c r="FM288" s="200"/>
      <c r="FN288" s="200"/>
      <c r="FO288" s="200"/>
      <c r="FP288" s="200"/>
      <c r="FQ288" s="200"/>
      <c r="FR288" s="200"/>
      <c r="FS288" s="200"/>
      <c r="FT288" s="200"/>
      <c r="FU288" s="200"/>
      <c r="FV288" s="200"/>
      <c r="FW288" s="200"/>
      <c r="FX288" s="200"/>
      <c r="FY288" s="200"/>
      <c r="FZ288" s="200"/>
      <c r="GA288" s="200"/>
      <c r="GB288" s="200"/>
      <c r="GC288" s="200"/>
      <c r="GD288" s="200"/>
      <c r="GE288" s="200"/>
      <c r="GF288" s="200"/>
      <c r="GG288" s="200"/>
      <c r="GH288" s="200"/>
      <c r="GI288" s="200"/>
      <c r="GJ288" s="200"/>
      <c r="GK288" s="200"/>
      <c r="GL288" s="200"/>
      <c r="GM288" s="200"/>
      <c r="GN288" s="200"/>
      <c r="GO288" s="200"/>
      <c r="GP288" s="200"/>
      <c r="GQ288" s="200"/>
      <c r="GR288" s="200"/>
      <c r="GS288" s="200"/>
      <c r="GT288" s="200"/>
      <c r="GU288" s="200"/>
      <c r="GV288" s="200"/>
      <c r="GW288" s="200"/>
      <c r="GX288" s="200"/>
      <c r="GY288" s="200"/>
      <c r="GZ288" s="200"/>
      <c r="HA288" s="200"/>
      <c r="HB288" s="200"/>
      <c r="HC288" s="200"/>
      <c r="HD288" s="200"/>
      <c r="HE288" s="200"/>
      <c r="HF288" s="200"/>
      <c r="HG288" s="200"/>
      <c r="HH288" s="200"/>
      <c r="HI288" s="200"/>
      <c r="HJ288" s="200"/>
      <c r="HK288" s="200"/>
      <c r="HL288" s="200"/>
      <c r="HM288" s="200"/>
      <c r="HN288" s="200"/>
      <c r="HO288" s="200"/>
      <c r="HP288" s="200"/>
      <c r="HQ288" s="200"/>
      <c r="HR288" s="200"/>
      <c r="HS288" s="200"/>
      <c r="HT288" s="200"/>
      <c r="HU288" s="200"/>
      <c r="HV288" s="200"/>
      <c r="HW288" s="200"/>
      <c r="HX288" s="200"/>
      <c r="HY288" s="200"/>
      <c r="HZ288" s="200"/>
      <c r="IA288" s="200"/>
      <c r="IB288" s="200"/>
      <c r="IC288" s="200"/>
      <c r="ID288" s="200"/>
      <c r="IE288" s="200"/>
      <c r="IF288" s="200"/>
      <c r="IG288" s="200"/>
      <c r="IH288" s="200"/>
      <c r="II288" s="200"/>
      <c r="IJ288" s="200"/>
      <c r="IK288" s="200"/>
      <c r="IL288" s="200"/>
      <c r="IM288" s="200"/>
      <c r="IN288" s="200"/>
      <c r="IO288" s="200"/>
      <c r="IP288" s="200"/>
      <c r="IQ288" s="200"/>
      <c r="IR288" s="200"/>
      <c r="IS288" s="200"/>
      <c r="IT288" s="200"/>
      <c r="IU288" s="201"/>
      <c r="IV288" s="201"/>
    </row>
    <row r="289" s="10" customFormat="1" ht="15.95" customHeight="1" spans="1:256">
      <c r="A289" s="199">
        <v>69</v>
      </c>
      <c r="B289" s="20" t="s">
        <v>2272</v>
      </c>
      <c r="C289" s="199" t="s">
        <v>2275</v>
      </c>
      <c r="D289" s="199">
        <v>6069</v>
      </c>
      <c r="E289" s="199">
        <f>'05版台时'!W461</f>
        <v>103.195160470247</v>
      </c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  <c r="AA289" s="200"/>
      <c r="AB289" s="200"/>
      <c r="AC289" s="200"/>
      <c r="AD289" s="200"/>
      <c r="AE289" s="200"/>
      <c r="AF289" s="200"/>
      <c r="AG289" s="200"/>
      <c r="AH289" s="200"/>
      <c r="AI289" s="200"/>
      <c r="AJ289" s="200"/>
      <c r="AK289" s="200"/>
      <c r="AL289" s="200"/>
      <c r="AM289" s="200"/>
      <c r="AN289" s="200"/>
      <c r="AO289" s="200"/>
      <c r="AP289" s="200"/>
      <c r="AQ289" s="200"/>
      <c r="AR289" s="200"/>
      <c r="AS289" s="200"/>
      <c r="AT289" s="200"/>
      <c r="AU289" s="200"/>
      <c r="AV289" s="200"/>
      <c r="AW289" s="200"/>
      <c r="AX289" s="200"/>
      <c r="AY289" s="200"/>
      <c r="AZ289" s="200"/>
      <c r="BA289" s="200"/>
      <c r="BB289" s="200"/>
      <c r="BC289" s="200"/>
      <c r="BD289" s="200"/>
      <c r="BE289" s="200"/>
      <c r="BF289" s="200"/>
      <c r="BG289" s="200"/>
      <c r="BH289" s="200"/>
      <c r="BI289" s="200"/>
      <c r="BJ289" s="200"/>
      <c r="BK289" s="200"/>
      <c r="BL289" s="200"/>
      <c r="BM289" s="200"/>
      <c r="BN289" s="200"/>
      <c r="BO289" s="200"/>
      <c r="BP289" s="200"/>
      <c r="BQ289" s="200"/>
      <c r="BR289" s="200"/>
      <c r="BS289" s="200"/>
      <c r="BT289" s="200"/>
      <c r="BU289" s="200"/>
      <c r="BV289" s="200"/>
      <c r="BW289" s="200"/>
      <c r="BX289" s="200"/>
      <c r="BY289" s="200"/>
      <c r="BZ289" s="200"/>
      <c r="CA289" s="200"/>
      <c r="CB289" s="200"/>
      <c r="CC289" s="200"/>
      <c r="CD289" s="200"/>
      <c r="CE289" s="200"/>
      <c r="CF289" s="200"/>
      <c r="CG289" s="200"/>
      <c r="CH289" s="200"/>
      <c r="CI289" s="200"/>
      <c r="CJ289" s="200"/>
      <c r="CK289" s="200"/>
      <c r="CL289" s="200"/>
      <c r="CM289" s="200"/>
      <c r="CN289" s="200"/>
      <c r="CO289" s="200"/>
      <c r="CP289" s="200"/>
      <c r="CQ289" s="200"/>
      <c r="CR289" s="200"/>
      <c r="CS289" s="200"/>
      <c r="CT289" s="200"/>
      <c r="CU289" s="200"/>
      <c r="CV289" s="200"/>
      <c r="CW289" s="200"/>
      <c r="CX289" s="200"/>
      <c r="CY289" s="200"/>
      <c r="CZ289" s="200"/>
      <c r="DA289" s="200"/>
      <c r="DB289" s="200"/>
      <c r="DC289" s="200"/>
      <c r="DD289" s="200"/>
      <c r="DE289" s="200"/>
      <c r="DF289" s="200"/>
      <c r="DG289" s="200"/>
      <c r="DH289" s="200"/>
      <c r="DI289" s="200"/>
      <c r="DJ289" s="200"/>
      <c r="DK289" s="200"/>
      <c r="DL289" s="200"/>
      <c r="DM289" s="200"/>
      <c r="DN289" s="200"/>
      <c r="DO289" s="200"/>
      <c r="DP289" s="200"/>
      <c r="DQ289" s="200"/>
      <c r="DR289" s="200"/>
      <c r="DS289" s="200"/>
      <c r="DT289" s="200"/>
      <c r="DU289" s="200"/>
      <c r="DV289" s="200"/>
      <c r="DW289" s="200"/>
      <c r="DX289" s="200"/>
      <c r="DY289" s="200"/>
      <c r="DZ289" s="200"/>
      <c r="EA289" s="200"/>
      <c r="EB289" s="200"/>
      <c r="EC289" s="200"/>
      <c r="ED289" s="200"/>
      <c r="EE289" s="200"/>
      <c r="EF289" s="200"/>
      <c r="EG289" s="200"/>
      <c r="EH289" s="200"/>
      <c r="EI289" s="200"/>
      <c r="EJ289" s="200"/>
      <c r="EK289" s="200"/>
      <c r="EL289" s="200"/>
      <c r="EM289" s="200"/>
      <c r="EN289" s="200"/>
      <c r="EO289" s="200"/>
      <c r="EP289" s="200"/>
      <c r="EQ289" s="200"/>
      <c r="ER289" s="200"/>
      <c r="ES289" s="200"/>
      <c r="ET289" s="200"/>
      <c r="EU289" s="200"/>
      <c r="EV289" s="200"/>
      <c r="EW289" s="200"/>
      <c r="EX289" s="200"/>
      <c r="EY289" s="200"/>
      <c r="EZ289" s="200"/>
      <c r="FA289" s="200"/>
      <c r="FB289" s="200"/>
      <c r="FC289" s="200"/>
      <c r="FD289" s="200"/>
      <c r="FE289" s="200"/>
      <c r="FF289" s="200"/>
      <c r="FG289" s="200"/>
      <c r="FH289" s="200"/>
      <c r="FI289" s="200"/>
      <c r="FJ289" s="200"/>
      <c r="FK289" s="200"/>
      <c r="FL289" s="200"/>
      <c r="FM289" s="200"/>
      <c r="FN289" s="200"/>
      <c r="FO289" s="200"/>
      <c r="FP289" s="200"/>
      <c r="FQ289" s="200"/>
      <c r="FR289" s="200"/>
      <c r="FS289" s="200"/>
      <c r="FT289" s="200"/>
      <c r="FU289" s="200"/>
      <c r="FV289" s="200"/>
      <c r="FW289" s="200"/>
      <c r="FX289" s="200"/>
      <c r="FY289" s="200"/>
      <c r="FZ289" s="200"/>
      <c r="GA289" s="200"/>
      <c r="GB289" s="200"/>
      <c r="GC289" s="200"/>
      <c r="GD289" s="200"/>
      <c r="GE289" s="200"/>
      <c r="GF289" s="200"/>
      <c r="GG289" s="200"/>
      <c r="GH289" s="200"/>
      <c r="GI289" s="200"/>
      <c r="GJ289" s="200"/>
      <c r="GK289" s="200"/>
      <c r="GL289" s="200"/>
      <c r="GM289" s="200"/>
      <c r="GN289" s="200"/>
      <c r="GO289" s="200"/>
      <c r="GP289" s="200"/>
      <c r="GQ289" s="200"/>
      <c r="GR289" s="200"/>
      <c r="GS289" s="200"/>
      <c r="GT289" s="200"/>
      <c r="GU289" s="200"/>
      <c r="GV289" s="200"/>
      <c r="GW289" s="200"/>
      <c r="GX289" s="200"/>
      <c r="GY289" s="200"/>
      <c r="GZ289" s="200"/>
      <c r="HA289" s="200"/>
      <c r="HB289" s="200"/>
      <c r="HC289" s="200"/>
      <c r="HD289" s="200"/>
      <c r="HE289" s="200"/>
      <c r="HF289" s="200"/>
      <c r="HG289" s="200"/>
      <c r="HH289" s="200"/>
      <c r="HI289" s="200"/>
      <c r="HJ289" s="200"/>
      <c r="HK289" s="200"/>
      <c r="HL289" s="200"/>
      <c r="HM289" s="200"/>
      <c r="HN289" s="200"/>
      <c r="HO289" s="200"/>
      <c r="HP289" s="200"/>
      <c r="HQ289" s="200"/>
      <c r="HR289" s="200"/>
      <c r="HS289" s="200"/>
      <c r="HT289" s="200"/>
      <c r="HU289" s="200"/>
      <c r="HV289" s="200"/>
      <c r="HW289" s="200"/>
      <c r="HX289" s="200"/>
      <c r="HY289" s="200"/>
      <c r="HZ289" s="200"/>
      <c r="IA289" s="200"/>
      <c r="IB289" s="200"/>
      <c r="IC289" s="200"/>
      <c r="ID289" s="200"/>
      <c r="IE289" s="200"/>
      <c r="IF289" s="200"/>
      <c r="IG289" s="200"/>
      <c r="IH289" s="200"/>
      <c r="II289" s="200"/>
      <c r="IJ289" s="200"/>
      <c r="IK289" s="200"/>
      <c r="IL289" s="200"/>
      <c r="IM289" s="200"/>
      <c r="IN289" s="200"/>
      <c r="IO289" s="200"/>
      <c r="IP289" s="200"/>
      <c r="IQ289" s="200"/>
      <c r="IR289" s="200"/>
      <c r="IS289" s="200"/>
      <c r="IT289" s="200"/>
      <c r="IU289" s="201"/>
      <c r="IV289" s="201"/>
    </row>
    <row r="290" s="10" customFormat="1" ht="15.95" customHeight="1" spans="1:256">
      <c r="A290" s="199">
        <v>70</v>
      </c>
      <c r="B290" s="20" t="s">
        <v>2272</v>
      </c>
      <c r="C290" s="199" t="s">
        <v>2276</v>
      </c>
      <c r="D290" s="199">
        <v>6070</v>
      </c>
      <c r="E290" s="199">
        <f>'05版台时'!X461</f>
        <v>120.317666652935</v>
      </c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  <c r="AA290" s="200"/>
      <c r="AB290" s="200"/>
      <c r="AC290" s="200"/>
      <c r="AD290" s="200"/>
      <c r="AE290" s="200"/>
      <c r="AF290" s="200"/>
      <c r="AG290" s="200"/>
      <c r="AH290" s="200"/>
      <c r="AI290" s="200"/>
      <c r="AJ290" s="200"/>
      <c r="AK290" s="200"/>
      <c r="AL290" s="200"/>
      <c r="AM290" s="200"/>
      <c r="AN290" s="200"/>
      <c r="AO290" s="200"/>
      <c r="AP290" s="200"/>
      <c r="AQ290" s="200"/>
      <c r="AR290" s="200"/>
      <c r="AS290" s="200"/>
      <c r="AT290" s="200"/>
      <c r="AU290" s="200"/>
      <c r="AV290" s="200"/>
      <c r="AW290" s="200"/>
      <c r="AX290" s="200"/>
      <c r="AY290" s="200"/>
      <c r="AZ290" s="200"/>
      <c r="BA290" s="200"/>
      <c r="BB290" s="200"/>
      <c r="BC290" s="200"/>
      <c r="BD290" s="200"/>
      <c r="BE290" s="200"/>
      <c r="BF290" s="200"/>
      <c r="BG290" s="200"/>
      <c r="BH290" s="200"/>
      <c r="BI290" s="200"/>
      <c r="BJ290" s="200"/>
      <c r="BK290" s="200"/>
      <c r="BL290" s="200"/>
      <c r="BM290" s="200"/>
      <c r="BN290" s="200"/>
      <c r="BO290" s="200"/>
      <c r="BP290" s="200"/>
      <c r="BQ290" s="200"/>
      <c r="BR290" s="200"/>
      <c r="BS290" s="200"/>
      <c r="BT290" s="200"/>
      <c r="BU290" s="200"/>
      <c r="BV290" s="200"/>
      <c r="BW290" s="200"/>
      <c r="BX290" s="200"/>
      <c r="BY290" s="200"/>
      <c r="BZ290" s="200"/>
      <c r="CA290" s="200"/>
      <c r="CB290" s="200"/>
      <c r="CC290" s="200"/>
      <c r="CD290" s="200"/>
      <c r="CE290" s="200"/>
      <c r="CF290" s="200"/>
      <c r="CG290" s="200"/>
      <c r="CH290" s="200"/>
      <c r="CI290" s="200"/>
      <c r="CJ290" s="200"/>
      <c r="CK290" s="200"/>
      <c r="CL290" s="200"/>
      <c r="CM290" s="200"/>
      <c r="CN290" s="200"/>
      <c r="CO290" s="200"/>
      <c r="CP290" s="200"/>
      <c r="CQ290" s="200"/>
      <c r="CR290" s="200"/>
      <c r="CS290" s="200"/>
      <c r="CT290" s="200"/>
      <c r="CU290" s="200"/>
      <c r="CV290" s="200"/>
      <c r="CW290" s="200"/>
      <c r="CX290" s="200"/>
      <c r="CY290" s="200"/>
      <c r="CZ290" s="200"/>
      <c r="DA290" s="200"/>
      <c r="DB290" s="200"/>
      <c r="DC290" s="200"/>
      <c r="DD290" s="200"/>
      <c r="DE290" s="200"/>
      <c r="DF290" s="200"/>
      <c r="DG290" s="200"/>
      <c r="DH290" s="200"/>
      <c r="DI290" s="200"/>
      <c r="DJ290" s="200"/>
      <c r="DK290" s="200"/>
      <c r="DL290" s="200"/>
      <c r="DM290" s="200"/>
      <c r="DN290" s="200"/>
      <c r="DO290" s="200"/>
      <c r="DP290" s="200"/>
      <c r="DQ290" s="200"/>
      <c r="DR290" s="200"/>
      <c r="DS290" s="200"/>
      <c r="DT290" s="200"/>
      <c r="DU290" s="200"/>
      <c r="DV290" s="200"/>
      <c r="DW290" s="200"/>
      <c r="DX290" s="200"/>
      <c r="DY290" s="200"/>
      <c r="DZ290" s="200"/>
      <c r="EA290" s="200"/>
      <c r="EB290" s="200"/>
      <c r="EC290" s="200"/>
      <c r="ED290" s="200"/>
      <c r="EE290" s="200"/>
      <c r="EF290" s="200"/>
      <c r="EG290" s="200"/>
      <c r="EH290" s="200"/>
      <c r="EI290" s="200"/>
      <c r="EJ290" s="200"/>
      <c r="EK290" s="200"/>
      <c r="EL290" s="200"/>
      <c r="EM290" s="200"/>
      <c r="EN290" s="200"/>
      <c r="EO290" s="200"/>
      <c r="EP290" s="200"/>
      <c r="EQ290" s="200"/>
      <c r="ER290" s="200"/>
      <c r="ES290" s="200"/>
      <c r="ET290" s="200"/>
      <c r="EU290" s="200"/>
      <c r="EV290" s="200"/>
      <c r="EW290" s="200"/>
      <c r="EX290" s="200"/>
      <c r="EY290" s="200"/>
      <c r="EZ290" s="200"/>
      <c r="FA290" s="200"/>
      <c r="FB290" s="200"/>
      <c r="FC290" s="200"/>
      <c r="FD290" s="200"/>
      <c r="FE290" s="200"/>
      <c r="FF290" s="200"/>
      <c r="FG290" s="200"/>
      <c r="FH290" s="200"/>
      <c r="FI290" s="200"/>
      <c r="FJ290" s="200"/>
      <c r="FK290" s="200"/>
      <c r="FL290" s="200"/>
      <c r="FM290" s="200"/>
      <c r="FN290" s="200"/>
      <c r="FO290" s="200"/>
      <c r="FP290" s="200"/>
      <c r="FQ290" s="200"/>
      <c r="FR290" s="200"/>
      <c r="FS290" s="200"/>
      <c r="FT290" s="200"/>
      <c r="FU290" s="200"/>
      <c r="FV290" s="200"/>
      <c r="FW290" s="200"/>
      <c r="FX290" s="200"/>
      <c r="FY290" s="200"/>
      <c r="FZ290" s="200"/>
      <c r="GA290" s="200"/>
      <c r="GB290" s="200"/>
      <c r="GC290" s="200"/>
      <c r="GD290" s="200"/>
      <c r="GE290" s="200"/>
      <c r="GF290" s="200"/>
      <c r="GG290" s="200"/>
      <c r="GH290" s="200"/>
      <c r="GI290" s="200"/>
      <c r="GJ290" s="200"/>
      <c r="GK290" s="200"/>
      <c r="GL290" s="200"/>
      <c r="GM290" s="200"/>
      <c r="GN290" s="200"/>
      <c r="GO290" s="200"/>
      <c r="GP290" s="200"/>
      <c r="GQ290" s="200"/>
      <c r="GR290" s="200"/>
      <c r="GS290" s="200"/>
      <c r="GT290" s="200"/>
      <c r="GU290" s="200"/>
      <c r="GV290" s="200"/>
      <c r="GW290" s="200"/>
      <c r="GX290" s="200"/>
      <c r="GY290" s="200"/>
      <c r="GZ290" s="200"/>
      <c r="HA290" s="200"/>
      <c r="HB290" s="200"/>
      <c r="HC290" s="200"/>
      <c r="HD290" s="200"/>
      <c r="HE290" s="200"/>
      <c r="HF290" s="200"/>
      <c r="HG290" s="200"/>
      <c r="HH290" s="200"/>
      <c r="HI290" s="200"/>
      <c r="HJ290" s="200"/>
      <c r="HK290" s="200"/>
      <c r="HL290" s="200"/>
      <c r="HM290" s="200"/>
      <c r="HN290" s="200"/>
      <c r="HO290" s="200"/>
      <c r="HP290" s="200"/>
      <c r="HQ290" s="200"/>
      <c r="HR290" s="200"/>
      <c r="HS290" s="200"/>
      <c r="HT290" s="200"/>
      <c r="HU290" s="200"/>
      <c r="HV290" s="200"/>
      <c r="HW290" s="200"/>
      <c r="HX290" s="200"/>
      <c r="HY290" s="200"/>
      <c r="HZ290" s="200"/>
      <c r="IA290" s="200"/>
      <c r="IB290" s="200"/>
      <c r="IC290" s="200"/>
      <c r="ID290" s="200"/>
      <c r="IE290" s="200"/>
      <c r="IF290" s="200"/>
      <c r="IG290" s="200"/>
      <c r="IH290" s="200"/>
      <c r="II290" s="200"/>
      <c r="IJ290" s="200"/>
      <c r="IK290" s="200"/>
      <c r="IL290" s="200"/>
      <c r="IM290" s="200"/>
      <c r="IN290" s="200"/>
      <c r="IO290" s="200"/>
      <c r="IP290" s="200"/>
      <c r="IQ290" s="200"/>
      <c r="IR290" s="200"/>
      <c r="IS290" s="200"/>
      <c r="IT290" s="200"/>
      <c r="IU290" s="201"/>
      <c r="IV290" s="201"/>
    </row>
    <row r="291" s="10" customFormat="1" ht="15.95" customHeight="1" spans="1:256">
      <c r="A291" s="199">
        <v>71</v>
      </c>
      <c r="B291" s="20" t="s">
        <v>2272</v>
      </c>
      <c r="C291" s="199" t="s">
        <v>2277</v>
      </c>
      <c r="D291" s="199">
        <v>6071</v>
      </c>
      <c r="E291" s="199">
        <f>'05版台时'!Y461</f>
        <v>144.891905854258</v>
      </c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200"/>
      <c r="Q291" s="200"/>
      <c r="R291" s="200"/>
      <c r="S291" s="200"/>
      <c r="T291" s="200"/>
      <c r="U291" s="200"/>
      <c r="V291" s="200"/>
      <c r="W291" s="200"/>
      <c r="X291" s="200"/>
      <c r="Y291" s="200"/>
      <c r="Z291" s="200"/>
      <c r="AA291" s="200"/>
      <c r="AB291" s="200"/>
      <c r="AC291" s="200"/>
      <c r="AD291" s="200"/>
      <c r="AE291" s="200"/>
      <c r="AF291" s="200"/>
      <c r="AG291" s="200"/>
      <c r="AH291" s="200"/>
      <c r="AI291" s="200"/>
      <c r="AJ291" s="200"/>
      <c r="AK291" s="200"/>
      <c r="AL291" s="200"/>
      <c r="AM291" s="200"/>
      <c r="AN291" s="200"/>
      <c r="AO291" s="200"/>
      <c r="AP291" s="200"/>
      <c r="AQ291" s="200"/>
      <c r="AR291" s="200"/>
      <c r="AS291" s="200"/>
      <c r="AT291" s="200"/>
      <c r="AU291" s="200"/>
      <c r="AV291" s="200"/>
      <c r="AW291" s="200"/>
      <c r="AX291" s="200"/>
      <c r="AY291" s="200"/>
      <c r="AZ291" s="200"/>
      <c r="BA291" s="200"/>
      <c r="BB291" s="200"/>
      <c r="BC291" s="200"/>
      <c r="BD291" s="200"/>
      <c r="BE291" s="200"/>
      <c r="BF291" s="200"/>
      <c r="BG291" s="200"/>
      <c r="BH291" s="200"/>
      <c r="BI291" s="200"/>
      <c r="BJ291" s="200"/>
      <c r="BK291" s="200"/>
      <c r="BL291" s="200"/>
      <c r="BM291" s="200"/>
      <c r="BN291" s="200"/>
      <c r="BO291" s="200"/>
      <c r="BP291" s="200"/>
      <c r="BQ291" s="200"/>
      <c r="BR291" s="200"/>
      <c r="BS291" s="200"/>
      <c r="BT291" s="200"/>
      <c r="BU291" s="200"/>
      <c r="BV291" s="200"/>
      <c r="BW291" s="200"/>
      <c r="BX291" s="200"/>
      <c r="BY291" s="200"/>
      <c r="BZ291" s="200"/>
      <c r="CA291" s="200"/>
      <c r="CB291" s="200"/>
      <c r="CC291" s="200"/>
      <c r="CD291" s="200"/>
      <c r="CE291" s="200"/>
      <c r="CF291" s="200"/>
      <c r="CG291" s="200"/>
      <c r="CH291" s="200"/>
      <c r="CI291" s="200"/>
      <c r="CJ291" s="200"/>
      <c r="CK291" s="200"/>
      <c r="CL291" s="200"/>
      <c r="CM291" s="200"/>
      <c r="CN291" s="200"/>
      <c r="CO291" s="200"/>
      <c r="CP291" s="200"/>
      <c r="CQ291" s="200"/>
      <c r="CR291" s="200"/>
      <c r="CS291" s="200"/>
      <c r="CT291" s="200"/>
      <c r="CU291" s="200"/>
      <c r="CV291" s="200"/>
      <c r="CW291" s="200"/>
      <c r="CX291" s="200"/>
      <c r="CY291" s="200"/>
      <c r="CZ291" s="200"/>
      <c r="DA291" s="200"/>
      <c r="DB291" s="200"/>
      <c r="DC291" s="200"/>
      <c r="DD291" s="200"/>
      <c r="DE291" s="200"/>
      <c r="DF291" s="200"/>
      <c r="DG291" s="200"/>
      <c r="DH291" s="200"/>
      <c r="DI291" s="200"/>
      <c r="DJ291" s="200"/>
      <c r="DK291" s="200"/>
      <c r="DL291" s="200"/>
      <c r="DM291" s="200"/>
      <c r="DN291" s="200"/>
      <c r="DO291" s="200"/>
      <c r="DP291" s="200"/>
      <c r="DQ291" s="200"/>
      <c r="DR291" s="200"/>
      <c r="DS291" s="200"/>
      <c r="DT291" s="200"/>
      <c r="DU291" s="200"/>
      <c r="DV291" s="200"/>
      <c r="DW291" s="200"/>
      <c r="DX291" s="200"/>
      <c r="DY291" s="200"/>
      <c r="DZ291" s="200"/>
      <c r="EA291" s="200"/>
      <c r="EB291" s="200"/>
      <c r="EC291" s="200"/>
      <c r="ED291" s="200"/>
      <c r="EE291" s="200"/>
      <c r="EF291" s="200"/>
      <c r="EG291" s="200"/>
      <c r="EH291" s="200"/>
      <c r="EI291" s="200"/>
      <c r="EJ291" s="200"/>
      <c r="EK291" s="200"/>
      <c r="EL291" s="200"/>
      <c r="EM291" s="200"/>
      <c r="EN291" s="200"/>
      <c r="EO291" s="200"/>
      <c r="EP291" s="200"/>
      <c r="EQ291" s="200"/>
      <c r="ER291" s="200"/>
      <c r="ES291" s="200"/>
      <c r="ET291" s="200"/>
      <c r="EU291" s="200"/>
      <c r="EV291" s="200"/>
      <c r="EW291" s="200"/>
      <c r="EX291" s="200"/>
      <c r="EY291" s="200"/>
      <c r="EZ291" s="200"/>
      <c r="FA291" s="200"/>
      <c r="FB291" s="200"/>
      <c r="FC291" s="200"/>
      <c r="FD291" s="200"/>
      <c r="FE291" s="200"/>
      <c r="FF291" s="200"/>
      <c r="FG291" s="200"/>
      <c r="FH291" s="200"/>
      <c r="FI291" s="200"/>
      <c r="FJ291" s="200"/>
      <c r="FK291" s="200"/>
      <c r="FL291" s="200"/>
      <c r="FM291" s="200"/>
      <c r="FN291" s="200"/>
      <c r="FO291" s="200"/>
      <c r="FP291" s="200"/>
      <c r="FQ291" s="200"/>
      <c r="FR291" s="200"/>
      <c r="FS291" s="200"/>
      <c r="FT291" s="200"/>
      <c r="FU291" s="200"/>
      <c r="FV291" s="200"/>
      <c r="FW291" s="200"/>
      <c r="FX291" s="200"/>
      <c r="FY291" s="200"/>
      <c r="FZ291" s="200"/>
      <c r="GA291" s="200"/>
      <c r="GB291" s="200"/>
      <c r="GC291" s="200"/>
      <c r="GD291" s="200"/>
      <c r="GE291" s="200"/>
      <c r="GF291" s="200"/>
      <c r="GG291" s="200"/>
      <c r="GH291" s="200"/>
      <c r="GI291" s="200"/>
      <c r="GJ291" s="200"/>
      <c r="GK291" s="200"/>
      <c r="GL291" s="200"/>
      <c r="GM291" s="200"/>
      <c r="GN291" s="200"/>
      <c r="GO291" s="200"/>
      <c r="GP291" s="200"/>
      <c r="GQ291" s="200"/>
      <c r="GR291" s="200"/>
      <c r="GS291" s="200"/>
      <c r="GT291" s="200"/>
      <c r="GU291" s="200"/>
      <c r="GV291" s="200"/>
      <c r="GW291" s="200"/>
      <c r="GX291" s="200"/>
      <c r="GY291" s="200"/>
      <c r="GZ291" s="200"/>
      <c r="HA291" s="200"/>
      <c r="HB291" s="200"/>
      <c r="HC291" s="200"/>
      <c r="HD291" s="200"/>
      <c r="HE291" s="200"/>
      <c r="HF291" s="200"/>
      <c r="HG291" s="200"/>
      <c r="HH291" s="200"/>
      <c r="HI291" s="200"/>
      <c r="HJ291" s="200"/>
      <c r="HK291" s="200"/>
      <c r="HL291" s="200"/>
      <c r="HM291" s="200"/>
      <c r="HN291" s="200"/>
      <c r="HO291" s="200"/>
      <c r="HP291" s="200"/>
      <c r="HQ291" s="200"/>
      <c r="HR291" s="200"/>
      <c r="HS291" s="200"/>
      <c r="HT291" s="200"/>
      <c r="HU291" s="200"/>
      <c r="HV291" s="200"/>
      <c r="HW291" s="200"/>
      <c r="HX291" s="200"/>
      <c r="HY291" s="200"/>
      <c r="HZ291" s="200"/>
      <c r="IA291" s="200"/>
      <c r="IB291" s="200"/>
      <c r="IC291" s="200"/>
      <c r="ID291" s="200"/>
      <c r="IE291" s="200"/>
      <c r="IF291" s="200"/>
      <c r="IG291" s="200"/>
      <c r="IH291" s="200"/>
      <c r="II291" s="200"/>
      <c r="IJ291" s="200"/>
      <c r="IK291" s="200"/>
      <c r="IL291" s="200"/>
      <c r="IM291" s="200"/>
      <c r="IN291" s="200"/>
      <c r="IO291" s="200"/>
      <c r="IP291" s="200"/>
      <c r="IQ291" s="200"/>
      <c r="IR291" s="200"/>
      <c r="IS291" s="200"/>
      <c r="IT291" s="200"/>
      <c r="IU291" s="201"/>
      <c r="IV291" s="201"/>
    </row>
    <row r="292" s="10" customFormat="1" ht="15.95" customHeight="1" spans="1:256">
      <c r="A292" s="199">
        <v>72</v>
      </c>
      <c r="B292" s="20" t="s">
        <v>2278</v>
      </c>
      <c r="C292" s="20" t="s">
        <v>2279</v>
      </c>
      <c r="D292" s="199">
        <v>6072</v>
      </c>
      <c r="E292" s="199">
        <f>'05版台时'!Z461</f>
        <v>131.263260461358</v>
      </c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200"/>
      <c r="Q292" s="200"/>
      <c r="R292" s="200"/>
      <c r="S292" s="200"/>
      <c r="T292" s="200"/>
      <c r="U292" s="200"/>
      <c r="V292" s="200"/>
      <c r="W292" s="200"/>
      <c r="X292" s="200"/>
      <c r="Y292" s="200"/>
      <c r="Z292" s="200"/>
      <c r="AA292" s="200"/>
      <c r="AB292" s="200"/>
      <c r="AC292" s="200"/>
      <c r="AD292" s="200"/>
      <c r="AE292" s="200"/>
      <c r="AF292" s="200"/>
      <c r="AG292" s="200"/>
      <c r="AH292" s="200"/>
      <c r="AI292" s="200"/>
      <c r="AJ292" s="200"/>
      <c r="AK292" s="200"/>
      <c r="AL292" s="200"/>
      <c r="AM292" s="200"/>
      <c r="AN292" s="200"/>
      <c r="AO292" s="200"/>
      <c r="AP292" s="200"/>
      <c r="AQ292" s="200"/>
      <c r="AR292" s="200"/>
      <c r="AS292" s="200"/>
      <c r="AT292" s="200"/>
      <c r="AU292" s="200"/>
      <c r="AV292" s="200"/>
      <c r="AW292" s="200"/>
      <c r="AX292" s="200"/>
      <c r="AY292" s="200"/>
      <c r="AZ292" s="200"/>
      <c r="BA292" s="200"/>
      <c r="BB292" s="200"/>
      <c r="BC292" s="200"/>
      <c r="BD292" s="200"/>
      <c r="BE292" s="200"/>
      <c r="BF292" s="200"/>
      <c r="BG292" s="200"/>
      <c r="BH292" s="200"/>
      <c r="BI292" s="200"/>
      <c r="BJ292" s="200"/>
      <c r="BK292" s="200"/>
      <c r="BL292" s="200"/>
      <c r="BM292" s="200"/>
      <c r="BN292" s="200"/>
      <c r="BO292" s="200"/>
      <c r="BP292" s="200"/>
      <c r="BQ292" s="200"/>
      <c r="BR292" s="200"/>
      <c r="BS292" s="200"/>
      <c r="BT292" s="200"/>
      <c r="BU292" s="200"/>
      <c r="BV292" s="200"/>
      <c r="BW292" s="200"/>
      <c r="BX292" s="200"/>
      <c r="BY292" s="200"/>
      <c r="BZ292" s="200"/>
      <c r="CA292" s="200"/>
      <c r="CB292" s="200"/>
      <c r="CC292" s="200"/>
      <c r="CD292" s="200"/>
      <c r="CE292" s="200"/>
      <c r="CF292" s="200"/>
      <c r="CG292" s="200"/>
      <c r="CH292" s="200"/>
      <c r="CI292" s="200"/>
      <c r="CJ292" s="200"/>
      <c r="CK292" s="200"/>
      <c r="CL292" s="200"/>
      <c r="CM292" s="200"/>
      <c r="CN292" s="200"/>
      <c r="CO292" s="200"/>
      <c r="CP292" s="200"/>
      <c r="CQ292" s="200"/>
      <c r="CR292" s="200"/>
      <c r="CS292" s="200"/>
      <c r="CT292" s="200"/>
      <c r="CU292" s="200"/>
      <c r="CV292" s="200"/>
      <c r="CW292" s="200"/>
      <c r="CX292" s="200"/>
      <c r="CY292" s="200"/>
      <c r="CZ292" s="200"/>
      <c r="DA292" s="200"/>
      <c r="DB292" s="200"/>
      <c r="DC292" s="200"/>
      <c r="DD292" s="200"/>
      <c r="DE292" s="200"/>
      <c r="DF292" s="200"/>
      <c r="DG292" s="200"/>
      <c r="DH292" s="200"/>
      <c r="DI292" s="200"/>
      <c r="DJ292" s="200"/>
      <c r="DK292" s="200"/>
      <c r="DL292" s="200"/>
      <c r="DM292" s="200"/>
      <c r="DN292" s="200"/>
      <c r="DO292" s="200"/>
      <c r="DP292" s="200"/>
      <c r="DQ292" s="200"/>
      <c r="DR292" s="200"/>
      <c r="DS292" s="200"/>
      <c r="DT292" s="200"/>
      <c r="DU292" s="200"/>
      <c r="DV292" s="200"/>
      <c r="DW292" s="200"/>
      <c r="DX292" s="200"/>
      <c r="DY292" s="200"/>
      <c r="DZ292" s="200"/>
      <c r="EA292" s="200"/>
      <c r="EB292" s="200"/>
      <c r="EC292" s="200"/>
      <c r="ED292" s="200"/>
      <c r="EE292" s="200"/>
      <c r="EF292" s="200"/>
      <c r="EG292" s="200"/>
      <c r="EH292" s="200"/>
      <c r="EI292" s="200"/>
      <c r="EJ292" s="200"/>
      <c r="EK292" s="200"/>
      <c r="EL292" s="200"/>
      <c r="EM292" s="200"/>
      <c r="EN292" s="200"/>
      <c r="EO292" s="200"/>
      <c r="EP292" s="200"/>
      <c r="EQ292" s="200"/>
      <c r="ER292" s="200"/>
      <c r="ES292" s="200"/>
      <c r="ET292" s="200"/>
      <c r="EU292" s="200"/>
      <c r="EV292" s="200"/>
      <c r="EW292" s="200"/>
      <c r="EX292" s="200"/>
      <c r="EY292" s="200"/>
      <c r="EZ292" s="200"/>
      <c r="FA292" s="200"/>
      <c r="FB292" s="200"/>
      <c r="FC292" s="200"/>
      <c r="FD292" s="200"/>
      <c r="FE292" s="200"/>
      <c r="FF292" s="200"/>
      <c r="FG292" s="200"/>
      <c r="FH292" s="200"/>
      <c r="FI292" s="200"/>
      <c r="FJ292" s="200"/>
      <c r="FK292" s="200"/>
      <c r="FL292" s="200"/>
      <c r="FM292" s="200"/>
      <c r="FN292" s="200"/>
      <c r="FO292" s="200"/>
      <c r="FP292" s="200"/>
      <c r="FQ292" s="200"/>
      <c r="FR292" s="200"/>
      <c r="FS292" s="200"/>
      <c r="FT292" s="200"/>
      <c r="FU292" s="200"/>
      <c r="FV292" s="200"/>
      <c r="FW292" s="200"/>
      <c r="FX292" s="200"/>
      <c r="FY292" s="200"/>
      <c r="FZ292" s="200"/>
      <c r="GA292" s="200"/>
      <c r="GB292" s="200"/>
      <c r="GC292" s="200"/>
      <c r="GD292" s="200"/>
      <c r="GE292" s="200"/>
      <c r="GF292" s="200"/>
      <c r="GG292" s="200"/>
      <c r="GH292" s="200"/>
      <c r="GI292" s="200"/>
      <c r="GJ292" s="200"/>
      <c r="GK292" s="200"/>
      <c r="GL292" s="200"/>
      <c r="GM292" s="200"/>
      <c r="GN292" s="200"/>
      <c r="GO292" s="200"/>
      <c r="GP292" s="200"/>
      <c r="GQ292" s="200"/>
      <c r="GR292" s="200"/>
      <c r="GS292" s="200"/>
      <c r="GT292" s="200"/>
      <c r="GU292" s="200"/>
      <c r="GV292" s="200"/>
      <c r="GW292" s="200"/>
      <c r="GX292" s="200"/>
      <c r="GY292" s="200"/>
      <c r="GZ292" s="200"/>
      <c r="HA292" s="200"/>
      <c r="HB292" s="200"/>
      <c r="HC292" s="200"/>
      <c r="HD292" s="200"/>
      <c r="HE292" s="200"/>
      <c r="HF292" s="200"/>
      <c r="HG292" s="200"/>
      <c r="HH292" s="200"/>
      <c r="HI292" s="200"/>
      <c r="HJ292" s="200"/>
      <c r="HK292" s="200"/>
      <c r="HL292" s="200"/>
      <c r="HM292" s="200"/>
      <c r="HN292" s="200"/>
      <c r="HO292" s="200"/>
      <c r="HP292" s="200"/>
      <c r="HQ292" s="200"/>
      <c r="HR292" s="200"/>
      <c r="HS292" s="200"/>
      <c r="HT292" s="200"/>
      <c r="HU292" s="200"/>
      <c r="HV292" s="200"/>
      <c r="HW292" s="200"/>
      <c r="HX292" s="200"/>
      <c r="HY292" s="200"/>
      <c r="HZ292" s="200"/>
      <c r="IA292" s="200"/>
      <c r="IB292" s="200"/>
      <c r="IC292" s="200"/>
      <c r="ID292" s="200"/>
      <c r="IE292" s="200"/>
      <c r="IF292" s="200"/>
      <c r="IG292" s="200"/>
      <c r="IH292" s="200"/>
      <c r="II292" s="200"/>
      <c r="IJ292" s="200"/>
      <c r="IK292" s="200"/>
      <c r="IL292" s="200"/>
      <c r="IM292" s="200"/>
      <c r="IN292" s="200"/>
      <c r="IO292" s="200"/>
      <c r="IP292" s="200"/>
      <c r="IQ292" s="200"/>
      <c r="IR292" s="200"/>
      <c r="IS292" s="200"/>
      <c r="IT292" s="200"/>
      <c r="IU292" s="201"/>
      <c r="IV292" s="201"/>
    </row>
    <row r="293" s="10" customFormat="1" ht="15.95" customHeight="1" spans="1:256">
      <c r="A293" s="199">
        <v>73</v>
      </c>
      <c r="B293" s="20" t="s">
        <v>2278</v>
      </c>
      <c r="C293" s="20" t="s">
        <v>2280</v>
      </c>
      <c r="D293" s="199">
        <v>6073</v>
      </c>
      <c r="E293" s="199">
        <f>'05版台时'!AA461</f>
        <v>187.415696981275</v>
      </c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  <c r="AA293" s="200"/>
      <c r="AB293" s="200"/>
      <c r="AC293" s="200"/>
      <c r="AD293" s="200"/>
      <c r="AE293" s="200"/>
      <c r="AF293" s="200"/>
      <c r="AG293" s="200"/>
      <c r="AH293" s="200"/>
      <c r="AI293" s="200"/>
      <c r="AJ293" s="200"/>
      <c r="AK293" s="200"/>
      <c r="AL293" s="200"/>
      <c r="AM293" s="200"/>
      <c r="AN293" s="200"/>
      <c r="AO293" s="200"/>
      <c r="AP293" s="200"/>
      <c r="AQ293" s="200"/>
      <c r="AR293" s="200"/>
      <c r="AS293" s="200"/>
      <c r="AT293" s="200"/>
      <c r="AU293" s="200"/>
      <c r="AV293" s="200"/>
      <c r="AW293" s="200"/>
      <c r="AX293" s="200"/>
      <c r="AY293" s="200"/>
      <c r="AZ293" s="200"/>
      <c r="BA293" s="200"/>
      <c r="BB293" s="200"/>
      <c r="BC293" s="200"/>
      <c r="BD293" s="200"/>
      <c r="BE293" s="200"/>
      <c r="BF293" s="200"/>
      <c r="BG293" s="200"/>
      <c r="BH293" s="200"/>
      <c r="BI293" s="200"/>
      <c r="BJ293" s="200"/>
      <c r="BK293" s="200"/>
      <c r="BL293" s="200"/>
      <c r="BM293" s="200"/>
      <c r="BN293" s="200"/>
      <c r="BO293" s="200"/>
      <c r="BP293" s="200"/>
      <c r="BQ293" s="200"/>
      <c r="BR293" s="200"/>
      <c r="BS293" s="200"/>
      <c r="BT293" s="200"/>
      <c r="BU293" s="200"/>
      <c r="BV293" s="200"/>
      <c r="BW293" s="200"/>
      <c r="BX293" s="200"/>
      <c r="BY293" s="200"/>
      <c r="BZ293" s="200"/>
      <c r="CA293" s="200"/>
      <c r="CB293" s="200"/>
      <c r="CC293" s="200"/>
      <c r="CD293" s="200"/>
      <c r="CE293" s="200"/>
      <c r="CF293" s="200"/>
      <c r="CG293" s="200"/>
      <c r="CH293" s="200"/>
      <c r="CI293" s="200"/>
      <c r="CJ293" s="200"/>
      <c r="CK293" s="200"/>
      <c r="CL293" s="200"/>
      <c r="CM293" s="200"/>
      <c r="CN293" s="200"/>
      <c r="CO293" s="200"/>
      <c r="CP293" s="200"/>
      <c r="CQ293" s="200"/>
      <c r="CR293" s="200"/>
      <c r="CS293" s="200"/>
      <c r="CT293" s="200"/>
      <c r="CU293" s="200"/>
      <c r="CV293" s="200"/>
      <c r="CW293" s="200"/>
      <c r="CX293" s="200"/>
      <c r="CY293" s="200"/>
      <c r="CZ293" s="200"/>
      <c r="DA293" s="200"/>
      <c r="DB293" s="200"/>
      <c r="DC293" s="200"/>
      <c r="DD293" s="200"/>
      <c r="DE293" s="200"/>
      <c r="DF293" s="200"/>
      <c r="DG293" s="200"/>
      <c r="DH293" s="200"/>
      <c r="DI293" s="200"/>
      <c r="DJ293" s="200"/>
      <c r="DK293" s="200"/>
      <c r="DL293" s="200"/>
      <c r="DM293" s="200"/>
      <c r="DN293" s="200"/>
      <c r="DO293" s="200"/>
      <c r="DP293" s="200"/>
      <c r="DQ293" s="200"/>
      <c r="DR293" s="200"/>
      <c r="DS293" s="200"/>
      <c r="DT293" s="200"/>
      <c r="DU293" s="200"/>
      <c r="DV293" s="200"/>
      <c r="DW293" s="200"/>
      <c r="DX293" s="200"/>
      <c r="DY293" s="200"/>
      <c r="DZ293" s="200"/>
      <c r="EA293" s="200"/>
      <c r="EB293" s="200"/>
      <c r="EC293" s="200"/>
      <c r="ED293" s="200"/>
      <c r="EE293" s="200"/>
      <c r="EF293" s="200"/>
      <c r="EG293" s="200"/>
      <c r="EH293" s="200"/>
      <c r="EI293" s="200"/>
      <c r="EJ293" s="200"/>
      <c r="EK293" s="200"/>
      <c r="EL293" s="200"/>
      <c r="EM293" s="200"/>
      <c r="EN293" s="200"/>
      <c r="EO293" s="200"/>
      <c r="EP293" s="200"/>
      <c r="EQ293" s="200"/>
      <c r="ER293" s="200"/>
      <c r="ES293" s="200"/>
      <c r="ET293" s="200"/>
      <c r="EU293" s="200"/>
      <c r="EV293" s="200"/>
      <c r="EW293" s="200"/>
      <c r="EX293" s="200"/>
      <c r="EY293" s="200"/>
      <c r="EZ293" s="200"/>
      <c r="FA293" s="200"/>
      <c r="FB293" s="200"/>
      <c r="FC293" s="200"/>
      <c r="FD293" s="200"/>
      <c r="FE293" s="200"/>
      <c r="FF293" s="200"/>
      <c r="FG293" s="200"/>
      <c r="FH293" s="200"/>
      <c r="FI293" s="200"/>
      <c r="FJ293" s="200"/>
      <c r="FK293" s="200"/>
      <c r="FL293" s="200"/>
      <c r="FM293" s="200"/>
      <c r="FN293" s="200"/>
      <c r="FO293" s="200"/>
      <c r="FP293" s="200"/>
      <c r="FQ293" s="200"/>
      <c r="FR293" s="200"/>
      <c r="FS293" s="200"/>
      <c r="FT293" s="200"/>
      <c r="FU293" s="200"/>
      <c r="FV293" s="200"/>
      <c r="FW293" s="200"/>
      <c r="FX293" s="200"/>
      <c r="FY293" s="200"/>
      <c r="FZ293" s="200"/>
      <c r="GA293" s="200"/>
      <c r="GB293" s="200"/>
      <c r="GC293" s="200"/>
      <c r="GD293" s="200"/>
      <c r="GE293" s="200"/>
      <c r="GF293" s="200"/>
      <c r="GG293" s="200"/>
      <c r="GH293" s="200"/>
      <c r="GI293" s="200"/>
      <c r="GJ293" s="200"/>
      <c r="GK293" s="200"/>
      <c r="GL293" s="200"/>
      <c r="GM293" s="200"/>
      <c r="GN293" s="200"/>
      <c r="GO293" s="200"/>
      <c r="GP293" s="200"/>
      <c r="GQ293" s="200"/>
      <c r="GR293" s="200"/>
      <c r="GS293" s="200"/>
      <c r="GT293" s="200"/>
      <c r="GU293" s="200"/>
      <c r="GV293" s="200"/>
      <c r="GW293" s="200"/>
      <c r="GX293" s="200"/>
      <c r="GY293" s="200"/>
      <c r="GZ293" s="200"/>
      <c r="HA293" s="200"/>
      <c r="HB293" s="200"/>
      <c r="HC293" s="200"/>
      <c r="HD293" s="200"/>
      <c r="HE293" s="200"/>
      <c r="HF293" s="200"/>
      <c r="HG293" s="200"/>
      <c r="HH293" s="200"/>
      <c r="HI293" s="200"/>
      <c r="HJ293" s="200"/>
      <c r="HK293" s="200"/>
      <c r="HL293" s="200"/>
      <c r="HM293" s="200"/>
      <c r="HN293" s="200"/>
      <c r="HO293" s="200"/>
      <c r="HP293" s="200"/>
      <c r="HQ293" s="200"/>
      <c r="HR293" s="200"/>
      <c r="HS293" s="200"/>
      <c r="HT293" s="200"/>
      <c r="HU293" s="200"/>
      <c r="HV293" s="200"/>
      <c r="HW293" s="200"/>
      <c r="HX293" s="200"/>
      <c r="HY293" s="200"/>
      <c r="HZ293" s="200"/>
      <c r="IA293" s="200"/>
      <c r="IB293" s="200"/>
      <c r="IC293" s="200"/>
      <c r="ID293" s="200"/>
      <c r="IE293" s="200"/>
      <c r="IF293" s="200"/>
      <c r="IG293" s="200"/>
      <c r="IH293" s="200"/>
      <c r="II293" s="200"/>
      <c r="IJ293" s="200"/>
      <c r="IK293" s="200"/>
      <c r="IL293" s="200"/>
      <c r="IM293" s="200"/>
      <c r="IN293" s="200"/>
      <c r="IO293" s="200"/>
      <c r="IP293" s="200"/>
      <c r="IQ293" s="200"/>
      <c r="IR293" s="200"/>
      <c r="IS293" s="200"/>
      <c r="IT293" s="200"/>
      <c r="IU293" s="201"/>
      <c r="IV293" s="201"/>
    </row>
    <row r="294" s="10" customFormat="1" ht="15.95" customHeight="1" spans="1:256">
      <c r="A294" s="199">
        <v>74</v>
      </c>
      <c r="B294" s="20" t="s">
        <v>2278</v>
      </c>
      <c r="C294" s="20" t="s">
        <v>2281</v>
      </c>
      <c r="D294" s="199">
        <v>6074</v>
      </c>
      <c r="E294" s="199">
        <f>'05版台时'!D494</f>
        <v>45.4060083897682</v>
      </c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  <c r="P294" s="200"/>
      <c r="Q294" s="200"/>
      <c r="R294" s="200"/>
      <c r="S294" s="200"/>
      <c r="T294" s="200"/>
      <c r="U294" s="200"/>
      <c r="V294" s="200"/>
      <c r="W294" s="200"/>
      <c r="X294" s="200"/>
      <c r="Y294" s="200"/>
      <c r="Z294" s="200"/>
      <c r="AA294" s="200"/>
      <c r="AB294" s="200"/>
      <c r="AC294" s="200"/>
      <c r="AD294" s="200"/>
      <c r="AE294" s="200"/>
      <c r="AF294" s="200"/>
      <c r="AG294" s="200"/>
      <c r="AH294" s="200"/>
      <c r="AI294" s="200"/>
      <c r="AJ294" s="200"/>
      <c r="AK294" s="200"/>
      <c r="AL294" s="200"/>
      <c r="AM294" s="200"/>
      <c r="AN294" s="200"/>
      <c r="AO294" s="200"/>
      <c r="AP294" s="200"/>
      <c r="AQ294" s="200"/>
      <c r="AR294" s="200"/>
      <c r="AS294" s="200"/>
      <c r="AT294" s="200"/>
      <c r="AU294" s="200"/>
      <c r="AV294" s="200"/>
      <c r="AW294" s="200"/>
      <c r="AX294" s="200"/>
      <c r="AY294" s="200"/>
      <c r="AZ294" s="200"/>
      <c r="BA294" s="200"/>
      <c r="BB294" s="200"/>
      <c r="BC294" s="200"/>
      <c r="BD294" s="200"/>
      <c r="BE294" s="200"/>
      <c r="BF294" s="200"/>
      <c r="BG294" s="200"/>
      <c r="BH294" s="200"/>
      <c r="BI294" s="200"/>
      <c r="BJ294" s="200"/>
      <c r="BK294" s="200"/>
      <c r="BL294" s="200"/>
      <c r="BM294" s="200"/>
      <c r="BN294" s="200"/>
      <c r="BO294" s="200"/>
      <c r="BP294" s="200"/>
      <c r="BQ294" s="200"/>
      <c r="BR294" s="200"/>
      <c r="BS294" s="200"/>
      <c r="BT294" s="200"/>
      <c r="BU294" s="200"/>
      <c r="BV294" s="200"/>
      <c r="BW294" s="200"/>
      <c r="BX294" s="200"/>
      <c r="BY294" s="200"/>
      <c r="BZ294" s="200"/>
      <c r="CA294" s="200"/>
      <c r="CB294" s="200"/>
      <c r="CC294" s="200"/>
      <c r="CD294" s="200"/>
      <c r="CE294" s="200"/>
      <c r="CF294" s="200"/>
      <c r="CG294" s="200"/>
      <c r="CH294" s="200"/>
      <c r="CI294" s="200"/>
      <c r="CJ294" s="200"/>
      <c r="CK294" s="200"/>
      <c r="CL294" s="200"/>
      <c r="CM294" s="200"/>
      <c r="CN294" s="200"/>
      <c r="CO294" s="200"/>
      <c r="CP294" s="200"/>
      <c r="CQ294" s="200"/>
      <c r="CR294" s="200"/>
      <c r="CS294" s="200"/>
      <c r="CT294" s="200"/>
      <c r="CU294" s="200"/>
      <c r="CV294" s="200"/>
      <c r="CW294" s="200"/>
      <c r="CX294" s="200"/>
      <c r="CY294" s="200"/>
      <c r="CZ294" s="200"/>
      <c r="DA294" s="200"/>
      <c r="DB294" s="200"/>
      <c r="DC294" s="200"/>
      <c r="DD294" s="200"/>
      <c r="DE294" s="200"/>
      <c r="DF294" s="200"/>
      <c r="DG294" s="200"/>
      <c r="DH294" s="200"/>
      <c r="DI294" s="200"/>
      <c r="DJ294" s="200"/>
      <c r="DK294" s="200"/>
      <c r="DL294" s="200"/>
      <c r="DM294" s="200"/>
      <c r="DN294" s="200"/>
      <c r="DO294" s="200"/>
      <c r="DP294" s="200"/>
      <c r="DQ294" s="200"/>
      <c r="DR294" s="200"/>
      <c r="DS294" s="200"/>
      <c r="DT294" s="200"/>
      <c r="DU294" s="200"/>
      <c r="DV294" s="200"/>
      <c r="DW294" s="200"/>
      <c r="DX294" s="200"/>
      <c r="DY294" s="200"/>
      <c r="DZ294" s="200"/>
      <c r="EA294" s="200"/>
      <c r="EB294" s="200"/>
      <c r="EC294" s="200"/>
      <c r="ED294" s="200"/>
      <c r="EE294" s="200"/>
      <c r="EF294" s="200"/>
      <c r="EG294" s="200"/>
      <c r="EH294" s="200"/>
      <c r="EI294" s="200"/>
      <c r="EJ294" s="200"/>
      <c r="EK294" s="200"/>
      <c r="EL294" s="200"/>
      <c r="EM294" s="200"/>
      <c r="EN294" s="200"/>
      <c r="EO294" s="200"/>
      <c r="EP294" s="200"/>
      <c r="EQ294" s="200"/>
      <c r="ER294" s="200"/>
      <c r="ES294" s="200"/>
      <c r="ET294" s="200"/>
      <c r="EU294" s="200"/>
      <c r="EV294" s="200"/>
      <c r="EW294" s="200"/>
      <c r="EX294" s="200"/>
      <c r="EY294" s="200"/>
      <c r="EZ294" s="200"/>
      <c r="FA294" s="200"/>
      <c r="FB294" s="200"/>
      <c r="FC294" s="200"/>
      <c r="FD294" s="200"/>
      <c r="FE294" s="200"/>
      <c r="FF294" s="200"/>
      <c r="FG294" s="200"/>
      <c r="FH294" s="200"/>
      <c r="FI294" s="200"/>
      <c r="FJ294" s="200"/>
      <c r="FK294" s="200"/>
      <c r="FL294" s="200"/>
      <c r="FM294" s="200"/>
      <c r="FN294" s="200"/>
      <c r="FO294" s="200"/>
      <c r="FP294" s="200"/>
      <c r="FQ294" s="200"/>
      <c r="FR294" s="200"/>
      <c r="FS294" s="200"/>
      <c r="FT294" s="200"/>
      <c r="FU294" s="200"/>
      <c r="FV294" s="200"/>
      <c r="FW294" s="200"/>
      <c r="FX294" s="200"/>
      <c r="FY294" s="200"/>
      <c r="FZ294" s="200"/>
      <c r="GA294" s="200"/>
      <c r="GB294" s="200"/>
      <c r="GC294" s="200"/>
      <c r="GD294" s="200"/>
      <c r="GE294" s="200"/>
      <c r="GF294" s="200"/>
      <c r="GG294" s="200"/>
      <c r="GH294" s="200"/>
      <c r="GI294" s="200"/>
      <c r="GJ294" s="200"/>
      <c r="GK294" s="200"/>
      <c r="GL294" s="200"/>
      <c r="GM294" s="200"/>
      <c r="GN294" s="200"/>
      <c r="GO294" s="200"/>
      <c r="GP294" s="200"/>
      <c r="GQ294" s="200"/>
      <c r="GR294" s="200"/>
      <c r="GS294" s="200"/>
      <c r="GT294" s="200"/>
      <c r="GU294" s="200"/>
      <c r="GV294" s="200"/>
      <c r="GW294" s="200"/>
      <c r="GX294" s="200"/>
      <c r="GY294" s="200"/>
      <c r="GZ294" s="200"/>
      <c r="HA294" s="200"/>
      <c r="HB294" s="200"/>
      <c r="HC294" s="200"/>
      <c r="HD294" s="200"/>
      <c r="HE294" s="200"/>
      <c r="HF294" s="200"/>
      <c r="HG294" s="200"/>
      <c r="HH294" s="200"/>
      <c r="HI294" s="200"/>
      <c r="HJ294" s="200"/>
      <c r="HK294" s="200"/>
      <c r="HL294" s="200"/>
      <c r="HM294" s="200"/>
      <c r="HN294" s="200"/>
      <c r="HO294" s="200"/>
      <c r="HP294" s="200"/>
      <c r="HQ294" s="200"/>
      <c r="HR294" s="200"/>
      <c r="HS294" s="200"/>
      <c r="HT294" s="200"/>
      <c r="HU294" s="200"/>
      <c r="HV294" s="200"/>
      <c r="HW294" s="200"/>
      <c r="HX294" s="200"/>
      <c r="HY294" s="200"/>
      <c r="HZ294" s="200"/>
      <c r="IA294" s="200"/>
      <c r="IB294" s="200"/>
      <c r="IC294" s="200"/>
      <c r="ID294" s="200"/>
      <c r="IE294" s="200"/>
      <c r="IF294" s="200"/>
      <c r="IG294" s="200"/>
      <c r="IH294" s="200"/>
      <c r="II294" s="200"/>
      <c r="IJ294" s="200"/>
      <c r="IK294" s="200"/>
      <c r="IL294" s="200"/>
      <c r="IM294" s="200"/>
      <c r="IN294" s="200"/>
      <c r="IO294" s="200"/>
      <c r="IP294" s="200"/>
      <c r="IQ294" s="200"/>
      <c r="IR294" s="200"/>
      <c r="IS294" s="200"/>
      <c r="IT294" s="200"/>
      <c r="IU294" s="201"/>
      <c r="IV294" s="201"/>
    </row>
    <row r="295" s="10" customFormat="1" ht="15.95" customHeight="1" spans="1:256">
      <c r="A295" s="199">
        <v>75</v>
      </c>
      <c r="B295" s="20" t="s">
        <v>2278</v>
      </c>
      <c r="C295" s="20" t="s">
        <v>2282</v>
      </c>
      <c r="D295" s="199">
        <v>6075</v>
      </c>
      <c r="E295" s="199">
        <f>'05版台时'!E494</f>
        <v>49.3735393032105</v>
      </c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  <c r="P295" s="200"/>
      <c r="Q295" s="200"/>
      <c r="R295" s="200"/>
      <c r="S295" s="200"/>
      <c r="T295" s="200"/>
      <c r="U295" s="200"/>
      <c r="V295" s="200"/>
      <c r="W295" s="200"/>
      <c r="X295" s="200"/>
      <c r="Y295" s="200"/>
      <c r="Z295" s="200"/>
      <c r="AA295" s="200"/>
      <c r="AB295" s="200"/>
      <c r="AC295" s="200"/>
      <c r="AD295" s="200"/>
      <c r="AE295" s="200"/>
      <c r="AF295" s="200"/>
      <c r="AG295" s="200"/>
      <c r="AH295" s="200"/>
      <c r="AI295" s="200"/>
      <c r="AJ295" s="200"/>
      <c r="AK295" s="200"/>
      <c r="AL295" s="200"/>
      <c r="AM295" s="200"/>
      <c r="AN295" s="200"/>
      <c r="AO295" s="200"/>
      <c r="AP295" s="200"/>
      <c r="AQ295" s="200"/>
      <c r="AR295" s="200"/>
      <c r="AS295" s="200"/>
      <c r="AT295" s="200"/>
      <c r="AU295" s="200"/>
      <c r="AV295" s="200"/>
      <c r="AW295" s="200"/>
      <c r="AX295" s="200"/>
      <c r="AY295" s="200"/>
      <c r="AZ295" s="200"/>
      <c r="BA295" s="200"/>
      <c r="BB295" s="200"/>
      <c r="BC295" s="200"/>
      <c r="BD295" s="200"/>
      <c r="BE295" s="200"/>
      <c r="BF295" s="200"/>
      <c r="BG295" s="200"/>
      <c r="BH295" s="200"/>
      <c r="BI295" s="200"/>
      <c r="BJ295" s="200"/>
      <c r="BK295" s="200"/>
      <c r="BL295" s="200"/>
      <c r="BM295" s="200"/>
      <c r="BN295" s="200"/>
      <c r="BO295" s="200"/>
      <c r="BP295" s="200"/>
      <c r="BQ295" s="200"/>
      <c r="BR295" s="200"/>
      <c r="BS295" s="200"/>
      <c r="BT295" s="200"/>
      <c r="BU295" s="200"/>
      <c r="BV295" s="200"/>
      <c r="BW295" s="200"/>
      <c r="BX295" s="200"/>
      <c r="BY295" s="200"/>
      <c r="BZ295" s="200"/>
      <c r="CA295" s="200"/>
      <c r="CB295" s="200"/>
      <c r="CC295" s="200"/>
      <c r="CD295" s="200"/>
      <c r="CE295" s="200"/>
      <c r="CF295" s="200"/>
      <c r="CG295" s="200"/>
      <c r="CH295" s="200"/>
      <c r="CI295" s="200"/>
      <c r="CJ295" s="200"/>
      <c r="CK295" s="200"/>
      <c r="CL295" s="200"/>
      <c r="CM295" s="200"/>
      <c r="CN295" s="200"/>
      <c r="CO295" s="200"/>
      <c r="CP295" s="200"/>
      <c r="CQ295" s="200"/>
      <c r="CR295" s="200"/>
      <c r="CS295" s="200"/>
      <c r="CT295" s="200"/>
      <c r="CU295" s="200"/>
      <c r="CV295" s="200"/>
      <c r="CW295" s="200"/>
      <c r="CX295" s="200"/>
      <c r="CY295" s="200"/>
      <c r="CZ295" s="200"/>
      <c r="DA295" s="200"/>
      <c r="DB295" s="200"/>
      <c r="DC295" s="200"/>
      <c r="DD295" s="200"/>
      <c r="DE295" s="200"/>
      <c r="DF295" s="200"/>
      <c r="DG295" s="200"/>
      <c r="DH295" s="200"/>
      <c r="DI295" s="200"/>
      <c r="DJ295" s="200"/>
      <c r="DK295" s="200"/>
      <c r="DL295" s="200"/>
      <c r="DM295" s="200"/>
      <c r="DN295" s="200"/>
      <c r="DO295" s="200"/>
      <c r="DP295" s="200"/>
      <c r="DQ295" s="200"/>
      <c r="DR295" s="200"/>
      <c r="DS295" s="200"/>
      <c r="DT295" s="200"/>
      <c r="DU295" s="200"/>
      <c r="DV295" s="200"/>
      <c r="DW295" s="200"/>
      <c r="DX295" s="200"/>
      <c r="DY295" s="200"/>
      <c r="DZ295" s="200"/>
      <c r="EA295" s="200"/>
      <c r="EB295" s="200"/>
      <c r="EC295" s="200"/>
      <c r="ED295" s="200"/>
      <c r="EE295" s="200"/>
      <c r="EF295" s="200"/>
      <c r="EG295" s="200"/>
      <c r="EH295" s="200"/>
      <c r="EI295" s="200"/>
      <c r="EJ295" s="200"/>
      <c r="EK295" s="200"/>
      <c r="EL295" s="200"/>
      <c r="EM295" s="200"/>
      <c r="EN295" s="200"/>
      <c r="EO295" s="200"/>
      <c r="EP295" s="200"/>
      <c r="EQ295" s="200"/>
      <c r="ER295" s="200"/>
      <c r="ES295" s="200"/>
      <c r="ET295" s="200"/>
      <c r="EU295" s="200"/>
      <c r="EV295" s="200"/>
      <c r="EW295" s="200"/>
      <c r="EX295" s="200"/>
      <c r="EY295" s="200"/>
      <c r="EZ295" s="200"/>
      <c r="FA295" s="200"/>
      <c r="FB295" s="200"/>
      <c r="FC295" s="200"/>
      <c r="FD295" s="200"/>
      <c r="FE295" s="200"/>
      <c r="FF295" s="200"/>
      <c r="FG295" s="200"/>
      <c r="FH295" s="200"/>
      <c r="FI295" s="200"/>
      <c r="FJ295" s="200"/>
      <c r="FK295" s="200"/>
      <c r="FL295" s="200"/>
      <c r="FM295" s="200"/>
      <c r="FN295" s="200"/>
      <c r="FO295" s="200"/>
      <c r="FP295" s="200"/>
      <c r="FQ295" s="200"/>
      <c r="FR295" s="200"/>
      <c r="FS295" s="200"/>
      <c r="FT295" s="200"/>
      <c r="FU295" s="200"/>
      <c r="FV295" s="200"/>
      <c r="FW295" s="200"/>
      <c r="FX295" s="200"/>
      <c r="FY295" s="200"/>
      <c r="FZ295" s="200"/>
      <c r="GA295" s="200"/>
      <c r="GB295" s="200"/>
      <c r="GC295" s="200"/>
      <c r="GD295" s="200"/>
      <c r="GE295" s="200"/>
      <c r="GF295" s="200"/>
      <c r="GG295" s="200"/>
      <c r="GH295" s="200"/>
      <c r="GI295" s="200"/>
      <c r="GJ295" s="200"/>
      <c r="GK295" s="200"/>
      <c r="GL295" s="200"/>
      <c r="GM295" s="200"/>
      <c r="GN295" s="200"/>
      <c r="GO295" s="200"/>
      <c r="GP295" s="200"/>
      <c r="GQ295" s="200"/>
      <c r="GR295" s="200"/>
      <c r="GS295" s="200"/>
      <c r="GT295" s="200"/>
      <c r="GU295" s="200"/>
      <c r="GV295" s="200"/>
      <c r="GW295" s="200"/>
      <c r="GX295" s="200"/>
      <c r="GY295" s="200"/>
      <c r="GZ295" s="200"/>
      <c r="HA295" s="200"/>
      <c r="HB295" s="200"/>
      <c r="HC295" s="200"/>
      <c r="HD295" s="200"/>
      <c r="HE295" s="200"/>
      <c r="HF295" s="200"/>
      <c r="HG295" s="200"/>
      <c r="HH295" s="200"/>
      <c r="HI295" s="200"/>
      <c r="HJ295" s="200"/>
      <c r="HK295" s="200"/>
      <c r="HL295" s="200"/>
      <c r="HM295" s="200"/>
      <c r="HN295" s="200"/>
      <c r="HO295" s="200"/>
      <c r="HP295" s="200"/>
      <c r="HQ295" s="200"/>
      <c r="HR295" s="200"/>
      <c r="HS295" s="200"/>
      <c r="HT295" s="200"/>
      <c r="HU295" s="200"/>
      <c r="HV295" s="200"/>
      <c r="HW295" s="200"/>
      <c r="HX295" s="200"/>
      <c r="HY295" s="200"/>
      <c r="HZ295" s="200"/>
      <c r="IA295" s="200"/>
      <c r="IB295" s="200"/>
      <c r="IC295" s="200"/>
      <c r="ID295" s="200"/>
      <c r="IE295" s="200"/>
      <c r="IF295" s="200"/>
      <c r="IG295" s="200"/>
      <c r="IH295" s="200"/>
      <c r="II295" s="200"/>
      <c r="IJ295" s="200"/>
      <c r="IK295" s="200"/>
      <c r="IL295" s="200"/>
      <c r="IM295" s="200"/>
      <c r="IN295" s="200"/>
      <c r="IO295" s="200"/>
      <c r="IP295" s="200"/>
      <c r="IQ295" s="200"/>
      <c r="IR295" s="200"/>
      <c r="IS295" s="200"/>
      <c r="IT295" s="200"/>
      <c r="IU295" s="201"/>
      <c r="IV295" s="201"/>
    </row>
    <row r="296" s="10" customFormat="1" ht="15.95" customHeight="1" spans="1:256">
      <c r="A296" s="199">
        <v>76</v>
      </c>
      <c r="B296" s="20" t="s">
        <v>2278</v>
      </c>
      <c r="C296" s="20" t="s">
        <v>2283</v>
      </c>
      <c r="D296" s="199">
        <v>6076</v>
      </c>
      <c r="E296" s="199">
        <f>'05版台时'!F494</f>
        <v>52.2057690598918</v>
      </c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  <c r="W296" s="200"/>
      <c r="X296" s="200"/>
      <c r="Y296" s="200"/>
      <c r="Z296" s="200"/>
      <c r="AA296" s="200"/>
      <c r="AB296" s="200"/>
      <c r="AC296" s="200"/>
      <c r="AD296" s="200"/>
      <c r="AE296" s="200"/>
      <c r="AF296" s="200"/>
      <c r="AG296" s="200"/>
      <c r="AH296" s="200"/>
      <c r="AI296" s="200"/>
      <c r="AJ296" s="200"/>
      <c r="AK296" s="200"/>
      <c r="AL296" s="200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200"/>
      <c r="AZ296" s="200"/>
      <c r="BA296" s="200"/>
      <c r="BB296" s="200"/>
      <c r="BC296" s="200"/>
      <c r="BD296" s="200"/>
      <c r="BE296" s="200"/>
      <c r="BF296" s="200"/>
      <c r="BG296" s="200"/>
      <c r="BH296" s="200"/>
      <c r="BI296" s="200"/>
      <c r="BJ296" s="200"/>
      <c r="BK296" s="200"/>
      <c r="BL296" s="200"/>
      <c r="BM296" s="200"/>
      <c r="BN296" s="200"/>
      <c r="BO296" s="200"/>
      <c r="BP296" s="200"/>
      <c r="BQ296" s="200"/>
      <c r="BR296" s="200"/>
      <c r="BS296" s="200"/>
      <c r="BT296" s="200"/>
      <c r="BU296" s="200"/>
      <c r="BV296" s="200"/>
      <c r="BW296" s="200"/>
      <c r="BX296" s="200"/>
      <c r="BY296" s="200"/>
      <c r="BZ296" s="200"/>
      <c r="CA296" s="200"/>
      <c r="CB296" s="200"/>
      <c r="CC296" s="200"/>
      <c r="CD296" s="200"/>
      <c r="CE296" s="200"/>
      <c r="CF296" s="200"/>
      <c r="CG296" s="200"/>
      <c r="CH296" s="200"/>
      <c r="CI296" s="200"/>
      <c r="CJ296" s="200"/>
      <c r="CK296" s="200"/>
      <c r="CL296" s="200"/>
      <c r="CM296" s="200"/>
      <c r="CN296" s="200"/>
      <c r="CO296" s="200"/>
      <c r="CP296" s="200"/>
      <c r="CQ296" s="200"/>
      <c r="CR296" s="200"/>
      <c r="CS296" s="200"/>
      <c r="CT296" s="200"/>
      <c r="CU296" s="200"/>
      <c r="CV296" s="200"/>
      <c r="CW296" s="200"/>
      <c r="CX296" s="200"/>
      <c r="CY296" s="200"/>
      <c r="CZ296" s="200"/>
      <c r="DA296" s="200"/>
      <c r="DB296" s="200"/>
      <c r="DC296" s="200"/>
      <c r="DD296" s="200"/>
      <c r="DE296" s="200"/>
      <c r="DF296" s="200"/>
      <c r="DG296" s="200"/>
      <c r="DH296" s="200"/>
      <c r="DI296" s="200"/>
      <c r="DJ296" s="200"/>
      <c r="DK296" s="200"/>
      <c r="DL296" s="200"/>
      <c r="DM296" s="200"/>
      <c r="DN296" s="200"/>
      <c r="DO296" s="200"/>
      <c r="DP296" s="200"/>
      <c r="DQ296" s="200"/>
      <c r="DR296" s="200"/>
      <c r="DS296" s="200"/>
      <c r="DT296" s="200"/>
      <c r="DU296" s="200"/>
      <c r="DV296" s="200"/>
      <c r="DW296" s="200"/>
      <c r="DX296" s="200"/>
      <c r="DY296" s="200"/>
      <c r="DZ296" s="200"/>
      <c r="EA296" s="200"/>
      <c r="EB296" s="200"/>
      <c r="EC296" s="200"/>
      <c r="ED296" s="200"/>
      <c r="EE296" s="200"/>
      <c r="EF296" s="200"/>
      <c r="EG296" s="200"/>
      <c r="EH296" s="200"/>
      <c r="EI296" s="200"/>
      <c r="EJ296" s="200"/>
      <c r="EK296" s="200"/>
      <c r="EL296" s="200"/>
      <c r="EM296" s="200"/>
      <c r="EN296" s="200"/>
      <c r="EO296" s="200"/>
      <c r="EP296" s="200"/>
      <c r="EQ296" s="200"/>
      <c r="ER296" s="200"/>
      <c r="ES296" s="200"/>
      <c r="ET296" s="200"/>
      <c r="EU296" s="200"/>
      <c r="EV296" s="200"/>
      <c r="EW296" s="200"/>
      <c r="EX296" s="200"/>
      <c r="EY296" s="200"/>
      <c r="EZ296" s="200"/>
      <c r="FA296" s="200"/>
      <c r="FB296" s="200"/>
      <c r="FC296" s="200"/>
      <c r="FD296" s="200"/>
      <c r="FE296" s="200"/>
      <c r="FF296" s="200"/>
      <c r="FG296" s="200"/>
      <c r="FH296" s="200"/>
      <c r="FI296" s="200"/>
      <c r="FJ296" s="200"/>
      <c r="FK296" s="200"/>
      <c r="FL296" s="200"/>
      <c r="FM296" s="200"/>
      <c r="FN296" s="200"/>
      <c r="FO296" s="200"/>
      <c r="FP296" s="200"/>
      <c r="FQ296" s="200"/>
      <c r="FR296" s="200"/>
      <c r="FS296" s="200"/>
      <c r="FT296" s="200"/>
      <c r="FU296" s="200"/>
      <c r="FV296" s="200"/>
      <c r="FW296" s="200"/>
      <c r="FX296" s="200"/>
      <c r="FY296" s="200"/>
      <c r="FZ296" s="200"/>
      <c r="GA296" s="200"/>
      <c r="GB296" s="200"/>
      <c r="GC296" s="200"/>
      <c r="GD296" s="200"/>
      <c r="GE296" s="200"/>
      <c r="GF296" s="200"/>
      <c r="GG296" s="200"/>
      <c r="GH296" s="200"/>
      <c r="GI296" s="200"/>
      <c r="GJ296" s="200"/>
      <c r="GK296" s="200"/>
      <c r="GL296" s="200"/>
      <c r="GM296" s="200"/>
      <c r="GN296" s="200"/>
      <c r="GO296" s="200"/>
      <c r="GP296" s="200"/>
      <c r="GQ296" s="200"/>
      <c r="GR296" s="200"/>
      <c r="GS296" s="200"/>
      <c r="GT296" s="200"/>
      <c r="GU296" s="200"/>
      <c r="GV296" s="200"/>
      <c r="GW296" s="200"/>
      <c r="GX296" s="200"/>
      <c r="GY296" s="200"/>
      <c r="GZ296" s="200"/>
      <c r="HA296" s="200"/>
      <c r="HB296" s="200"/>
      <c r="HC296" s="200"/>
      <c r="HD296" s="200"/>
      <c r="HE296" s="200"/>
      <c r="HF296" s="200"/>
      <c r="HG296" s="200"/>
      <c r="HH296" s="200"/>
      <c r="HI296" s="200"/>
      <c r="HJ296" s="200"/>
      <c r="HK296" s="200"/>
      <c r="HL296" s="200"/>
      <c r="HM296" s="200"/>
      <c r="HN296" s="200"/>
      <c r="HO296" s="200"/>
      <c r="HP296" s="200"/>
      <c r="HQ296" s="200"/>
      <c r="HR296" s="200"/>
      <c r="HS296" s="200"/>
      <c r="HT296" s="200"/>
      <c r="HU296" s="200"/>
      <c r="HV296" s="200"/>
      <c r="HW296" s="200"/>
      <c r="HX296" s="200"/>
      <c r="HY296" s="200"/>
      <c r="HZ296" s="200"/>
      <c r="IA296" s="200"/>
      <c r="IB296" s="200"/>
      <c r="IC296" s="200"/>
      <c r="ID296" s="200"/>
      <c r="IE296" s="200"/>
      <c r="IF296" s="200"/>
      <c r="IG296" s="200"/>
      <c r="IH296" s="200"/>
      <c r="II296" s="200"/>
      <c r="IJ296" s="200"/>
      <c r="IK296" s="200"/>
      <c r="IL296" s="200"/>
      <c r="IM296" s="200"/>
      <c r="IN296" s="200"/>
      <c r="IO296" s="200"/>
      <c r="IP296" s="200"/>
      <c r="IQ296" s="200"/>
      <c r="IR296" s="200"/>
      <c r="IS296" s="200"/>
      <c r="IT296" s="200"/>
      <c r="IU296" s="201"/>
      <c r="IV296" s="201"/>
    </row>
    <row r="297" s="10" customFormat="1" ht="15.95" customHeight="1" spans="1:256">
      <c r="A297" s="199">
        <v>77</v>
      </c>
      <c r="B297" s="20" t="s">
        <v>2278</v>
      </c>
      <c r="C297" s="20" t="s">
        <v>2284</v>
      </c>
      <c r="D297" s="199">
        <v>6077</v>
      </c>
      <c r="E297" s="199">
        <f>'05版台时'!G494</f>
        <v>60.3965149713398</v>
      </c>
      <c r="F297" s="200"/>
      <c r="G297" s="200"/>
      <c r="H297" s="200"/>
      <c r="I297" s="200"/>
      <c r="J297" s="200"/>
      <c r="K297" s="200"/>
      <c r="L297" s="200"/>
      <c r="M297" s="200"/>
      <c r="N297" s="200"/>
      <c r="O297" s="20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  <c r="AA297" s="200"/>
      <c r="AB297" s="200"/>
      <c r="AC297" s="200"/>
      <c r="AD297" s="200"/>
      <c r="AE297" s="200"/>
      <c r="AF297" s="200"/>
      <c r="AG297" s="200"/>
      <c r="AH297" s="200"/>
      <c r="AI297" s="200"/>
      <c r="AJ297" s="200"/>
      <c r="AK297" s="200"/>
      <c r="AL297" s="200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200"/>
      <c r="BB297" s="200"/>
      <c r="BC297" s="200"/>
      <c r="BD297" s="200"/>
      <c r="BE297" s="200"/>
      <c r="BF297" s="200"/>
      <c r="BG297" s="200"/>
      <c r="BH297" s="200"/>
      <c r="BI297" s="200"/>
      <c r="BJ297" s="200"/>
      <c r="BK297" s="200"/>
      <c r="BL297" s="200"/>
      <c r="BM297" s="200"/>
      <c r="BN297" s="200"/>
      <c r="BO297" s="200"/>
      <c r="BP297" s="200"/>
      <c r="BQ297" s="200"/>
      <c r="BR297" s="200"/>
      <c r="BS297" s="200"/>
      <c r="BT297" s="200"/>
      <c r="BU297" s="200"/>
      <c r="BV297" s="200"/>
      <c r="BW297" s="200"/>
      <c r="BX297" s="200"/>
      <c r="BY297" s="200"/>
      <c r="BZ297" s="200"/>
      <c r="CA297" s="200"/>
      <c r="CB297" s="200"/>
      <c r="CC297" s="200"/>
      <c r="CD297" s="200"/>
      <c r="CE297" s="200"/>
      <c r="CF297" s="200"/>
      <c r="CG297" s="200"/>
      <c r="CH297" s="200"/>
      <c r="CI297" s="200"/>
      <c r="CJ297" s="200"/>
      <c r="CK297" s="200"/>
      <c r="CL297" s="200"/>
      <c r="CM297" s="200"/>
      <c r="CN297" s="200"/>
      <c r="CO297" s="200"/>
      <c r="CP297" s="200"/>
      <c r="CQ297" s="200"/>
      <c r="CR297" s="200"/>
      <c r="CS297" s="200"/>
      <c r="CT297" s="200"/>
      <c r="CU297" s="200"/>
      <c r="CV297" s="200"/>
      <c r="CW297" s="200"/>
      <c r="CX297" s="200"/>
      <c r="CY297" s="200"/>
      <c r="CZ297" s="200"/>
      <c r="DA297" s="200"/>
      <c r="DB297" s="200"/>
      <c r="DC297" s="200"/>
      <c r="DD297" s="200"/>
      <c r="DE297" s="200"/>
      <c r="DF297" s="200"/>
      <c r="DG297" s="200"/>
      <c r="DH297" s="200"/>
      <c r="DI297" s="200"/>
      <c r="DJ297" s="200"/>
      <c r="DK297" s="200"/>
      <c r="DL297" s="200"/>
      <c r="DM297" s="200"/>
      <c r="DN297" s="200"/>
      <c r="DO297" s="200"/>
      <c r="DP297" s="200"/>
      <c r="DQ297" s="200"/>
      <c r="DR297" s="200"/>
      <c r="DS297" s="200"/>
      <c r="DT297" s="200"/>
      <c r="DU297" s="200"/>
      <c r="DV297" s="200"/>
      <c r="DW297" s="200"/>
      <c r="DX297" s="200"/>
      <c r="DY297" s="200"/>
      <c r="DZ297" s="200"/>
      <c r="EA297" s="200"/>
      <c r="EB297" s="200"/>
      <c r="EC297" s="200"/>
      <c r="ED297" s="200"/>
      <c r="EE297" s="200"/>
      <c r="EF297" s="200"/>
      <c r="EG297" s="200"/>
      <c r="EH297" s="200"/>
      <c r="EI297" s="200"/>
      <c r="EJ297" s="200"/>
      <c r="EK297" s="200"/>
      <c r="EL297" s="200"/>
      <c r="EM297" s="200"/>
      <c r="EN297" s="200"/>
      <c r="EO297" s="200"/>
      <c r="EP297" s="200"/>
      <c r="EQ297" s="200"/>
      <c r="ER297" s="200"/>
      <c r="ES297" s="200"/>
      <c r="ET297" s="200"/>
      <c r="EU297" s="200"/>
      <c r="EV297" s="200"/>
      <c r="EW297" s="200"/>
      <c r="EX297" s="200"/>
      <c r="EY297" s="200"/>
      <c r="EZ297" s="200"/>
      <c r="FA297" s="200"/>
      <c r="FB297" s="200"/>
      <c r="FC297" s="200"/>
      <c r="FD297" s="200"/>
      <c r="FE297" s="200"/>
      <c r="FF297" s="200"/>
      <c r="FG297" s="200"/>
      <c r="FH297" s="200"/>
      <c r="FI297" s="200"/>
      <c r="FJ297" s="200"/>
      <c r="FK297" s="200"/>
      <c r="FL297" s="200"/>
      <c r="FM297" s="200"/>
      <c r="FN297" s="200"/>
      <c r="FO297" s="200"/>
      <c r="FP297" s="200"/>
      <c r="FQ297" s="200"/>
      <c r="FR297" s="200"/>
      <c r="FS297" s="200"/>
      <c r="FT297" s="200"/>
      <c r="FU297" s="200"/>
      <c r="FV297" s="200"/>
      <c r="FW297" s="200"/>
      <c r="FX297" s="200"/>
      <c r="FY297" s="200"/>
      <c r="FZ297" s="200"/>
      <c r="GA297" s="200"/>
      <c r="GB297" s="200"/>
      <c r="GC297" s="200"/>
      <c r="GD297" s="200"/>
      <c r="GE297" s="200"/>
      <c r="GF297" s="200"/>
      <c r="GG297" s="200"/>
      <c r="GH297" s="200"/>
      <c r="GI297" s="200"/>
      <c r="GJ297" s="200"/>
      <c r="GK297" s="200"/>
      <c r="GL297" s="200"/>
      <c r="GM297" s="200"/>
      <c r="GN297" s="200"/>
      <c r="GO297" s="200"/>
      <c r="GP297" s="200"/>
      <c r="GQ297" s="200"/>
      <c r="GR297" s="200"/>
      <c r="GS297" s="200"/>
      <c r="GT297" s="200"/>
      <c r="GU297" s="200"/>
      <c r="GV297" s="200"/>
      <c r="GW297" s="200"/>
      <c r="GX297" s="200"/>
      <c r="GY297" s="200"/>
      <c r="GZ297" s="200"/>
      <c r="HA297" s="200"/>
      <c r="HB297" s="200"/>
      <c r="HC297" s="200"/>
      <c r="HD297" s="200"/>
      <c r="HE297" s="200"/>
      <c r="HF297" s="200"/>
      <c r="HG297" s="200"/>
      <c r="HH297" s="200"/>
      <c r="HI297" s="200"/>
      <c r="HJ297" s="200"/>
      <c r="HK297" s="200"/>
      <c r="HL297" s="200"/>
      <c r="HM297" s="200"/>
      <c r="HN297" s="200"/>
      <c r="HO297" s="200"/>
      <c r="HP297" s="200"/>
      <c r="HQ297" s="200"/>
      <c r="HR297" s="200"/>
      <c r="HS297" s="200"/>
      <c r="HT297" s="200"/>
      <c r="HU297" s="200"/>
      <c r="HV297" s="200"/>
      <c r="HW297" s="200"/>
      <c r="HX297" s="200"/>
      <c r="HY297" s="200"/>
      <c r="HZ297" s="200"/>
      <c r="IA297" s="200"/>
      <c r="IB297" s="200"/>
      <c r="IC297" s="200"/>
      <c r="ID297" s="200"/>
      <c r="IE297" s="200"/>
      <c r="IF297" s="200"/>
      <c r="IG297" s="200"/>
      <c r="IH297" s="200"/>
      <c r="II297" s="200"/>
      <c r="IJ297" s="200"/>
      <c r="IK297" s="200"/>
      <c r="IL297" s="200"/>
      <c r="IM297" s="200"/>
      <c r="IN297" s="200"/>
      <c r="IO297" s="200"/>
      <c r="IP297" s="200"/>
      <c r="IQ297" s="200"/>
      <c r="IR297" s="200"/>
      <c r="IS297" s="200"/>
      <c r="IT297" s="200"/>
      <c r="IU297" s="201"/>
      <c r="IV297" s="201"/>
    </row>
    <row r="298" s="10" customFormat="1" ht="15.95" customHeight="1" spans="1:256">
      <c r="A298" s="199">
        <v>78</v>
      </c>
      <c r="B298" s="20" t="s">
        <v>2278</v>
      </c>
      <c r="C298" s="20" t="s">
        <v>2285</v>
      </c>
      <c r="D298" s="199">
        <v>6078</v>
      </c>
      <c r="E298" s="199">
        <f>'05版台时'!H494</f>
        <v>83.1674700035535</v>
      </c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  <c r="AA298" s="200"/>
      <c r="AB298" s="200"/>
      <c r="AC298" s="200"/>
      <c r="AD298" s="200"/>
      <c r="AE298" s="200"/>
      <c r="AF298" s="200"/>
      <c r="AG298" s="200"/>
      <c r="AH298" s="200"/>
      <c r="AI298" s="200"/>
      <c r="AJ298" s="200"/>
      <c r="AK298" s="200"/>
      <c r="AL298" s="200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200"/>
      <c r="AZ298" s="200"/>
      <c r="BA298" s="200"/>
      <c r="BB298" s="200"/>
      <c r="BC298" s="200"/>
      <c r="BD298" s="200"/>
      <c r="BE298" s="200"/>
      <c r="BF298" s="200"/>
      <c r="BG298" s="200"/>
      <c r="BH298" s="200"/>
      <c r="BI298" s="200"/>
      <c r="BJ298" s="200"/>
      <c r="BK298" s="200"/>
      <c r="BL298" s="200"/>
      <c r="BM298" s="200"/>
      <c r="BN298" s="200"/>
      <c r="BO298" s="200"/>
      <c r="BP298" s="200"/>
      <c r="BQ298" s="200"/>
      <c r="BR298" s="200"/>
      <c r="BS298" s="200"/>
      <c r="BT298" s="200"/>
      <c r="BU298" s="200"/>
      <c r="BV298" s="200"/>
      <c r="BW298" s="200"/>
      <c r="BX298" s="200"/>
      <c r="BY298" s="200"/>
      <c r="BZ298" s="200"/>
      <c r="CA298" s="200"/>
      <c r="CB298" s="200"/>
      <c r="CC298" s="200"/>
      <c r="CD298" s="200"/>
      <c r="CE298" s="200"/>
      <c r="CF298" s="200"/>
      <c r="CG298" s="200"/>
      <c r="CH298" s="200"/>
      <c r="CI298" s="200"/>
      <c r="CJ298" s="200"/>
      <c r="CK298" s="200"/>
      <c r="CL298" s="200"/>
      <c r="CM298" s="200"/>
      <c r="CN298" s="200"/>
      <c r="CO298" s="200"/>
      <c r="CP298" s="200"/>
      <c r="CQ298" s="200"/>
      <c r="CR298" s="200"/>
      <c r="CS298" s="200"/>
      <c r="CT298" s="200"/>
      <c r="CU298" s="200"/>
      <c r="CV298" s="200"/>
      <c r="CW298" s="200"/>
      <c r="CX298" s="200"/>
      <c r="CY298" s="200"/>
      <c r="CZ298" s="200"/>
      <c r="DA298" s="200"/>
      <c r="DB298" s="200"/>
      <c r="DC298" s="200"/>
      <c r="DD298" s="200"/>
      <c r="DE298" s="200"/>
      <c r="DF298" s="200"/>
      <c r="DG298" s="200"/>
      <c r="DH298" s="200"/>
      <c r="DI298" s="200"/>
      <c r="DJ298" s="200"/>
      <c r="DK298" s="200"/>
      <c r="DL298" s="200"/>
      <c r="DM298" s="200"/>
      <c r="DN298" s="200"/>
      <c r="DO298" s="200"/>
      <c r="DP298" s="200"/>
      <c r="DQ298" s="200"/>
      <c r="DR298" s="200"/>
      <c r="DS298" s="200"/>
      <c r="DT298" s="200"/>
      <c r="DU298" s="200"/>
      <c r="DV298" s="200"/>
      <c r="DW298" s="200"/>
      <c r="DX298" s="200"/>
      <c r="DY298" s="200"/>
      <c r="DZ298" s="200"/>
      <c r="EA298" s="200"/>
      <c r="EB298" s="200"/>
      <c r="EC298" s="200"/>
      <c r="ED298" s="200"/>
      <c r="EE298" s="200"/>
      <c r="EF298" s="200"/>
      <c r="EG298" s="200"/>
      <c r="EH298" s="200"/>
      <c r="EI298" s="200"/>
      <c r="EJ298" s="200"/>
      <c r="EK298" s="200"/>
      <c r="EL298" s="200"/>
      <c r="EM298" s="200"/>
      <c r="EN298" s="200"/>
      <c r="EO298" s="200"/>
      <c r="EP298" s="200"/>
      <c r="EQ298" s="200"/>
      <c r="ER298" s="200"/>
      <c r="ES298" s="200"/>
      <c r="ET298" s="200"/>
      <c r="EU298" s="200"/>
      <c r="EV298" s="200"/>
      <c r="EW298" s="200"/>
      <c r="EX298" s="200"/>
      <c r="EY298" s="200"/>
      <c r="EZ298" s="200"/>
      <c r="FA298" s="200"/>
      <c r="FB298" s="200"/>
      <c r="FC298" s="200"/>
      <c r="FD298" s="200"/>
      <c r="FE298" s="200"/>
      <c r="FF298" s="200"/>
      <c r="FG298" s="200"/>
      <c r="FH298" s="200"/>
      <c r="FI298" s="200"/>
      <c r="FJ298" s="200"/>
      <c r="FK298" s="200"/>
      <c r="FL298" s="200"/>
      <c r="FM298" s="200"/>
      <c r="FN298" s="200"/>
      <c r="FO298" s="200"/>
      <c r="FP298" s="200"/>
      <c r="FQ298" s="200"/>
      <c r="FR298" s="200"/>
      <c r="FS298" s="200"/>
      <c r="FT298" s="200"/>
      <c r="FU298" s="200"/>
      <c r="FV298" s="200"/>
      <c r="FW298" s="200"/>
      <c r="FX298" s="200"/>
      <c r="FY298" s="200"/>
      <c r="FZ298" s="200"/>
      <c r="GA298" s="200"/>
      <c r="GB298" s="200"/>
      <c r="GC298" s="200"/>
      <c r="GD298" s="200"/>
      <c r="GE298" s="200"/>
      <c r="GF298" s="200"/>
      <c r="GG298" s="200"/>
      <c r="GH298" s="200"/>
      <c r="GI298" s="200"/>
      <c r="GJ298" s="200"/>
      <c r="GK298" s="200"/>
      <c r="GL298" s="200"/>
      <c r="GM298" s="200"/>
      <c r="GN298" s="200"/>
      <c r="GO298" s="200"/>
      <c r="GP298" s="200"/>
      <c r="GQ298" s="200"/>
      <c r="GR298" s="200"/>
      <c r="GS298" s="200"/>
      <c r="GT298" s="200"/>
      <c r="GU298" s="200"/>
      <c r="GV298" s="200"/>
      <c r="GW298" s="200"/>
      <c r="GX298" s="200"/>
      <c r="GY298" s="200"/>
      <c r="GZ298" s="200"/>
      <c r="HA298" s="200"/>
      <c r="HB298" s="200"/>
      <c r="HC298" s="200"/>
      <c r="HD298" s="200"/>
      <c r="HE298" s="200"/>
      <c r="HF298" s="200"/>
      <c r="HG298" s="200"/>
      <c r="HH298" s="200"/>
      <c r="HI298" s="200"/>
      <c r="HJ298" s="200"/>
      <c r="HK298" s="200"/>
      <c r="HL298" s="200"/>
      <c r="HM298" s="200"/>
      <c r="HN298" s="200"/>
      <c r="HO298" s="200"/>
      <c r="HP298" s="200"/>
      <c r="HQ298" s="200"/>
      <c r="HR298" s="200"/>
      <c r="HS298" s="200"/>
      <c r="HT298" s="200"/>
      <c r="HU298" s="200"/>
      <c r="HV298" s="200"/>
      <c r="HW298" s="200"/>
      <c r="HX298" s="200"/>
      <c r="HY298" s="200"/>
      <c r="HZ298" s="200"/>
      <c r="IA298" s="200"/>
      <c r="IB298" s="200"/>
      <c r="IC298" s="200"/>
      <c r="ID298" s="200"/>
      <c r="IE298" s="200"/>
      <c r="IF298" s="200"/>
      <c r="IG298" s="200"/>
      <c r="IH298" s="200"/>
      <c r="II298" s="200"/>
      <c r="IJ298" s="200"/>
      <c r="IK298" s="200"/>
      <c r="IL298" s="200"/>
      <c r="IM298" s="200"/>
      <c r="IN298" s="200"/>
      <c r="IO298" s="200"/>
      <c r="IP298" s="200"/>
      <c r="IQ298" s="200"/>
      <c r="IR298" s="200"/>
      <c r="IS298" s="200"/>
      <c r="IT298" s="200"/>
      <c r="IU298" s="201"/>
      <c r="IV298" s="201"/>
    </row>
    <row r="299" s="10" customFormat="1" ht="15.95" customHeight="1" spans="1:256">
      <c r="A299" s="199">
        <v>79</v>
      </c>
      <c r="B299" s="20" t="s">
        <v>2278</v>
      </c>
      <c r="C299" s="20" t="s">
        <v>2286</v>
      </c>
      <c r="D299" s="199">
        <v>6079</v>
      </c>
      <c r="E299" s="199">
        <f>'05版台时'!I494</f>
        <v>108.155546859444</v>
      </c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  <c r="AA299" s="200"/>
      <c r="AB299" s="200"/>
      <c r="AC299" s="200"/>
      <c r="AD299" s="200"/>
      <c r="AE299" s="200"/>
      <c r="AF299" s="200"/>
      <c r="AG299" s="200"/>
      <c r="AH299" s="200"/>
      <c r="AI299" s="200"/>
      <c r="AJ299" s="200"/>
      <c r="AK299" s="200"/>
      <c r="AL299" s="200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200"/>
      <c r="BB299" s="200"/>
      <c r="BC299" s="200"/>
      <c r="BD299" s="200"/>
      <c r="BE299" s="200"/>
      <c r="BF299" s="200"/>
      <c r="BG299" s="200"/>
      <c r="BH299" s="200"/>
      <c r="BI299" s="200"/>
      <c r="BJ299" s="200"/>
      <c r="BK299" s="200"/>
      <c r="BL299" s="200"/>
      <c r="BM299" s="200"/>
      <c r="BN299" s="200"/>
      <c r="BO299" s="200"/>
      <c r="BP299" s="200"/>
      <c r="BQ299" s="200"/>
      <c r="BR299" s="200"/>
      <c r="BS299" s="200"/>
      <c r="BT299" s="200"/>
      <c r="BU299" s="200"/>
      <c r="BV299" s="200"/>
      <c r="BW299" s="200"/>
      <c r="BX299" s="200"/>
      <c r="BY299" s="200"/>
      <c r="BZ299" s="200"/>
      <c r="CA299" s="200"/>
      <c r="CB299" s="200"/>
      <c r="CC299" s="200"/>
      <c r="CD299" s="200"/>
      <c r="CE299" s="200"/>
      <c r="CF299" s="200"/>
      <c r="CG299" s="200"/>
      <c r="CH299" s="200"/>
      <c r="CI299" s="200"/>
      <c r="CJ299" s="200"/>
      <c r="CK299" s="200"/>
      <c r="CL299" s="200"/>
      <c r="CM299" s="200"/>
      <c r="CN299" s="200"/>
      <c r="CO299" s="200"/>
      <c r="CP299" s="200"/>
      <c r="CQ299" s="200"/>
      <c r="CR299" s="200"/>
      <c r="CS299" s="200"/>
      <c r="CT299" s="200"/>
      <c r="CU299" s="200"/>
      <c r="CV299" s="200"/>
      <c r="CW299" s="200"/>
      <c r="CX299" s="200"/>
      <c r="CY299" s="200"/>
      <c r="CZ299" s="200"/>
      <c r="DA299" s="200"/>
      <c r="DB299" s="200"/>
      <c r="DC299" s="200"/>
      <c r="DD299" s="200"/>
      <c r="DE299" s="200"/>
      <c r="DF299" s="200"/>
      <c r="DG299" s="200"/>
      <c r="DH299" s="200"/>
      <c r="DI299" s="200"/>
      <c r="DJ299" s="200"/>
      <c r="DK299" s="200"/>
      <c r="DL299" s="200"/>
      <c r="DM299" s="200"/>
      <c r="DN299" s="200"/>
      <c r="DO299" s="200"/>
      <c r="DP299" s="200"/>
      <c r="DQ299" s="200"/>
      <c r="DR299" s="200"/>
      <c r="DS299" s="200"/>
      <c r="DT299" s="200"/>
      <c r="DU299" s="200"/>
      <c r="DV299" s="200"/>
      <c r="DW299" s="200"/>
      <c r="DX299" s="200"/>
      <c r="DY299" s="200"/>
      <c r="DZ299" s="200"/>
      <c r="EA299" s="200"/>
      <c r="EB299" s="200"/>
      <c r="EC299" s="200"/>
      <c r="ED299" s="200"/>
      <c r="EE299" s="200"/>
      <c r="EF299" s="200"/>
      <c r="EG299" s="200"/>
      <c r="EH299" s="200"/>
      <c r="EI299" s="200"/>
      <c r="EJ299" s="200"/>
      <c r="EK299" s="200"/>
      <c r="EL299" s="200"/>
      <c r="EM299" s="200"/>
      <c r="EN299" s="200"/>
      <c r="EO299" s="200"/>
      <c r="EP299" s="200"/>
      <c r="EQ299" s="200"/>
      <c r="ER299" s="200"/>
      <c r="ES299" s="200"/>
      <c r="ET299" s="200"/>
      <c r="EU299" s="200"/>
      <c r="EV299" s="200"/>
      <c r="EW299" s="200"/>
      <c r="EX299" s="200"/>
      <c r="EY299" s="200"/>
      <c r="EZ299" s="200"/>
      <c r="FA299" s="200"/>
      <c r="FB299" s="200"/>
      <c r="FC299" s="200"/>
      <c r="FD299" s="200"/>
      <c r="FE299" s="200"/>
      <c r="FF299" s="200"/>
      <c r="FG299" s="200"/>
      <c r="FH299" s="200"/>
      <c r="FI299" s="200"/>
      <c r="FJ299" s="200"/>
      <c r="FK299" s="200"/>
      <c r="FL299" s="200"/>
      <c r="FM299" s="200"/>
      <c r="FN299" s="200"/>
      <c r="FO299" s="200"/>
      <c r="FP299" s="200"/>
      <c r="FQ299" s="200"/>
      <c r="FR299" s="200"/>
      <c r="FS299" s="200"/>
      <c r="FT299" s="200"/>
      <c r="FU299" s="200"/>
      <c r="FV299" s="200"/>
      <c r="FW299" s="200"/>
      <c r="FX299" s="200"/>
      <c r="FY299" s="200"/>
      <c r="FZ299" s="200"/>
      <c r="GA299" s="200"/>
      <c r="GB299" s="200"/>
      <c r="GC299" s="200"/>
      <c r="GD299" s="200"/>
      <c r="GE299" s="200"/>
      <c r="GF299" s="200"/>
      <c r="GG299" s="200"/>
      <c r="GH299" s="200"/>
      <c r="GI299" s="200"/>
      <c r="GJ299" s="200"/>
      <c r="GK299" s="200"/>
      <c r="GL299" s="200"/>
      <c r="GM299" s="200"/>
      <c r="GN299" s="200"/>
      <c r="GO299" s="200"/>
      <c r="GP299" s="200"/>
      <c r="GQ299" s="200"/>
      <c r="GR299" s="200"/>
      <c r="GS299" s="200"/>
      <c r="GT299" s="200"/>
      <c r="GU299" s="200"/>
      <c r="GV299" s="200"/>
      <c r="GW299" s="200"/>
      <c r="GX299" s="200"/>
      <c r="GY299" s="200"/>
      <c r="GZ299" s="200"/>
      <c r="HA299" s="200"/>
      <c r="HB299" s="200"/>
      <c r="HC299" s="200"/>
      <c r="HD299" s="200"/>
      <c r="HE299" s="200"/>
      <c r="HF299" s="200"/>
      <c r="HG299" s="200"/>
      <c r="HH299" s="200"/>
      <c r="HI299" s="200"/>
      <c r="HJ299" s="200"/>
      <c r="HK299" s="200"/>
      <c r="HL299" s="200"/>
      <c r="HM299" s="200"/>
      <c r="HN299" s="200"/>
      <c r="HO299" s="200"/>
      <c r="HP299" s="200"/>
      <c r="HQ299" s="200"/>
      <c r="HR299" s="200"/>
      <c r="HS299" s="200"/>
      <c r="HT299" s="200"/>
      <c r="HU299" s="200"/>
      <c r="HV299" s="200"/>
      <c r="HW299" s="200"/>
      <c r="HX299" s="200"/>
      <c r="HY299" s="200"/>
      <c r="HZ299" s="200"/>
      <c r="IA299" s="200"/>
      <c r="IB299" s="200"/>
      <c r="IC299" s="200"/>
      <c r="ID299" s="200"/>
      <c r="IE299" s="200"/>
      <c r="IF299" s="200"/>
      <c r="IG299" s="200"/>
      <c r="IH299" s="200"/>
      <c r="II299" s="200"/>
      <c r="IJ299" s="200"/>
      <c r="IK299" s="200"/>
      <c r="IL299" s="200"/>
      <c r="IM299" s="200"/>
      <c r="IN299" s="200"/>
      <c r="IO299" s="200"/>
      <c r="IP299" s="200"/>
      <c r="IQ299" s="200"/>
      <c r="IR299" s="200"/>
      <c r="IS299" s="200"/>
      <c r="IT299" s="200"/>
      <c r="IU299" s="201"/>
      <c r="IV299" s="201"/>
    </row>
    <row r="300" s="10" customFormat="1" ht="15.95" customHeight="1" spans="1:256">
      <c r="A300" s="199">
        <v>80</v>
      </c>
      <c r="B300" s="20" t="s">
        <v>2278</v>
      </c>
      <c r="C300" s="20" t="s">
        <v>2287</v>
      </c>
      <c r="D300" s="199">
        <v>6080</v>
      </c>
      <c r="E300" s="199">
        <f>'05版台时'!J494</f>
        <v>134.634190281774</v>
      </c>
      <c r="F300" s="200"/>
      <c r="G300" s="200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  <c r="AA300" s="200"/>
      <c r="AB300" s="200"/>
      <c r="AC300" s="200"/>
      <c r="AD300" s="200"/>
      <c r="AE300" s="200"/>
      <c r="AF300" s="200"/>
      <c r="AG300" s="200"/>
      <c r="AH300" s="200"/>
      <c r="AI300" s="200"/>
      <c r="AJ300" s="200"/>
      <c r="AK300" s="200"/>
      <c r="AL300" s="200"/>
      <c r="AM300" s="200"/>
      <c r="AN300" s="200"/>
      <c r="AO300" s="200"/>
      <c r="AP300" s="200"/>
      <c r="AQ300" s="200"/>
      <c r="AR300" s="200"/>
      <c r="AS300" s="200"/>
      <c r="AT300" s="200"/>
      <c r="AU300" s="200"/>
      <c r="AV300" s="200"/>
      <c r="AW300" s="200"/>
      <c r="AX300" s="200"/>
      <c r="AY300" s="200"/>
      <c r="AZ300" s="200"/>
      <c r="BA300" s="200"/>
      <c r="BB300" s="200"/>
      <c r="BC300" s="200"/>
      <c r="BD300" s="200"/>
      <c r="BE300" s="200"/>
      <c r="BF300" s="200"/>
      <c r="BG300" s="200"/>
      <c r="BH300" s="200"/>
      <c r="BI300" s="200"/>
      <c r="BJ300" s="200"/>
      <c r="BK300" s="200"/>
      <c r="BL300" s="200"/>
      <c r="BM300" s="200"/>
      <c r="BN300" s="200"/>
      <c r="BO300" s="200"/>
      <c r="BP300" s="200"/>
      <c r="BQ300" s="200"/>
      <c r="BR300" s="200"/>
      <c r="BS300" s="200"/>
      <c r="BT300" s="200"/>
      <c r="BU300" s="200"/>
      <c r="BV300" s="200"/>
      <c r="BW300" s="200"/>
      <c r="BX300" s="200"/>
      <c r="BY300" s="200"/>
      <c r="BZ300" s="200"/>
      <c r="CA300" s="200"/>
      <c r="CB300" s="200"/>
      <c r="CC300" s="200"/>
      <c r="CD300" s="200"/>
      <c r="CE300" s="200"/>
      <c r="CF300" s="200"/>
      <c r="CG300" s="200"/>
      <c r="CH300" s="200"/>
      <c r="CI300" s="200"/>
      <c r="CJ300" s="200"/>
      <c r="CK300" s="200"/>
      <c r="CL300" s="200"/>
      <c r="CM300" s="200"/>
      <c r="CN300" s="200"/>
      <c r="CO300" s="200"/>
      <c r="CP300" s="200"/>
      <c r="CQ300" s="200"/>
      <c r="CR300" s="200"/>
      <c r="CS300" s="200"/>
      <c r="CT300" s="200"/>
      <c r="CU300" s="200"/>
      <c r="CV300" s="200"/>
      <c r="CW300" s="200"/>
      <c r="CX300" s="200"/>
      <c r="CY300" s="200"/>
      <c r="CZ300" s="200"/>
      <c r="DA300" s="200"/>
      <c r="DB300" s="200"/>
      <c r="DC300" s="200"/>
      <c r="DD300" s="200"/>
      <c r="DE300" s="200"/>
      <c r="DF300" s="200"/>
      <c r="DG300" s="200"/>
      <c r="DH300" s="200"/>
      <c r="DI300" s="200"/>
      <c r="DJ300" s="200"/>
      <c r="DK300" s="200"/>
      <c r="DL300" s="200"/>
      <c r="DM300" s="200"/>
      <c r="DN300" s="200"/>
      <c r="DO300" s="200"/>
      <c r="DP300" s="200"/>
      <c r="DQ300" s="200"/>
      <c r="DR300" s="200"/>
      <c r="DS300" s="200"/>
      <c r="DT300" s="200"/>
      <c r="DU300" s="200"/>
      <c r="DV300" s="200"/>
      <c r="DW300" s="200"/>
      <c r="DX300" s="200"/>
      <c r="DY300" s="200"/>
      <c r="DZ300" s="200"/>
      <c r="EA300" s="200"/>
      <c r="EB300" s="200"/>
      <c r="EC300" s="200"/>
      <c r="ED300" s="200"/>
      <c r="EE300" s="200"/>
      <c r="EF300" s="200"/>
      <c r="EG300" s="200"/>
      <c r="EH300" s="200"/>
      <c r="EI300" s="200"/>
      <c r="EJ300" s="200"/>
      <c r="EK300" s="200"/>
      <c r="EL300" s="200"/>
      <c r="EM300" s="200"/>
      <c r="EN300" s="200"/>
      <c r="EO300" s="200"/>
      <c r="EP300" s="200"/>
      <c r="EQ300" s="200"/>
      <c r="ER300" s="200"/>
      <c r="ES300" s="200"/>
      <c r="ET300" s="200"/>
      <c r="EU300" s="200"/>
      <c r="EV300" s="200"/>
      <c r="EW300" s="200"/>
      <c r="EX300" s="200"/>
      <c r="EY300" s="200"/>
      <c r="EZ300" s="200"/>
      <c r="FA300" s="200"/>
      <c r="FB300" s="200"/>
      <c r="FC300" s="200"/>
      <c r="FD300" s="200"/>
      <c r="FE300" s="200"/>
      <c r="FF300" s="200"/>
      <c r="FG300" s="200"/>
      <c r="FH300" s="200"/>
      <c r="FI300" s="200"/>
      <c r="FJ300" s="200"/>
      <c r="FK300" s="200"/>
      <c r="FL300" s="200"/>
      <c r="FM300" s="200"/>
      <c r="FN300" s="200"/>
      <c r="FO300" s="200"/>
      <c r="FP300" s="200"/>
      <c r="FQ300" s="200"/>
      <c r="FR300" s="200"/>
      <c r="FS300" s="200"/>
      <c r="FT300" s="200"/>
      <c r="FU300" s="200"/>
      <c r="FV300" s="200"/>
      <c r="FW300" s="200"/>
      <c r="FX300" s="200"/>
      <c r="FY300" s="200"/>
      <c r="FZ300" s="200"/>
      <c r="GA300" s="200"/>
      <c r="GB300" s="200"/>
      <c r="GC300" s="200"/>
      <c r="GD300" s="200"/>
      <c r="GE300" s="200"/>
      <c r="GF300" s="200"/>
      <c r="GG300" s="200"/>
      <c r="GH300" s="200"/>
      <c r="GI300" s="200"/>
      <c r="GJ300" s="200"/>
      <c r="GK300" s="200"/>
      <c r="GL300" s="200"/>
      <c r="GM300" s="200"/>
      <c r="GN300" s="200"/>
      <c r="GO300" s="200"/>
      <c r="GP300" s="200"/>
      <c r="GQ300" s="200"/>
      <c r="GR300" s="200"/>
      <c r="GS300" s="200"/>
      <c r="GT300" s="200"/>
      <c r="GU300" s="200"/>
      <c r="GV300" s="200"/>
      <c r="GW300" s="200"/>
      <c r="GX300" s="200"/>
      <c r="GY300" s="200"/>
      <c r="GZ300" s="200"/>
      <c r="HA300" s="200"/>
      <c r="HB300" s="200"/>
      <c r="HC300" s="200"/>
      <c r="HD300" s="200"/>
      <c r="HE300" s="200"/>
      <c r="HF300" s="200"/>
      <c r="HG300" s="200"/>
      <c r="HH300" s="200"/>
      <c r="HI300" s="200"/>
      <c r="HJ300" s="200"/>
      <c r="HK300" s="200"/>
      <c r="HL300" s="200"/>
      <c r="HM300" s="200"/>
      <c r="HN300" s="200"/>
      <c r="HO300" s="200"/>
      <c r="HP300" s="200"/>
      <c r="HQ300" s="200"/>
      <c r="HR300" s="200"/>
      <c r="HS300" s="200"/>
      <c r="HT300" s="200"/>
      <c r="HU300" s="200"/>
      <c r="HV300" s="200"/>
      <c r="HW300" s="200"/>
      <c r="HX300" s="200"/>
      <c r="HY300" s="200"/>
      <c r="HZ300" s="200"/>
      <c r="IA300" s="200"/>
      <c r="IB300" s="200"/>
      <c r="IC300" s="200"/>
      <c r="ID300" s="200"/>
      <c r="IE300" s="200"/>
      <c r="IF300" s="200"/>
      <c r="IG300" s="200"/>
      <c r="IH300" s="200"/>
      <c r="II300" s="200"/>
      <c r="IJ300" s="200"/>
      <c r="IK300" s="200"/>
      <c r="IL300" s="200"/>
      <c r="IM300" s="200"/>
      <c r="IN300" s="200"/>
      <c r="IO300" s="200"/>
      <c r="IP300" s="200"/>
      <c r="IQ300" s="200"/>
      <c r="IR300" s="200"/>
      <c r="IS300" s="200"/>
      <c r="IT300" s="200"/>
      <c r="IU300" s="201"/>
      <c r="IV300" s="201"/>
    </row>
    <row r="301" s="10" customFormat="1" ht="15.95" customHeight="1" spans="1:256">
      <c r="A301" s="199">
        <v>81</v>
      </c>
      <c r="B301" s="20" t="s">
        <v>2288</v>
      </c>
      <c r="C301" s="20" t="s">
        <v>2289</v>
      </c>
      <c r="D301" s="199">
        <v>6081</v>
      </c>
      <c r="E301" s="199">
        <f>'05版台时'!K494</f>
        <v>140.71433465362</v>
      </c>
      <c r="F301" s="200"/>
      <c r="G301" s="200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  <c r="AA301" s="200"/>
      <c r="AB301" s="200"/>
      <c r="AC301" s="200"/>
      <c r="AD301" s="200"/>
      <c r="AE301" s="200"/>
      <c r="AF301" s="200"/>
      <c r="AG301" s="200"/>
      <c r="AH301" s="200"/>
      <c r="AI301" s="200"/>
      <c r="AJ301" s="200"/>
      <c r="AK301" s="200"/>
      <c r="AL301" s="200"/>
      <c r="AM301" s="200"/>
      <c r="AN301" s="200"/>
      <c r="AO301" s="200"/>
      <c r="AP301" s="200"/>
      <c r="AQ301" s="200"/>
      <c r="AR301" s="200"/>
      <c r="AS301" s="200"/>
      <c r="AT301" s="200"/>
      <c r="AU301" s="200"/>
      <c r="AV301" s="200"/>
      <c r="AW301" s="200"/>
      <c r="AX301" s="200"/>
      <c r="AY301" s="200"/>
      <c r="AZ301" s="200"/>
      <c r="BA301" s="200"/>
      <c r="BB301" s="200"/>
      <c r="BC301" s="200"/>
      <c r="BD301" s="200"/>
      <c r="BE301" s="200"/>
      <c r="BF301" s="200"/>
      <c r="BG301" s="200"/>
      <c r="BH301" s="200"/>
      <c r="BI301" s="200"/>
      <c r="BJ301" s="200"/>
      <c r="BK301" s="200"/>
      <c r="BL301" s="200"/>
      <c r="BM301" s="200"/>
      <c r="BN301" s="200"/>
      <c r="BO301" s="200"/>
      <c r="BP301" s="200"/>
      <c r="BQ301" s="200"/>
      <c r="BR301" s="200"/>
      <c r="BS301" s="200"/>
      <c r="BT301" s="200"/>
      <c r="BU301" s="200"/>
      <c r="BV301" s="200"/>
      <c r="BW301" s="200"/>
      <c r="BX301" s="200"/>
      <c r="BY301" s="200"/>
      <c r="BZ301" s="200"/>
      <c r="CA301" s="200"/>
      <c r="CB301" s="200"/>
      <c r="CC301" s="200"/>
      <c r="CD301" s="200"/>
      <c r="CE301" s="200"/>
      <c r="CF301" s="200"/>
      <c r="CG301" s="200"/>
      <c r="CH301" s="200"/>
      <c r="CI301" s="200"/>
      <c r="CJ301" s="200"/>
      <c r="CK301" s="200"/>
      <c r="CL301" s="200"/>
      <c r="CM301" s="200"/>
      <c r="CN301" s="200"/>
      <c r="CO301" s="200"/>
      <c r="CP301" s="200"/>
      <c r="CQ301" s="200"/>
      <c r="CR301" s="200"/>
      <c r="CS301" s="200"/>
      <c r="CT301" s="200"/>
      <c r="CU301" s="200"/>
      <c r="CV301" s="200"/>
      <c r="CW301" s="200"/>
      <c r="CX301" s="200"/>
      <c r="CY301" s="200"/>
      <c r="CZ301" s="200"/>
      <c r="DA301" s="200"/>
      <c r="DB301" s="200"/>
      <c r="DC301" s="200"/>
      <c r="DD301" s="200"/>
      <c r="DE301" s="200"/>
      <c r="DF301" s="200"/>
      <c r="DG301" s="200"/>
      <c r="DH301" s="200"/>
      <c r="DI301" s="200"/>
      <c r="DJ301" s="200"/>
      <c r="DK301" s="200"/>
      <c r="DL301" s="200"/>
      <c r="DM301" s="200"/>
      <c r="DN301" s="200"/>
      <c r="DO301" s="200"/>
      <c r="DP301" s="200"/>
      <c r="DQ301" s="200"/>
      <c r="DR301" s="200"/>
      <c r="DS301" s="200"/>
      <c r="DT301" s="200"/>
      <c r="DU301" s="200"/>
      <c r="DV301" s="200"/>
      <c r="DW301" s="200"/>
      <c r="DX301" s="200"/>
      <c r="DY301" s="200"/>
      <c r="DZ301" s="200"/>
      <c r="EA301" s="200"/>
      <c r="EB301" s="200"/>
      <c r="EC301" s="200"/>
      <c r="ED301" s="200"/>
      <c r="EE301" s="200"/>
      <c r="EF301" s="200"/>
      <c r="EG301" s="200"/>
      <c r="EH301" s="200"/>
      <c r="EI301" s="200"/>
      <c r="EJ301" s="200"/>
      <c r="EK301" s="200"/>
      <c r="EL301" s="200"/>
      <c r="EM301" s="200"/>
      <c r="EN301" s="200"/>
      <c r="EO301" s="200"/>
      <c r="EP301" s="200"/>
      <c r="EQ301" s="200"/>
      <c r="ER301" s="200"/>
      <c r="ES301" s="200"/>
      <c r="ET301" s="200"/>
      <c r="EU301" s="200"/>
      <c r="EV301" s="200"/>
      <c r="EW301" s="200"/>
      <c r="EX301" s="200"/>
      <c r="EY301" s="200"/>
      <c r="EZ301" s="200"/>
      <c r="FA301" s="200"/>
      <c r="FB301" s="200"/>
      <c r="FC301" s="200"/>
      <c r="FD301" s="200"/>
      <c r="FE301" s="200"/>
      <c r="FF301" s="200"/>
      <c r="FG301" s="200"/>
      <c r="FH301" s="200"/>
      <c r="FI301" s="200"/>
      <c r="FJ301" s="200"/>
      <c r="FK301" s="200"/>
      <c r="FL301" s="200"/>
      <c r="FM301" s="200"/>
      <c r="FN301" s="200"/>
      <c r="FO301" s="200"/>
      <c r="FP301" s="200"/>
      <c r="FQ301" s="200"/>
      <c r="FR301" s="200"/>
      <c r="FS301" s="200"/>
      <c r="FT301" s="200"/>
      <c r="FU301" s="200"/>
      <c r="FV301" s="200"/>
      <c r="FW301" s="200"/>
      <c r="FX301" s="200"/>
      <c r="FY301" s="200"/>
      <c r="FZ301" s="200"/>
      <c r="GA301" s="200"/>
      <c r="GB301" s="200"/>
      <c r="GC301" s="200"/>
      <c r="GD301" s="200"/>
      <c r="GE301" s="200"/>
      <c r="GF301" s="200"/>
      <c r="GG301" s="200"/>
      <c r="GH301" s="200"/>
      <c r="GI301" s="200"/>
      <c r="GJ301" s="200"/>
      <c r="GK301" s="200"/>
      <c r="GL301" s="200"/>
      <c r="GM301" s="200"/>
      <c r="GN301" s="200"/>
      <c r="GO301" s="200"/>
      <c r="GP301" s="200"/>
      <c r="GQ301" s="200"/>
      <c r="GR301" s="200"/>
      <c r="GS301" s="200"/>
      <c r="GT301" s="200"/>
      <c r="GU301" s="200"/>
      <c r="GV301" s="200"/>
      <c r="GW301" s="200"/>
      <c r="GX301" s="200"/>
      <c r="GY301" s="200"/>
      <c r="GZ301" s="200"/>
      <c r="HA301" s="200"/>
      <c r="HB301" s="200"/>
      <c r="HC301" s="200"/>
      <c r="HD301" s="200"/>
      <c r="HE301" s="200"/>
      <c r="HF301" s="200"/>
      <c r="HG301" s="200"/>
      <c r="HH301" s="200"/>
      <c r="HI301" s="200"/>
      <c r="HJ301" s="200"/>
      <c r="HK301" s="200"/>
      <c r="HL301" s="200"/>
      <c r="HM301" s="200"/>
      <c r="HN301" s="200"/>
      <c r="HO301" s="200"/>
      <c r="HP301" s="200"/>
      <c r="HQ301" s="200"/>
      <c r="HR301" s="200"/>
      <c r="HS301" s="200"/>
      <c r="HT301" s="200"/>
      <c r="HU301" s="200"/>
      <c r="HV301" s="200"/>
      <c r="HW301" s="200"/>
      <c r="HX301" s="200"/>
      <c r="HY301" s="200"/>
      <c r="HZ301" s="200"/>
      <c r="IA301" s="200"/>
      <c r="IB301" s="200"/>
      <c r="IC301" s="200"/>
      <c r="ID301" s="200"/>
      <c r="IE301" s="200"/>
      <c r="IF301" s="200"/>
      <c r="IG301" s="200"/>
      <c r="IH301" s="200"/>
      <c r="II301" s="200"/>
      <c r="IJ301" s="200"/>
      <c r="IK301" s="200"/>
      <c r="IL301" s="200"/>
      <c r="IM301" s="200"/>
      <c r="IN301" s="200"/>
      <c r="IO301" s="200"/>
      <c r="IP301" s="200"/>
      <c r="IQ301" s="200"/>
      <c r="IR301" s="200"/>
      <c r="IS301" s="200"/>
      <c r="IT301" s="200"/>
      <c r="IU301" s="201"/>
      <c r="IV301" s="201"/>
    </row>
    <row r="302" s="10" customFormat="1" ht="15.95" customHeight="1" spans="1:256">
      <c r="A302" s="199">
        <v>82</v>
      </c>
      <c r="B302" s="20" t="s">
        <v>2288</v>
      </c>
      <c r="C302" s="20" t="s">
        <v>2282</v>
      </c>
      <c r="D302" s="199">
        <v>6082</v>
      </c>
      <c r="E302" s="199">
        <f>'05版台时'!L494</f>
        <v>43.6589058768045</v>
      </c>
      <c r="F302" s="200"/>
      <c r="G302" s="200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  <c r="AA302" s="200"/>
      <c r="AB302" s="200"/>
      <c r="AC302" s="200"/>
      <c r="AD302" s="200"/>
      <c r="AE302" s="200"/>
      <c r="AF302" s="200"/>
      <c r="AG302" s="200"/>
      <c r="AH302" s="200"/>
      <c r="AI302" s="200"/>
      <c r="AJ302" s="200"/>
      <c r="AK302" s="200"/>
      <c r="AL302" s="200"/>
      <c r="AM302" s="200"/>
      <c r="AN302" s="200"/>
      <c r="AO302" s="200"/>
      <c r="AP302" s="200"/>
      <c r="AQ302" s="200"/>
      <c r="AR302" s="200"/>
      <c r="AS302" s="200"/>
      <c r="AT302" s="200"/>
      <c r="AU302" s="200"/>
      <c r="AV302" s="200"/>
      <c r="AW302" s="200"/>
      <c r="AX302" s="200"/>
      <c r="AY302" s="200"/>
      <c r="AZ302" s="200"/>
      <c r="BA302" s="200"/>
      <c r="BB302" s="200"/>
      <c r="BC302" s="200"/>
      <c r="BD302" s="200"/>
      <c r="BE302" s="200"/>
      <c r="BF302" s="200"/>
      <c r="BG302" s="200"/>
      <c r="BH302" s="200"/>
      <c r="BI302" s="200"/>
      <c r="BJ302" s="200"/>
      <c r="BK302" s="200"/>
      <c r="BL302" s="200"/>
      <c r="BM302" s="200"/>
      <c r="BN302" s="200"/>
      <c r="BO302" s="200"/>
      <c r="BP302" s="200"/>
      <c r="BQ302" s="200"/>
      <c r="BR302" s="200"/>
      <c r="BS302" s="200"/>
      <c r="BT302" s="200"/>
      <c r="BU302" s="200"/>
      <c r="BV302" s="200"/>
      <c r="BW302" s="200"/>
      <c r="BX302" s="200"/>
      <c r="BY302" s="200"/>
      <c r="BZ302" s="200"/>
      <c r="CA302" s="200"/>
      <c r="CB302" s="200"/>
      <c r="CC302" s="200"/>
      <c r="CD302" s="200"/>
      <c r="CE302" s="200"/>
      <c r="CF302" s="200"/>
      <c r="CG302" s="200"/>
      <c r="CH302" s="200"/>
      <c r="CI302" s="200"/>
      <c r="CJ302" s="200"/>
      <c r="CK302" s="200"/>
      <c r="CL302" s="200"/>
      <c r="CM302" s="200"/>
      <c r="CN302" s="200"/>
      <c r="CO302" s="200"/>
      <c r="CP302" s="200"/>
      <c r="CQ302" s="200"/>
      <c r="CR302" s="200"/>
      <c r="CS302" s="200"/>
      <c r="CT302" s="200"/>
      <c r="CU302" s="200"/>
      <c r="CV302" s="200"/>
      <c r="CW302" s="200"/>
      <c r="CX302" s="200"/>
      <c r="CY302" s="200"/>
      <c r="CZ302" s="200"/>
      <c r="DA302" s="200"/>
      <c r="DB302" s="200"/>
      <c r="DC302" s="200"/>
      <c r="DD302" s="200"/>
      <c r="DE302" s="200"/>
      <c r="DF302" s="200"/>
      <c r="DG302" s="200"/>
      <c r="DH302" s="200"/>
      <c r="DI302" s="200"/>
      <c r="DJ302" s="200"/>
      <c r="DK302" s="200"/>
      <c r="DL302" s="200"/>
      <c r="DM302" s="200"/>
      <c r="DN302" s="200"/>
      <c r="DO302" s="200"/>
      <c r="DP302" s="200"/>
      <c r="DQ302" s="200"/>
      <c r="DR302" s="200"/>
      <c r="DS302" s="200"/>
      <c r="DT302" s="200"/>
      <c r="DU302" s="200"/>
      <c r="DV302" s="200"/>
      <c r="DW302" s="200"/>
      <c r="DX302" s="200"/>
      <c r="DY302" s="200"/>
      <c r="DZ302" s="200"/>
      <c r="EA302" s="200"/>
      <c r="EB302" s="200"/>
      <c r="EC302" s="200"/>
      <c r="ED302" s="200"/>
      <c r="EE302" s="200"/>
      <c r="EF302" s="200"/>
      <c r="EG302" s="200"/>
      <c r="EH302" s="200"/>
      <c r="EI302" s="200"/>
      <c r="EJ302" s="200"/>
      <c r="EK302" s="200"/>
      <c r="EL302" s="200"/>
      <c r="EM302" s="200"/>
      <c r="EN302" s="200"/>
      <c r="EO302" s="200"/>
      <c r="EP302" s="200"/>
      <c r="EQ302" s="200"/>
      <c r="ER302" s="200"/>
      <c r="ES302" s="200"/>
      <c r="ET302" s="200"/>
      <c r="EU302" s="200"/>
      <c r="EV302" s="200"/>
      <c r="EW302" s="200"/>
      <c r="EX302" s="200"/>
      <c r="EY302" s="200"/>
      <c r="EZ302" s="200"/>
      <c r="FA302" s="200"/>
      <c r="FB302" s="200"/>
      <c r="FC302" s="200"/>
      <c r="FD302" s="200"/>
      <c r="FE302" s="200"/>
      <c r="FF302" s="200"/>
      <c r="FG302" s="200"/>
      <c r="FH302" s="200"/>
      <c r="FI302" s="200"/>
      <c r="FJ302" s="200"/>
      <c r="FK302" s="200"/>
      <c r="FL302" s="200"/>
      <c r="FM302" s="200"/>
      <c r="FN302" s="200"/>
      <c r="FO302" s="200"/>
      <c r="FP302" s="200"/>
      <c r="FQ302" s="200"/>
      <c r="FR302" s="200"/>
      <c r="FS302" s="200"/>
      <c r="FT302" s="200"/>
      <c r="FU302" s="200"/>
      <c r="FV302" s="200"/>
      <c r="FW302" s="200"/>
      <c r="FX302" s="200"/>
      <c r="FY302" s="200"/>
      <c r="FZ302" s="200"/>
      <c r="GA302" s="200"/>
      <c r="GB302" s="200"/>
      <c r="GC302" s="200"/>
      <c r="GD302" s="200"/>
      <c r="GE302" s="200"/>
      <c r="GF302" s="200"/>
      <c r="GG302" s="200"/>
      <c r="GH302" s="200"/>
      <c r="GI302" s="200"/>
      <c r="GJ302" s="200"/>
      <c r="GK302" s="200"/>
      <c r="GL302" s="200"/>
      <c r="GM302" s="200"/>
      <c r="GN302" s="200"/>
      <c r="GO302" s="200"/>
      <c r="GP302" s="200"/>
      <c r="GQ302" s="200"/>
      <c r="GR302" s="200"/>
      <c r="GS302" s="200"/>
      <c r="GT302" s="200"/>
      <c r="GU302" s="200"/>
      <c r="GV302" s="200"/>
      <c r="GW302" s="200"/>
      <c r="GX302" s="200"/>
      <c r="GY302" s="200"/>
      <c r="GZ302" s="200"/>
      <c r="HA302" s="200"/>
      <c r="HB302" s="200"/>
      <c r="HC302" s="200"/>
      <c r="HD302" s="200"/>
      <c r="HE302" s="200"/>
      <c r="HF302" s="200"/>
      <c r="HG302" s="200"/>
      <c r="HH302" s="200"/>
      <c r="HI302" s="200"/>
      <c r="HJ302" s="200"/>
      <c r="HK302" s="200"/>
      <c r="HL302" s="200"/>
      <c r="HM302" s="200"/>
      <c r="HN302" s="200"/>
      <c r="HO302" s="200"/>
      <c r="HP302" s="200"/>
      <c r="HQ302" s="200"/>
      <c r="HR302" s="200"/>
      <c r="HS302" s="200"/>
      <c r="HT302" s="200"/>
      <c r="HU302" s="200"/>
      <c r="HV302" s="200"/>
      <c r="HW302" s="200"/>
      <c r="HX302" s="200"/>
      <c r="HY302" s="200"/>
      <c r="HZ302" s="200"/>
      <c r="IA302" s="200"/>
      <c r="IB302" s="200"/>
      <c r="IC302" s="200"/>
      <c r="ID302" s="200"/>
      <c r="IE302" s="200"/>
      <c r="IF302" s="200"/>
      <c r="IG302" s="200"/>
      <c r="IH302" s="200"/>
      <c r="II302" s="200"/>
      <c r="IJ302" s="200"/>
      <c r="IK302" s="200"/>
      <c r="IL302" s="200"/>
      <c r="IM302" s="200"/>
      <c r="IN302" s="200"/>
      <c r="IO302" s="200"/>
      <c r="IP302" s="200"/>
      <c r="IQ302" s="200"/>
      <c r="IR302" s="200"/>
      <c r="IS302" s="200"/>
      <c r="IT302" s="200"/>
      <c r="IU302" s="201"/>
      <c r="IV302" s="201"/>
    </row>
    <row r="303" s="10" customFormat="1" ht="15.95" customHeight="1" spans="1:256">
      <c r="A303" s="199">
        <v>83</v>
      </c>
      <c r="B303" s="20" t="s">
        <v>2288</v>
      </c>
      <c r="C303" s="20" t="s">
        <v>2284</v>
      </c>
      <c r="D303" s="199">
        <v>6083</v>
      </c>
      <c r="E303" s="199">
        <f>'05版台时'!M494</f>
        <v>56.9523978057075</v>
      </c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  <c r="AA303" s="200"/>
      <c r="AB303" s="200"/>
      <c r="AC303" s="200"/>
      <c r="AD303" s="200"/>
      <c r="AE303" s="200"/>
      <c r="AF303" s="200"/>
      <c r="AG303" s="200"/>
      <c r="AH303" s="200"/>
      <c r="AI303" s="200"/>
      <c r="AJ303" s="200"/>
      <c r="AK303" s="200"/>
      <c r="AL303" s="200"/>
      <c r="AM303" s="200"/>
      <c r="AN303" s="200"/>
      <c r="AO303" s="200"/>
      <c r="AP303" s="200"/>
      <c r="AQ303" s="200"/>
      <c r="AR303" s="200"/>
      <c r="AS303" s="200"/>
      <c r="AT303" s="200"/>
      <c r="AU303" s="200"/>
      <c r="AV303" s="200"/>
      <c r="AW303" s="200"/>
      <c r="AX303" s="200"/>
      <c r="AY303" s="200"/>
      <c r="AZ303" s="200"/>
      <c r="BA303" s="200"/>
      <c r="BB303" s="200"/>
      <c r="BC303" s="200"/>
      <c r="BD303" s="200"/>
      <c r="BE303" s="200"/>
      <c r="BF303" s="200"/>
      <c r="BG303" s="200"/>
      <c r="BH303" s="200"/>
      <c r="BI303" s="200"/>
      <c r="BJ303" s="200"/>
      <c r="BK303" s="200"/>
      <c r="BL303" s="200"/>
      <c r="BM303" s="200"/>
      <c r="BN303" s="200"/>
      <c r="BO303" s="200"/>
      <c r="BP303" s="200"/>
      <c r="BQ303" s="200"/>
      <c r="BR303" s="200"/>
      <c r="BS303" s="200"/>
      <c r="BT303" s="200"/>
      <c r="BU303" s="200"/>
      <c r="BV303" s="200"/>
      <c r="BW303" s="200"/>
      <c r="BX303" s="200"/>
      <c r="BY303" s="200"/>
      <c r="BZ303" s="200"/>
      <c r="CA303" s="200"/>
      <c r="CB303" s="200"/>
      <c r="CC303" s="200"/>
      <c r="CD303" s="200"/>
      <c r="CE303" s="200"/>
      <c r="CF303" s="200"/>
      <c r="CG303" s="200"/>
      <c r="CH303" s="200"/>
      <c r="CI303" s="200"/>
      <c r="CJ303" s="200"/>
      <c r="CK303" s="200"/>
      <c r="CL303" s="200"/>
      <c r="CM303" s="200"/>
      <c r="CN303" s="200"/>
      <c r="CO303" s="200"/>
      <c r="CP303" s="200"/>
      <c r="CQ303" s="200"/>
      <c r="CR303" s="200"/>
      <c r="CS303" s="200"/>
      <c r="CT303" s="200"/>
      <c r="CU303" s="200"/>
      <c r="CV303" s="200"/>
      <c r="CW303" s="200"/>
      <c r="CX303" s="200"/>
      <c r="CY303" s="200"/>
      <c r="CZ303" s="200"/>
      <c r="DA303" s="200"/>
      <c r="DB303" s="200"/>
      <c r="DC303" s="200"/>
      <c r="DD303" s="200"/>
      <c r="DE303" s="200"/>
      <c r="DF303" s="200"/>
      <c r="DG303" s="200"/>
      <c r="DH303" s="200"/>
      <c r="DI303" s="200"/>
      <c r="DJ303" s="200"/>
      <c r="DK303" s="200"/>
      <c r="DL303" s="200"/>
      <c r="DM303" s="200"/>
      <c r="DN303" s="200"/>
      <c r="DO303" s="200"/>
      <c r="DP303" s="200"/>
      <c r="DQ303" s="200"/>
      <c r="DR303" s="200"/>
      <c r="DS303" s="200"/>
      <c r="DT303" s="200"/>
      <c r="DU303" s="200"/>
      <c r="DV303" s="200"/>
      <c r="DW303" s="200"/>
      <c r="DX303" s="200"/>
      <c r="DY303" s="200"/>
      <c r="DZ303" s="200"/>
      <c r="EA303" s="200"/>
      <c r="EB303" s="200"/>
      <c r="EC303" s="200"/>
      <c r="ED303" s="200"/>
      <c r="EE303" s="200"/>
      <c r="EF303" s="200"/>
      <c r="EG303" s="200"/>
      <c r="EH303" s="200"/>
      <c r="EI303" s="200"/>
      <c r="EJ303" s="200"/>
      <c r="EK303" s="200"/>
      <c r="EL303" s="200"/>
      <c r="EM303" s="200"/>
      <c r="EN303" s="200"/>
      <c r="EO303" s="200"/>
      <c r="EP303" s="200"/>
      <c r="EQ303" s="200"/>
      <c r="ER303" s="200"/>
      <c r="ES303" s="200"/>
      <c r="ET303" s="200"/>
      <c r="EU303" s="200"/>
      <c r="EV303" s="200"/>
      <c r="EW303" s="200"/>
      <c r="EX303" s="200"/>
      <c r="EY303" s="200"/>
      <c r="EZ303" s="200"/>
      <c r="FA303" s="200"/>
      <c r="FB303" s="200"/>
      <c r="FC303" s="200"/>
      <c r="FD303" s="200"/>
      <c r="FE303" s="200"/>
      <c r="FF303" s="200"/>
      <c r="FG303" s="200"/>
      <c r="FH303" s="200"/>
      <c r="FI303" s="200"/>
      <c r="FJ303" s="200"/>
      <c r="FK303" s="200"/>
      <c r="FL303" s="200"/>
      <c r="FM303" s="200"/>
      <c r="FN303" s="200"/>
      <c r="FO303" s="200"/>
      <c r="FP303" s="200"/>
      <c r="FQ303" s="200"/>
      <c r="FR303" s="200"/>
      <c r="FS303" s="200"/>
      <c r="FT303" s="200"/>
      <c r="FU303" s="200"/>
      <c r="FV303" s="200"/>
      <c r="FW303" s="200"/>
      <c r="FX303" s="200"/>
      <c r="FY303" s="200"/>
      <c r="FZ303" s="200"/>
      <c r="GA303" s="200"/>
      <c r="GB303" s="200"/>
      <c r="GC303" s="200"/>
      <c r="GD303" s="200"/>
      <c r="GE303" s="200"/>
      <c r="GF303" s="200"/>
      <c r="GG303" s="200"/>
      <c r="GH303" s="200"/>
      <c r="GI303" s="200"/>
      <c r="GJ303" s="200"/>
      <c r="GK303" s="200"/>
      <c r="GL303" s="200"/>
      <c r="GM303" s="200"/>
      <c r="GN303" s="200"/>
      <c r="GO303" s="200"/>
      <c r="GP303" s="200"/>
      <c r="GQ303" s="200"/>
      <c r="GR303" s="200"/>
      <c r="GS303" s="200"/>
      <c r="GT303" s="200"/>
      <c r="GU303" s="200"/>
      <c r="GV303" s="200"/>
      <c r="GW303" s="200"/>
      <c r="GX303" s="200"/>
      <c r="GY303" s="200"/>
      <c r="GZ303" s="200"/>
      <c r="HA303" s="200"/>
      <c r="HB303" s="200"/>
      <c r="HC303" s="200"/>
      <c r="HD303" s="200"/>
      <c r="HE303" s="200"/>
      <c r="HF303" s="200"/>
      <c r="HG303" s="200"/>
      <c r="HH303" s="200"/>
      <c r="HI303" s="200"/>
      <c r="HJ303" s="200"/>
      <c r="HK303" s="200"/>
      <c r="HL303" s="200"/>
      <c r="HM303" s="200"/>
      <c r="HN303" s="200"/>
      <c r="HO303" s="200"/>
      <c r="HP303" s="200"/>
      <c r="HQ303" s="200"/>
      <c r="HR303" s="200"/>
      <c r="HS303" s="200"/>
      <c r="HT303" s="200"/>
      <c r="HU303" s="200"/>
      <c r="HV303" s="200"/>
      <c r="HW303" s="200"/>
      <c r="HX303" s="200"/>
      <c r="HY303" s="200"/>
      <c r="HZ303" s="200"/>
      <c r="IA303" s="200"/>
      <c r="IB303" s="200"/>
      <c r="IC303" s="200"/>
      <c r="ID303" s="200"/>
      <c r="IE303" s="200"/>
      <c r="IF303" s="200"/>
      <c r="IG303" s="200"/>
      <c r="IH303" s="200"/>
      <c r="II303" s="200"/>
      <c r="IJ303" s="200"/>
      <c r="IK303" s="200"/>
      <c r="IL303" s="200"/>
      <c r="IM303" s="200"/>
      <c r="IN303" s="200"/>
      <c r="IO303" s="200"/>
      <c r="IP303" s="200"/>
      <c r="IQ303" s="200"/>
      <c r="IR303" s="200"/>
      <c r="IS303" s="200"/>
      <c r="IT303" s="200"/>
      <c r="IU303" s="201"/>
      <c r="IV303" s="201"/>
    </row>
    <row r="304" s="10" customFormat="1" ht="15.95" customHeight="1" spans="1:256">
      <c r="A304" s="199">
        <v>84</v>
      </c>
      <c r="B304" s="20" t="s">
        <v>2288</v>
      </c>
      <c r="C304" s="20" t="s">
        <v>2285</v>
      </c>
      <c r="D304" s="199">
        <v>6084</v>
      </c>
      <c r="E304" s="199">
        <f>'05版台时'!N494</f>
        <v>73.2752971586059</v>
      </c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  <c r="AA304" s="200"/>
      <c r="AB304" s="200"/>
      <c r="AC304" s="200"/>
      <c r="AD304" s="200"/>
      <c r="AE304" s="200"/>
      <c r="AF304" s="200"/>
      <c r="AG304" s="200"/>
      <c r="AH304" s="200"/>
      <c r="AI304" s="200"/>
      <c r="AJ304" s="200"/>
      <c r="AK304" s="200"/>
      <c r="AL304" s="200"/>
      <c r="AM304" s="200"/>
      <c r="AN304" s="200"/>
      <c r="AO304" s="200"/>
      <c r="AP304" s="200"/>
      <c r="AQ304" s="200"/>
      <c r="AR304" s="200"/>
      <c r="AS304" s="200"/>
      <c r="AT304" s="200"/>
      <c r="AU304" s="200"/>
      <c r="AV304" s="200"/>
      <c r="AW304" s="200"/>
      <c r="AX304" s="200"/>
      <c r="AY304" s="200"/>
      <c r="AZ304" s="200"/>
      <c r="BA304" s="200"/>
      <c r="BB304" s="200"/>
      <c r="BC304" s="200"/>
      <c r="BD304" s="200"/>
      <c r="BE304" s="200"/>
      <c r="BF304" s="200"/>
      <c r="BG304" s="200"/>
      <c r="BH304" s="200"/>
      <c r="BI304" s="200"/>
      <c r="BJ304" s="200"/>
      <c r="BK304" s="200"/>
      <c r="BL304" s="200"/>
      <c r="BM304" s="200"/>
      <c r="BN304" s="200"/>
      <c r="BO304" s="200"/>
      <c r="BP304" s="200"/>
      <c r="BQ304" s="200"/>
      <c r="BR304" s="200"/>
      <c r="BS304" s="200"/>
      <c r="BT304" s="200"/>
      <c r="BU304" s="200"/>
      <c r="BV304" s="200"/>
      <c r="BW304" s="200"/>
      <c r="BX304" s="200"/>
      <c r="BY304" s="200"/>
      <c r="BZ304" s="200"/>
      <c r="CA304" s="200"/>
      <c r="CB304" s="200"/>
      <c r="CC304" s="200"/>
      <c r="CD304" s="200"/>
      <c r="CE304" s="200"/>
      <c r="CF304" s="200"/>
      <c r="CG304" s="200"/>
      <c r="CH304" s="200"/>
      <c r="CI304" s="200"/>
      <c r="CJ304" s="200"/>
      <c r="CK304" s="200"/>
      <c r="CL304" s="200"/>
      <c r="CM304" s="200"/>
      <c r="CN304" s="200"/>
      <c r="CO304" s="200"/>
      <c r="CP304" s="200"/>
      <c r="CQ304" s="200"/>
      <c r="CR304" s="200"/>
      <c r="CS304" s="200"/>
      <c r="CT304" s="200"/>
      <c r="CU304" s="200"/>
      <c r="CV304" s="200"/>
      <c r="CW304" s="200"/>
      <c r="CX304" s="200"/>
      <c r="CY304" s="200"/>
      <c r="CZ304" s="200"/>
      <c r="DA304" s="200"/>
      <c r="DB304" s="200"/>
      <c r="DC304" s="200"/>
      <c r="DD304" s="200"/>
      <c r="DE304" s="200"/>
      <c r="DF304" s="200"/>
      <c r="DG304" s="200"/>
      <c r="DH304" s="200"/>
      <c r="DI304" s="200"/>
      <c r="DJ304" s="200"/>
      <c r="DK304" s="200"/>
      <c r="DL304" s="200"/>
      <c r="DM304" s="200"/>
      <c r="DN304" s="200"/>
      <c r="DO304" s="200"/>
      <c r="DP304" s="200"/>
      <c r="DQ304" s="200"/>
      <c r="DR304" s="200"/>
      <c r="DS304" s="200"/>
      <c r="DT304" s="200"/>
      <c r="DU304" s="200"/>
      <c r="DV304" s="200"/>
      <c r="DW304" s="200"/>
      <c r="DX304" s="200"/>
      <c r="DY304" s="200"/>
      <c r="DZ304" s="200"/>
      <c r="EA304" s="200"/>
      <c r="EB304" s="200"/>
      <c r="EC304" s="200"/>
      <c r="ED304" s="200"/>
      <c r="EE304" s="200"/>
      <c r="EF304" s="200"/>
      <c r="EG304" s="200"/>
      <c r="EH304" s="200"/>
      <c r="EI304" s="200"/>
      <c r="EJ304" s="200"/>
      <c r="EK304" s="200"/>
      <c r="EL304" s="200"/>
      <c r="EM304" s="200"/>
      <c r="EN304" s="200"/>
      <c r="EO304" s="200"/>
      <c r="EP304" s="200"/>
      <c r="EQ304" s="200"/>
      <c r="ER304" s="200"/>
      <c r="ES304" s="200"/>
      <c r="ET304" s="200"/>
      <c r="EU304" s="200"/>
      <c r="EV304" s="200"/>
      <c r="EW304" s="200"/>
      <c r="EX304" s="200"/>
      <c r="EY304" s="200"/>
      <c r="EZ304" s="200"/>
      <c r="FA304" s="200"/>
      <c r="FB304" s="200"/>
      <c r="FC304" s="200"/>
      <c r="FD304" s="200"/>
      <c r="FE304" s="200"/>
      <c r="FF304" s="200"/>
      <c r="FG304" s="200"/>
      <c r="FH304" s="200"/>
      <c r="FI304" s="200"/>
      <c r="FJ304" s="200"/>
      <c r="FK304" s="200"/>
      <c r="FL304" s="200"/>
      <c r="FM304" s="200"/>
      <c r="FN304" s="200"/>
      <c r="FO304" s="200"/>
      <c r="FP304" s="200"/>
      <c r="FQ304" s="200"/>
      <c r="FR304" s="200"/>
      <c r="FS304" s="200"/>
      <c r="FT304" s="200"/>
      <c r="FU304" s="200"/>
      <c r="FV304" s="200"/>
      <c r="FW304" s="200"/>
      <c r="FX304" s="200"/>
      <c r="FY304" s="200"/>
      <c r="FZ304" s="200"/>
      <c r="GA304" s="200"/>
      <c r="GB304" s="200"/>
      <c r="GC304" s="200"/>
      <c r="GD304" s="200"/>
      <c r="GE304" s="200"/>
      <c r="GF304" s="200"/>
      <c r="GG304" s="200"/>
      <c r="GH304" s="200"/>
      <c r="GI304" s="200"/>
      <c r="GJ304" s="200"/>
      <c r="GK304" s="200"/>
      <c r="GL304" s="200"/>
      <c r="GM304" s="200"/>
      <c r="GN304" s="200"/>
      <c r="GO304" s="200"/>
      <c r="GP304" s="200"/>
      <c r="GQ304" s="200"/>
      <c r="GR304" s="200"/>
      <c r="GS304" s="200"/>
      <c r="GT304" s="200"/>
      <c r="GU304" s="200"/>
      <c r="GV304" s="200"/>
      <c r="GW304" s="200"/>
      <c r="GX304" s="200"/>
      <c r="GY304" s="200"/>
      <c r="GZ304" s="200"/>
      <c r="HA304" s="200"/>
      <c r="HB304" s="200"/>
      <c r="HC304" s="200"/>
      <c r="HD304" s="200"/>
      <c r="HE304" s="200"/>
      <c r="HF304" s="200"/>
      <c r="HG304" s="200"/>
      <c r="HH304" s="200"/>
      <c r="HI304" s="200"/>
      <c r="HJ304" s="200"/>
      <c r="HK304" s="200"/>
      <c r="HL304" s="200"/>
      <c r="HM304" s="200"/>
      <c r="HN304" s="200"/>
      <c r="HO304" s="200"/>
      <c r="HP304" s="200"/>
      <c r="HQ304" s="200"/>
      <c r="HR304" s="200"/>
      <c r="HS304" s="200"/>
      <c r="HT304" s="200"/>
      <c r="HU304" s="200"/>
      <c r="HV304" s="200"/>
      <c r="HW304" s="200"/>
      <c r="HX304" s="200"/>
      <c r="HY304" s="200"/>
      <c r="HZ304" s="200"/>
      <c r="IA304" s="200"/>
      <c r="IB304" s="200"/>
      <c r="IC304" s="200"/>
      <c r="ID304" s="200"/>
      <c r="IE304" s="200"/>
      <c r="IF304" s="200"/>
      <c r="IG304" s="200"/>
      <c r="IH304" s="200"/>
      <c r="II304" s="200"/>
      <c r="IJ304" s="200"/>
      <c r="IK304" s="200"/>
      <c r="IL304" s="200"/>
      <c r="IM304" s="200"/>
      <c r="IN304" s="200"/>
      <c r="IO304" s="200"/>
      <c r="IP304" s="200"/>
      <c r="IQ304" s="200"/>
      <c r="IR304" s="200"/>
      <c r="IS304" s="200"/>
      <c r="IT304" s="200"/>
      <c r="IU304" s="201"/>
      <c r="IV304" s="201"/>
    </row>
    <row r="305" s="10" customFormat="1" ht="15.95" customHeight="1" spans="1:256">
      <c r="A305" s="199">
        <v>85</v>
      </c>
      <c r="B305" s="20" t="s">
        <v>2288</v>
      </c>
      <c r="C305" s="20" t="s">
        <v>2287</v>
      </c>
      <c r="D305" s="199">
        <v>6085</v>
      </c>
      <c r="E305" s="199">
        <f>'05版台时'!O494</f>
        <v>108.778266867334</v>
      </c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  <c r="AA305" s="200"/>
      <c r="AB305" s="200"/>
      <c r="AC305" s="200"/>
      <c r="AD305" s="200"/>
      <c r="AE305" s="200"/>
      <c r="AF305" s="200"/>
      <c r="AG305" s="200"/>
      <c r="AH305" s="200"/>
      <c r="AI305" s="200"/>
      <c r="AJ305" s="200"/>
      <c r="AK305" s="200"/>
      <c r="AL305" s="200"/>
      <c r="AM305" s="200"/>
      <c r="AN305" s="200"/>
      <c r="AO305" s="200"/>
      <c r="AP305" s="200"/>
      <c r="AQ305" s="200"/>
      <c r="AR305" s="200"/>
      <c r="AS305" s="200"/>
      <c r="AT305" s="200"/>
      <c r="AU305" s="200"/>
      <c r="AV305" s="200"/>
      <c r="AW305" s="200"/>
      <c r="AX305" s="200"/>
      <c r="AY305" s="200"/>
      <c r="AZ305" s="200"/>
      <c r="BA305" s="200"/>
      <c r="BB305" s="200"/>
      <c r="BC305" s="200"/>
      <c r="BD305" s="200"/>
      <c r="BE305" s="200"/>
      <c r="BF305" s="200"/>
      <c r="BG305" s="200"/>
      <c r="BH305" s="200"/>
      <c r="BI305" s="200"/>
      <c r="BJ305" s="200"/>
      <c r="BK305" s="200"/>
      <c r="BL305" s="200"/>
      <c r="BM305" s="200"/>
      <c r="BN305" s="200"/>
      <c r="BO305" s="200"/>
      <c r="BP305" s="200"/>
      <c r="BQ305" s="200"/>
      <c r="BR305" s="200"/>
      <c r="BS305" s="200"/>
      <c r="BT305" s="200"/>
      <c r="BU305" s="200"/>
      <c r="BV305" s="200"/>
      <c r="BW305" s="200"/>
      <c r="BX305" s="200"/>
      <c r="BY305" s="200"/>
      <c r="BZ305" s="200"/>
      <c r="CA305" s="200"/>
      <c r="CB305" s="200"/>
      <c r="CC305" s="200"/>
      <c r="CD305" s="200"/>
      <c r="CE305" s="200"/>
      <c r="CF305" s="200"/>
      <c r="CG305" s="200"/>
      <c r="CH305" s="200"/>
      <c r="CI305" s="200"/>
      <c r="CJ305" s="200"/>
      <c r="CK305" s="200"/>
      <c r="CL305" s="200"/>
      <c r="CM305" s="200"/>
      <c r="CN305" s="200"/>
      <c r="CO305" s="200"/>
      <c r="CP305" s="200"/>
      <c r="CQ305" s="200"/>
      <c r="CR305" s="200"/>
      <c r="CS305" s="200"/>
      <c r="CT305" s="200"/>
      <c r="CU305" s="200"/>
      <c r="CV305" s="200"/>
      <c r="CW305" s="200"/>
      <c r="CX305" s="200"/>
      <c r="CY305" s="200"/>
      <c r="CZ305" s="200"/>
      <c r="DA305" s="200"/>
      <c r="DB305" s="200"/>
      <c r="DC305" s="200"/>
      <c r="DD305" s="200"/>
      <c r="DE305" s="200"/>
      <c r="DF305" s="200"/>
      <c r="DG305" s="200"/>
      <c r="DH305" s="200"/>
      <c r="DI305" s="200"/>
      <c r="DJ305" s="200"/>
      <c r="DK305" s="200"/>
      <c r="DL305" s="200"/>
      <c r="DM305" s="200"/>
      <c r="DN305" s="200"/>
      <c r="DO305" s="200"/>
      <c r="DP305" s="200"/>
      <c r="DQ305" s="200"/>
      <c r="DR305" s="200"/>
      <c r="DS305" s="200"/>
      <c r="DT305" s="200"/>
      <c r="DU305" s="200"/>
      <c r="DV305" s="200"/>
      <c r="DW305" s="200"/>
      <c r="DX305" s="200"/>
      <c r="DY305" s="200"/>
      <c r="DZ305" s="200"/>
      <c r="EA305" s="200"/>
      <c r="EB305" s="200"/>
      <c r="EC305" s="200"/>
      <c r="ED305" s="200"/>
      <c r="EE305" s="200"/>
      <c r="EF305" s="200"/>
      <c r="EG305" s="200"/>
      <c r="EH305" s="200"/>
      <c r="EI305" s="200"/>
      <c r="EJ305" s="200"/>
      <c r="EK305" s="200"/>
      <c r="EL305" s="200"/>
      <c r="EM305" s="200"/>
      <c r="EN305" s="200"/>
      <c r="EO305" s="200"/>
      <c r="EP305" s="200"/>
      <c r="EQ305" s="200"/>
      <c r="ER305" s="200"/>
      <c r="ES305" s="200"/>
      <c r="ET305" s="200"/>
      <c r="EU305" s="200"/>
      <c r="EV305" s="200"/>
      <c r="EW305" s="200"/>
      <c r="EX305" s="200"/>
      <c r="EY305" s="200"/>
      <c r="EZ305" s="200"/>
      <c r="FA305" s="200"/>
      <c r="FB305" s="200"/>
      <c r="FC305" s="200"/>
      <c r="FD305" s="200"/>
      <c r="FE305" s="200"/>
      <c r="FF305" s="200"/>
      <c r="FG305" s="200"/>
      <c r="FH305" s="200"/>
      <c r="FI305" s="200"/>
      <c r="FJ305" s="200"/>
      <c r="FK305" s="200"/>
      <c r="FL305" s="200"/>
      <c r="FM305" s="200"/>
      <c r="FN305" s="200"/>
      <c r="FO305" s="200"/>
      <c r="FP305" s="200"/>
      <c r="FQ305" s="200"/>
      <c r="FR305" s="200"/>
      <c r="FS305" s="200"/>
      <c r="FT305" s="200"/>
      <c r="FU305" s="200"/>
      <c r="FV305" s="200"/>
      <c r="FW305" s="200"/>
      <c r="FX305" s="200"/>
      <c r="FY305" s="200"/>
      <c r="FZ305" s="200"/>
      <c r="GA305" s="200"/>
      <c r="GB305" s="200"/>
      <c r="GC305" s="200"/>
      <c r="GD305" s="200"/>
      <c r="GE305" s="200"/>
      <c r="GF305" s="200"/>
      <c r="GG305" s="200"/>
      <c r="GH305" s="200"/>
      <c r="GI305" s="200"/>
      <c r="GJ305" s="200"/>
      <c r="GK305" s="200"/>
      <c r="GL305" s="200"/>
      <c r="GM305" s="200"/>
      <c r="GN305" s="200"/>
      <c r="GO305" s="200"/>
      <c r="GP305" s="200"/>
      <c r="GQ305" s="200"/>
      <c r="GR305" s="200"/>
      <c r="GS305" s="200"/>
      <c r="GT305" s="200"/>
      <c r="GU305" s="200"/>
      <c r="GV305" s="200"/>
      <c r="GW305" s="200"/>
      <c r="GX305" s="200"/>
      <c r="GY305" s="200"/>
      <c r="GZ305" s="200"/>
      <c r="HA305" s="200"/>
      <c r="HB305" s="200"/>
      <c r="HC305" s="200"/>
      <c r="HD305" s="200"/>
      <c r="HE305" s="200"/>
      <c r="HF305" s="200"/>
      <c r="HG305" s="200"/>
      <c r="HH305" s="200"/>
      <c r="HI305" s="200"/>
      <c r="HJ305" s="200"/>
      <c r="HK305" s="200"/>
      <c r="HL305" s="200"/>
      <c r="HM305" s="200"/>
      <c r="HN305" s="200"/>
      <c r="HO305" s="200"/>
      <c r="HP305" s="200"/>
      <c r="HQ305" s="200"/>
      <c r="HR305" s="200"/>
      <c r="HS305" s="200"/>
      <c r="HT305" s="200"/>
      <c r="HU305" s="200"/>
      <c r="HV305" s="200"/>
      <c r="HW305" s="200"/>
      <c r="HX305" s="200"/>
      <c r="HY305" s="200"/>
      <c r="HZ305" s="200"/>
      <c r="IA305" s="200"/>
      <c r="IB305" s="200"/>
      <c r="IC305" s="200"/>
      <c r="ID305" s="200"/>
      <c r="IE305" s="200"/>
      <c r="IF305" s="200"/>
      <c r="IG305" s="200"/>
      <c r="IH305" s="200"/>
      <c r="II305" s="200"/>
      <c r="IJ305" s="200"/>
      <c r="IK305" s="200"/>
      <c r="IL305" s="200"/>
      <c r="IM305" s="200"/>
      <c r="IN305" s="200"/>
      <c r="IO305" s="200"/>
      <c r="IP305" s="200"/>
      <c r="IQ305" s="200"/>
      <c r="IR305" s="200"/>
      <c r="IS305" s="200"/>
      <c r="IT305" s="200"/>
      <c r="IU305" s="201"/>
      <c r="IV305" s="201"/>
    </row>
    <row r="306" s="10" customFormat="1" ht="15.95" customHeight="1" spans="1:256">
      <c r="A306" s="197" t="s">
        <v>2290</v>
      </c>
      <c r="B306" s="198"/>
      <c r="C306" s="199"/>
      <c r="D306" s="199"/>
      <c r="E306" s="199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  <c r="AA306" s="200"/>
      <c r="AB306" s="200"/>
      <c r="AC306" s="200"/>
      <c r="AD306" s="200"/>
      <c r="AE306" s="200"/>
      <c r="AF306" s="200"/>
      <c r="AG306" s="200"/>
      <c r="AH306" s="200"/>
      <c r="AI306" s="200"/>
      <c r="AJ306" s="200"/>
      <c r="AK306" s="200"/>
      <c r="AL306" s="200"/>
      <c r="AM306" s="200"/>
      <c r="AN306" s="200"/>
      <c r="AO306" s="200"/>
      <c r="AP306" s="200"/>
      <c r="AQ306" s="200"/>
      <c r="AR306" s="200"/>
      <c r="AS306" s="200"/>
      <c r="AT306" s="200"/>
      <c r="AU306" s="200"/>
      <c r="AV306" s="200"/>
      <c r="AW306" s="200"/>
      <c r="AX306" s="200"/>
      <c r="AY306" s="200"/>
      <c r="AZ306" s="200"/>
      <c r="BA306" s="200"/>
      <c r="BB306" s="200"/>
      <c r="BC306" s="200"/>
      <c r="BD306" s="200"/>
      <c r="BE306" s="200"/>
      <c r="BF306" s="200"/>
      <c r="BG306" s="200"/>
      <c r="BH306" s="200"/>
      <c r="BI306" s="200"/>
      <c r="BJ306" s="200"/>
      <c r="BK306" s="200"/>
      <c r="BL306" s="200"/>
      <c r="BM306" s="200"/>
      <c r="BN306" s="200"/>
      <c r="BO306" s="200"/>
      <c r="BP306" s="200"/>
      <c r="BQ306" s="200"/>
      <c r="BR306" s="200"/>
      <c r="BS306" s="200"/>
      <c r="BT306" s="200"/>
      <c r="BU306" s="200"/>
      <c r="BV306" s="200"/>
      <c r="BW306" s="200"/>
      <c r="BX306" s="200"/>
      <c r="BY306" s="200"/>
      <c r="BZ306" s="200"/>
      <c r="CA306" s="200"/>
      <c r="CB306" s="200"/>
      <c r="CC306" s="200"/>
      <c r="CD306" s="200"/>
      <c r="CE306" s="200"/>
      <c r="CF306" s="200"/>
      <c r="CG306" s="200"/>
      <c r="CH306" s="200"/>
      <c r="CI306" s="200"/>
      <c r="CJ306" s="200"/>
      <c r="CK306" s="200"/>
      <c r="CL306" s="200"/>
      <c r="CM306" s="200"/>
      <c r="CN306" s="200"/>
      <c r="CO306" s="200"/>
      <c r="CP306" s="200"/>
      <c r="CQ306" s="200"/>
      <c r="CR306" s="200"/>
      <c r="CS306" s="200"/>
      <c r="CT306" s="200"/>
      <c r="CU306" s="200"/>
      <c r="CV306" s="200"/>
      <c r="CW306" s="200"/>
      <c r="CX306" s="200"/>
      <c r="CY306" s="200"/>
      <c r="CZ306" s="200"/>
      <c r="DA306" s="200"/>
      <c r="DB306" s="200"/>
      <c r="DC306" s="200"/>
      <c r="DD306" s="200"/>
      <c r="DE306" s="200"/>
      <c r="DF306" s="200"/>
      <c r="DG306" s="200"/>
      <c r="DH306" s="200"/>
      <c r="DI306" s="200"/>
      <c r="DJ306" s="200"/>
      <c r="DK306" s="200"/>
      <c r="DL306" s="200"/>
      <c r="DM306" s="200"/>
      <c r="DN306" s="200"/>
      <c r="DO306" s="200"/>
      <c r="DP306" s="200"/>
      <c r="DQ306" s="200"/>
      <c r="DR306" s="200"/>
      <c r="DS306" s="200"/>
      <c r="DT306" s="200"/>
      <c r="DU306" s="200"/>
      <c r="DV306" s="200"/>
      <c r="DW306" s="200"/>
      <c r="DX306" s="200"/>
      <c r="DY306" s="200"/>
      <c r="DZ306" s="200"/>
      <c r="EA306" s="200"/>
      <c r="EB306" s="200"/>
      <c r="EC306" s="200"/>
      <c r="ED306" s="200"/>
      <c r="EE306" s="200"/>
      <c r="EF306" s="200"/>
      <c r="EG306" s="200"/>
      <c r="EH306" s="200"/>
      <c r="EI306" s="200"/>
      <c r="EJ306" s="200"/>
      <c r="EK306" s="200"/>
      <c r="EL306" s="200"/>
      <c r="EM306" s="200"/>
      <c r="EN306" s="200"/>
      <c r="EO306" s="200"/>
      <c r="EP306" s="200"/>
      <c r="EQ306" s="200"/>
      <c r="ER306" s="200"/>
      <c r="ES306" s="200"/>
      <c r="ET306" s="200"/>
      <c r="EU306" s="200"/>
      <c r="EV306" s="200"/>
      <c r="EW306" s="200"/>
      <c r="EX306" s="200"/>
      <c r="EY306" s="200"/>
      <c r="EZ306" s="200"/>
      <c r="FA306" s="200"/>
      <c r="FB306" s="200"/>
      <c r="FC306" s="200"/>
      <c r="FD306" s="200"/>
      <c r="FE306" s="200"/>
      <c r="FF306" s="200"/>
      <c r="FG306" s="200"/>
      <c r="FH306" s="200"/>
      <c r="FI306" s="200"/>
      <c r="FJ306" s="200"/>
      <c r="FK306" s="200"/>
      <c r="FL306" s="200"/>
      <c r="FM306" s="200"/>
      <c r="FN306" s="200"/>
      <c r="FO306" s="200"/>
      <c r="FP306" s="200"/>
      <c r="FQ306" s="200"/>
      <c r="FR306" s="200"/>
      <c r="FS306" s="200"/>
      <c r="FT306" s="200"/>
      <c r="FU306" s="200"/>
      <c r="FV306" s="200"/>
      <c r="FW306" s="200"/>
      <c r="FX306" s="200"/>
      <c r="FY306" s="200"/>
      <c r="FZ306" s="200"/>
      <c r="GA306" s="200"/>
      <c r="GB306" s="200"/>
      <c r="GC306" s="200"/>
      <c r="GD306" s="200"/>
      <c r="GE306" s="200"/>
      <c r="GF306" s="200"/>
      <c r="GG306" s="200"/>
      <c r="GH306" s="200"/>
      <c r="GI306" s="200"/>
      <c r="GJ306" s="200"/>
      <c r="GK306" s="200"/>
      <c r="GL306" s="200"/>
      <c r="GM306" s="200"/>
      <c r="GN306" s="200"/>
      <c r="GO306" s="200"/>
      <c r="GP306" s="200"/>
      <c r="GQ306" s="200"/>
      <c r="GR306" s="200"/>
      <c r="GS306" s="200"/>
      <c r="GT306" s="200"/>
      <c r="GU306" s="200"/>
      <c r="GV306" s="200"/>
      <c r="GW306" s="200"/>
      <c r="GX306" s="200"/>
      <c r="GY306" s="200"/>
      <c r="GZ306" s="200"/>
      <c r="HA306" s="200"/>
      <c r="HB306" s="200"/>
      <c r="HC306" s="200"/>
      <c r="HD306" s="200"/>
      <c r="HE306" s="200"/>
      <c r="HF306" s="200"/>
      <c r="HG306" s="200"/>
      <c r="HH306" s="200"/>
      <c r="HI306" s="200"/>
      <c r="HJ306" s="200"/>
      <c r="HK306" s="200"/>
      <c r="HL306" s="200"/>
      <c r="HM306" s="200"/>
      <c r="HN306" s="200"/>
      <c r="HO306" s="200"/>
      <c r="HP306" s="200"/>
      <c r="HQ306" s="200"/>
      <c r="HR306" s="200"/>
      <c r="HS306" s="200"/>
      <c r="HT306" s="200"/>
      <c r="HU306" s="200"/>
      <c r="HV306" s="200"/>
      <c r="HW306" s="200"/>
      <c r="HX306" s="200"/>
      <c r="HY306" s="200"/>
      <c r="HZ306" s="200"/>
      <c r="IA306" s="200"/>
      <c r="IB306" s="200"/>
      <c r="IC306" s="200"/>
      <c r="ID306" s="200"/>
      <c r="IE306" s="200"/>
      <c r="IF306" s="200"/>
      <c r="IG306" s="200"/>
      <c r="IH306" s="200"/>
      <c r="II306" s="200"/>
      <c r="IJ306" s="200"/>
      <c r="IK306" s="200"/>
      <c r="IL306" s="200"/>
      <c r="IM306" s="200"/>
      <c r="IN306" s="200"/>
      <c r="IO306" s="200"/>
      <c r="IP306" s="200"/>
      <c r="IQ306" s="200"/>
      <c r="IR306" s="200"/>
      <c r="IS306" s="200"/>
      <c r="IT306" s="200"/>
      <c r="IU306" s="201"/>
      <c r="IV306" s="201"/>
    </row>
    <row r="307" s="10" customFormat="1" ht="15.95" customHeight="1" spans="1:256">
      <c r="A307" s="199">
        <v>1</v>
      </c>
      <c r="B307" s="20" t="s">
        <v>2291</v>
      </c>
      <c r="C307" s="199" t="s">
        <v>2292</v>
      </c>
      <c r="D307" s="199">
        <v>7001</v>
      </c>
      <c r="E307" s="199">
        <f>'05版台时'!D527</f>
        <v>13.7412527633491</v>
      </c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  <c r="AA307" s="200"/>
      <c r="AB307" s="200"/>
      <c r="AC307" s="200"/>
      <c r="AD307" s="200"/>
      <c r="AE307" s="200"/>
      <c r="AF307" s="200"/>
      <c r="AG307" s="200"/>
      <c r="AH307" s="200"/>
      <c r="AI307" s="200"/>
      <c r="AJ307" s="200"/>
      <c r="AK307" s="200"/>
      <c r="AL307" s="200"/>
      <c r="AM307" s="200"/>
      <c r="AN307" s="200"/>
      <c r="AO307" s="200"/>
      <c r="AP307" s="200"/>
      <c r="AQ307" s="200"/>
      <c r="AR307" s="200"/>
      <c r="AS307" s="200"/>
      <c r="AT307" s="200"/>
      <c r="AU307" s="200"/>
      <c r="AV307" s="200"/>
      <c r="AW307" s="200"/>
      <c r="AX307" s="200"/>
      <c r="AY307" s="200"/>
      <c r="AZ307" s="200"/>
      <c r="BA307" s="200"/>
      <c r="BB307" s="200"/>
      <c r="BC307" s="200"/>
      <c r="BD307" s="200"/>
      <c r="BE307" s="200"/>
      <c r="BF307" s="200"/>
      <c r="BG307" s="200"/>
      <c r="BH307" s="200"/>
      <c r="BI307" s="200"/>
      <c r="BJ307" s="200"/>
      <c r="BK307" s="200"/>
      <c r="BL307" s="200"/>
      <c r="BM307" s="200"/>
      <c r="BN307" s="200"/>
      <c r="BO307" s="200"/>
      <c r="BP307" s="200"/>
      <c r="BQ307" s="200"/>
      <c r="BR307" s="200"/>
      <c r="BS307" s="200"/>
      <c r="BT307" s="200"/>
      <c r="BU307" s="200"/>
      <c r="BV307" s="200"/>
      <c r="BW307" s="200"/>
      <c r="BX307" s="200"/>
      <c r="BY307" s="200"/>
      <c r="BZ307" s="200"/>
      <c r="CA307" s="200"/>
      <c r="CB307" s="200"/>
      <c r="CC307" s="200"/>
      <c r="CD307" s="200"/>
      <c r="CE307" s="200"/>
      <c r="CF307" s="200"/>
      <c r="CG307" s="200"/>
      <c r="CH307" s="200"/>
      <c r="CI307" s="200"/>
      <c r="CJ307" s="200"/>
      <c r="CK307" s="200"/>
      <c r="CL307" s="200"/>
      <c r="CM307" s="200"/>
      <c r="CN307" s="200"/>
      <c r="CO307" s="200"/>
      <c r="CP307" s="200"/>
      <c r="CQ307" s="200"/>
      <c r="CR307" s="200"/>
      <c r="CS307" s="200"/>
      <c r="CT307" s="200"/>
      <c r="CU307" s="200"/>
      <c r="CV307" s="200"/>
      <c r="CW307" s="200"/>
      <c r="CX307" s="200"/>
      <c r="CY307" s="200"/>
      <c r="CZ307" s="200"/>
      <c r="DA307" s="200"/>
      <c r="DB307" s="200"/>
      <c r="DC307" s="200"/>
      <c r="DD307" s="200"/>
      <c r="DE307" s="200"/>
      <c r="DF307" s="200"/>
      <c r="DG307" s="200"/>
      <c r="DH307" s="200"/>
      <c r="DI307" s="200"/>
      <c r="DJ307" s="200"/>
      <c r="DK307" s="200"/>
      <c r="DL307" s="200"/>
      <c r="DM307" s="200"/>
      <c r="DN307" s="200"/>
      <c r="DO307" s="200"/>
      <c r="DP307" s="200"/>
      <c r="DQ307" s="200"/>
      <c r="DR307" s="200"/>
      <c r="DS307" s="200"/>
      <c r="DT307" s="200"/>
      <c r="DU307" s="200"/>
      <c r="DV307" s="200"/>
      <c r="DW307" s="200"/>
      <c r="DX307" s="200"/>
      <c r="DY307" s="200"/>
      <c r="DZ307" s="200"/>
      <c r="EA307" s="200"/>
      <c r="EB307" s="200"/>
      <c r="EC307" s="200"/>
      <c r="ED307" s="200"/>
      <c r="EE307" s="200"/>
      <c r="EF307" s="200"/>
      <c r="EG307" s="200"/>
      <c r="EH307" s="200"/>
      <c r="EI307" s="200"/>
      <c r="EJ307" s="200"/>
      <c r="EK307" s="200"/>
      <c r="EL307" s="200"/>
      <c r="EM307" s="200"/>
      <c r="EN307" s="200"/>
      <c r="EO307" s="200"/>
      <c r="EP307" s="200"/>
      <c r="EQ307" s="200"/>
      <c r="ER307" s="200"/>
      <c r="ES307" s="200"/>
      <c r="ET307" s="200"/>
      <c r="EU307" s="200"/>
      <c r="EV307" s="200"/>
      <c r="EW307" s="200"/>
      <c r="EX307" s="200"/>
      <c r="EY307" s="200"/>
      <c r="EZ307" s="200"/>
      <c r="FA307" s="200"/>
      <c r="FB307" s="200"/>
      <c r="FC307" s="200"/>
      <c r="FD307" s="200"/>
      <c r="FE307" s="200"/>
      <c r="FF307" s="200"/>
      <c r="FG307" s="200"/>
      <c r="FH307" s="200"/>
      <c r="FI307" s="200"/>
      <c r="FJ307" s="200"/>
      <c r="FK307" s="200"/>
      <c r="FL307" s="200"/>
      <c r="FM307" s="200"/>
      <c r="FN307" s="200"/>
      <c r="FO307" s="200"/>
      <c r="FP307" s="200"/>
      <c r="FQ307" s="200"/>
      <c r="FR307" s="200"/>
      <c r="FS307" s="200"/>
      <c r="FT307" s="200"/>
      <c r="FU307" s="200"/>
      <c r="FV307" s="200"/>
      <c r="FW307" s="200"/>
      <c r="FX307" s="200"/>
      <c r="FY307" s="200"/>
      <c r="FZ307" s="200"/>
      <c r="GA307" s="200"/>
      <c r="GB307" s="200"/>
      <c r="GC307" s="200"/>
      <c r="GD307" s="200"/>
      <c r="GE307" s="200"/>
      <c r="GF307" s="200"/>
      <c r="GG307" s="200"/>
      <c r="GH307" s="200"/>
      <c r="GI307" s="200"/>
      <c r="GJ307" s="200"/>
      <c r="GK307" s="200"/>
      <c r="GL307" s="200"/>
      <c r="GM307" s="200"/>
      <c r="GN307" s="200"/>
      <c r="GO307" s="200"/>
      <c r="GP307" s="200"/>
      <c r="GQ307" s="200"/>
      <c r="GR307" s="200"/>
      <c r="GS307" s="200"/>
      <c r="GT307" s="200"/>
      <c r="GU307" s="200"/>
      <c r="GV307" s="200"/>
      <c r="GW307" s="200"/>
      <c r="GX307" s="200"/>
      <c r="GY307" s="200"/>
      <c r="GZ307" s="200"/>
      <c r="HA307" s="200"/>
      <c r="HB307" s="200"/>
      <c r="HC307" s="200"/>
      <c r="HD307" s="200"/>
      <c r="HE307" s="200"/>
      <c r="HF307" s="200"/>
      <c r="HG307" s="200"/>
      <c r="HH307" s="200"/>
      <c r="HI307" s="200"/>
      <c r="HJ307" s="200"/>
      <c r="HK307" s="200"/>
      <c r="HL307" s="200"/>
      <c r="HM307" s="200"/>
      <c r="HN307" s="200"/>
      <c r="HO307" s="200"/>
      <c r="HP307" s="200"/>
      <c r="HQ307" s="200"/>
      <c r="HR307" s="200"/>
      <c r="HS307" s="200"/>
      <c r="HT307" s="200"/>
      <c r="HU307" s="200"/>
      <c r="HV307" s="200"/>
      <c r="HW307" s="200"/>
      <c r="HX307" s="200"/>
      <c r="HY307" s="200"/>
      <c r="HZ307" s="200"/>
      <c r="IA307" s="200"/>
      <c r="IB307" s="200"/>
      <c r="IC307" s="200"/>
      <c r="ID307" s="200"/>
      <c r="IE307" s="200"/>
      <c r="IF307" s="200"/>
      <c r="IG307" s="200"/>
      <c r="IH307" s="200"/>
      <c r="II307" s="200"/>
      <c r="IJ307" s="200"/>
      <c r="IK307" s="200"/>
      <c r="IL307" s="200"/>
      <c r="IM307" s="200"/>
      <c r="IN307" s="200"/>
      <c r="IO307" s="200"/>
      <c r="IP307" s="200"/>
      <c r="IQ307" s="200"/>
      <c r="IR307" s="200"/>
      <c r="IS307" s="200"/>
      <c r="IT307" s="200"/>
      <c r="IU307" s="201"/>
      <c r="IV307" s="201"/>
    </row>
    <row r="308" s="10" customFormat="1" ht="15.95" customHeight="1" spans="1:256">
      <c r="A308" s="199">
        <v>2</v>
      </c>
      <c r="B308" s="20" t="s">
        <v>2291</v>
      </c>
      <c r="C308" s="199" t="s">
        <v>2293</v>
      </c>
      <c r="D308" s="199">
        <v>7002</v>
      </c>
      <c r="E308" s="199">
        <f>'05版台时'!E527</f>
        <v>22.4017768957783</v>
      </c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  <c r="AA308" s="200"/>
      <c r="AB308" s="200"/>
      <c r="AC308" s="200"/>
      <c r="AD308" s="200"/>
      <c r="AE308" s="200"/>
      <c r="AF308" s="200"/>
      <c r="AG308" s="200"/>
      <c r="AH308" s="200"/>
      <c r="AI308" s="200"/>
      <c r="AJ308" s="200"/>
      <c r="AK308" s="200"/>
      <c r="AL308" s="200"/>
      <c r="AM308" s="200"/>
      <c r="AN308" s="200"/>
      <c r="AO308" s="200"/>
      <c r="AP308" s="200"/>
      <c r="AQ308" s="200"/>
      <c r="AR308" s="200"/>
      <c r="AS308" s="200"/>
      <c r="AT308" s="200"/>
      <c r="AU308" s="200"/>
      <c r="AV308" s="200"/>
      <c r="AW308" s="200"/>
      <c r="AX308" s="200"/>
      <c r="AY308" s="200"/>
      <c r="AZ308" s="200"/>
      <c r="BA308" s="200"/>
      <c r="BB308" s="200"/>
      <c r="BC308" s="200"/>
      <c r="BD308" s="200"/>
      <c r="BE308" s="200"/>
      <c r="BF308" s="200"/>
      <c r="BG308" s="200"/>
      <c r="BH308" s="200"/>
      <c r="BI308" s="200"/>
      <c r="BJ308" s="200"/>
      <c r="BK308" s="200"/>
      <c r="BL308" s="200"/>
      <c r="BM308" s="200"/>
      <c r="BN308" s="200"/>
      <c r="BO308" s="200"/>
      <c r="BP308" s="200"/>
      <c r="BQ308" s="200"/>
      <c r="BR308" s="200"/>
      <c r="BS308" s="200"/>
      <c r="BT308" s="200"/>
      <c r="BU308" s="200"/>
      <c r="BV308" s="200"/>
      <c r="BW308" s="200"/>
      <c r="BX308" s="200"/>
      <c r="BY308" s="200"/>
      <c r="BZ308" s="200"/>
      <c r="CA308" s="200"/>
      <c r="CB308" s="200"/>
      <c r="CC308" s="200"/>
      <c r="CD308" s="200"/>
      <c r="CE308" s="200"/>
      <c r="CF308" s="200"/>
      <c r="CG308" s="200"/>
      <c r="CH308" s="200"/>
      <c r="CI308" s="200"/>
      <c r="CJ308" s="200"/>
      <c r="CK308" s="200"/>
      <c r="CL308" s="200"/>
      <c r="CM308" s="200"/>
      <c r="CN308" s="200"/>
      <c r="CO308" s="200"/>
      <c r="CP308" s="200"/>
      <c r="CQ308" s="200"/>
      <c r="CR308" s="200"/>
      <c r="CS308" s="200"/>
      <c r="CT308" s="200"/>
      <c r="CU308" s="200"/>
      <c r="CV308" s="200"/>
      <c r="CW308" s="200"/>
      <c r="CX308" s="200"/>
      <c r="CY308" s="200"/>
      <c r="CZ308" s="200"/>
      <c r="DA308" s="200"/>
      <c r="DB308" s="200"/>
      <c r="DC308" s="200"/>
      <c r="DD308" s="200"/>
      <c r="DE308" s="200"/>
      <c r="DF308" s="200"/>
      <c r="DG308" s="200"/>
      <c r="DH308" s="200"/>
      <c r="DI308" s="200"/>
      <c r="DJ308" s="200"/>
      <c r="DK308" s="200"/>
      <c r="DL308" s="200"/>
      <c r="DM308" s="200"/>
      <c r="DN308" s="200"/>
      <c r="DO308" s="200"/>
      <c r="DP308" s="200"/>
      <c r="DQ308" s="200"/>
      <c r="DR308" s="200"/>
      <c r="DS308" s="200"/>
      <c r="DT308" s="200"/>
      <c r="DU308" s="200"/>
      <c r="DV308" s="200"/>
      <c r="DW308" s="200"/>
      <c r="DX308" s="200"/>
      <c r="DY308" s="200"/>
      <c r="DZ308" s="200"/>
      <c r="EA308" s="200"/>
      <c r="EB308" s="200"/>
      <c r="EC308" s="200"/>
      <c r="ED308" s="200"/>
      <c r="EE308" s="200"/>
      <c r="EF308" s="200"/>
      <c r="EG308" s="200"/>
      <c r="EH308" s="200"/>
      <c r="EI308" s="200"/>
      <c r="EJ308" s="200"/>
      <c r="EK308" s="200"/>
      <c r="EL308" s="200"/>
      <c r="EM308" s="200"/>
      <c r="EN308" s="200"/>
      <c r="EO308" s="200"/>
      <c r="EP308" s="200"/>
      <c r="EQ308" s="200"/>
      <c r="ER308" s="200"/>
      <c r="ES308" s="200"/>
      <c r="ET308" s="200"/>
      <c r="EU308" s="200"/>
      <c r="EV308" s="200"/>
      <c r="EW308" s="200"/>
      <c r="EX308" s="200"/>
      <c r="EY308" s="200"/>
      <c r="EZ308" s="200"/>
      <c r="FA308" s="200"/>
      <c r="FB308" s="200"/>
      <c r="FC308" s="200"/>
      <c r="FD308" s="200"/>
      <c r="FE308" s="200"/>
      <c r="FF308" s="200"/>
      <c r="FG308" s="200"/>
      <c r="FH308" s="200"/>
      <c r="FI308" s="200"/>
      <c r="FJ308" s="200"/>
      <c r="FK308" s="200"/>
      <c r="FL308" s="200"/>
      <c r="FM308" s="200"/>
      <c r="FN308" s="200"/>
      <c r="FO308" s="200"/>
      <c r="FP308" s="200"/>
      <c r="FQ308" s="200"/>
      <c r="FR308" s="200"/>
      <c r="FS308" s="200"/>
      <c r="FT308" s="200"/>
      <c r="FU308" s="200"/>
      <c r="FV308" s="200"/>
      <c r="FW308" s="200"/>
      <c r="FX308" s="200"/>
      <c r="FY308" s="200"/>
      <c r="FZ308" s="200"/>
      <c r="GA308" s="200"/>
      <c r="GB308" s="200"/>
      <c r="GC308" s="200"/>
      <c r="GD308" s="200"/>
      <c r="GE308" s="200"/>
      <c r="GF308" s="200"/>
      <c r="GG308" s="200"/>
      <c r="GH308" s="200"/>
      <c r="GI308" s="200"/>
      <c r="GJ308" s="200"/>
      <c r="GK308" s="200"/>
      <c r="GL308" s="200"/>
      <c r="GM308" s="200"/>
      <c r="GN308" s="200"/>
      <c r="GO308" s="200"/>
      <c r="GP308" s="200"/>
      <c r="GQ308" s="200"/>
      <c r="GR308" s="200"/>
      <c r="GS308" s="200"/>
      <c r="GT308" s="200"/>
      <c r="GU308" s="200"/>
      <c r="GV308" s="200"/>
      <c r="GW308" s="200"/>
      <c r="GX308" s="200"/>
      <c r="GY308" s="200"/>
      <c r="GZ308" s="200"/>
      <c r="HA308" s="200"/>
      <c r="HB308" s="200"/>
      <c r="HC308" s="200"/>
      <c r="HD308" s="200"/>
      <c r="HE308" s="200"/>
      <c r="HF308" s="200"/>
      <c r="HG308" s="200"/>
      <c r="HH308" s="200"/>
      <c r="HI308" s="200"/>
      <c r="HJ308" s="200"/>
      <c r="HK308" s="200"/>
      <c r="HL308" s="200"/>
      <c r="HM308" s="200"/>
      <c r="HN308" s="200"/>
      <c r="HO308" s="200"/>
      <c r="HP308" s="200"/>
      <c r="HQ308" s="200"/>
      <c r="HR308" s="200"/>
      <c r="HS308" s="200"/>
      <c r="HT308" s="200"/>
      <c r="HU308" s="200"/>
      <c r="HV308" s="200"/>
      <c r="HW308" s="200"/>
      <c r="HX308" s="200"/>
      <c r="HY308" s="200"/>
      <c r="HZ308" s="200"/>
      <c r="IA308" s="200"/>
      <c r="IB308" s="200"/>
      <c r="IC308" s="200"/>
      <c r="ID308" s="200"/>
      <c r="IE308" s="200"/>
      <c r="IF308" s="200"/>
      <c r="IG308" s="200"/>
      <c r="IH308" s="200"/>
      <c r="II308" s="200"/>
      <c r="IJ308" s="200"/>
      <c r="IK308" s="200"/>
      <c r="IL308" s="200"/>
      <c r="IM308" s="200"/>
      <c r="IN308" s="200"/>
      <c r="IO308" s="200"/>
      <c r="IP308" s="200"/>
      <c r="IQ308" s="200"/>
      <c r="IR308" s="200"/>
      <c r="IS308" s="200"/>
      <c r="IT308" s="200"/>
      <c r="IU308" s="201"/>
      <c r="IV308" s="201"/>
    </row>
    <row r="309" s="10" customFormat="1" ht="15.95" customHeight="1" spans="1:256">
      <c r="A309" s="199">
        <v>3</v>
      </c>
      <c r="B309" s="20" t="s">
        <v>2291</v>
      </c>
      <c r="C309" s="199" t="s">
        <v>2120</v>
      </c>
      <c r="D309" s="199">
        <v>7003</v>
      </c>
      <c r="E309" s="199">
        <f>'05版台时'!F527</f>
        <v>31.8553133935845</v>
      </c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  <c r="AA309" s="200"/>
      <c r="AB309" s="200"/>
      <c r="AC309" s="200"/>
      <c r="AD309" s="200"/>
      <c r="AE309" s="200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200"/>
      <c r="AZ309" s="200"/>
      <c r="BA309" s="200"/>
      <c r="BB309" s="200"/>
      <c r="BC309" s="200"/>
      <c r="BD309" s="200"/>
      <c r="BE309" s="200"/>
      <c r="BF309" s="200"/>
      <c r="BG309" s="200"/>
      <c r="BH309" s="200"/>
      <c r="BI309" s="200"/>
      <c r="BJ309" s="200"/>
      <c r="BK309" s="200"/>
      <c r="BL309" s="200"/>
      <c r="BM309" s="200"/>
      <c r="BN309" s="200"/>
      <c r="BO309" s="200"/>
      <c r="BP309" s="200"/>
      <c r="BQ309" s="200"/>
      <c r="BR309" s="200"/>
      <c r="BS309" s="200"/>
      <c r="BT309" s="200"/>
      <c r="BU309" s="200"/>
      <c r="BV309" s="200"/>
      <c r="BW309" s="200"/>
      <c r="BX309" s="200"/>
      <c r="BY309" s="200"/>
      <c r="BZ309" s="200"/>
      <c r="CA309" s="200"/>
      <c r="CB309" s="200"/>
      <c r="CC309" s="200"/>
      <c r="CD309" s="200"/>
      <c r="CE309" s="200"/>
      <c r="CF309" s="200"/>
      <c r="CG309" s="200"/>
      <c r="CH309" s="200"/>
      <c r="CI309" s="200"/>
      <c r="CJ309" s="200"/>
      <c r="CK309" s="200"/>
      <c r="CL309" s="200"/>
      <c r="CM309" s="200"/>
      <c r="CN309" s="200"/>
      <c r="CO309" s="200"/>
      <c r="CP309" s="200"/>
      <c r="CQ309" s="200"/>
      <c r="CR309" s="200"/>
      <c r="CS309" s="200"/>
      <c r="CT309" s="200"/>
      <c r="CU309" s="200"/>
      <c r="CV309" s="200"/>
      <c r="CW309" s="200"/>
      <c r="CX309" s="200"/>
      <c r="CY309" s="200"/>
      <c r="CZ309" s="200"/>
      <c r="DA309" s="200"/>
      <c r="DB309" s="200"/>
      <c r="DC309" s="200"/>
      <c r="DD309" s="200"/>
      <c r="DE309" s="200"/>
      <c r="DF309" s="200"/>
      <c r="DG309" s="200"/>
      <c r="DH309" s="200"/>
      <c r="DI309" s="200"/>
      <c r="DJ309" s="200"/>
      <c r="DK309" s="200"/>
      <c r="DL309" s="200"/>
      <c r="DM309" s="200"/>
      <c r="DN309" s="200"/>
      <c r="DO309" s="200"/>
      <c r="DP309" s="200"/>
      <c r="DQ309" s="200"/>
      <c r="DR309" s="200"/>
      <c r="DS309" s="200"/>
      <c r="DT309" s="200"/>
      <c r="DU309" s="200"/>
      <c r="DV309" s="200"/>
      <c r="DW309" s="200"/>
      <c r="DX309" s="200"/>
      <c r="DY309" s="200"/>
      <c r="DZ309" s="200"/>
      <c r="EA309" s="200"/>
      <c r="EB309" s="200"/>
      <c r="EC309" s="200"/>
      <c r="ED309" s="200"/>
      <c r="EE309" s="200"/>
      <c r="EF309" s="200"/>
      <c r="EG309" s="200"/>
      <c r="EH309" s="200"/>
      <c r="EI309" s="200"/>
      <c r="EJ309" s="200"/>
      <c r="EK309" s="200"/>
      <c r="EL309" s="200"/>
      <c r="EM309" s="200"/>
      <c r="EN309" s="200"/>
      <c r="EO309" s="200"/>
      <c r="EP309" s="200"/>
      <c r="EQ309" s="200"/>
      <c r="ER309" s="200"/>
      <c r="ES309" s="200"/>
      <c r="ET309" s="200"/>
      <c r="EU309" s="200"/>
      <c r="EV309" s="200"/>
      <c r="EW309" s="200"/>
      <c r="EX309" s="200"/>
      <c r="EY309" s="200"/>
      <c r="EZ309" s="200"/>
      <c r="FA309" s="200"/>
      <c r="FB309" s="200"/>
      <c r="FC309" s="200"/>
      <c r="FD309" s="200"/>
      <c r="FE309" s="200"/>
      <c r="FF309" s="200"/>
      <c r="FG309" s="200"/>
      <c r="FH309" s="200"/>
      <c r="FI309" s="200"/>
      <c r="FJ309" s="200"/>
      <c r="FK309" s="200"/>
      <c r="FL309" s="200"/>
      <c r="FM309" s="200"/>
      <c r="FN309" s="200"/>
      <c r="FO309" s="200"/>
      <c r="FP309" s="200"/>
      <c r="FQ309" s="200"/>
      <c r="FR309" s="200"/>
      <c r="FS309" s="200"/>
      <c r="FT309" s="200"/>
      <c r="FU309" s="200"/>
      <c r="FV309" s="200"/>
      <c r="FW309" s="200"/>
      <c r="FX309" s="200"/>
      <c r="FY309" s="200"/>
      <c r="FZ309" s="200"/>
      <c r="GA309" s="200"/>
      <c r="GB309" s="200"/>
      <c r="GC309" s="200"/>
      <c r="GD309" s="200"/>
      <c r="GE309" s="200"/>
      <c r="GF309" s="200"/>
      <c r="GG309" s="200"/>
      <c r="GH309" s="200"/>
      <c r="GI309" s="200"/>
      <c r="GJ309" s="200"/>
      <c r="GK309" s="200"/>
      <c r="GL309" s="200"/>
      <c r="GM309" s="200"/>
      <c r="GN309" s="200"/>
      <c r="GO309" s="200"/>
      <c r="GP309" s="200"/>
      <c r="GQ309" s="200"/>
      <c r="GR309" s="200"/>
      <c r="GS309" s="200"/>
      <c r="GT309" s="200"/>
      <c r="GU309" s="200"/>
      <c r="GV309" s="200"/>
      <c r="GW309" s="200"/>
      <c r="GX309" s="200"/>
      <c r="GY309" s="200"/>
      <c r="GZ309" s="200"/>
      <c r="HA309" s="200"/>
      <c r="HB309" s="200"/>
      <c r="HC309" s="200"/>
      <c r="HD309" s="200"/>
      <c r="HE309" s="200"/>
      <c r="HF309" s="200"/>
      <c r="HG309" s="200"/>
      <c r="HH309" s="200"/>
      <c r="HI309" s="200"/>
      <c r="HJ309" s="200"/>
      <c r="HK309" s="200"/>
      <c r="HL309" s="200"/>
      <c r="HM309" s="200"/>
      <c r="HN309" s="200"/>
      <c r="HO309" s="200"/>
      <c r="HP309" s="200"/>
      <c r="HQ309" s="200"/>
      <c r="HR309" s="200"/>
      <c r="HS309" s="200"/>
      <c r="HT309" s="200"/>
      <c r="HU309" s="200"/>
      <c r="HV309" s="200"/>
      <c r="HW309" s="200"/>
      <c r="HX309" s="200"/>
      <c r="HY309" s="200"/>
      <c r="HZ309" s="200"/>
      <c r="IA309" s="200"/>
      <c r="IB309" s="200"/>
      <c r="IC309" s="200"/>
      <c r="ID309" s="200"/>
      <c r="IE309" s="200"/>
      <c r="IF309" s="200"/>
      <c r="IG309" s="200"/>
      <c r="IH309" s="200"/>
      <c r="II309" s="200"/>
      <c r="IJ309" s="200"/>
      <c r="IK309" s="200"/>
      <c r="IL309" s="200"/>
      <c r="IM309" s="200"/>
      <c r="IN309" s="200"/>
      <c r="IO309" s="200"/>
      <c r="IP309" s="200"/>
      <c r="IQ309" s="200"/>
      <c r="IR309" s="200"/>
      <c r="IS309" s="200"/>
      <c r="IT309" s="200"/>
      <c r="IU309" s="201"/>
      <c r="IV309" s="201"/>
    </row>
    <row r="310" s="10" customFormat="1" ht="15.95" customHeight="1" spans="1:256">
      <c r="A310" s="199">
        <v>4</v>
      </c>
      <c r="B310" s="20" t="s">
        <v>2291</v>
      </c>
      <c r="C310" s="199" t="s">
        <v>2294</v>
      </c>
      <c r="D310" s="199">
        <v>7004</v>
      </c>
      <c r="E310" s="199">
        <f>'05版台时'!G527</f>
        <v>40.6335870274098</v>
      </c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  <c r="AA310" s="200"/>
      <c r="AB310" s="200"/>
      <c r="AC310" s="200"/>
      <c r="AD310" s="200"/>
      <c r="AE310" s="200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200"/>
      <c r="AZ310" s="200"/>
      <c r="BA310" s="200"/>
      <c r="BB310" s="200"/>
      <c r="BC310" s="200"/>
      <c r="BD310" s="200"/>
      <c r="BE310" s="200"/>
      <c r="BF310" s="200"/>
      <c r="BG310" s="200"/>
      <c r="BH310" s="200"/>
      <c r="BI310" s="200"/>
      <c r="BJ310" s="200"/>
      <c r="BK310" s="200"/>
      <c r="BL310" s="200"/>
      <c r="BM310" s="200"/>
      <c r="BN310" s="200"/>
      <c r="BO310" s="200"/>
      <c r="BP310" s="200"/>
      <c r="BQ310" s="200"/>
      <c r="BR310" s="200"/>
      <c r="BS310" s="200"/>
      <c r="BT310" s="200"/>
      <c r="BU310" s="200"/>
      <c r="BV310" s="200"/>
      <c r="BW310" s="200"/>
      <c r="BX310" s="200"/>
      <c r="BY310" s="200"/>
      <c r="BZ310" s="200"/>
      <c r="CA310" s="200"/>
      <c r="CB310" s="200"/>
      <c r="CC310" s="200"/>
      <c r="CD310" s="200"/>
      <c r="CE310" s="200"/>
      <c r="CF310" s="200"/>
      <c r="CG310" s="200"/>
      <c r="CH310" s="200"/>
      <c r="CI310" s="200"/>
      <c r="CJ310" s="200"/>
      <c r="CK310" s="200"/>
      <c r="CL310" s="200"/>
      <c r="CM310" s="200"/>
      <c r="CN310" s="200"/>
      <c r="CO310" s="200"/>
      <c r="CP310" s="200"/>
      <c r="CQ310" s="200"/>
      <c r="CR310" s="200"/>
      <c r="CS310" s="200"/>
      <c r="CT310" s="200"/>
      <c r="CU310" s="200"/>
      <c r="CV310" s="200"/>
      <c r="CW310" s="200"/>
      <c r="CX310" s="200"/>
      <c r="CY310" s="200"/>
      <c r="CZ310" s="200"/>
      <c r="DA310" s="200"/>
      <c r="DB310" s="200"/>
      <c r="DC310" s="200"/>
      <c r="DD310" s="200"/>
      <c r="DE310" s="200"/>
      <c r="DF310" s="200"/>
      <c r="DG310" s="200"/>
      <c r="DH310" s="200"/>
      <c r="DI310" s="200"/>
      <c r="DJ310" s="200"/>
      <c r="DK310" s="200"/>
      <c r="DL310" s="200"/>
      <c r="DM310" s="200"/>
      <c r="DN310" s="200"/>
      <c r="DO310" s="200"/>
      <c r="DP310" s="200"/>
      <c r="DQ310" s="200"/>
      <c r="DR310" s="200"/>
      <c r="DS310" s="200"/>
      <c r="DT310" s="200"/>
      <c r="DU310" s="200"/>
      <c r="DV310" s="200"/>
      <c r="DW310" s="200"/>
      <c r="DX310" s="200"/>
      <c r="DY310" s="200"/>
      <c r="DZ310" s="200"/>
      <c r="EA310" s="200"/>
      <c r="EB310" s="200"/>
      <c r="EC310" s="200"/>
      <c r="ED310" s="200"/>
      <c r="EE310" s="200"/>
      <c r="EF310" s="200"/>
      <c r="EG310" s="200"/>
      <c r="EH310" s="200"/>
      <c r="EI310" s="200"/>
      <c r="EJ310" s="200"/>
      <c r="EK310" s="200"/>
      <c r="EL310" s="200"/>
      <c r="EM310" s="200"/>
      <c r="EN310" s="200"/>
      <c r="EO310" s="200"/>
      <c r="EP310" s="200"/>
      <c r="EQ310" s="200"/>
      <c r="ER310" s="200"/>
      <c r="ES310" s="200"/>
      <c r="ET310" s="200"/>
      <c r="EU310" s="200"/>
      <c r="EV310" s="200"/>
      <c r="EW310" s="200"/>
      <c r="EX310" s="200"/>
      <c r="EY310" s="200"/>
      <c r="EZ310" s="200"/>
      <c r="FA310" s="200"/>
      <c r="FB310" s="200"/>
      <c r="FC310" s="200"/>
      <c r="FD310" s="200"/>
      <c r="FE310" s="200"/>
      <c r="FF310" s="200"/>
      <c r="FG310" s="200"/>
      <c r="FH310" s="200"/>
      <c r="FI310" s="200"/>
      <c r="FJ310" s="200"/>
      <c r="FK310" s="200"/>
      <c r="FL310" s="200"/>
      <c r="FM310" s="200"/>
      <c r="FN310" s="200"/>
      <c r="FO310" s="200"/>
      <c r="FP310" s="200"/>
      <c r="FQ310" s="200"/>
      <c r="FR310" s="200"/>
      <c r="FS310" s="200"/>
      <c r="FT310" s="200"/>
      <c r="FU310" s="200"/>
      <c r="FV310" s="200"/>
      <c r="FW310" s="200"/>
      <c r="FX310" s="200"/>
      <c r="FY310" s="200"/>
      <c r="FZ310" s="200"/>
      <c r="GA310" s="200"/>
      <c r="GB310" s="200"/>
      <c r="GC310" s="200"/>
      <c r="GD310" s="200"/>
      <c r="GE310" s="200"/>
      <c r="GF310" s="200"/>
      <c r="GG310" s="200"/>
      <c r="GH310" s="200"/>
      <c r="GI310" s="200"/>
      <c r="GJ310" s="200"/>
      <c r="GK310" s="200"/>
      <c r="GL310" s="200"/>
      <c r="GM310" s="200"/>
      <c r="GN310" s="200"/>
      <c r="GO310" s="200"/>
      <c r="GP310" s="200"/>
      <c r="GQ310" s="200"/>
      <c r="GR310" s="200"/>
      <c r="GS310" s="200"/>
      <c r="GT310" s="200"/>
      <c r="GU310" s="200"/>
      <c r="GV310" s="200"/>
      <c r="GW310" s="200"/>
      <c r="GX310" s="200"/>
      <c r="GY310" s="200"/>
      <c r="GZ310" s="200"/>
      <c r="HA310" s="200"/>
      <c r="HB310" s="200"/>
      <c r="HC310" s="200"/>
      <c r="HD310" s="200"/>
      <c r="HE310" s="200"/>
      <c r="HF310" s="200"/>
      <c r="HG310" s="200"/>
      <c r="HH310" s="200"/>
      <c r="HI310" s="200"/>
      <c r="HJ310" s="200"/>
      <c r="HK310" s="200"/>
      <c r="HL310" s="200"/>
      <c r="HM310" s="200"/>
      <c r="HN310" s="200"/>
      <c r="HO310" s="200"/>
      <c r="HP310" s="200"/>
      <c r="HQ310" s="200"/>
      <c r="HR310" s="200"/>
      <c r="HS310" s="200"/>
      <c r="HT310" s="200"/>
      <c r="HU310" s="200"/>
      <c r="HV310" s="200"/>
      <c r="HW310" s="200"/>
      <c r="HX310" s="200"/>
      <c r="HY310" s="200"/>
      <c r="HZ310" s="200"/>
      <c r="IA310" s="200"/>
      <c r="IB310" s="200"/>
      <c r="IC310" s="200"/>
      <c r="ID310" s="200"/>
      <c r="IE310" s="200"/>
      <c r="IF310" s="200"/>
      <c r="IG310" s="200"/>
      <c r="IH310" s="200"/>
      <c r="II310" s="200"/>
      <c r="IJ310" s="200"/>
      <c r="IK310" s="200"/>
      <c r="IL310" s="200"/>
      <c r="IM310" s="200"/>
      <c r="IN310" s="200"/>
      <c r="IO310" s="200"/>
      <c r="IP310" s="200"/>
      <c r="IQ310" s="200"/>
      <c r="IR310" s="200"/>
      <c r="IS310" s="200"/>
      <c r="IT310" s="200"/>
      <c r="IU310" s="201"/>
      <c r="IV310" s="201"/>
    </row>
    <row r="311" s="10" customFormat="1" ht="15.95" customHeight="1" spans="1:256">
      <c r="A311" s="199">
        <v>5</v>
      </c>
      <c r="B311" s="20" t="s">
        <v>2295</v>
      </c>
      <c r="C311" s="199" t="s">
        <v>2293</v>
      </c>
      <c r="D311" s="199">
        <v>7005</v>
      </c>
      <c r="E311" s="199">
        <f>'05版台时'!H527</f>
        <v>30.5468790098589</v>
      </c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  <c r="AA311" s="200"/>
      <c r="AB311" s="200"/>
      <c r="AC311" s="200"/>
      <c r="AD311" s="200"/>
      <c r="AE311" s="200"/>
      <c r="AF311" s="200"/>
      <c r="AG311" s="200"/>
      <c r="AH311" s="200"/>
      <c r="AI311" s="200"/>
      <c r="AJ311" s="200"/>
      <c r="AK311" s="200"/>
      <c r="AL311" s="200"/>
      <c r="AM311" s="200"/>
      <c r="AN311" s="200"/>
      <c r="AO311" s="200"/>
      <c r="AP311" s="200"/>
      <c r="AQ311" s="200"/>
      <c r="AR311" s="200"/>
      <c r="AS311" s="200"/>
      <c r="AT311" s="200"/>
      <c r="AU311" s="200"/>
      <c r="AV311" s="200"/>
      <c r="AW311" s="200"/>
      <c r="AX311" s="200"/>
      <c r="AY311" s="200"/>
      <c r="AZ311" s="200"/>
      <c r="BA311" s="200"/>
      <c r="BB311" s="200"/>
      <c r="BC311" s="200"/>
      <c r="BD311" s="200"/>
      <c r="BE311" s="200"/>
      <c r="BF311" s="200"/>
      <c r="BG311" s="200"/>
      <c r="BH311" s="200"/>
      <c r="BI311" s="200"/>
      <c r="BJ311" s="200"/>
      <c r="BK311" s="200"/>
      <c r="BL311" s="200"/>
      <c r="BM311" s="200"/>
      <c r="BN311" s="200"/>
      <c r="BO311" s="200"/>
      <c r="BP311" s="200"/>
      <c r="BQ311" s="200"/>
      <c r="BR311" s="200"/>
      <c r="BS311" s="200"/>
      <c r="BT311" s="200"/>
      <c r="BU311" s="200"/>
      <c r="BV311" s="200"/>
      <c r="BW311" s="200"/>
      <c r="BX311" s="200"/>
      <c r="BY311" s="200"/>
      <c r="BZ311" s="200"/>
      <c r="CA311" s="200"/>
      <c r="CB311" s="200"/>
      <c r="CC311" s="200"/>
      <c r="CD311" s="200"/>
      <c r="CE311" s="200"/>
      <c r="CF311" s="200"/>
      <c r="CG311" s="200"/>
      <c r="CH311" s="200"/>
      <c r="CI311" s="200"/>
      <c r="CJ311" s="200"/>
      <c r="CK311" s="200"/>
      <c r="CL311" s="200"/>
      <c r="CM311" s="200"/>
      <c r="CN311" s="200"/>
      <c r="CO311" s="200"/>
      <c r="CP311" s="200"/>
      <c r="CQ311" s="200"/>
      <c r="CR311" s="200"/>
      <c r="CS311" s="200"/>
      <c r="CT311" s="200"/>
      <c r="CU311" s="200"/>
      <c r="CV311" s="200"/>
      <c r="CW311" s="200"/>
      <c r="CX311" s="200"/>
      <c r="CY311" s="200"/>
      <c r="CZ311" s="200"/>
      <c r="DA311" s="200"/>
      <c r="DB311" s="200"/>
      <c r="DC311" s="200"/>
      <c r="DD311" s="200"/>
      <c r="DE311" s="200"/>
      <c r="DF311" s="200"/>
      <c r="DG311" s="200"/>
      <c r="DH311" s="200"/>
      <c r="DI311" s="200"/>
      <c r="DJ311" s="200"/>
      <c r="DK311" s="200"/>
      <c r="DL311" s="200"/>
      <c r="DM311" s="200"/>
      <c r="DN311" s="200"/>
      <c r="DO311" s="200"/>
      <c r="DP311" s="200"/>
      <c r="DQ311" s="200"/>
      <c r="DR311" s="200"/>
      <c r="DS311" s="200"/>
      <c r="DT311" s="200"/>
      <c r="DU311" s="200"/>
      <c r="DV311" s="200"/>
      <c r="DW311" s="200"/>
      <c r="DX311" s="200"/>
      <c r="DY311" s="200"/>
      <c r="DZ311" s="200"/>
      <c r="EA311" s="200"/>
      <c r="EB311" s="200"/>
      <c r="EC311" s="200"/>
      <c r="ED311" s="200"/>
      <c r="EE311" s="200"/>
      <c r="EF311" s="200"/>
      <c r="EG311" s="200"/>
      <c r="EH311" s="200"/>
      <c r="EI311" s="200"/>
      <c r="EJ311" s="200"/>
      <c r="EK311" s="200"/>
      <c r="EL311" s="200"/>
      <c r="EM311" s="200"/>
      <c r="EN311" s="200"/>
      <c r="EO311" s="200"/>
      <c r="EP311" s="200"/>
      <c r="EQ311" s="200"/>
      <c r="ER311" s="200"/>
      <c r="ES311" s="200"/>
      <c r="ET311" s="200"/>
      <c r="EU311" s="200"/>
      <c r="EV311" s="200"/>
      <c r="EW311" s="200"/>
      <c r="EX311" s="200"/>
      <c r="EY311" s="200"/>
      <c r="EZ311" s="200"/>
      <c r="FA311" s="200"/>
      <c r="FB311" s="200"/>
      <c r="FC311" s="200"/>
      <c r="FD311" s="200"/>
      <c r="FE311" s="200"/>
      <c r="FF311" s="200"/>
      <c r="FG311" s="200"/>
      <c r="FH311" s="200"/>
      <c r="FI311" s="200"/>
      <c r="FJ311" s="200"/>
      <c r="FK311" s="200"/>
      <c r="FL311" s="200"/>
      <c r="FM311" s="200"/>
      <c r="FN311" s="200"/>
      <c r="FO311" s="200"/>
      <c r="FP311" s="200"/>
      <c r="FQ311" s="200"/>
      <c r="FR311" s="200"/>
      <c r="FS311" s="200"/>
      <c r="FT311" s="200"/>
      <c r="FU311" s="200"/>
      <c r="FV311" s="200"/>
      <c r="FW311" s="200"/>
      <c r="FX311" s="200"/>
      <c r="FY311" s="200"/>
      <c r="FZ311" s="200"/>
      <c r="GA311" s="200"/>
      <c r="GB311" s="200"/>
      <c r="GC311" s="200"/>
      <c r="GD311" s="200"/>
      <c r="GE311" s="200"/>
      <c r="GF311" s="200"/>
      <c r="GG311" s="200"/>
      <c r="GH311" s="200"/>
      <c r="GI311" s="200"/>
      <c r="GJ311" s="200"/>
      <c r="GK311" s="200"/>
      <c r="GL311" s="200"/>
      <c r="GM311" s="200"/>
      <c r="GN311" s="200"/>
      <c r="GO311" s="200"/>
      <c r="GP311" s="200"/>
      <c r="GQ311" s="200"/>
      <c r="GR311" s="200"/>
      <c r="GS311" s="200"/>
      <c r="GT311" s="200"/>
      <c r="GU311" s="200"/>
      <c r="GV311" s="200"/>
      <c r="GW311" s="200"/>
      <c r="GX311" s="200"/>
      <c r="GY311" s="200"/>
      <c r="GZ311" s="200"/>
      <c r="HA311" s="200"/>
      <c r="HB311" s="200"/>
      <c r="HC311" s="200"/>
      <c r="HD311" s="200"/>
      <c r="HE311" s="200"/>
      <c r="HF311" s="200"/>
      <c r="HG311" s="200"/>
      <c r="HH311" s="200"/>
      <c r="HI311" s="200"/>
      <c r="HJ311" s="200"/>
      <c r="HK311" s="200"/>
      <c r="HL311" s="200"/>
      <c r="HM311" s="200"/>
      <c r="HN311" s="200"/>
      <c r="HO311" s="200"/>
      <c r="HP311" s="200"/>
      <c r="HQ311" s="200"/>
      <c r="HR311" s="200"/>
      <c r="HS311" s="200"/>
      <c r="HT311" s="200"/>
      <c r="HU311" s="200"/>
      <c r="HV311" s="200"/>
      <c r="HW311" s="200"/>
      <c r="HX311" s="200"/>
      <c r="HY311" s="200"/>
      <c r="HZ311" s="200"/>
      <c r="IA311" s="200"/>
      <c r="IB311" s="200"/>
      <c r="IC311" s="200"/>
      <c r="ID311" s="200"/>
      <c r="IE311" s="200"/>
      <c r="IF311" s="200"/>
      <c r="IG311" s="200"/>
      <c r="IH311" s="200"/>
      <c r="II311" s="200"/>
      <c r="IJ311" s="200"/>
      <c r="IK311" s="200"/>
      <c r="IL311" s="200"/>
      <c r="IM311" s="200"/>
      <c r="IN311" s="200"/>
      <c r="IO311" s="200"/>
      <c r="IP311" s="200"/>
      <c r="IQ311" s="200"/>
      <c r="IR311" s="200"/>
      <c r="IS311" s="200"/>
      <c r="IT311" s="200"/>
      <c r="IU311" s="201"/>
      <c r="IV311" s="201"/>
    </row>
    <row r="312" s="10" customFormat="1" ht="15.95" customHeight="1" spans="1:256">
      <c r="A312" s="199">
        <v>6</v>
      </c>
      <c r="B312" s="20" t="s">
        <v>2295</v>
      </c>
      <c r="C312" s="199" t="s">
        <v>2120</v>
      </c>
      <c r="D312" s="199">
        <v>7006</v>
      </c>
      <c r="E312" s="199">
        <f>'05版台时'!I527</f>
        <v>57.4718064131297</v>
      </c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  <c r="AA312" s="200"/>
      <c r="AB312" s="200"/>
      <c r="AC312" s="200"/>
      <c r="AD312" s="200"/>
      <c r="AE312" s="200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200"/>
      <c r="BB312" s="200"/>
      <c r="BC312" s="200"/>
      <c r="BD312" s="200"/>
      <c r="BE312" s="200"/>
      <c r="BF312" s="200"/>
      <c r="BG312" s="200"/>
      <c r="BH312" s="200"/>
      <c r="BI312" s="200"/>
      <c r="BJ312" s="200"/>
      <c r="BK312" s="200"/>
      <c r="BL312" s="200"/>
      <c r="BM312" s="200"/>
      <c r="BN312" s="200"/>
      <c r="BO312" s="200"/>
      <c r="BP312" s="200"/>
      <c r="BQ312" s="200"/>
      <c r="BR312" s="200"/>
      <c r="BS312" s="200"/>
      <c r="BT312" s="200"/>
      <c r="BU312" s="200"/>
      <c r="BV312" s="200"/>
      <c r="BW312" s="200"/>
      <c r="BX312" s="200"/>
      <c r="BY312" s="200"/>
      <c r="BZ312" s="200"/>
      <c r="CA312" s="200"/>
      <c r="CB312" s="200"/>
      <c r="CC312" s="200"/>
      <c r="CD312" s="200"/>
      <c r="CE312" s="200"/>
      <c r="CF312" s="200"/>
      <c r="CG312" s="200"/>
      <c r="CH312" s="200"/>
      <c r="CI312" s="200"/>
      <c r="CJ312" s="200"/>
      <c r="CK312" s="200"/>
      <c r="CL312" s="200"/>
      <c r="CM312" s="200"/>
      <c r="CN312" s="200"/>
      <c r="CO312" s="200"/>
      <c r="CP312" s="200"/>
      <c r="CQ312" s="200"/>
      <c r="CR312" s="200"/>
      <c r="CS312" s="200"/>
      <c r="CT312" s="200"/>
      <c r="CU312" s="200"/>
      <c r="CV312" s="200"/>
      <c r="CW312" s="200"/>
      <c r="CX312" s="200"/>
      <c r="CY312" s="200"/>
      <c r="CZ312" s="200"/>
      <c r="DA312" s="200"/>
      <c r="DB312" s="200"/>
      <c r="DC312" s="200"/>
      <c r="DD312" s="200"/>
      <c r="DE312" s="200"/>
      <c r="DF312" s="200"/>
      <c r="DG312" s="200"/>
      <c r="DH312" s="200"/>
      <c r="DI312" s="200"/>
      <c r="DJ312" s="200"/>
      <c r="DK312" s="200"/>
      <c r="DL312" s="200"/>
      <c r="DM312" s="200"/>
      <c r="DN312" s="200"/>
      <c r="DO312" s="200"/>
      <c r="DP312" s="200"/>
      <c r="DQ312" s="200"/>
      <c r="DR312" s="200"/>
      <c r="DS312" s="200"/>
      <c r="DT312" s="200"/>
      <c r="DU312" s="200"/>
      <c r="DV312" s="200"/>
      <c r="DW312" s="200"/>
      <c r="DX312" s="200"/>
      <c r="DY312" s="200"/>
      <c r="DZ312" s="200"/>
      <c r="EA312" s="200"/>
      <c r="EB312" s="200"/>
      <c r="EC312" s="200"/>
      <c r="ED312" s="200"/>
      <c r="EE312" s="200"/>
      <c r="EF312" s="200"/>
      <c r="EG312" s="200"/>
      <c r="EH312" s="200"/>
      <c r="EI312" s="200"/>
      <c r="EJ312" s="200"/>
      <c r="EK312" s="200"/>
      <c r="EL312" s="200"/>
      <c r="EM312" s="200"/>
      <c r="EN312" s="200"/>
      <c r="EO312" s="200"/>
      <c r="EP312" s="200"/>
      <c r="EQ312" s="200"/>
      <c r="ER312" s="200"/>
      <c r="ES312" s="200"/>
      <c r="ET312" s="200"/>
      <c r="EU312" s="200"/>
      <c r="EV312" s="200"/>
      <c r="EW312" s="200"/>
      <c r="EX312" s="200"/>
      <c r="EY312" s="200"/>
      <c r="EZ312" s="200"/>
      <c r="FA312" s="200"/>
      <c r="FB312" s="200"/>
      <c r="FC312" s="200"/>
      <c r="FD312" s="200"/>
      <c r="FE312" s="200"/>
      <c r="FF312" s="200"/>
      <c r="FG312" s="200"/>
      <c r="FH312" s="200"/>
      <c r="FI312" s="200"/>
      <c r="FJ312" s="200"/>
      <c r="FK312" s="200"/>
      <c r="FL312" s="200"/>
      <c r="FM312" s="200"/>
      <c r="FN312" s="200"/>
      <c r="FO312" s="200"/>
      <c r="FP312" s="200"/>
      <c r="FQ312" s="200"/>
      <c r="FR312" s="200"/>
      <c r="FS312" s="200"/>
      <c r="FT312" s="200"/>
      <c r="FU312" s="200"/>
      <c r="FV312" s="200"/>
      <c r="FW312" s="200"/>
      <c r="FX312" s="200"/>
      <c r="FY312" s="200"/>
      <c r="FZ312" s="200"/>
      <c r="GA312" s="200"/>
      <c r="GB312" s="200"/>
      <c r="GC312" s="200"/>
      <c r="GD312" s="200"/>
      <c r="GE312" s="200"/>
      <c r="GF312" s="200"/>
      <c r="GG312" s="200"/>
      <c r="GH312" s="200"/>
      <c r="GI312" s="200"/>
      <c r="GJ312" s="200"/>
      <c r="GK312" s="200"/>
      <c r="GL312" s="200"/>
      <c r="GM312" s="200"/>
      <c r="GN312" s="200"/>
      <c r="GO312" s="200"/>
      <c r="GP312" s="200"/>
      <c r="GQ312" s="200"/>
      <c r="GR312" s="200"/>
      <c r="GS312" s="200"/>
      <c r="GT312" s="200"/>
      <c r="GU312" s="200"/>
      <c r="GV312" s="200"/>
      <c r="GW312" s="200"/>
      <c r="GX312" s="200"/>
      <c r="GY312" s="200"/>
      <c r="GZ312" s="200"/>
      <c r="HA312" s="200"/>
      <c r="HB312" s="200"/>
      <c r="HC312" s="200"/>
      <c r="HD312" s="200"/>
      <c r="HE312" s="200"/>
      <c r="HF312" s="200"/>
      <c r="HG312" s="200"/>
      <c r="HH312" s="200"/>
      <c r="HI312" s="200"/>
      <c r="HJ312" s="200"/>
      <c r="HK312" s="200"/>
      <c r="HL312" s="200"/>
      <c r="HM312" s="200"/>
      <c r="HN312" s="200"/>
      <c r="HO312" s="200"/>
      <c r="HP312" s="200"/>
      <c r="HQ312" s="200"/>
      <c r="HR312" s="200"/>
      <c r="HS312" s="200"/>
      <c r="HT312" s="200"/>
      <c r="HU312" s="200"/>
      <c r="HV312" s="200"/>
      <c r="HW312" s="200"/>
      <c r="HX312" s="200"/>
      <c r="HY312" s="200"/>
      <c r="HZ312" s="200"/>
      <c r="IA312" s="200"/>
      <c r="IB312" s="200"/>
      <c r="IC312" s="200"/>
      <c r="ID312" s="200"/>
      <c r="IE312" s="200"/>
      <c r="IF312" s="200"/>
      <c r="IG312" s="200"/>
      <c r="IH312" s="200"/>
      <c r="II312" s="200"/>
      <c r="IJ312" s="200"/>
      <c r="IK312" s="200"/>
      <c r="IL312" s="200"/>
      <c r="IM312" s="200"/>
      <c r="IN312" s="200"/>
      <c r="IO312" s="200"/>
      <c r="IP312" s="200"/>
      <c r="IQ312" s="200"/>
      <c r="IR312" s="200"/>
      <c r="IS312" s="200"/>
      <c r="IT312" s="200"/>
      <c r="IU312" s="201"/>
      <c r="IV312" s="201"/>
    </row>
    <row r="313" s="10" customFormat="1" ht="15.95" customHeight="1" spans="1:256">
      <c r="A313" s="199">
        <v>7</v>
      </c>
      <c r="B313" s="20" t="s">
        <v>2295</v>
      </c>
      <c r="C313" s="199" t="s">
        <v>2294</v>
      </c>
      <c r="D313" s="199">
        <v>7007</v>
      </c>
      <c r="E313" s="199">
        <f>'05版台时'!J527</f>
        <v>84.8694957891808</v>
      </c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  <c r="AA313" s="200"/>
      <c r="AB313" s="200"/>
      <c r="AC313" s="200"/>
      <c r="AD313" s="200"/>
      <c r="AE313" s="200"/>
      <c r="AF313" s="200"/>
      <c r="AG313" s="200"/>
      <c r="AH313" s="200"/>
      <c r="AI313" s="200"/>
      <c r="AJ313" s="200"/>
      <c r="AK313" s="200"/>
      <c r="AL313" s="200"/>
      <c r="AM313" s="200"/>
      <c r="AN313" s="200"/>
      <c r="AO313" s="200"/>
      <c r="AP313" s="200"/>
      <c r="AQ313" s="200"/>
      <c r="AR313" s="200"/>
      <c r="AS313" s="200"/>
      <c r="AT313" s="200"/>
      <c r="AU313" s="200"/>
      <c r="AV313" s="200"/>
      <c r="AW313" s="200"/>
      <c r="AX313" s="200"/>
      <c r="AY313" s="200"/>
      <c r="AZ313" s="200"/>
      <c r="BA313" s="200"/>
      <c r="BB313" s="200"/>
      <c r="BC313" s="200"/>
      <c r="BD313" s="200"/>
      <c r="BE313" s="200"/>
      <c r="BF313" s="200"/>
      <c r="BG313" s="200"/>
      <c r="BH313" s="200"/>
      <c r="BI313" s="200"/>
      <c r="BJ313" s="200"/>
      <c r="BK313" s="200"/>
      <c r="BL313" s="200"/>
      <c r="BM313" s="200"/>
      <c r="BN313" s="200"/>
      <c r="BO313" s="200"/>
      <c r="BP313" s="200"/>
      <c r="BQ313" s="200"/>
      <c r="BR313" s="200"/>
      <c r="BS313" s="200"/>
      <c r="BT313" s="200"/>
      <c r="BU313" s="200"/>
      <c r="BV313" s="200"/>
      <c r="BW313" s="200"/>
      <c r="BX313" s="200"/>
      <c r="BY313" s="200"/>
      <c r="BZ313" s="200"/>
      <c r="CA313" s="200"/>
      <c r="CB313" s="200"/>
      <c r="CC313" s="200"/>
      <c r="CD313" s="200"/>
      <c r="CE313" s="200"/>
      <c r="CF313" s="200"/>
      <c r="CG313" s="200"/>
      <c r="CH313" s="200"/>
      <c r="CI313" s="200"/>
      <c r="CJ313" s="200"/>
      <c r="CK313" s="200"/>
      <c r="CL313" s="200"/>
      <c r="CM313" s="200"/>
      <c r="CN313" s="200"/>
      <c r="CO313" s="200"/>
      <c r="CP313" s="200"/>
      <c r="CQ313" s="200"/>
      <c r="CR313" s="200"/>
      <c r="CS313" s="200"/>
      <c r="CT313" s="200"/>
      <c r="CU313" s="200"/>
      <c r="CV313" s="200"/>
      <c r="CW313" s="200"/>
      <c r="CX313" s="200"/>
      <c r="CY313" s="200"/>
      <c r="CZ313" s="200"/>
      <c r="DA313" s="200"/>
      <c r="DB313" s="200"/>
      <c r="DC313" s="200"/>
      <c r="DD313" s="200"/>
      <c r="DE313" s="200"/>
      <c r="DF313" s="200"/>
      <c r="DG313" s="200"/>
      <c r="DH313" s="200"/>
      <c r="DI313" s="200"/>
      <c r="DJ313" s="200"/>
      <c r="DK313" s="200"/>
      <c r="DL313" s="200"/>
      <c r="DM313" s="200"/>
      <c r="DN313" s="200"/>
      <c r="DO313" s="200"/>
      <c r="DP313" s="200"/>
      <c r="DQ313" s="200"/>
      <c r="DR313" s="200"/>
      <c r="DS313" s="200"/>
      <c r="DT313" s="200"/>
      <c r="DU313" s="200"/>
      <c r="DV313" s="200"/>
      <c r="DW313" s="200"/>
      <c r="DX313" s="200"/>
      <c r="DY313" s="200"/>
      <c r="DZ313" s="200"/>
      <c r="EA313" s="200"/>
      <c r="EB313" s="200"/>
      <c r="EC313" s="200"/>
      <c r="ED313" s="200"/>
      <c r="EE313" s="200"/>
      <c r="EF313" s="200"/>
      <c r="EG313" s="200"/>
      <c r="EH313" s="200"/>
      <c r="EI313" s="200"/>
      <c r="EJ313" s="200"/>
      <c r="EK313" s="200"/>
      <c r="EL313" s="200"/>
      <c r="EM313" s="200"/>
      <c r="EN313" s="200"/>
      <c r="EO313" s="200"/>
      <c r="EP313" s="200"/>
      <c r="EQ313" s="200"/>
      <c r="ER313" s="200"/>
      <c r="ES313" s="200"/>
      <c r="ET313" s="200"/>
      <c r="EU313" s="200"/>
      <c r="EV313" s="200"/>
      <c r="EW313" s="200"/>
      <c r="EX313" s="200"/>
      <c r="EY313" s="200"/>
      <c r="EZ313" s="200"/>
      <c r="FA313" s="200"/>
      <c r="FB313" s="200"/>
      <c r="FC313" s="200"/>
      <c r="FD313" s="200"/>
      <c r="FE313" s="200"/>
      <c r="FF313" s="200"/>
      <c r="FG313" s="200"/>
      <c r="FH313" s="200"/>
      <c r="FI313" s="200"/>
      <c r="FJ313" s="200"/>
      <c r="FK313" s="200"/>
      <c r="FL313" s="200"/>
      <c r="FM313" s="200"/>
      <c r="FN313" s="200"/>
      <c r="FO313" s="200"/>
      <c r="FP313" s="200"/>
      <c r="FQ313" s="200"/>
      <c r="FR313" s="200"/>
      <c r="FS313" s="200"/>
      <c r="FT313" s="200"/>
      <c r="FU313" s="200"/>
      <c r="FV313" s="200"/>
      <c r="FW313" s="200"/>
      <c r="FX313" s="200"/>
      <c r="FY313" s="200"/>
      <c r="FZ313" s="200"/>
      <c r="GA313" s="200"/>
      <c r="GB313" s="200"/>
      <c r="GC313" s="200"/>
      <c r="GD313" s="200"/>
      <c r="GE313" s="200"/>
      <c r="GF313" s="200"/>
      <c r="GG313" s="200"/>
      <c r="GH313" s="200"/>
      <c r="GI313" s="200"/>
      <c r="GJ313" s="200"/>
      <c r="GK313" s="200"/>
      <c r="GL313" s="200"/>
      <c r="GM313" s="200"/>
      <c r="GN313" s="200"/>
      <c r="GO313" s="200"/>
      <c r="GP313" s="200"/>
      <c r="GQ313" s="200"/>
      <c r="GR313" s="200"/>
      <c r="GS313" s="200"/>
      <c r="GT313" s="200"/>
      <c r="GU313" s="200"/>
      <c r="GV313" s="200"/>
      <c r="GW313" s="200"/>
      <c r="GX313" s="200"/>
      <c r="GY313" s="200"/>
      <c r="GZ313" s="200"/>
      <c r="HA313" s="200"/>
      <c r="HB313" s="200"/>
      <c r="HC313" s="200"/>
      <c r="HD313" s="200"/>
      <c r="HE313" s="200"/>
      <c r="HF313" s="200"/>
      <c r="HG313" s="200"/>
      <c r="HH313" s="200"/>
      <c r="HI313" s="200"/>
      <c r="HJ313" s="200"/>
      <c r="HK313" s="200"/>
      <c r="HL313" s="200"/>
      <c r="HM313" s="200"/>
      <c r="HN313" s="200"/>
      <c r="HO313" s="200"/>
      <c r="HP313" s="200"/>
      <c r="HQ313" s="200"/>
      <c r="HR313" s="200"/>
      <c r="HS313" s="200"/>
      <c r="HT313" s="200"/>
      <c r="HU313" s="200"/>
      <c r="HV313" s="200"/>
      <c r="HW313" s="200"/>
      <c r="HX313" s="200"/>
      <c r="HY313" s="200"/>
      <c r="HZ313" s="200"/>
      <c r="IA313" s="200"/>
      <c r="IB313" s="200"/>
      <c r="IC313" s="200"/>
      <c r="ID313" s="200"/>
      <c r="IE313" s="200"/>
      <c r="IF313" s="200"/>
      <c r="IG313" s="200"/>
      <c r="IH313" s="200"/>
      <c r="II313" s="200"/>
      <c r="IJ313" s="200"/>
      <c r="IK313" s="200"/>
      <c r="IL313" s="200"/>
      <c r="IM313" s="200"/>
      <c r="IN313" s="200"/>
      <c r="IO313" s="200"/>
      <c r="IP313" s="200"/>
      <c r="IQ313" s="200"/>
      <c r="IR313" s="200"/>
      <c r="IS313" s="200"/>
      <c r="IT313" s="200"/>
      <c r="IU313" s="201"/>
      <c r="IV313" s="201"/>
    </row>
    <row r="314" s="10" customFormat="1" ht="15.95" customHeight="1" spans="1:256">
      <c r="A314" s="199">
        <v>8</v>
      </c>
      <c r="B314" s="20" t="s">
        <v>2295</v>
      </c>
      <c r="C314" s="199" t="s">
        <v>2296</v>
      </c>
      <c r="D314" s="199">
        <v>7008</v>
      </c>
      <c r="E314" s="199">
        <f>'05版台时'!K527</f>
        <v>124.213398461698</v>
      </c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  <c r="AA314" s="200"/>
      <c r="AB314" s="200"/>
      <c r="AC314" s="200"/>
      <c r="AD314" s="200"/>
      <c r="AE314" s="200"/>
      <c r="AF314" s="200"/>
      <c r="AG314" s="200"/>
      <c r="AH314" s="200"/>
      <c r="AI314" s="200"/>
      <c r="AJ314" s="200"/>
      <c r="AK314" s="200"/>
      <c r="AL314" s="200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200"/>
      <c r="BB314" s="200"/>
      <c r="BC314" s="200"/>
      <c r="BD314" s="200"/>
      <c r="BE314" s="200"/>
      <c r="BF314" s="200"/>
      <c r="BG314" s="200"/>
      <c r="BH314" s="200"/>
      <c r="BI314" s="200"/>
      <c r="BJ314" s="200"/>
      <c r="BK314" s="200"/>
      <c r="BL314" s="200"/>
      <c r="BM314" s="200"/>
      <c r="BN314" s="200"/>
      <c r="BO314" s="200"/>
      <c r="BP314" s="200"/>
      <c r="BQ314" s="200"/>
      <c r="BR314" s="200"/>
      <c r="BS314" s="200"/>
      <c r="BT314" s="200"/>
      <c r="BU314" s="200"/>
      <c r="BV314" s="200"/>
      <c r="BW314" s="200"/>
      <c r="BX314" s="200"/>
      <c r="BY314" s="200"/>
      <c r="BZ314" s="200"/>
      <c r="CA314" s="200"/>
      <c r="CB314" s="200"/>
      <c r="CC314" s="200"/>
      <c r="CD314" s="200"/>
      <c r="CE314" s="200"/>
      <c r="CF314" s="200"/>
      <c r="CG314" s="200"/>
      <c r="CH314" s="200"/>
      <c r="CI314" s="200"/>
      <c r="CJ314" s="200"/>
      <c r="CK314" s="200"/>
      <c r="CL314" s="200"/>
      <c r="CM314" s="200"/>
      <c r="CN314" s="200"/>
      <c r="CO314" s="200"/>
      <c r="CP314" s="200"/>
      <c r="CQ314" s="200"/>
      <c r="CR314" s="200"/>
      <c r="CS314" s="200"/>
      <c r="CT314" s="200"/>
      <c r="CU314" s="200"/>
      <c r="CV314" s="200"/>
      <c r="CW314" s="200"/>
      <c r="CX314" s="200"/>
      <c r="CY314" s="200"/>
      <c r="CZ314" s="200"/>
      <c r="DA314" s="200"/>
      <c r="DB314" s="200"/>
      <c r="DC314" s="200"/>
      <c r="DD314" s="200"/>
      <c r="DE314" s="200"/>
      <c r="DF314" s="200"/>
      <c r="DG314" s="200"/>
      <c r="DH314" s="200"/>
      <c r="DI314" s="200"/>
      <c r="DJ314" s="200"/>
      <c r="DK314" s="200"/>
      <c r="DL314" s="200"/>
      <c r="DM314" s="200"/>
      <c r="DN314" s="200"/>
      <c r="DO314" s="200"/>
      <c r="DP314" s="200"/>
      <c r="DQ314" s="200"/>
      <c r="DR314" s="200"/>
      <c r="DS314" s="200"/>
      <c r="DT314" s="200"/>
      <c r="DU314" s="200"/>
      <c r="DV314" s="200"/>
      <c r="DW314" s="200"/>
      <c r="DX314" s="200"/>
      <c r="DY314" s="200"/>
      <c r="DZ314" s="200"/>
      <c r="EA314" s="200"/>
      <c r="EB314" s="200"/>
      <c r="EC314" s="200"/>
      <c r="ED314" s="200"/>
      <c r="EE314" s="200"/>
      <c r="EF314" s="200"/>
      <c r="EG314" s="200"/>
      <c r="EH314" s="200"/>
      <c r="EI314" s="200"/>
      <c r="EJ314" s="200"/>
      <c r="EK314" s="200"/>
      <c r="EL314" s="200"/>
      <c r="EM314" s="200"/>
      <c r="EN314" s="200"/>
      <c r="EO314" s="200"/>
      <c r="EP314" s="200"/>
      <c r="EQ314" s="200"/>
      <c r="ER314" s="200"/>
      <c r="ES314" s="200"/>
      <c r="ET314" s="200"/>
      <c r="EU314" s="200"/>
      <c r="EV314" s="200"/>
      <c r="EW314" s="200"/>
      <c r="EX314" s="200"/>
      <c r="EY314" s="200"/>
      <c r="EZ314" s="200"/>
      <c r="FA314" s="200"/>
      <c r="FB314" s="200"/>
      <c r="FC314" s="200"/>
      <c r="FD314" s="200"/>
      <c r="FE314" s="200"/>
      <c r="FF314" s="200"/>
      <c r="FG314" s="200"/>
      <c r="FH314" s="200"/>
      <c r="FI314" s="200"/>
      <c r="FJ314" s="200"/>
      <c r="FK314" s="200"/>
      <c r="FL314" s="200"/>
      <c r="FM314" s="200"/>
      <c r="FN314" s="200"/>
      <c r="FO314" s="200"/>
      <c r="FP314" s="200"/>
      <c r="FQ314" s="200"/>
      <c r="FR314" s="200"/>
      <c r="FS314" s="200"/>
      <c r="FT314" s="200"/>
      <c r="FU314" s="200"/>
      <c r="FV314" s="200"/>
      <c r="FW314" s="200"/>
      <c r="FX314" s="200"/>
      <c r="FY314" s="200"/>
      <c r="FZ314" s="200"/>
      <c r="GA314" s="200"/>
      <c r="GB314" s="200"/>
      <c r="GC314" s="200"/>
      <c r="GD314" s="200"/>
      <c r="GE314" s="200"/>
      <c r="GF314" s="200"/>
      <c r="GG314" s="200"/>
      <c r="GH314" s="200"/>
      <c r="GI314" s="200"/>
      <c r="GJ314" s="200"/>
      <c r="GK314" s="200"/>
      <c r="GL314" s="200"/>
      <c r="GM314" s="200"/>
      <c r="GN314" s="200"/>
      <c r="GO314" s="200"/>
      <c r="GP314" s="200"/>
      <c r="GQ314" s="200"/>
      <c r="GR314" s="200"/>
      <c r="GS314" s="200"/>
      <c r="GT314" s="200"/>
      <c r="GU314" s="200"/>
      <c r="GV314" s="200"/>
      <c r="GW314" s="200"/>
      <c r="GX314" s="200"/>
      <c r="GY314" s="200"/>
      <c r="GZ314" s="200"/>
      <c r="HA314" s="200"/>
      <c r="HB314" s="200"/>
      <c r="HC314" s="200"/>
      <c r="HD314" s="200"/>
      <c r="HE314" s="200"/>
      <c r="HF314" s="200"/>
      <c r="HG314" s="200"/>
      <c r="HH314" s="200"/>
      <c r="HI314" s="200"/>
      <c r="HJ314" s="200"/>
      <c r="HK314" s="200"/>
      <c r="HL314" s="200"/>
      <c r="HM314" s="200"/>
      <c r="HN314" s="200"/>
      <c r="HO314" s="200"/>
      <c r="HP314" s="200"/>
      <c r="HQ314" s="200"/>
      <c r="HR314" s="200"/>
      <c r="HS314" s="200"/>
      <c r="HT314" s="200"/>
      <c r="HU314" s="200"/>
      <c r="HV314" s="200"/>
      <c r="HW314" s="200"/>
      <c r="HX314" s="200"/>
      <c r="HY314" s="200"/>
      <c r="HZ314" s="200"/>
      <c r="IA314" s="200"/>
      <c r="IB314" s="200"/>
      <c r="IC314" s="200"/>
      <c r="ID314" s="200"/>
      <c r="IE314" s="200"/>
      <c r="IF314" s="200"/>
      <c r="IG314" s="200"/>
      <c r="IH314" s="200"/>
      <c r="II314" s="200"/>
      <c r="IJ314" s="200"/>
      <c r="IK314" s="200"/>
      <c r="IL314" s="200"/>
      <c r="IM314" s="200"/>
      <c r="IN314" s="200"/>
      <c r="IO314" s="200"/>
      <c r="IP314" s="200"/>
      <c r="IQ314" s="200"/>
      <c r="IR314" s="200"/>
      <c r="IS314" s="200"/>
      <c r="IT314" s="200"/>
      <c r="IU314" s="201"/>
      <c r="IV314" s="201"/>
    </row>
    <row r="315" s="10" customFormat="1" ht="15.95" customHeight="1" spans="1:256">
      <c r="A315" s="199">
        <v>9</v>
      </c>
      <c r="B315" s="20" t="s">
        <v>2295</v>
      </c>
      <c r="C315" s="199" t="s">
        <v>2297</v>
      </c>
      <c r="D315" s="199">
        <v>7009</v>
      </c>
      <c r="E315" s="199">
        <f>'05版台时'!L527</f>
        <v>180.885297145383</v>
      </c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  <c r="AA315" s="200"/>
      <c r="AB315" s="200"/>
      <c r="AC315" s="200"/>
      <c r="AD315" s="200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200"/>
      <c r="BB315" s="200"/>
      <c r="BC315" s="200"/>
      <c r="BD315" s="200"/>
      <c r="BE315" s="200"/>
      <c r="BF315" s="200"/>
      <c r="BG315" s="200"/>
      <c r="BH315" s="200"/>
      <c r="BI315" s="200"/>
      <c r="BJ315" s="200"/>
      <c r="BK315" s="200"/>
      <c r="BL315" s="200"/>
      <c r="BM315" s="200"/>
      <c r="BN315" s="200"/>
      <c r="BO315" s="200"/>
      <c r="BP315" s="200"/>
      <c r="BQ315" s="200"/>
      <c r="BR315" s="200"/>
      <c r="BS315" s="200"/>
      <c r="BT315" s="200"/>
      <c r="BU315" s="200"/>
      <c r="BV315" s="200"/>
      <c r="BW315" s="200"/>
      <c r="BX315" s="200"/>
      <c r="BY315" s="200"/>
      <c r="BZ315" s="200"/>
      <c r="CA315" s="200"/>
      <c r="CB315" s="200"/>
      <c r="CC315" s="200"/>
      <c r="CD315" s="200"/>
      <c r="CE315" s="200"/>
      <c r="CF315" s="200"/>
      <c r="CG315" s="200"/>
      <c r="CH315" s="200"/>
      <c r="CI315" s="200"/>
      <c r="CJ315" s="200"/>
      <c r="CK315" s="200"/>
      <c r="CL315" s="200"/>
      <c r="CM315" s="200"/>
      <c r="CN315" s="200"/>
      <c r="CO315" s="200"/>
      <c r="CP315" s="200"/>
      <c r="CQ315" s="200"/>
      <c r="CR315" s="200"/>
      <c r="CS315" s="200"/>
      <c r="CT315" s="200"/>
      <c r="CU315" s="200"/>
      <c r="CV315" s="200"/>
      <c r="CW315" s="200"/>
      <c r="CX315" s="200"/>
      <c r="CY315" s="200"/>
      <c r="CZ315" s="200"/>
      <c r="DA315" s="200"/>
      <c r="DB315" s="200"/>
      <c r="DC315" s="200"/>
      <c r="DD315" s="200"/>
      <c r="DE315" s="200"/>
      <c r="DF315" s="200"/>
      <c r="DG315" s="200"/>
      <c r="DH315" s="200"/>
      <c r="DI315" s="200"/>
      <c r="DJ315" s="200"/>
      <c r="DK315" s="200"/>
      <c r="DL315" s="200"/>
      <c r="DM315" s="200"/>
      <c r="DN315" s="200"/>
      <c r="DO315" s="200"/>
      <c r="DP315" s="200"/>
      <c r="DQ315" s="200"/>
      <c r="DR315" s="200"/>
      <c r="DS315" s="200"/>
      <c r="DT315" s="200"/>
      <c r="DU315" s="200"/>
      <c r="DV315" s="200"/>
      <c r="DW315" s="200"/>
      <c r="DX315" s="200"/>
      <c r="DY315" s="200"/>
      <c r="DZ315" s="200"/>
      <c r="EA315" s="200"/>
      <c r="EB315" s="200"/>
      <c r="EC315" s="200"/>
      <c r="ED315" s="200"/>
      <c r="EE315" s="200"/>
      <c r="EF315" s="200"/>
      <c r="EG315" s="200"/>
      <c r="EH315" s="200"/>
      <c r="EI315" s="200"/>
      <c r="EJ315" s="200"/>
      <c r="EK315" s="200"/>
      <c r="EL315" s="200"/>
      <c r="EM315" s="200"/>
      <c r="EN315" s="200"/>
      <c r="EO315" s="200"/>
      <c r="EP315" s="200"/>
      <c r="EQ315" s="200"/>
      <c r="ER315" s="200"/>
      <c r="ES315" s="200"/>
      <c r="ET315" s="200"/>
      <c r="EU315" s="200"/>
      <c r="EV315" s="200"/>
      <c r="EW315" s="200"/>
      <c r="EX315" s="200"/>
      <c r="EY315" s="200"/>
      <c r="EZ315" s="200"/>
      <c r="FA315" s="200"/>
      <c r="FB315" s="200"/>
      <c r="FC315" s="200"/>
      <c r="FD315" s="200"/>
      <c r="FE315" s="200"/>
      <c r="FF315" s="200"/>
      <c r="FG315" s="200"/>
      <c r="FH315" s="200"/>
      <c r="FI315" s="200"/>
      <c r="FJ315" s="200"/>
      <c r="FK315" s="200"/>
      <c r="FL315" s="200"/>
      <c r="FM315" s="200"/>
      <c r="FN315" s="200"/>
      <c r="FO315" s="200"/>
      <c r="FP315" s="200"/>
      <c r="FQ315" s="200"/>
      <c r="FR315" s="200"/>
      <c r="FS315" s="200"/>
      <c r="FT315" s="200"/>
      <c r="FU315" s="200"/>
      <c r="FV315" s="200"/>
      <c r="FW315" s="200"/>
      <c r="FX315" s="200"/>
      <c r="FY315" s="200"/>
      <c r="FZ315" s="200"/>
      <c r="GA315" s="200"/>
      <c r="GB315" s="200"/>
      <c r="GC315" s="200"/>
      <c r="GD315" s="200"/>
      <c r="GE315" s="200"/>
      <c r="GF315" s="200"/>
      <c r="GG315" s="200"/>
      <c r="GH315" s="200"/>
      <c r="GI315" s="200"/>
      <c r="GJ315" s="200"/>
      <c r="GK315" s="200"/>
      <c r="GL315" s="200"/>
      <c r="GM315" s="200"/>
      <c r="GN315" s="200"/>
      <c r="GO315" s="200"/>
      <c r="GP315" s="200"/>
      <c r="GQ315" s="200"/>
      <c r="GR315" s="200"/>
      <c r="GS315" s="200"/>
      <c r="GT315" s="200"/>
      <c r="GU315" s="200"/>
      <c r="GV315" s="200"/>
      <c r="GW315" s="200"/>
      <c r="GX315" s="200"/>
      <c r="GY315" s="200"/>
      <c r="GZ315" s="200"/>
      <c r="HA315" s="200"/>
      <c r="HB315" s="200"/>
      <c r="HC315" s="200"/>
      <c r="HD315" s="200"/>
      <c r="HE315" s="200"/>
      <c r="HF315" s="200"/>
      <c r="HG315" s="200"/>
      <c r="HH315" s="200"/>
      <c r="HI315" s="200"/>
      <c r="HJ315" s="200"/>
      <c r="HK315" s="200"/>
      <c r="HL315" s="200"/>
      <c r="HM315" s="200"/>
      <c r="HN315" s="200"/>
      <c r="HO315" s="200"/>
      <c r="HP315" s="200"/>
      <c r="HQ315" s="200"/>
      <c r="HR315" s="200"/>
      <c r="HS315" s="200"/>
      <c r="HT315" s="200"/>
      <c r="HU315" s="200"/>
      <c r="HV315" s="200"/>
      <c r="HW315" s="200"/>
      <c r="HX315" s="200"/>
      <c r="HY315" s="200"/>
      <c r="HZ315" s="200"/>
      <c r="IA315" s="200"/>
      <c r="IB315" s="200"/>
      <c r="IC315" s="200"/>
      <c r="ID315" s="200"/>
      <c r="IE315" s="200"/>
      <c r="IF315" s="200"/>
      <c r="IG315" s="200"/>
      <c r="IH315" s="200"/>
      <c r="II315" s="200"/>
      <c r="IJ315" s="200"/>
      <c r="IK315" s="200"/>
      <c r="IL315" s="200"/>
      <c r="IM315" s="200"/>
      <c r="IN315" s="200"/>
      <c r="IO315" s="200"/>
      <c r="IP315" s="200"/>
      <c r="IQ315" s="200"/>
      <c r="IR315" s="200"/>
      <c r="IS315" s="200"/>
      <c r="IT315" s="200"/>
      <c r="IU315" s="201"/>
      <c r="IV315" s="201"/>
    </row>
    <row r="316" s="10" customFormat="1" ht="15.95" customHeight="1" spans="1:256">
      <c r="A316" s="199">
        <v>10</v>
      </c>
      <c r="B316" s="20" t="s">
        <v>2298</v>
      </c>
      <c r="C316" s="199" t="s">
        <v>2294</v>
      </c>
      <c r="D316" s="199">
        <v>7010</v>
      </c>
      <c r="E316" s="199">
        <f>'05版台时'!M527</f>
        <v>44.3205427513826</v>
      </c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  <c r="AA316" s="200"/>
      <c r="AB316" s="200"/>
      <c r="AC316" s="200"/>
      <c r="AD316" s="200"/>
      <c r="AE316" s="200"/>
      <c r="AF316" s="200"/>
      <c r="AG316" s="200"/>
      <c r="AH316" s="200"/>
      <c r="AI316" s="200"/>
      <c r="AJ316" s="200"/>
      <c r="AK316" s="200"/>
      <c r="AL316" s="200"/>
      <c r="AM316" s="200"/>
      <c r="AN316" s="200"/>
      <c r="AO316" s="200"/>
      <c r="AP316" s="200"/>
      <c r="AQ316" s="200"/>
      <c r="AR316" s="200"/>
      <c r="AS316" s="200"/>
      <c r="AT316" s="200"/>
      <c r="AU316" s="200"/>
      <c r="AV316" s="200"/>
      <c r="AW316" s="200"/>
      <c r="AX316" s="200"/>
      <c r="AY316" s="200"/>
      <c r="AZ316" s="200"/>
      <c r="BA316" s="200"/>
      <c r="BB316" s="200"/>
      <c r="BC316" s="200"/>
      <c r="BD316" s="200"/>
      <c r="BE316" s="200"/>
      <c r="BF316" s="200"/>
      <c r="BG316" s="200"/>
      <c r="BH316" s="200"/>
      <c r="BI316" s="200"/>
      <c r="BJ316" s="200"/>
      <c r="BK316" s="200"/>
      <c r="BL316" s="200"/>
      <c r="BM316" s="200"/>
      <c r="BN316" s="200"/>
      <c r="BO316" s="200"/>
      <c r="BP316" s="200"/>
      <c r="BQ316" s="200"/>
      <c r="BR316" s="200"/>
      <c r="BS316" s="200"/>
      <c r="BT316" s="200"/>
      <c r="BU316" s="200"/>
      <c r="BV316" s="200"/>
      <c r="BW316" s="200"/>
      <c r="BX316" s="200"/>
      <c r="BY316" s="200"/>
      <c r="BZ316" s="200"/>
      <c r="CA316" s="200"/>
      <c r="CB316" s="200"/>
      <c r="CC316" s="200"/>
      <c r="CD316" s="200"/>
      <c r="CE316" s="200"/>
      <c r="CF316" s="200"/>
      <c r="CG316" s="200"/>
      <c r="CH316" s="200"/>
      <c r="CI316" s="200"/>
      <c r="CJ316" s="200"/>
      <c r="CK316" s="200"/>
      <c r="CL316" s="200"/>
      <c r="CM316" s="200"/>
      <c r="CN316" s="200"/>
      <c r="CO316" s="200"/>
      <c r="CP316" s="200"/>
      <c r="CQ316" s="200"/>
      <c r="CR316" s="200"/>
      <c r="CS316" s="200"/>
      <c r="CT316" s="200"/>
      <c r="CU316" s="200"/>
      <c r="CV316" s="200"/>
      <c r="CW316" s="200"/>
      <c r="CX316" s="200"/>
      <c r="CY316" s="200"/>
      <c r="CZ316" s="200"/>
      <c r="DA316" s="200"/>
      <c r="DB316" s="200"/>
      <c r="DC316" s="200"/>
      <c r="DD316" s="200"/>
      <c r="DE316" s="200"/>
      <c r="DF316" s="200"/>
      <c r="DG316" s="200"/>
      <c r="DH316" s="200"/>
      <c r="DI316" s="200"/>
      <c r="DJ316" s="200"/>
      <c r="DK316" s="200"/>
      <c r="DL316" s="200"/>
      <c r="DM316" s="200"/>
      <c r="DN316" s="200"/>
      <c r="DO316" s="200"/>
      <c r="DP316" s="200"/>
      <c r="DQ316" s="200"/>
      <c r="DR316" s="200"/>
      <c r="DS316" s="200"/>
      <c r="DT316" s="200"/>
      <c r="DU316" s="200"/>
      <c r="DV316" s="200"/>
      <c r="DW316" s="200"/>
      <c r="DX316" s="200"/>
      <c r="DY316" s="200"/>
      <c r="DZ316" s="200"/>
      <c r="EA316" s="200"/>
      <c r="EB316" s="200"/>
      <c r="EC316" s="200"/>
      <c r="ED316" s="200"/>
      <c r="EE316" s="200"/>
      <c r="EF316" s="200"/>
      <c r="EG316" s="200"/>
      <c r="EH316" s="200"/>
      <c r="EI316" s="200"/>
      <c r="EJ316" s="200"/>
      <c r="EK316" s="200"/>
      <c r="EL316" s="200"/>
      <c r="EM316" s="200"/>
      <c r="EN316" s="200"/>
      <c r="EO316" s="200"/>
      <c r="EP316" s="200"/>
      <c r="EQ316" s="200"/>
      <c r="ER316" s="200"/>
      <c r="ES316" s="200"/>
      <c r="ET316" s="200"/>
      <c r="EU316" s="200"/>
      <c r="EV316" s="200"/>
      <c r="EW316" s="200"/>
      <c r="EX316" s="200"/>
      <c r="EY316" s="200"/>
      <c r="EZ316" s="200"/>
      <c r="FA316" s="200"/>
      <c r="FB316" s="200"/>
      <c r="FC316" s="200"/>
      <c r="FD316" s="200"/>
      <c r="FE316" s="200"/>
      <c r="FF316" s="200"/>
      <c r="FG316" s="200"/>
      <c r="FH316" s="200"/>
      <c r="FI316" s="200"/>
      <c r="FJ316" s="200"/>
      <c r="FK316" s="200"/>
      <c r="FL316" s="200"/>
      <c r="FM316" s="200"/>
      <c r="FN316" s="200"/>
      <c r="FO316" s="200"/>
      <c r="FP316" s="200"/>
      <c r="FQ316" s="200"/>
      <c r="FR316" s="200"/>
      <c r="FS316" s="200"/>
      <c r="FT316" s="200"/>
      <c r="FU316" s="200"/>
      <c r="FV316" s="200"/>
      <c r="FW316" s="200"/>
      <c r="FX316" s="200"/>
      <c r="FY316" s="200"/>
      <c r="FZ316" s="200"/>
      <c r="GA316" s="200"/>
      <c r="GB316" s="200"/>
      <c r="GC316" s="200"/>
      <c r="GD316" s="200"/>
      <c r="GE316" s="200"/>
      <c r="GF316" s="200"/>
      <c r="GG316" s="200"/>
      <c r="GH316" s="200"/>
      <c r="GI316" s="200"/>
      <c r="GJ316" s="200"/>
      <c r="GK316" s="200"/>
      <c r="GL316" s="200"/>
      <c r="GM316" s="200"/>
      <c r="GN316" s="200"/>
      <c r="GO316" s="200"/>
      <c r="GP316" s="200"/>
      <c r="GQ316" s="200"/>
      <c r="GR316" s="200"/>
      <c r="GS316" s="200"/>
      <c r="GT316" s="200"/>
      <c r="GU316" s="200"/>
      <c r="GV316" s="200"/>
      <c r="GW316" s="200"/>
      <c r="GX316" s="200"/>
      <c r="GY316" s="200"/>
      <c r="GZ316" s="200"/>
      <c r="HA316" s="200"/>
      <c r="HB316" s="200"/>
      <c r="HC316" s="200"/>
      <c r="HD316" s="200"/>
      <c r="HE316" s="200"/>
      <c r="HF316" s="200"/>
      <c r="HG316" s="200"/>
      <c r="HH316" s="200"/>
      <c r="HI316" s="200"/>
      <c r="HJ316" s="200"/>
      <c r="HK316" s="200"/>
      <c r="HL316" s="200"/>
      <c r="HM316" s="200"/>
      <c r="HN316" s="200"/>
      <c r="HO316" s="200"/>
      <c r="HP316" s="200"/>
      <c r="HQ316" s="200"/>
      <c r="HR316" s="200"/>
      <c r="HS316" s="200"/>
      <c r="HT316" s="200"/>
      <c r="HU316" s="200"/>
      <c r="HV316" s="200"/>
      <c r="HW316" s="200"/>
      <c r="HX316" s="200"/>
      <c r="HY316" s="200"/>
      <c r="HZ316" s="200"/>
      <c r="IA316" s="200"/>
      <c r="IB316" s="200"/>
      <c r="IC316" s="200"/>
      <c r="ID316" s="200"/>
      <c r="IE316" s="200"/>
      <c r="IF316" s="200"/>
      <c r="IG316" s="200"/>
      <c r="IH316" s="200"/>
      <c r="II316" s="200"/>
      <c r="IJ316" s="200"/>
      <c r="IK316" s="200"/>
      <c r="IL316" s="200"/>
      <c r="IM316" s="200"/>
      <c r="IN316" s="200"/>
      <c r="IO316" s="200"/>
      <c r="IP316" s="200"/>
      <c r="IQ316" s="200"/>
      <c r="IR316" s="200"/>
      <c r="IS316" s="200"/>
      <c r="IT316" s="200"/>
      <c r="IU316" s="201"/>
      <c r="IV316" s="201"/>
    </row>
    <row r="317" s="10" customFormat="1" ht="15.95" customHeight="1" spans="1:256">
      <c r="A317" s="199">
        <v>11</v>
      </c>
      <c r="B317" s="20" t="s">
        <v>2298</v>
      </c>
      <c r="C317" s="199" t="s">
        <v>2299</v>
      </c>
      <c r="D317" s="199">
        <v>7011</v>
      </c>
      <c r="E317" s="199">
        <f>'05版台时'!N527</f>
        <v>53.6954952842905</v>
      </c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  <c r="AA317" s="200"/>
      <c r="AB317" s="200"/>
      <c r="AC317" s="200"/>
      <c r="AD317" s="200"/>
      <c r="AE317" s="200"/>
      <c r="AF317" s="200"/>
      <c r="AG317" s="200"/>
      <c r="AH317" s="200"/>
      <c r="AI317" s="200"/>
      <c r="AJ317" s="200"/>
      <c r="AK317" s="200"/>
      <c r="AL317" s="200"/>
      <c r="AM317" s="200"/>
      <c r="AN317" s="200"/>
      <c r="AO317" s="200"/>
      <c r="AP317" s="200"/>
      <c r="AQ317" s="200"/>
      <c r="AR317" s="200"/>
      <c r="AS317" s="200"/>
      <c r="AT317" s="200"/>
      <c r="AU317" s="200"/>
      <c r="AV317" s="200"/>
      <c r="AW317" s="200"/>
      <c r="AX317" s="200"/>
      <c r="AY317" s="200"/>
      <c r="AZ317" s="200"/>
      <c r="BA317" s="200"/>
      <c r="BB317" s="200"/>
      <c r="BC317" s="200"/>
      <c r="BD317" s="200"/>
      <c r="BE317" s="200"/>
      <c r="BF317" s="200"/>
      <c r="BG317" s="200"/>
      <c r="BH317" s="200"/>
      <c r="BI317" s="200"/>
      <c r="BJ317" s="200"/>
      <c r="BK317" s="200"/>
      <c r="BL317" s="200"/>
      <c r="BM317" s="200"/>
      <c r="BN317" s="200"/>
      <c r="BO317" s="200"/>
      <c r="BP317" s="200"/>
      <c r="BQ317" s="200"/>
      <c r="BR317" s="200"/>
      <c r="BS317" s="200"/>
      <c r="BT317" s="200"/>
      <c r="BU317" s="200"/>
      <c r="BV317" s="200"/>
      <c r="BW317" s="200"/>
      <c r="BX317" s="200"/>
      <c r="BY317" s="200"/>
      <c r="BZ317" s="200"/>
      <c r="CA317" s="200"/>
      <c r="CB317" s="200"/>
      <c r="CC317" s="200"/>
      <c r="CD317" s="200"/>
      <c r="CE317" s="200"/>
      <c r="CF317" s="200"/>
      <c r="CG317" s="200"/>
      <c r="CH317" s="200"/>
      <c r="CI317" s="200"/>
      <c r="CJ317" s="200"/>
      <c r="CK317" s="200"/>
      <c r="CL317" s="200"/>
      <c r="CM317" s="200"/>
      <c r="CN317" s="200"/>
      <c r="CO317" s="200"/>
      <c r="CP317" s="200"/>
      <c r="CQ317" s="200"/>
      <c r="CR317" s="200"/>
      <c r="CS317" s="200"/>
      <c r="CT317" s="200"/>
      <c r="CU317" s="200"/>
      <c r="CV317" s="200"/>
      <c r="CW317" s="200"/>
      <c r="CX317" s="200"/>
      <c r="CY317" s="200"/>
      <c r="CZ317" s="200"/>
      <c r="DA317" s="200"/>
      <c r="DB317" s="200"/>
      <c r="DC317" s="200"/>
      <c r="DD317" s="200"/>
      <c r="DE317" s="200"/>
      <c r="DF317" s="200"/>
      <c r="DG317" s="200"/>
      <c r="DH317" s="200"/>
      <c r="DI317" s="200"/>
      <c r="DJ317" s="200"/>
      <c r="DK317" s="200"/>
      <c r="DL317" s="200"/>
      <c r="DM317" s="200"/>
      <c r="DN317" s="200"/>
      <c r="DO317" s="200"/>
      <c r="DP317" s="200"/>
      <c r="DQ317" s="200"/>
      <c r="DR317" s="200"/>
      <c r="DS317" s="200"/>
      <c r="DT317" s="200"/>
      <c r="DU317" s="200"/>
      <c r="DV317" s="200"/>
      <c r="DW317" s="200"/>
      <c r="DX317" s="200"/>
      <c r="DY317" s="200"/>
      <c r="DZ317" s="200"/>
      <c r="EA317" s="200"/>
      <c r="EB317" s="200"/>
      <c r="EC317" s="200"/>
      <c r="ED317" s="200"/>
      <c r="EE317" s="200"/>
      <c r="EF317" s="200"/>
      <c r="EG317" s="200"/>
      <c r="EH317" s="200"/>
      <c r="EI317" s="200"/>
      <c r="EJ317" s="200"/>
      <c r="EK317" s="200"/>
      <c r="EL317" s="200"/>
      <c r="EM317" s="200"/>
      <c r="EN317" s="200"/>
      <c r="EO317" s="200"/>
      <c r="EP317" s="200"/>
      <c r="EQ317" s="200"/>
      <c r="ER317" s="200"/>
      <c r="ES317" s="200"/>
      <c r="ET317" s="200"/>
      <c r="EU317" s="200"/>
      <c r="EV317" s="200"/>
      <c r="EW317" s="200"/>
      <c r="EX317" s="200"/>
      <c r="EY317" s="200"/>
      <c r="EZ317" s="200"/>
      <c r="FA317" s="200"/>
      <c r="FB317" s="200"/>
      <c r="FC317" s="200"/>
      <c r="FD317" s="200"/>
      <c r="FE317" s="200"/>
      <c r="FF317" s="200"/>
      <c r="FG317" s="200"/>
      <c r="FH317" s="200"/>
      <c r="FI317" s="200"/>
      <c r="FJ317" s="200"/>
      <c r="FK317" s="200"/>
      <c r="FL317" s="200"/>
      <c r="FM317" s="200"/>
      <c r="FN317" s="200"/>
      <c r="FO317" s="200"/>
      <c r="FP317" s="200"/>
      <c r="FQ317" s="200"/>
      <c r="FR317" s="200"/>
      <c r="FS317" s="200"/>
      <c r="FT317" s="200"/>
      <c r="FU317" s="200"/>
      <c r="FV317" s="200"/>
      <c r="FW317" s="200"/>
      <c r="FX317" s="200"/>
      <c r="FY317" s="200"/>
      <c r="FZ317" s="200"/>
      <c r="GA317" s="200"/>
      <c r="GB317" s="200"/>
      <c r="GC317" s="200"/>
      <c r="GD317" s="200"/>
      <c r="GE317" s="200"/>
      <c r="GF317" s="200"/>
      <c r="GG317" s="200"/>
      <c r="GH317" s="200"/>
      <c r="GI317" s="200"/>
      <c r="GJ317" s="200"/>
      <c r="GK317" s="200"/>
      <c r="GL317" s="200"/>
      <c r="GM317" s="200"/>
      <c r="GN317" s="200"/>
      <c r="GO317" s="200"/>
      <c r="GP317" s="200"/>
      <c r="GQ317" s="200"/>
      <c r="GR317" s="200"/>
      <c r="GS317" s="200"/>
      <c r="GT317" s="200"/>
      <c r="GU317" s="200"/>
      <c r="GV317" s="200"/>
      <c r="GW317" s="200"/>
      <c r="GX317" s="200"/>
      <c r="GY317" s="200"/>
      <c r="GZ317" s="200"/>
      <c r="HA317" s="200"/>
      <c r="HB317" s="200"/>
      <c r="HC317" s="200"/>
      <c r="HD317" s="200"/>
      <c r="HE317" s="200"/>
      <c r="HF317" s="200"/>
      <c r="HG317" s="200"/>
      <c r="HH317" s="200"/>
      <c r="HI317" s="200"/>
      <c r="HJ317" s="200"/>
      <c r="HK317" s="200"/>
      <c r="HL317" s="200"/>
      <c r="HM317" s="200"/>
      <c r="HN317" s="200"/>
      <c r="HO317" s="200"/>
      <c r="HP317" s="200"/>
      <c r="HQ317" s="200"/>
      <c r="HR317" s="200"/>
      <c r="HS317" s="200"/>
      <c r="HT317" s="200"/>
      <c r="HU317" s="200"/>
      <c r="HV317" s="200"/>
      <c r="HW317" s="200"/>
      <c r="HX317" s="200"/>
      <c r="HY317" s="200"/>
      <c r="HZ317" s="200"/>
      <c r="IA317" s="200"/>
      <c r="IB317" s="200"/>
      <c r="IC317" s="200"/>
      <c r="ID317" s="200"/>
      <c r="IE317" s="200"/>
      <c r="IF317" s="200"/>
      <c r="IG317" s="200"/>
      <c r="IH317" s="200"/>
      <c r="II317" s="200"/>
      <c r="IJ317" s="200"/>
      <c r="IK317" s="200"/>
      <c r="IL317" s="200"/>
      <c r="IM317" s="200"/>
      <c r="IN317" s="200"/>
      <c r="IO317" s="200"/>
      <c r="IP317" s="200"/>
      <c r="IQ317" s="200"/>
      <c r="IR317" s="200"/>
      <c r="IS317" s="200"/>
      <c r="IT317" s="200"/>
      <c r="IU317" s="201"/>
      <c r="IV317" s="201"/>
    </row>
    <row r="318" s="10" customFormat="1" ht="15.95" customHeight="1" spans="1:256">
      <c r="A318" s="199">
        <v>12</v>
      </c>
      <c r="B318" s="20" t="s">
        <v>2300</v>
      </c>
      <c r="C318" s="199" t="s">
        <v>2301</v>
      </c>
      <c r="D318" s="199">
        <v>7012</v>
      </c>
      <c r="E318" s="199">
        <f>'05版台时'!O527</f>
        <v>88.1663621633331</v>
      </c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  <c r="AA318" s="200"/>
      <c r="AB318" s="200"/>
      <c r="AC318" s="200"/>
      <c r="AD318" s="200"/>
      <c r="AE318" s="200"/>
      <c r="AF318" s="200"/>
      <c r="AG318" s="200"/>
      <c r="AH318" s="200"/>
      <c r="AI318" s="200"/>
      <c r="AJ318" s="200"/>
      <c r="AK318" s="200"/>
      <c r="AL318" s="200"/>
      <c r="AM318" s="200"/>
      <c r="AN318" s="200"/>
      <c r="AO318" s="200"/>
      <c r="AP318" s="200"/>
      <c r="AQ318" s="200"/>
      <c r="AR318" s="200"/>
      <c r="AS318" s="200"/>
      <c r="AT318" s="200"/>
      <c r="AU318" s="200"/>
      <c r="AV318" s="200"/>
      <c r="AW318" s="200"/>
      <c r="AX318" s="200"/>
      <c r="AY318" s="200"/>
      <c r="AZ318" s="200"/>
      <c r="BA318" s="200"/>
      <c r="BB318" s="200"/>
      <c r="BC318" s="200"/>
      <c r="BD318" s="200"/>
      <c r="BE318" s="200"/>
      <c r="BF318" s="200"/>
      <c r="BG318" s="200"/>
      <c r="BH318" s="200"/>
      <c r="BI318" s="200"/>
      <c r="BJ318" s="200"/>
      <c r="BK318" s="200"/>
      <c r="BL318" s="200"/>
      <c r="BM318" s="200"/>
      <c r="BN318" s="200"/>
      <c r="BO318" s="200"/>
      <c r="BP318" s="200"/>
      <c r="BQ318" s="200"/>
      <c r="BR318" s="200"/>
      <c r="BS318" s="200"/>
      <c r="BT318" s="200"/>
      <c r="BU318" s="200"/>
      <c r="BV318" s="200"/>
      <c r="BW318" s="200"/>
      <c r="BX318" s="200"/>
      <c r="BY318" s="200"/>
      <c r="BZ318" s="200"/>
      <c r="CA318" s="200"/>
      <c r="CB318" s="200"/>
      <c r="CC318" s="200"/>
      <c r="CD318" s="200"/>
      <c r="CE318" s="200"/>
      <c r="CF318" s="200"/>
      <c r="CG318" s="200"/>
      <c r="CH318" s="200"/>
      <c r="CI318" s="200"/>
      <c r="CJ318" s="200"/>
      <c r="CK318" s="200"/>
      <c r="CL318" s="200"/>
      <c r="CM318" s="200"/>
      <c r="CN318" s="200"/>
      <c r="CO318" s="200"/>
      <c r="CP318" s="200"/>
      <c r="CQ318" s="200"/>
      <c r="CR318" s="200"/>
      <c r="CS318" s="200"/>
      <c r="CT318" s="200"/>
      <c r="CU318" s="200"/>
      <c r="CV318" s="200"/>
      <c r="CW318" s="200"/>
      <c r="CX318" s="200"/>
      <c r="CY318" s="200"/>
      <c r="CZ318" s="200"/>
      <c r="DA318" s="200"/>
      <c r="DB318" s="200"/>
      <c r="DC318" s="200"/>
      <c r="DD318" s="200"/>
      <c r="DE318" s="200"/>
      <c r="DF318" s="200"/>
      <c r="DG318" s="200"/>
      <c r="DH318" s="200"/>
      <c r="DI318" s="200"/>
      <c r="DJ318" s="200"/>
      <c r="DK318" s="200"/>
      <c r="DL318" s="200"/>
      <c r="DM318" s="200"/>
      <c r="DN318" s="200"/>
      <c r="DO318" s="200"/>
      <c r="DP318" s="200"/>
      <c r="DQ318" s="200"/>
      <c r="DR318" s="200"/>
      <c r="DS318" s="200"/>
      <c r="DT318" s="200"/>
      <c r="DU318" s="200"/>
      <c r="DV318" s="200"/>
      <c r="DW318" s="200"/>
      <c r="DX318" s="200"/>
      <c r="DY318" s="200"/>
      <c r="DZ318" s="200"/>
      <c r="EA318" s="200"/>
      <c r="EB318" s="200"/>
      <c r="EC318" s="200"/>
      <c r="ED318" s="200"/>
      <c r="EE318" s="200"/>
      <c r="EF318" s="200"/>
      <c r="EG318" s="200"/>
      <c r="EH318" s="200"/>
      <c r="EI318" s="200"/>
      <c r="EJ318" s="200"/>
      <c r="EK318" s="200"/>
      <c r="EL318" s="200"/>
      <c r="EM318" s="200"/>
      <c r="EN318" s="200"/>
      <c r="EO318" s="200"/>
      <c r="EP318" s="200"/>
      <c r="EQ318" s="200"/>
      <c r="ER318" s="200"/>
      <c r="ES318" s="200"/>
      <c r="ET318" s="200"/>
      <c r="EU318" s="200"/>
      <c r="EV318" s="200"/>
      <c r="EW318" s="200"/>
      <c r="EX318" s="200"/>
      <c r="EY318" s="200"/>
      <c r="EZ318" s="200"/>
      <c r="FA318" s="200"/>
      <c r="FB318" s="200"/>
      <c r="FC318" s="200"/>
      <c r="FD318" s="200"/>
      <c r="FE318" s="200"/>
      <c r="FF318" s="200"/>
      <c r="FG318" s="200"/>
      <c r="FH318" s="200"/>
      <c r="FI318" s="200"/>
      <c r="FJ318" s="200"/>
      <c r="FK318" s="200"/>
      <c r="FL318" s="200"/>
      <c r="FM318" s="200"/>
      <c r="FN318" s="200"/>
      <c r="FO318" s="200"/>
      <c r="FP318" s="200"/>
      <c r="FQ318" s="200"/>
      <c r="FR318" s="200"/>
      <c r="FS318" s="200"/>
      <c r="FT318" s="200"/>
      <c r="FU318" s="200"/>
      <c r="FV318" s="200"/>
      <c r="FW318" s="200"/>
      <c r="FX318" s="200"/>
      <c r="FY318" s="200"/>
      <c r="FZ318" s="200"/>
      <c r="GA318" s="200"/>
      <c r="GB318" s="200"/>
      <c r="GC318" s="200"/>
      <c r="GD318" s="200"/>
      <c r="GE318" s="200"/>
      <c r="GF318" s="200"/>
      <c r="GG318" s="200"/>
      <c r="GH318" s="200"/>
      <c r="GI318" s="200"/>
      <c r="GJ318" s="200"/>
      <c r="GK318" s="200"/>
      <c r="GL318" s="200"/>
      <c r="GM318" s="200"/>
      <c r="GN318" s="200"/>
      <c r="GO318" s="200"/>
      <c r="GP318" s="200"/>
      <c r="GQ318" s="200"/>
      <c r="GR318" s="200"/>
      <c r="GS318" s="200"/>
      <c r="GT318" s="200"/>
      <c r="GU318" s="200"/>
      <c r="GV318" s="200"/>
      <c r="GW318" s="200"/>
      <c r="GX318" s="200"/>
      <c r="GY318" s="200"/>
      <c r="GZ318" s="200"/>
      <c r="HA318" s="200"/>
      <c r="HB318" s="200"/>
      <c r="HC318" s="200"/>
      <c r="HD318" s="200"/>
      <c r="HE318" s="200"/>
      <c r="HF318" s="200"/>
      <c r="HG318" s="200"/>
      <c r="HH318" s="200"/>
      <c r="HI318" s="200"/>
      <c r="HJ318" s="200"/>
      <c r="HK318" s="200"/>
      <c r="HL318" s="200"/>
      <c r="HM318" s="200"/>
      <c r="HN318" s="200"/>
      <c r="HO318" s="200"/>
      <c r="HP318" s="200"/>
      <c r="HQ318" s="200"/>
      <c r="HR318" s="200"/>
      <c r="HS318" s="200"/>
      <c r="HT318" s="200"/>
      <c r="HU318" s="200"/>
      <c r="HV318" s="200"/>
      <c r="HW318" s="200"/>
      <c r="HX318" s="200"/>
      <c r="HY318" s="200"/>
      <c r="HZ318" s="200"/>
      <c r="IA318" s="200"/>
      <c r="IB318" s="200"/>
      <c r="IC318" s="200"/>
      <c r="ID318" s="200"/>
      <c r="IE318" s="200"/>
      <c r="IF318" s="200"/>
      <c r="IG318" s="200"/>
      <c r="IH318" s="200"/>
      <c r="II318" s="200"/>
      <c r="IJ318" s="200"/>
      <c r="IK318" s="200"/>
      <c r="IL318" s="200"/>
      <c r="IM318" s="200"/>
      <c r="IN318" s="200"/>
      <c r="IO318" s="200"/>
      <c r="IP318" s="200"/>
      <c r="IQ318" s="200"/>
      <c r="IR318" s="200"/>
      <c r="IS318" s="200"/>
      <c r="IT318" s="200"/>
      <c r="IU318" s="201"/>
      <c r="IV318" s="201"/>
    </row>
    <row r="319" s="10" customFormat="1" ht="15.95" customHeight="1" spans="1:256">
      <c r="A319" s="199">
        <v>13</v>
      </c>
      <c r="B319" s="20" t="s">
        <v>2302</v>
      </c>
      <c r="C319" s="20" t="s">
        <v>2303</v>
      </c>
      <c r="D319" s="199">
        <v>7013</v>
      </c>
      <c r="E319" s="199">
        <f>'05版台时'!P527</f>
        <v>37.1750862296435</v>
      </c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  <c r="AA319" s="200"/>
      <c r="AB319" s="200"/>
      <c r="AC319" s="200"/>
      <c r="AD319" s="200"/>
      <c r="AE319" s="200"/>
      <c r="AF319" s="200"/>
      <c r="AG319" s="200"/>
      <c r="AH319" s="200"/>
      <c r="AI319" s="200"/>
      <c r="AJ319" s="200"/>
      <c r="AK319" s="200"/>
      <c r="AL319" s="200"/>
      <c r="AM319" s="200"/>
      <c r="AN319" s="200"/>
      <c r="AO319" s="200"/>
      <c r="AP319" s="200"/>
      <c r="AQ319" s="200"/>
      <c r="AR319" s="200"/>
      <c r="AS319" s="200"/>
      <c r="AT319" s="200"/>
      <c r="AU319" s="200"/>
      <c r="AV319" s="200"/>
      <c r="AW319" s="200"/>
      <c r="AX319" s="200"/>
      <c r="AY319" s="200"/>
      <c r="AZ319" s="200"/>
      <c r="BA319" s="200"/>
      <c r="BB319" s="200"/>
      <c r="BC319" s="200"/>
      <c r="BD319" s="200"/>
      <c r="BE319" s="200"/>
      <c r="BF319" s="200"/>
      <c r="BG319" s="200"/>
      <c r="BH319" s="200"/>
      <c r="BI319" s="200"/>
      <c r="BJ319" s="200"/>
      <c r="BK319" s="200"/>
      <c r="BL319" s="200"/>
      <c r="BM319" s="200"/>
      <c r="BN319" s="200"/>
      <c r="BO319" s="200"/>
      <c r="BP319" s="200"/>
      <c r="BQ319" s="200"/>
      <c r="BR319" s="200"/>
      <c r="BS319" s="200"/>
      <c r="BT319" s="200"/>
      <c r="BU319" s="200"/>
      <c r="BV319" s="200"/>
      <c r="BW319" s="200"/>
      <c r="BX319" s="200"/>
      <c r="BY319" s="200"/>
      <c r="BZ319" s="200"/>
      <c r="CA319" s="200"/>
      <c r="CB319" s="200"/>
      <c r="CC319" s="200"/>
      <c r="CD319" s="200"/>
      <c r="CE319" s="200"/>
      <c r="CF319" s="200"/>
      <c r="CG319" s="200"/>
      <c r="CH319" s="200"/>
      <c r="CI319" s="200"/>
      <c r="CJ319" s="200"/>
      <c r="CK319" s="200"/>
      <c r="CL319" s="200"/>
      <c r="CM319" s="200"/>
      <c r="CN319" s="200"/>
      <c r="CO319" s="200"/>
      <c r="CP319" s="200"/>
      <c r="CQ319" s="200"/>
      <c r="CR319" s="200"/>
      <c r="CS319" s="200"/>
      <c r="CT319" s="200"/>
      <c r="CU319" s="200"/>
      <c r="CV319" s="200"/>
      <c r="CW319" s="200"/>
      <c r="CX319" s="200"/>
      <c r="CY319" s="200"/>
      <c r="CZ319" s="200"/>
      <c r="DA319" s="200"/>
      <c r="DB319" s="200"/>
      <c r="DC319" s="200"/>
      <c r="DD319" s="200"/>
      <c r="DE319" s="200"/>
      <c r="DF319" s="200"/>
      <c r="DG319" s="200"/>
      <c r="DH319" s="200"/>
      <c r="DI319" s="200"/>
      <c r="DJ319" s="200"/>
      <c r="DK319" s="200"/>
      <c r="DL319" s="200"/>
      <c r="DM319" s="200"/>
      <c r="DN319" s="200"/>
      <c r="DO319" s="200"/>
      <c r="DP319" s="200"/>
      <c r="DQ319" s="200"/>
      <c r="DR319" s="200"/>
      <c r="DS319" s="200"/>
      <c r="DT319" s="200"/>
      <c r="DU319" s="200"/>
      <c r="DV319" s="200"/>
      <c r="DW319" s="200"/>
      <c r="DX319" s="200"/>
      <c r="DY319" s="200"/>
      <c r="DZ319" s="200"/>
      <c r="EA319" s="200"/>
      <c r="EB319" s="200"/>
      <c r="EC319" s="200"/>
      <c r="ED319" s="200"/>
      <c r="EE319" s="200"/>
      <c r="EF319" s="200"/>
      <c r="EG319" s="200"/>
      <c r="EH319" s="200"/>
      <c r="EI319" s="200"/>
      <c r="EJ319" s="200"/>
      <c r="EK319" s="200"/>
      <c r="EL319" s="200"/>
      <c r="EM319" s="200"/>
      <c r="EN319" s="200"/>
      <c r="EO319" s="200"/>
      <c r="EP319" s="200"/>
      <c r="EQ319" s="200"/>
      <c r="ER319" s="200"/>
      <c r="ES319" s="200"/>
      <c r="ET319" s="200"/>
      <c r="EU319" s="200"/>
      <c r="EV319" s="200"/>
      <c r="EW319" s="200"/>
      <c r="EX319" s="200"/>
      <c r="EY319" s="200"/>
      <c r="EZ319" s="200"/>
      <c r="FA319" s="200"/>
      <c r="FB319" s="200"/>
      <c r="FC319" s="200"/>
      <c r="FD319" s="200"/>
      <c r="FE319" s="200"/>
      <c r="FF319" s="200"/>
      <c r="FG319" s="200"/>
      <c r="FH319" s="200"/>
      <c r="FI319" s="200"/>
      <c r="FJ319" s="200"/>
      <c r="FK319" s="200"/>
      <c r="FL319" s="200"/>
      <c r="FM319" s="200"/>
      <c r="FN319" s="200"/>
      <c r="FO319" s="200"/>
      <c r="FP319" s="200"/>
      <c r="FQ319" s="200"/>
      <c r="FR319" s="200"/>
      <c r="FS319" s="200"/>
      <c r="FT319" s="200"/>
      <c r="FU319" s="200"/>
      <c r="FV319" s="200"/>
      <c r="FW319" s="200"/>
      <c r="FX319" s="200"/>
      <c r="FY319" s="200"/>
      <c r="FZ319" s="200"/>
      <c r="GA319" s="200"/>
      <c r="GB319" s="200"/>
      <c r="GC319" s="200"/>
      <c r="GD319" s="200"/>
      <c r="GE319" s="200"/>
      <c r="GF319" s="200"/>
      <c r="GG319" s="200"/>
      <c r="GH319" s="200"/>
      <c r="GI319" s="200"/>
      <c r="GJ319" s="200"/>
      <c r="GK319" s="200"/>
      <c r="GL319" s="200"/>
      <c r="GM319" s="200"/>
      <c r="GN319" s="200"/>
      <c r="GO319" s="200"/>
      <c r="GP319" s="200"/>
      <c r="GQ319" s="200"/>
      <c r="GR319" s="200"/>
      <c r="GS319" s="200"/>
      <c r="GT319" s="200"/>
      <c r="GU319" s="200"/>
      <c r="GV319" s="200"/>
      <c r="GW319" s="200"/>
      <c r="GX319" s="200"/>
      <c r="GY319" s="200"/>
      <c r="GZ319" s="200"/>
      <c r="HA319" s="200"/>
      <c r="HB319" s="200"/>
      <c r="HC319" s="200"/>
      <c r="HD319" s="200"/>
      <c r="HE319" s="200"/>
      <c r="HF319" s="200"/>
      <c r="HG319" s="200"/>
      <c r="HH319" s="200"/>
      <c r="HI319" s="200"/>
      <c r="HJ319" s="200"/>
      <c r="HK319" s="200"/>
      <c r="HL319" s="200"/>
      <c r="HM319" s="200"/>
      <c r="HN319" s="200"/>
      <c r="HO319" s="200"/>
      <c r="HP319" s="200"/>
      <c r="HQ319" s="200"/>
      <c r="HR319" s="200"/>
      <c r="HS319" s="200"/>
      <c r="HT319" s="200"/>
      <c r="HU319" s="200"/>
      <c r="HV319" s="200"/>
      <c r="HW319" s="200"/>
      <c r="HX319" s="200"/>
      <c r="HY319" s="200"/>
      <c r="HZ319" s="200"/>
      <c r="IA319" s="200"/>
      <c r="IB319" s="200"/>
      <c r="IC319" s="200"/>
      <c r="ID319" s="200"/>
      <c r="IE319" s="200"/>
      <c r="IF319" s="200"/>
      <c r="IG319" s="200"/>
      <c r="IH319" s="200"/>
      <c r="II319" s="200"/>
      <c r="IJ319" s="200"/>
      <c r="IK319" s="200"/>
      <c r="IL319" s="200"/>
      <c r="IM319" s="200"/>
      <c r="IN319" s="200"/>
      <c r="IO319" s="200"/>
      <c r="IP319" s="200"/>
      <c r="IQ319" s="200"/>
      <c r="IR319" s="200"/>
      <c r="IS319" s="200"/>
      <c r="IT319" s="200"/>
      <c r="IU319" s="201"/>
      <c r="IV319" s="201"/>
    </row>
    <row r="320" s="10" customFormat="1" ht="15.95" customHeight="1" spans="1:256">
      <c r="A320" s="199">
        <v>14</v>
      </c>
      <c r="B320" s="20" t="s">
        <v>2302</v>
      </c>
      <c r="C320" s="20" t="s">
        <v>2304</v>
      </c>
      <c r="D320" s="199">
        <v>7014</v>
      </c>
      <c r="E320" s="199">
        <f>'05版台时'!Q527</f>
        <v>64.9250248135649</v>
      </c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  <c r="AA320" s="200"/>
      <c r="AB320" s="200"/>
      <c r="AC320" s="200"/>
      <c r="AD320" s="200"/>
      <c r="AE320" s="200"/>
      <c r="AF320" s="200"/>
      <c r="AG320" s="200"/>
      <c r="AH320" s="200"/>
      <c r="AI320" s="200"/>
      <c r="AJ320" s="200"/>
      <c r="AK320" s="200"/>
      <c r="AL320" s="200"/>
      <c r="AM320" s="200"/>
      <c r="AN320" s="200"/>
      <c r="AO320" s="200"/>
      <c r="AP320" s="200"/>
      <c r="AQ320" s="200"/>
      <c r="AR320" s="200"/>
      <c r="AS320" s="200"/>
      <c r="AT320" s="200"/>
      <c r="AU320" s="200"/>
      <c r="AV320" s="200"/>
      <c r="AW320" s="200"/>
      <c r="AX320" s="200"/>
      <c r="AY320" s="200"/>
      <c r="AZ320" s="200"/>
      <c r="BA320" s="200"/>
      <c r="BB320" s="200"/>
      <c r="BC320" s="200"/>
      <c r="BD320" s="200"/>
      <c r="BE320" s="200"/>
      <c r="BF320" s="200"/>
      <c r="BG320" s="200"/>
      <c r="BH320" s="200"/>
      <c r="BI320" s="200"/>
      <c r="BJ320" s="200"/>
      <c r="BK320" s="200"/>
      <c r="BL320" s="200"/>
      <c r="BM320" s="200"/>
      <c r="BN320" s="200"/>
      <c r="BO320" s="200"/>
      <c r="BP320" s="200"/>
      <c r="BQ320" s="200"/>
      <c r="BR320" s="200"/>
      <c r="BS320" s="200"/>
      <c r="BT320" s="200"/>
      <c r="BU320" s="200"/>
      <c r="BV320" s="200"/>
      <c r="BW320" s="200"/>
      <c r="BX320" s="200"/>
      <c r="BY320" s="200"/>
      <c r="BZ320" s="200"/>
      <c r="CA320" s="200"/>
      <c r="CB320" s="200"/>
      <c r="CC320" s="200"/>
      <c r="CD320" s="200"/>
      <c r="CE320" s="200"/>
      <c r="CF320" s="200"/>
      <c r="CG320" s="200"/>
      <c r="CH320" s="200"/>
      <c r="CI320" s="200"/>
      <c r="CJ320" s="200"/>
      <c r="CK320" s="200"/>
      <c r="CL320" s="200"/>
      <c r="CM320" s="200"/>
      <c r="CN320" s="200"/>
      <c r="CO320" s="200"/>
      <c r="CP320" s="200"/>
      <c r="CQ320" s="200"/>
      <c r="CR320" s="200"/>
      <c r="CS320" s="200"/>
      <c r="CT320" s="200"/>
      <c r="CU320" s="200"/>
      <c r="CV320" s="200"/>
      <c r="CW320" s="200"/>
      <c r="CX320" s="200"/>
      <c r="CY320" s="200"/>
      <c r="CZ320" s="200"/>
      <c r="DA320" s="200"/>
      <c r="DB320" s="200"/>
      <c r="DC320" s="200"/>
      <c r="DD320" s="200"/>
      <c r="DE320" s="200"/>
      <c r="DF320" s="200"/>
      <c r="DG320" s="200"/>
      <c r="DH320" s="200"/>
      <c r="DI320" s="200"/>
      <c r="DJ320" s="200"/>
      <c r="DK320" s="200"/>
      <c r="DL320" s="200"/>
      <c r="DM320" s="200"/>
      <c r="DN320" s="200"/>
      <c r="DO320" s="200"/>
      <c r="DP320" s="200"/>
      <c r="DQ320" s="200"/>
      <c r="DR320" s="200"/>
      <c r="DS320" s="200"/>
      <c r="DT320" s="200"/>
      <c r="DU320" s="200"/>
      <c r="DV320" s="200"/>
      <c r="DW320" s="200"/>
      <c r="DX320" s="200"/>
      <c r="DY320" s="200"/>
      <c r="DZ320" s="200"/>
      <c r="EA320" s="200"/>
      <c r="EB320" s="200"/>
      <c r="EC320" s="200"/>
      <c r="ED320" s="200"/>
      <c r="EE320" s="200"/>
      <c r="EF320" s="200"/>
      <c r="EG320" s="200"/>
      <c r="EH320" s="200"/>
      <c r="EI320" s="200"/>
      <c r="EJ320" s="200"/>
      <c r="EK320" s="200"/>
      <c r="EL320" s="200"/>
      <c r="EM320" s="200"/>
      <c r="EN320" s="200"/>
      <c r="EO320" s="200"/>
      <c r="EP320" s="200"/>
      <c r="EQ320" s="200"/>
      <c r="ER320" s="200"/>
      <c r="ES320" s="200"/>
      <c r="ET320" s="200"/>
      <c r="EU320" s="200"/>
      <c r="EV320" s="200"/>
      <c r="EW320" s="200"/>
      <c r="EX320" s="200"/>
      <c r="EY320" s="200"/>
      <c r="EZ320" s="200"/>
      <c r="FA320" s="200"/>
      <c r="FB320" s="200"/>
      <c r="FC320" s="200"/>
      <c r="FD320" s="200"/>
      <c r="FE320" s="200"/>
      <c r="FF320" s="200"/>
      <c r="FG320" s="200"/>
      <c r="FH320" s="200"/>
      <c r="FI320" s="200"/>
      <c r="FJ320" s="200"/>
      <c r="FK320" s="200"/>
      <c r="FL320" s="200"/>
      <c r="FM320" s="200"/>
      <c r="FN320" s="200"/>
      <c r="FO320" s="200"/>
      <c r="FP320" s="200"/>
      <c r="FQ320" s="200"/>
      <c r="FR320" s="200"/>
      <c r="FS320" s="200"/>
      <c r="FT320" s="200"/>
      <c r="FU320" s="200"/>
      <c r="FV320" s="200"/>
      <c r="FW320" s="200"/>
      <c r="FX320" s="200"/>
      <c r="FY320" s="200"/>
      <c r="FZ320" s="200"/>
      <c r="GA320" s="200"/>
      <c r="GB320" s="200"/>
      <c r="GC320" s="200"/>
      <c r="GD320" s="200"/>
      <c r="GE320" s="200"/>
      <c r="GF320" s="200"/>
      <c r="GG320" s="200"/>
      <c r="GH320" s="200"/>
      <c r="GI320" s="200"/>
      <c r="GJ320" s="200"/>
      <c r="GK320" s="200"/>
      <c r="GL320" s="200"/>
      <c r="GM320" s="200"/>
      <c r="GN320" s="200"/>
      <c r="GO320" s="200"/>
      <c r="GP320" s="200"/>
      <c r="GQ320" s="200"/>
      <c r="GR320" s="200"/>
      <c r="GS320" s="200"/>
      <c r="GT320" s="200"/>
      <c r="GU320" s="200"/>
      <c r="GV320" s="200"/>
      <c r="GW320" s="200"/>
      <c r="GX320" s="200"/>
      <c r="GY320" s="200"/>
      <c r="GZ320" s="200"/>
      <c r="HA320" s="200"/>
      <c r="HB320" s="200"/>
      <c r="HC320" s="200"/>
      <c r="HD320" s="200"/>
      <c r="HE320" s="200"/>
      <c r="HF320" s="200"/>
      <c r="HG320" s="200"/>
      <c r="HH320" s="200"/>
      <c r="HI320" s="200"/>
      <c r="HJ320" s="200"/>
      <c r="HK320" s="200"/>
      <c r="HL320" s="200"/>
      <c r="HM320" s="200"/>
      <c r="HN320" s="200"/>
      <c r="HO320" s="200"/>
      <c r="HP320" s="200"/>
      <c r="HQ320" s="200"/>
      <c r="HR320" s="200"/>
      <c r="HS320" s="200"/>
      <c r="HT320" s="200"/>
      <c r="HU320" s="200"/>
      <c r="HV320" s="200"/>
      <c r="HW320" s="200"/>
      <c r="HX320" s="200"/>
      <c r="HY320" s="200"/>
      <c r="HZ320" s="200"/>
      <c r="IA320" s="200"/>
      <c r="IB320" s="200"/>
      <c r="IC320" s="200"/>
      <c r="ID320" s="200"/>
      <c r="IE320" s="200"/>
      <c r="IF320" s="200"/>
      <c r="IG320" s="200"/>
      <c r="IH320" s="200"/>
      <c r="II320" s="200"/>
      <c r="IJ320" s="200"/>
      <c r="IK320" s="200"/>
      <c r="IL320" s="200"/>
      <c r="IM320" s="200"/>
      <c r="IN320" s="200"/>
      <c r="IO320" s="200"/>
      <c r="IP320" s="200"/>
      <c r="IQ320" s="200"/>
      <c r="IR320" s="200"/>
      <c r="IS320" s="200"/>
      <c r="IT320" s="200"/>
      <c r="IU320" s="201"/>
      <c r="IV320" s="201"/>
    </row>
    <row r="321" s="10" customFormat="1" ht="15.95" customHeight="1" spans="1:256">
      <c r="A321" s="199">
        <v>15</v>
      </c>
      <c r="B321" s="20" t="s">
        <v>2305</v>
      </c>
      <c r="C321" s="20" t="s">
        <v>2306</v>
      </c>
      <c r="D321" s="199">
        <v>7015</v>
      </c>
      <c r="E321" s="199">
        <f>'05版台时'!R527</f>
        <v>33.8095240157986</v>
      </c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  <c r="AA321" s="200"/>
      <c r="AB321" s="200"/>
      <c r="AC321" s="200"/>
      <c r="AD321" s="200"/>
      <c r="AE321" s="200"/>
      <c r="AF321" s="200"/>
      <c r="AG321" s="200"/>
      <c r="AH321" s="200"/>
      <c r="AI321" s="200"/>
      <c r="AJ321" s="200"/>
      <c r="AK321" s="200"/>
      <c r="AL321" s="200"/>
      <c r="AM321" s="200"/>
      <c r="AN321" s="200"/>
      <c r="AO321" s="200"/>
      <c r="AP321" s="200"/>
      <c r="AQ321" s="200"/>
      <c r="AR321" s="200"/>
      <c r="AS321" s="200"/>
      <c r="AT321" s="200"/>
      <c r="AU321" s="200"/>
      <c r="AV321" s="200"/>
      <c r="AW321" s="200"/>
      <c r="AX321" s="200"/>
      <c r="AY321" s="200"/>
      <c r="AZ321" s="200"/>
      <c r="BA321" s="200"/>
      <c r="BB321" s="200"/>
      <c r="BC321" s="200"/>
      <c r="BD321" s="200"/>
      <c r="BE321" s="200"/>
      <c r="BF321" s="200"/>
      <c r="BG321" s="200"/>
      <c r="BH321" s="200"/>
      <c r="BI321" s="200"/>
      <c r="BJ321" s="200"/>
      <c r="BK321" s="200"/>
      <c r="BL321" s="200"/>
      <c r="BM321" s="200"/>
      <c r="BN321" s="200"/>
      <c r="BO321" s="200"/>
      <c r="BP321" s="200"/>
      <c r="BQ321" s="200"/>
      <c r="BR321" s="200"/>
      <c r="BS321" s="200"/>
      <c r="BT321" s="200"/>
      <c r="BU321" s="200"/>
      <c r="BV321" s="200"/>
      <c r="BW321" s="200"/>
      <c r="BX321" s="200"/>
      <c r="BY321" s="200"/>
      <c r="BZ321" s="200"/>
      <c r="CA321" s="200"/>
      <c r="CB321" s="200"/>
      <c r="CC321" s="200"/>
      <c r="CD321" s="200"/>
      <c r="CE321" s="200"/>
      <c r="CF321" s="200"/>
      <c r="CG321" s="200"/>
      <c r="CH321" s="200"/>
      <c r="CI321" s="200"/>
      <c r="CJ321" s="200"/>
      <c r="CK321" s="200"/>
      <c r="CL321" s="200"/>
      <c r="CM321" s="200"/>
      <c r="CN321" s="200"/>
      <c r="CO321" s="200"/>
      <c r="CP321" s="200"/>
      <c r="CQ321" s="200"/>
      <c r="CR321" s="200"/>
      <c r="CS321" s="200"/>
      <c r="CT321" s="200"/>
      <c r="CU321" s="200"/>
      <c r="CV321" s="200"/>
      <c r="CW321" s="200"/>
      <c r="CX321" s="200"/>
      <c r="CY321" s="200"/>
      <c r="CZ321" s="200"/>
      <c r="DA321" s="200"/>
      <c r="DB321" s="200"/>
      <c r="DC321" s="200"/>
      <c r="DD321" s="200"/>
      <c r="DE321" s="200"/>
      <c r="DF321" s="200"/>
      <c r="DG321" s="200"/>
      <c r="DH321" s="200"/>
      <c r="DI321" s="200"/>
      <c r="DJ321" s="200"/>
      <c r="DK321" s="200"/>
      <c r="DL321" s="200"/>
      <c r="DM321" s="200"/>
      <c r="DN321" s="200"/>
      <c r="DO321" s="200"/>
      <c r="DP321" s="200"/>
      <c r="DQ321" s="200"/>
      <c r="DR321" s="200"/>
      <c r="DS321" s="200"/>
      <c r="DT321" s="200"/>
      <c r="DU321" s="200"/>
      <c r="DV321" s="200"/>
      <c r="DW321" s="200"/>
      <c r="DX321" s="200"/>
      <c r="DY321" s="200"/>
      <c r="DZ321" s="200"/>
      <c r="EA321" s="200"/>
      <c r="EB321" s="200"/>
      <c r="EC321" s="200"/>
      <c r="ED321" s="200"/>
      <c r="EE321" s="200"/>
      <c r="EF321" s="200"/>
      <c r="EG321" s="200"/>
      <c r="EH321" s="200"/>
      <c r="EI321" s="200"/>
      <c r="EJ321" s="200"/>
      <c r="EK321" s="200"/>
      <c r="EL321" s="200"/>
      <c r="EM321" s="200"/>
      <c r="EN321" s="200"/>
      <c r="EO321" s="200"/>
      <c r="EP321" s="200"/>
      <c r="EQ321" s="200"/>
      <c r="ER321" s="200"/>
      <c r="ES321" s="200"/>
      <c r="ET321" s="200"/>
      <c r="EU321" s="200"/>
      <c r="EV321" s="200"/>
      <c r="EW321" s="200"/>
      <c r="EX321" s="200"/>
      <c r="EY321" s="200"/>
      <c r="EZ321" s="200"/>
      <c r="FA321" s="200"/>
      <c r="FB321" s="200"/>
      <c r="FC321" s="200"/>
      <c r="FD321" s="200"/>
      <c r="FE321" s="200"/>
      <c r="FF321" s="200"/>
      <c r="FG321" s="200"/>
      <c r="FH321" s="200"/>
      <c r="FI321" s="200"/>
      <c r="FJ321" s="200"/>
      <c r="FK321" s="200"/>
      <c r="FL321" s="200"/>
      <c r="FM321" s="200"/>
      <c r="FN321" s="200"/>
      <c r="FO321" s="200"/>
      <c r="FP321" s="200"/>
      <c r="FQ321" s="200"/>
      <c r="FR321" s="200"/>
      <c r="FS321" s="200"/>
      <c r="FT321" s="200"/>
      <c r="FU321" s="200"/>
      <c r="FV321" s="200"/>
      <c r="FW321" s="200"/>
      <c r="FX321" s="200"/>
      <c r="FY321" s="200"/>
      <c r="FZ321" s="200"/>
      <c r="GA321" s="200"/>
      <c r="GB321" s="200"/>
      <c r="GC321" s="200"/>
      <c r="GD321" s="200"/>
      <c r="GE321" s="200"/>
      <c r="GF321" s="200"/>
      <c r="GG321" s="200"/>
      <c r="GH321" s="200"/>
      <c r="GI321" s="200"/>
      <c r="GJ321" s="200"/>
      <c r="GK321" s="200"/>
      <c r="GL321" s="200"/>
      <c r="GM321" s="200"/>
      <c r="GN321" s="200"/>
      <c r="GO321" s="200"/>
      <c r="GP321" s="200"/>
      <c r="GQ321" s="200"/>
      <c r="GR321" s="200"/>
      <c r="GS321" s="200"/>
      <c r="GT321" s="200"/>
      <c r="GU321" s="200"/>
      <c r="GV321" s="200"/>
      <c r="GW321" s="200"/>
      <c r="GX321" s="200"/>
      <c r="GY321" s="200"/>
      <c r="GZ321" s="200"/>
      <c r="HA321" s="200"/>
      <c r="HB321" s="200"/>
      <c r="HC321" s="200"/>
      <c r="HD321" s="200"/>
      <c r="HE321" s="200"/>
      <c r="HF321" s="200"/>
      <c r="HG321" s="200"/>
      <c r="HH321" s="200"/>
      <c r="HI321" s="200"/>
      <c r="HJ321" s="200"/>
      <c r="HK321" s="200"/>
      <c r="HL321" s="200"/>
      <c r="HM321" s="200"/>
      <c r="HN321" s="200"/>
      <c r="HO321" s="200"/>
      <c r="HP321" s="200"/>
      <c r="HQ321" s="200"/>
      <c r="HR321" s="200"/>
      <c r="HS321" s="200"/>
      <c r="HT321" s="200"/>
      <c r="HU321" s="200"/>
      <c r="HV321" s="200"/>
      <c r="HW321" s="200"/>
      <c r="HX321" s="200"/>
      <c r="HY321" s="200"/>
      <c r="HZ321" s="200"/>
      <c r="IA321" s="200"/>
      <c r="IB321" s="200"/>
      <c r="IC321" s="200"/>
      <c r="ID321" s="200"/>
      <c r="IE321" s="200"/>
      <c r="IF321" s="200"/>
      <c r="IG321" s="200"/>
      <c r="IH321" s="200"/>
      <c r="II321" s="200"/>
      <c r="IJ321" s="200"/>
      <c r="IK321" s="200"/>
      <c r="IL321" s="200"/>
      <c r="IM321" s="200"/>
      <c r="IN321" s="200"/>
      <c r="IO321" s="200"/>
      <c r="IP321" s="200"/>
      <c r="IQ321" s="200"/>
      <c r="IR321" s="200"/>
      <c r="IS321" s="200"/>
      <c r="IT321" s="200"/>
      <c r="IU321" s="201"/>
      <c r="IV321" s="201"/>
    </row>
    <row r="322" s="10" customFormat="1" ht="15.95" customHeight="1" spans="1:256">
      <c r="A322" s="199">
        <v>16</v>
      </c>
      <c r="B322" s="20" t="s">
        <v>2305</v>
      </c>
      <c r="C322" s="20" t="s">
        <v>2307</v>
      </c>
      <c r="D322" s="199">
        <v>7016</v>
      </c>
      <c r="E322" s="199">
        <f>'05版台时'!S527</f>
        <v>43.0792707250128</v>
      </c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  <c r="AA322" s="200"/>
      <c r="AB322" s="200"/>
      <c r="AC322" s="200"/>
      <c r="AD322" s="200"/>
      <c r="AE322" s="200"/>
      <c r="AF322" s="200"/>
      <c r="AG322" s="200"/>
      <c r="AH322" s="200"/>
      <c r="AI322" s="200"/>
      <c r="AJ322" s="200"/>
      <c r="AK322" s="200"/>
      <c r="AL322" s="200"/>
      <c r="AM322" s="200"/>
      <c r="AN322" s="200"/>
      <c r="AO322" s="200"/>
      <c r="AP322" s="200"/>
      <c r="AQ322" s="200"/>
      <c r="AR322" s="200"/>
      <c r="AS322" s="200"/>
      <c r="AT322" s="200"/>
      <c r="AU322" s="200"/>
      <c r="AV322" s="200"/>
      <c r="AW322" s="200"/>
      <c r="AX322" s="200"/>
      <c r="AY322" s="200"/>
      <c r="AZ322" s="200"/>
      <c r="BA322" s="200"/>
      <c r="BB322" s="200"/>
      <c r="BC322" s="200"/>
      <c r="BD322" s="200"/>
      <c r="BE322" s="200"/>
      <c r="BF322" s="200"/>
      <c r="BG322" s="200"/>
      <c r="BH322" s="200"/>
      <c r="BI322" s="200"/>
      <c r="BJ322" s="200"/>
      <c r="BK322" s="200"/>
      <c r="BL322" s="200"/>
      <c r="BM322" s="200"/>
      <c r="BN322" s="200"/>
      <c r="BO322" s="200"/>
      <c r="BP322" s="200"/>
      <c r="BQ322" s="200"/>
      <c r="BR322" s="200"/>
      <c r="BS322" s="200"/>
      <c r="BT322" s="200"/>
      <c r="BU322" s="200"/>
      <c r="BV322" s="200"/>
      <c r="BW322" s="200"/>
      <c r="BX322" s="200"/>
      <c r="BY322" s="200"/>
      <c r="BZ322" s="200"/>
      <c r="CA322" s="200"/>
      <c r="CB322" s="200"/>
      <c r="CC322" s="200"/>
      <c r="CD322" s="200"/>
      <c r="CE322" s="200"/>
      <c r="CF322" s="200"/>
      <c r="CG322" s="200"/>
      <c r="CH322" s="200"/>
      <c r="CI322" s="200"/>
      <c r="CJ322" s="200"/>
      <c r="CK322" s="200"/>
      <c r="CL322" s="200"/>
      <c r="CM322" s="200"/>
      <c r="CN322" s="200"/>
      <c r="CO322" s="200"/>
      <c r="CP322" s="200"/>
      <c r="CQ322" s="200"/>
      <c r="CR322" s="200"/>
      <c r="CS322" s="200"/>
      <c r="CT322" s="200"/>
      <c r="CU322" s="200"/>
      <c r="CV322" s="200"/>
      <c r="CW322" s="200"/>
      <c r="CX322" s="200"/>
      <c r="CY322" s="200"/>
      <c r="CZ322" s="200"/>
      <c r="DA322" s="200"/>
      <c r="DB322" s="200"/>
      <c r="DC322" s="200"/>
      <c r="DD322" s="200"/>
      <c r="DE322" s="200"/>
      <c r="DF322" s="200"/>
      <c r="DG322" s="200"/>
      <c r="DH322" s="200"/>
      <c r="DI322" s="200"/>
      <c r="DJ322" s="200"/>
      <c r="DK322" s="200"/>
      <c r="DL322" s="200"/>
      <c r="DM322" s="200"/>
      <c r="DN322" s="200"/>
      <c r="DO322" s="200"/>
      <c r="DP322" s="200"/>
      <c r="DQ322" s="200"/>
      <c r="DR322" s="200"/>
      <c r="DS322" s="200"/>
      <c r="DT322" s="200"/>
      <c r="DU322" s="200"/>
      <c r="DV322" s="200"/>
      <c r="DW322" s="200"/>
      <c r="DX322" s="200"/>
      <c r="DY322" s="200"/>
      <c r="DZ322" s="200"/>
      <c r="EA322" s="200"/>
      <c r="EB322" s="200"/>
      <c r="EC322" s="200"/>
      <c r="ED322" s="200"/>
      <c r="EE322" s="200"/>
      <c r="EF322" s="200"/>
      <c r="EG322" s="200"/>
      <c r="EH322" s="200"/>
      <c r="EI322" s="200"/>
      <c r="EJ322" s="200"/>
      <c r="EK322" s="200"/>
      <c r="EL322" s="200"/>
      <c r="EM322" s="200"/>
      <c r="EN322" s="200"/>
      <c r="EO322" s="200"/>
      <c r="EP322" s="200"/>
      <c r="EQ322" s="200"/>
      <c r="ER322" s="200"/>
      <c r="ES322" s="200"/>
      <c r="ET322" s="200"/>
      <c r="EU322" s="200"/>
      <c r="EV322" s="200"/>
      <c r="EW322" s="200"/>
      <c r="EX322" s="200"/>
      <c r="EY322" s="200"/>
      <c r="EZ322" s="200"/>
      <c r="FA322" s="200"/>
      <c r="FB322" s="200"/>
      <c r="FC322" s="200"/>
      <c r="FD322" s="200"/>
      <c r="FE322" s="200"/>
      <c r="FF322" s="200"/>
      <c r="FG322" s="200"/>
      <c r="FH322" s="200"/>
      <c r="FI322" s="200"/>
      <c r="FJ322" s="200"/>
      <c r="FK322" s="200"/>
      <c r="FL322" s="200"/>
      <c r="FM322" s="200"/>
      <c r="FN322" s="200"/>
      <c r="FO322" s="200"/>
      <c r="FP322" s="200"/>
      <c r="FQ322" s="200"/>
      <c r="FR322" s="200"/>
      <c r="FS322" s="200"/>
      <c r="FT322" s="200"/>
      <c r="FU322" s="200"/>
      <c r="FV322" s="200"/>
      <c r="FW322" s="200"/>
      <c r="FX322" s="200"/>
      <c r="FY322" s="200"/>
      <c r="FZ322" s="200"/>
      <c r="GA322" s="200"/>
      <c r="GB322" s="200"/>
      <c r="GC322" s="200"/>
      <c r="GD322" s="200"/>
      <c r="GE322" s="200"/>
      <c r="GF322" s="200"/>
      <c r="GG322" s="200"/>
      <c r="GH322" s="200"/>
      <c r="GI322" s="200"/>
      <c r="GJ322" s="200"/>
      <c r="GK322" s="200"/>
      <c r="GL322" s="200"/>
      <c r="GM322" s="200"/>
      <c r="GN322" s="200"/>
      <c r="GO322" s="200"/>
      <c r="GP322" s="200"/>
      <c r="GQ322" s="200"/>
      <c r="GR322" s="200"/>
      <c r="GS322" s="200"/>
      <c r="GT322" s="200"/>
      <c r="GU322" s="200"/>
      <c r="GV322" s="200"/>
      <c r="GW322" s="200"/>
      <c r="GX322" s="200"/>
      <c r="GY322" s="200"/>
      <c r="GZ322" s="200"/>
      <c r="HA322" s="200"/>
      <c r="HB322" s="200"/>
      <c r="HC322" s="200"/>
      <c r="HD322" s="200"/>
      <c r="HE322" s="200"/>
      <c r="HF322" s="200"/>
      <c r="HG322" s="200"/>
      <c r="HH322" s="200"/>
      <c r="HI322" s="200"/>
      <c r="HJ322" s="200"/>
      <c r="HK322" s="200"/>
      <c r="HL322" s="200"/>
      <c r="HM322" s="200"/>
      <c r="HN322" s="200"/>
      <c r="HO322" s="200"/>
      <c r="HP322" s="200"/>
      <c r="HQ322" s="200"/>
      <c r="HR322" s="200"/>
      <c r="HS322" s="200"/>
      <c r="HT322" s="200"/>
      <c r="HU322" s="200"/>
      <c r="HV322" s="200"/>
      <c r="HW322" s="200"/>
      <c r="HX322" s="200"/>
      <c r="HY322" s="200"/>
      <c r="HZ322" s="200"/>
      <c r="IA322" s="200"/>
      <c r="IB322" s="200"/>
      <c r="IC322" s="200"/>
      <c r="ID322" s="200"/>
      <c r="IE322" s="200"/>
      <c r="IF322" s="200"/>
      <c r="IG322" s="200"/>
      <c r="IH322" s="200"/>
      <c r="II322" s="200"/>
      <c r="IJ322" s="200"/>
      <c r="IK322" s="200"/>
      <c r="IL322" s="200"/>
      <c r="IM322" s="200"/>
      <c r="IN322" s="200"/>
      <c r="IO322" s="200"/>
      <c r="IP322" s="200"/>
      <c r="IQ322" s="200"/>
      <c r="IR322" s="200"/>
      <c r="IS322" s="200"/>
      <c r="IT322" s="200"/>
      <c r="IU322" s="201"/>
      <c r="IV322" s="201"/>
    </row>
    <row r="323" s="10" customFormat="1" ht="15.95" customHeight="1" spans="1:256">
      <c r="A323" s="199">
        <v>17</v>
      </c>
      <c r="B323" s="20" t="s">
        <v>2305</v>
      </c>
      <c r="C323" s="20" t="s">
        <v>2308</v>
      </c>
      <c r="D323" s="199">
        <v>7017</v>
      </c>
      <c r="E323" s="199">
        <f>'05版台时'!T527</f>
        <v>51.5190920253718</v>
      </c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  <c r="AA323" s="200"/>
      <c r="AB323" s="200"/>
      <c r="AC323" s="200"/>
      <c r="AD323" s="200"/>
      <c r="AE323" s="200"/>
      <c r="AF323" s="200"/>
      <c r="AG323" s="200"/>
      <c r="AH323" s="200"/>
      <c r="AI323" s="200"/>
      <c r="AJ323" s="200"/>
      <c r="AK323" s="200"/>
      <c r="AL323" s="200"/>
      <c r="AM323" s="200"/>
      <c r="AN323" s="200"/>
      <c r="AO323" s="200"/>
      <c r="AP323" s="200"/>
      <c r="AQ323" s="200"/>
      <c r="AR323" s="200"/>
      <c r="AS323" s="200"/>
      <c r="AT323" s="200"/>
      <c r="AU323" s="200"/>
      <c r="AV323" s="200"/>
      <c r="AW323" s="200"/>
      <c r="AX323" s="200"/>
      <c r="AY323" s="200"/>
      <c r="AZ323" s="200"/>
      <c r="BA323" s="200"/>
      <c r="BB323" s="200"/>
      <c r="BC323" s="200"/>
      <c r="BD323" s="200"/>
      <c r="BE323" s="200"/>
      <c r="BF323" s="200"/>
      <c r="BG323" s="200"/>
      <c r="BH323" s="200"/>
      <c r="BI323" s="200"/>
      <c r="BJ323" s="200"/>
      <c r="BK323" s="200"/>
      <c r="BL323" s="200"/>
      <c r="BM323" s="200"/>
      <c r="BN323" s="200"/>
      <c r="BO323" s="200"/>
      <c r="BP323" s="200"/>
      <c r="BQ323" s="200"/>
      <c r="BR323" s="200"/>
      <c r="BS323" s="200"/>
      <c r="BT323" s="200"/>
      <c r="BU323" s="200"/>
      <c r="BV323" s="200"/>
      <c r="BW323" s="200"/>
      <c r="BX323" s="200"/>
      <c r="BY323" s="200"/>
      <c r="BZ323" s="200"/>
      <c r="CA323" s="200"/>
      <c r="CB323" s="200"/>
      <c r="CC323" s="200"/>
      <c r="CD323" s="200"/>
      <c r="CE323" s="200"/>
      <c r="CF323" s="200"/>
      <c r="CG323" s="200"/>
      <c r="CH323" s="200"/>
      <c r="CI323" s="200"/>
      <c r="CJ323" s="200"/>
      <c r="CK323" s="200"/>
      <c r="CL323" s="200"/>
      <c r="CM323" s="200"/>
      <c r="CN323" s="200"/>
      <c r="CO323" s="200"/>
      <c r="CP323" s="200"/>
      <c r="CQ323" s="200"/>
      <c r="CR323" s="200"/>
      <c r="CS323" s="200"/>
      <c r="CT323" s="200"/>
      <c r="CU323" s="200"/>
      <c r="CV323" s="200"/>
      <c r="CW323" s="200"/>
      <c r="CX323" s="200"/>
      <c r="CY323" s="200"/>
      <c r="CZ323" s="200"/>
      <c r="DA323" s="200"/>
      <c r="DB323" s="200"/>
      <c r="DC323" s="200"/>
      <c r="DD323" s="200"/>
      <c r="DE323" s="200"/>
      <c r="DF323" s="200"/>
      <c r="DG323" s="200"/>
      <c r="DH323" s="200"/>
      <c r="DI323" s="200"/>
      <c r="DJ323" s="200"/>
      <c r="DK323" s="200"/>
      <c r="DL323" s="200"/>
      <c r="DM323" s="200"/>
      <c r="DN323" s="200"/>
      <c r="DO323" s="200"/>
      <c r="DP323" s="200"/>
      <c r="DQ323" s="200"/>
      <c r="DR323" s="200"/>
      <c r="DS323" s="200"/>
      <c r="DT323" s="200"/>
      <c r="DU323" s="200"/>
      <c r="DV323" s="200"/>
      <c r="DW323" s="200"/>
      <c r="DX323" s="200"/>
      <c r="DY323" s="200"/>
      <c r="DZ323" s="200"/>
      <c r="EA323" s="200"/>
      <c r="EB323" s="200"/>
      <c r="EC323" s="200"/>
      <c r="ED323" s="200"/>
      <c r="EE323" s="200"/>
      <c r="EF323" s="200"/>
      <c r="EG323" s="200"/>
      <c r="EH323" s="200"/>
      <c r="EI323" s="200"/>
      <c r="EJ323" s="200"/>
      <c r="EK323" s="200"/>
      <c r="EL323" s="200"/>
      <c r="EM323" s="200"/>
      <c r="EN323" s="200"/>
      <c r="EO323" s="200"/>
      <c r="EP323" s="200"/>
      <c r="EQ323" s="200"/>
      <c r="ER323" s="200"/>
      <c r="ES323" s="200"/>
      <c r="ET323" s="200"/>
      <c r="EU323" s="200"/>
      <c r="EV323" s="200"/>
      <c r="EW323" s="200"/>
      <c r="EX323" s="200"/>
      <c r="EY323" s="200"/>
      <c r="EZ323" s="200"/>
      <c r="FA323" s="200"/>
      <c r="FB323" s="200"/>
      <c r="FC323" s="200"/>
      <c r="FD323" s="200"/>
      <c r="FE323" s="200"/>
      <c r="FF323" s="200"/>
      <c r="FG323" s="200"/>
      <c r="FH323" s="200"/>
      <c r="FI323" s="200"/>
      <c r="FJ323" s="200"/>
      <c r="FK323" s="200"/>
      <c r="FL323" s="200"/>
      <c r="FM323" s="200"/>
      <c r="FN323" s="200"/>
      <c r="FO323" s="200"/>
      <c r="FP323" s="200"/>
      <c r="FQ323" s="200"/>
      <c r="FR323" s="200"/>
      <c r="FS323" s="200"/>
      <c r="FT323" s="200"/>
      <c r="FU323" s="200"/>
      <c r="FV323" s="200"/>
      <c r="FW323" s="200"/>
      <c r="FX323" s="200"/>
      <c r="FY323" s="200"/>
      <c r="FZ323" s="200"/>
      <c r="GA323" s="200"/>
      <c r="GB323" s="200"/>
      <c r="GC323" s="200"/>
      <c r="GD323" s="200"/>
      <c r="GE323" s="200"/>
      <c r="GF323" s="200"/>
      <c r="GG323" s="200"/>
      <c r="GH323" s="200"/>
      <c r="GI323" s="200"/>
      <c r="GJ323" s="200"/>
      <c r="GK323" s="200"/>
      <c r="GL323" s="200"/>
      <c r="GM323" s="200"/>
      <c r="GN323" s="200"/>
      <c r="GO323" s="200"/>
      <c r="GP323" s="200"/>
      <c r="GQ323" s="200"/>
      <c r="GR323" s="200"/>
      <c r="GS323" s="200"/>
      <c r="GT323" s="200"/>
      <c r="GU323" s="200"/>
      <c r="GV323" s="200"/>
      <c r="GW323" s="200"/>
      <c r="GX323" s="200"/>
      <c r="GY323" s="200"/>
      <c r="GZ323" s="200"/>
      <c r="HA323" s="200"/>
      <c r="HB323" s="200"/>
      <c r="HC323" s="200"/>
      <c r="HD323" s="200"/>
      <c r="HE323" s="200"/>
      <c r="HF323" s="200"/>
      <c r="HG323" s="200"/>
      <c r="HH323" s="200"/>
      <c r="HI323" s="200"/>
      <c r="HJ323" s="200"/>
      <c r="HK323" s="200"/>
      <c r="HL323" s="200"/>
      <c r="HM323" s="200"/>
      <c r="HN323" s="200"/>
      <c r="HO323" s="200"/>
      <c r="HP323" s="200"/>
      <c r="HQ323" s="200"/>
      <c r="HR323" s="200"/>
      <c r="HS323" s="200"/>
      <c r="HT323" s="200"/>
      <c r="HU323" s="200"/>
      <c r="HV323" s="200"/>
      <c r="HW323" s="200"/>
      <c r="HX323" s="200"/>
      <c r="HY323" s="200"/>
      <c r="HZ323" s="200"/>
      <c r="IA323" s="200"/>
      <c r="IB323" s="200"/>
      <c r="IC323" s="200"/>
      <c r="ID323" s="200"/>
      <c r="IE323" s="200"/>
      <c r="IF323" s="200"/>
      <c r="IG323" s="200"/>
      <c r="IH323" s="200"/>
      <c r="II323" s="200"/>
      <c r="IJ323" s="200"/>
      <c r="IK323" s="200"/>
      <c r="IL323" s="200"/>
      <c r="IM323" s="200"/>
      <c r="IN323" s="200"/>
      <c r="IO323" s="200"/>
      <c r="IP323" s="200"/>
      <c r="IQ323" s="200"/>
      <c r="IR323" s="200"/>
      <c r="IS323" s="200"/>
      <c r="IT323" s="200"/>
      <c r="IU323" s="201"/>
      <c r="IV323" s="201"/>
    </row>
    <row r="324" s="10" customFormat="1" ht="15.95" customHeight="1" spans="1:256">
      <c r="A324" s="199">
        <v>18</v>
      </c>
      <c r="B324" s="20" t="s">
        <v>2305</v>
      </c>
      <c r="C324" s="20" t="s">
        <v>2309</v>
      </c>
      <c r="D324" s="199">
        <v>7018</v>
      </c>
      <c r="E324" s="199">
        <f>'05版台时'!U527</f>
        <v>57.181230437817</v>
      </c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  <c r="AA324" s="200"/>
      <c r="AB324" s="200"/>
      <c r="AC324" s="200"/>
      <c r="AD324" s="200"/>
      <c r="AE324" s="200"/>
      <c r="AF324" s="200"/>
      <c r="AG324" s="200"/>
      <c r="AH324" s="200"/>
      <c r="AI324" s="200"/>
      <c r="AJ324" s="200"/>
      <c r="AK324" s="200"/>
      <c r="AL324" s="200"/>
      <c r="AM324" s="200"/>
      <c r="AN324" s="200"/>
      <c r="AO324" s="200"/>
      <c r="AP324" s="200"/>
      <c r="AQ324" s="200"/>
      <c r="AR324" s="200"/>
      <c r="AS324" s="200"/>
      <c r="AT324" s="200"/>
      <c r="AU324" s="200"/>
      <c r="AV324" s="200"/>
      <c r="AW324" s="200"/>
      <c r="AX324" s="200"/>
      <c r="AY324" s="200"/>
      <c r="AZ324" s="200"/>
      <c r="BA324" s="200"/>
      <c r="BB324" s="200"/>
      <c r="BC324" s="200"/>
      <c r="BD324" s="200"/>
      <c r="BE324" s="200"/>
      <c r="BF324" s="200"/>
      <c r="BG324" s="200"/>
      <c r="BH324" s="200"/>
      <c r="BI324" s="200"/>
      <c r="BJ324" s="200"/>
      <c r="BK324" s="200"/>
      <c r="BL324" s="200"/>
      <c r="BM324" s="200"/>
      <c r="BN324" s="200"/>
      <c r="BO324" s="200"/>
      <c r="BP324" s="200"/>
      <c r="BQ324" s="200"/>
      <c r="BR324" s="200"/>
      <c r="BS324" s="200"/>
      <c r="BT324" s="200"/>
      <c r="BU324" s="200"/>
      <c r="BV324" s="200"/>
      <c r="BW324" s="200"/>
      <c r="BX324" s="200"/>
      <c r="BY324" s="200"/>
      <c r="BZ324" s="200"/>
      <c r="CA324" s="200"/>
      <c r="CB324" s="200"/>
      <c r="CC324" s="200"/>
      <c r="CD324" s="200"/>
      <c r="CE324" s="200"/>
      <c r="CF324" s="200"/>
      <c r="CG324" s="200"/>
      <c r="CH324" s="200"/>
      <c r="CI324" s="200"/>
      <c r="CJ324" s="200"/>
      <c r="CK324" s="200"/>
      <c r="CL324" s="200"/>
      <c r="CM324" s="200"/>
      <c r="CN324" s="200"/>
      <c r="CO324" s="200"/>
      <c r="CP324" s="200"/>
      <c r="CQ324" s="200"/>
      <c r="CR324" s="200"/>
      <c r="CS324" s="200"/>
      <c r="CT324" s="200"/>
      <c r="CU324" s="200"/>
      <c r="CV324" s="200"/>
      <c r="CW324" s="200"/>
      <c r="CX324" s="200"/>
      <c r="CY324" s="200"/>
      <c r="CZ324" s="200"/>
      <c r="DA324" s="200"/>
      <c r="DB324" s="200"/>
      <c r="DC324" s="200"/>
      <c r="DD324" s="200"/>
      <c r="DE324" s="200"/>
      <c r="DF324" s="200"/>
      <c r="DG324" s="200"/>
      <c r="DH324" s="200"/>
      <c r="DI324" s="200"/>
      <c r="DJ324" s="200"/>
      <c r="DK324" s="200"/>
      <c r="DL324" s="200"/>
      <c r="DM324" s="200"/>
      <c r="DN324" s="200"/>
      <c r="DO324" s="200"/>
      <c r="DP324" s="200"/>
      <c r="DQ324" s="200"/>
      <c r="DR324" s="200"/>
      <c r="DS324" s="200"/>
      <c r="DT324" s="200"/>
      <c r="DU324" s="200"/>
      <c r="DV324" s="200"/>
      <c r="DW324" s="200"/>
      <c r="DX324" s="200"/>
      <c r="DY324" s="200"/>
      <c r="DZ324" s="200"/>
      <c r="EA324" s="200"/>
      <c r="EB324" s="200"/>
      <c r="EC324" s="200"/>
      <c r="ED324" s="200"/>
      <c r="EE324" s="200"/>
      <c r="EF324" s="200"/>
      <c r="EG324" s="200"/>
      <c r="EH324" s="200"/>
      <c r="EI324" s="200"/>
      <c r="EJ324" s="200"/>
      <c r="EK324" s="200"/>
      <c r="EL324" s="200"/>
      <c r="EM324" s="200"/>
      <c r="EN324" s="200"/>
      <c r="EO324" s="200"/>
      <c r="EP324" s="200"/>
      <c r="EQ324" s="200"/>
      <c r="ER324" s="200"/>
      <c r="ES324" s="200"/>
      <c r="ET324" s="200"/>
      <c r="EU324" s="200"/>
      <c r="EV324" s="200"/>
      <c r="EW324" s="200"/>
      <c r="EX324" s="200"/>
      <c r="EY324" s="200"/>
      <c r="EZ324" s="200"/>
      <c r="FA324" s="200"/>
      <c r="FB324" s="200"/>
      <c r="FC324" s="200"/>
      <c r="FD324" s="200"/>
      <c r="FE324" s="200"/>
      <c r="FF324" s="200"/>
      <c r="FG324" s="200"/>
      <c r="FH324" s="200"/>
      <c r="FI324" s="200"/>
      <c r="FJ324" s="200"/>
      <c r="FK324" s="200"/>
      <c r="FL324" s="200"/>
      <c r="FM324" s="200"/>
      <c r="FN324" s="200"/>
      <c r="FO324" s="200"/>
      <c r="FP324" s="200"/>
      <c r="FQ324" s="200"/>
      <c r="FR324" s="200"/>
      <c r="FS324" s="200"/>
      <c r="FT324" s="200"/>
      <c r="FU324" s="200"/>
      <c r="FV324" s="200"/>
      <c r="FW324" s="200"/>
      <c r="FX324" s="200"/>
      <c r="FY324" s="200"/>
      <c r="FZ324" s="200"/>
      <c r="GA324" s="200"/>
      <c r="GB324" s="200"/>
      <c r="GC324" s="200"/>
      <c r="GD324" s="200"/>
      <c r="GE324" s="200"/>
      <c r="GF324" s="200"/>
      <c r="GG324" s="200"/>
      <c r="GH324" s="200"/>
      <c r="GI324" s="200"/>
      <c r="GJ324" s="200"/>
      <c r="GK324" s="200"/>
      <c r="GL324" s="200"/>
      <c r="GM324" s="200"/>
      <c r="GN324" s="200"/>
      <c r="GO324" s="200"/>
      <c r="GP324" s="200"/>
      <c r="GQ324" s="200"/>
      <c r="GR324" s="200"/>
      <c r="GS324" s="200"/>
      <c r="GT324" s="200"/>
      <c r="GU324" s="200"/>
      <c r="GV324" s="200"/>
      <c r="GW324" s="200"/>
      <c r="GX324" s="200"/>
      <c r="GY324" s="200"/>
      <c r="GZ324" s="200"/>
      <c r="HA324" s="200"/>
      <c r="HB324" s="200"/>
      <c r="HC324" s="200"/>
      <c r="HD324" s="200"/>
      <c r="HE324" s="200"/>
      <c r="HF324" s="200"/>
      <c r="HG324" s="200"/>
      <c r="HH324" s="200"/>
      <c r="HI324" s="200"/>
      <c r="HJ324" s="200"/>
      <c r="HK324" s="200"/>
      <c r="HL324" s="200"/>
      <c r="HM324" s="200"/>
      <c r="HN324" s="200"/>
      <c r="HO324" s="200"/>
      <c r="HP324" s="200"/>
      <c r="HQ324" s="200"/>
      <c r="HR324" s="200"/>
      <c r="HS324" s="200"/>
      <c r="HT324" s="200"/>
      <c r="HU324" s="200"/>
      <c r="HV324" s="200"/>
      <c r="HW324" s="200"/>
      <c r="HX324" s="200"/>
      <c r="HY324" s="200"/>
      <c r="HZ324" s="200"/>
      <c r="IA324" s="200"/>
      <c r="IB324" s="200"/>
      <c r="IC324" s="200"/>
      <c r="ID324" s="200"/>
      <c r="IE324" s="200"/>
      <c r="IF324" s="200"/>
      <c r="IG324" s="200"/>
      <c r="IH324" s="200"/>
      <c r="II324" s="200"/>
      <c r="IJ324" s="200"/>
      <c r="IK324" s="200"/>
      <c r="IL324" s="200"/>
      <c r="IM324" s="200"/>
      <c r="IN324" s="200"/>
      <c r="IO324" s="200"/>
      <c r="IP324" s="200"/>
      <c r="IQ324" s="200"/>
      <c r="IR324" s="200"/>
      <c r="IS324" s="200"/>
      <c r="IT324" s="200"/>
      <c r="IU324" s="201"/>
      <c r="IV324" s="201"/>
    </row>
    <row r="325" s="10" customFormat="1" ht="15.95" customHeight="1" spans="1:256">
      <c r="A325" s="199">
        <v>19</v>
      </c>
      <c r="B325" s="20" t="s">
        <v>2305</v>
      </c>
      <c r="C325" s="20" t="s">
        <v>2310</v>
      </c>
      <c r="D325" s="199">
        <v>7019</v>
      </c>
      <c r="E325" s="199">
        <f>'05版台时'!V527</f>
        <v>70.741151553042</v>
      </c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  <c r="AA325" s="200"/>
      <c r="AB325" s="200"/>
      <c r="AC325" s="200"/>
      <c r="AD325" s="200"/>
      <c r="AE325" s="200"/>
      <c r="AF325" s="200"/>
      <c r="AG325" s="200"/>
      <c r="AH325" s="200"/>
      <c r="AI325" s="200"/>
      <c r="AJ325" s="200"/>
      <c r="AK325" s="200"/>
      <c r="AL325" s="200"/>
      <c r="AM325" s="200"/>
      <c r="AN325" s="200"/>
      <c r="AO325" s="200"/>
      <c r="AP325" s="200"/>
      <c r="AQ325" s="200"/>
      <c r="AR325" s="200"/>
      <c r="AS325" s="200"/>
      <c r="AT325" s="200"/>
      <c r="AU325" s="200"/>
      <c r="AV325" s="200"/>
      <c r="AW325" s="200"/>
      <c r="AX325" s="200"/>
      <c r="AY325" s="200"/>
      <c r="AZ325" s="200"/>
      <c r="BA325" s="200"/>
      <c r="BB325" s="200"/>
      <c r="BC325" s="200"/>
      <c r="BD325" s="200"/>
      <c r="BE325" s="200"/>
      <c r="BF325" s="200"/>
      <c r="BG325" s="200"/>
      <c r="BH325" s="200"/>
      <c r="BI325" s="200"/>
      <c r="BJ325" s="200"/>
      <c r="BK325" s="200"/>
      <c r="BL325" s="200"/>
      <c r="BM325" s="200"/>
      <c r="BN325" s="200"/>
      <c r="BO325" s="200"/>
      <c r="BP325" s="200"/>
      <c r="BQ325" s="200"/>
      <c r="BR325" s="200"/>
      <c r="BS325" s="200"/>
      <c r="BT325" s="200"/>
      <c r="BU325" s="200"/>
      <c r="BV325" s="200"/>
      <c r="BW325" s="200"/>
      <c r="BX325" s="200"/>
      <c r="BY325" s="200"/>
      <c r="BZ325" s="200"/>
      <c r="CA325" s="200"/>
      <c r="CB325" s="200"/>
      <c r="CC325" s="200"/>
      <c r="CD325" s="200"/>
      <c r="CE325" s="200"/>
      <c r="CF325" s="200"/>
      <c r="CG325" s="200"/>
      <c r="CH325" s="200"/>
      <c r="CI325" s="200"/>
      <c r="CJ325" s="200"/>
      <c r="CK325" s="200"/>
      <c r="CL325" s="200"/>
      <c r="CM325" s="200"/>
      <c r="CN325" s="200"/>
      <c r="CO325" s="200"/>
      <c r="CP325" s="200"/>
      <c r="CQ325" s="200"/>
      <c r="CR325" s="200"/>
      <c r="CS325" s="200"/>
      <c r="CT325" s="200"/>
      <c r="CU325" s="200"/>
      <c r="CV325" s="200"/>
      <c r="CW325" s="200"/>
      <c r="CX325" s="200"/>
      <c r="CY325" s="200"/>
      <c r="CZ325" s="200"/>
      <c r="DA325" s="200"/>
      <c r="DB325" s="200"/>
      <c r="DC325" s="200"/>
      <c r="DD325" s="200"/>
      <c r="DE325" s="200"/>
      <c r="DF325" s="200"/>
      <c r="DG325" s="200"/>
      <c r="DH325" s="200"/>
      <c r="DI325" s="200"/>
      <c r="DJ325" s="200"/>
      <c r="DK325" s="200"/>
      <c r="DL325" s="200"/>
      <c r="DM325" s="200"/>
      <c r="DN325" s="200"/>
      <c r="DO325" s="200"/>
      <c r="DP325" s="200"/>
      <c r="DQ325" s="200"/>
      <c r="DR325" s="200"/>
      <c r="DS325" s="200"/>
      <c r="DT325" s="200"/>
      <c r="DU325" s="200"/>
      <c r="DV325" s="200"/>
      <c r="DW325" s="200"/>
      <c r="DX325" s="200"/>
      <c r="DY325" s="200"/>
      <c r="DZ325" s="200"/>
      <c r="EA325" s="200"/>
      <c r="EB325" s="200"/>
      <c r="EC325" s="200"/>
      <c r="ED325" s="200"/>
      <c r="EE325" s="200"/>
      <c r="EF325" s="200"/>
      <c r="EG325" s="200"/>
      <c r="EH325" s="200"/>
      <c r="EI325" s="200"/>
      <c r="EJ325" s="200"/>
      <c r="EK325" s="200"/>
      <c r="EL325" s="200"/>
      <c r="EM325" s="200"/>
      <c r="EN325" s="200"/>
      <c r="EO325" s="200"/>
      <c r="EP325" s="200"/>
      <c r="EQ325" s="200"/>
      <c r="ER325" s="200"/>
      <c r="ES325" s="200"/>
      <c r="ET325" s="200"/>
      <c r="EU325" s="200"/>
      <c r="EV325" s="200"/>
      <c r="EW325" s="200"/>
      <c r="EX325" s="200"/>
      <c r="EY325" s="200"/>
      <c r="EZ325" s="200"/>
      <c r="FA325" s="200"/>
      <c r="FB325" s="200"/>
      <c r="FC325" s="200"/>
      <c r="FD325" s="200"/>
      <c r="FE325" s="200"/>
      <c r="FF325" s="200"/>
      <c r="FG325" s="200"/>
      <c r="FH325" s="200"/>
      <c r="FI325" s="200"/>
      <c r="FJ325" s="200"/>
      <c r="FK325" s="200"/>
      <c r="FL325" s="200"/>
      <c r="FM325" s="200"/>
      <c r="FN325" s="200"/>
      <c r="FO325" s="200"/>
      <c r="FP325" s="200"/>
      <c r="FQ325" s="200"/>
      <c r="FR325" s="200"/>
      <c r="FS325" s="200"/>
      <c r="FT325" s="200"/>
      <c r="FU325" s="200"/>
      <c r="FV325" s="200"/>
      <c r="FW325" s="200"/>
      <c r="FX325" s="200"/>
      <c r="FY325" s="200"/>
      <c r="FZ325" s="200"/>
      <c r="GA325" s="200"/>
      <c r="GB325" s="200"/>
      <c r="GC325" s="200"/>
      <c r="GD325" s="200"/>
      <c r="GE325" s="200"/>
      <c r="GF325" s="200"/>
      <c r="GG325" s="200"/>
      <c r="GH325" s="200"/>
      <c r="GI325" s="200"/>
      <c r="GJ325" s="200"/>
      <c r="GK325" s="200"/>
      <c r="GL325" s="200"/>
      <c r="GM325" s="200"/>
      <c r="GN325" s="200"/>
      <c r="GO325" s="200"/>
      <c r="GP325" s="200"/>
      <c r="GQ325" s="200"/>
      <c r="GR325" s="200"/>
      <c r="GS325" s="200"/>
      <c r="GT325" s="200"/>
      <c r="GU325" s="200"/>
      <c r="GV325" s="200"/>
      <c r="GW325" s="200"/>
      <c r="GX325" s="200"/>
      <c r="GY325" s="200"/>
      <c r="GZ325" s="200"/>
      <c r="HA325" s="200"/>
      <c r="HB325" s="200"/>
      <c r="HC325" s="200"/>
      <c r="HD325" s="200"/>
      <c r="HE325" s="200"/>
      <c r="HF325" s="200"/>
      <c r="HG325" s="200"/>
      <c r="HH325" s="200"/>
      <c r="HI325" s="200"/>
      <c r="HJ325" s="200"/>
      <c r="HK325" s="200"/>
      <c r="HL325" s="200"/>
      <c r="HM325" s="200"/>
      <c r="HN325" s="200"/>
      <c r="HO325" s="200"/>
      <c r="HP325" s="200"/>
      <c r="HQ325" s="200"/>
      <c r="HR325" s="200"/>
      <c r="HS325" s="200"/>
      <c r="HT325" s="200"/>
      <c r="HU325" s="200"/>
      <c r="HV325" s="200"/>
      <c r="HW325" s="200"/>
      <c r="HX325" s="200"/>
      <c r="HY325" s="200"/>
      <c r="HZ325" s="200"/>
      <c r="IA325" s="200"/>
      <c r="IB325" s="200"/>
      <c r="IC325" s="200"/>
      <c r="ID325" s="200"/>
      <c r="IE325" s="200"/>
      <c r="IF325" s="200"/>
      <c r="IG325" s="200"/>
      <c r="IH325" s="200"/>
      <c r="II325" s="200"/>
      <c r="IJ325" s="200"/>
      <c r="IK325" s="200"/>
      <c r="IL325" s="200"/>
      <c r="IM325" s="200"/>
      <c r="IN325" s="200"/>
      <c r="IO325" s="200"/>
      <c r="IP325" s="200"/>
      <c r="IQ325" s="200"/>
      <c r="IR325" s="200"/>
      <c r="IS325" s="200"/>
      <c r="IT325" s="200"/>
      <c r="IU325" s="201"/>
      <c r="IV325" s="201"/>
    </row>
    <row r="326" s="10" customFormat="1" ht="15.95" customHeight="1" spans="1:256">
      <c r="A326" s="199">
        <v>20</v>
      </c>
      <c r="B326" s="20" t="s">
        <v>2305</v>
      </c>
      <c r="C326" s="20" t="s">
        <v>2311</v>
      </c>
      <c r="D326" s="199">
        <v>7020</v>
      </c>
      <c r="E326" s="199">
        <f>'05版台时'!W527</f>
        <v>86.380443136608</v>
      </c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  <c r="AA326" s="200"/>
      <c r="AB326" s="200"/>
      <c r="AC326" s="200"/>
      <c r="AD326" s="200"/>
      <c r="AE326" s="200"/>
      <c r="AF326" s="200"/>
      <c r="AG326" s="200"/>
      <c r="AH326" s="200"/>
      <c r="AI326" s="200"/>
      <c r="AJ326" s="200"/>
      <c r="AK326" s="200"/>
      <c r="AL326" s="200"/>
      <c r="AM326" s="200"/>
      <c r="AN326" s="200"/>
      <c r="AO326" s="200"/>
      <c r="AP326" s="200"/>
      <c r="AQ326" s="200"/>
      <c r="AR326" s="200"/>
      <c r="AS326" s="200"/>
      <c r="AT326" s="200"/>
      <c r="AU326" s="200"/>
      <c r="AV326" s="200"/>
      <c r="AW326" s="200"/>
      <c r="AX326" s="200"/>
      <c r="AY326" s="200"/>
      <c r="AZ326" s="200"/>
      <c r="BA326" s="200"/>
      <c r="BB326" s="200"/>
      <c r="BC326" s="200"/>
      <c r="BD326" s="200"/>
      <c r="BE326" s="200"/>
      <c r="BF326" s="200"/>
      <c r="BG326" s="200"/>
      <c r="BH326" s="200"/>
      <c r="BI326" s="200"/>
      <c r="BJ326" s="200"/>
      <c r="BK326" s="200"/>
      <c r="BL326" s="200"/>
      <c r="BM326" s="200"/>
      <c r="BN326" s="200"/>
      <c r="BO326" s="200"/>
      <c r="BP326" s="200"/>
      <c r="BQ326" s="200"/>
      <c r="BR326" s="200"/>
      <c r="BS326" s="200"/>
      <c r="BT326" s="200"/>
      <c r="BU326" s="200"/>
      <c r="BV326" s="200"/>
      <c r="BW326" s="200"/>
      <c r="BX326" s="200"/>
      <c r="BY326" s="200"/>
      <c r="BZ326" s="200"/>
      <c r="CA326" s="200"/>
      <c r="CB326" s="200"/>
      <c r="CC326" s="200"/>
      <c r="CD326" s="200"/>
      <c r="CE326" s="200"/>
      <c r="CF326" s="200"/>
      <c r="CG326" s="200"/>
      <c r="CH326" s="200"/>
      <c r="CI326" s="200"/>
      <c r="CJ326" s="200"/>
      <c r="CK326" s="200"/>
      <c r="CL326" s="200"/>
      <c r="CM326" s="200"/>
      <c r="CN326" s="200"/>
      <c r="CO326" s="200"/>
      <c r="CP326" s="200"/>
      <c r="CQ326" s="200"/>
      <c r="CR326" s="200"/>
      <c r="CS326" s="200"/>
      <c r="CT326" s="200"/>
      <c r="CU326" s="200"/>
      <c r="CV326" s="200"/>
      <c r="CW326" s="200"/>
      <c r="CX326" s="200"/>
      <c r="CY326" s="200"/>
      <c r="CZ326" s="200"/>
      <c r="DA326" s="200"/>
      <c r="DB326" s="200"/>
      <c r="DC326" s="200"/>
      <c r="DD326" s="200"/>
      <c r="DE326" s="200"/>
      <c r="DF326" s="200"/>
      <c r="DG326" s="200"/>
      <c r="DH326" s="200"/>
      <c r="DI326" s="200"/>
      <c r="DJ326" s="200"/>
      <c r="DK326" s="200"/>
      <c r="DL326" s="200"/>
      <c r="DM326" s="200"/>
      <c r="DN326" s="200"/>
      <c r="DO326" s="200"/>
      <c r="DP326" s="200"/>
      <c r="DQ326" s="200"/>
      <c r="DR326" s="200"/>
      <c r="DS326" s="200"/>
      <c r="DT326" s="200"/>
      <c r="DU326" s="200"/>
      <c r="DV326" s="200"/>
      <c r="DW326" s="200"/>
      <c r="DX326" s="200"/>
      <c r="DY326" s="200"/>
      <c r="DZ326" s="200"/>
      <c r="EA326" s="200"/>
      <c r="EB326" s="200"/>
      <c r="EC326" s="200"/>
      <c r="ED326" s="200"/>
      <c r="EE326" s="200"/>
      <c r="EF326" s="200"/>
      <c r="EG326" s="200"/>
      <c r="EH326" s="200"/>
      <c r="EI326" s="200"/>
      <c r="EJ326" s="200"/>
      <c r="EK326" s="200"/>
      <c r="EL326" s="200"/>
      <c r="EM326" s="200"/>
      <c r="EN326" s="200"/>
      <c r="EO326" s="200"/>
      <c r="EP326" s="200"/>
      <c r="EQ326" s="200"/>
      <c r="ER326" s="200"/>
      <c r="ES326" s="200"/>
      <c r="ET326" s="200"/>
      <c r="EU326" s="200"/>
      <c r="EV326" s="200"/>
      <c r="EW326" s="200"/>
      <c r="EX326" s="200"/>
      <c r="EY326" s="200"/>
      <c r="EZ326" s="200"/>
      <c r="FA326" s="200"/>
      <c r="FB326" s="200"/>
      <c r="FC326" s="200"/>
      <c r="FD326" s="200"/>
      <c r="FE326" s="200"/>
      <c r="FF326" s="200"/>
      <c r="FG326" s="200"/>
      <c r="FH326" s="200"/>
      <c r="FI326" s="200"/>
      <c r="FJ326" s="200"/>
      <c r="FK326" s="200"/>
      <c r="FL326" s="200"/>
      <c r="FM326" s="200"/>
      <c r="FN326" s="200"/>
      <c r="FO326" s="200"/>
      <c r="FP326" s="200"/>
      <c r="FQ326" s="200"/>
      <c r="FR326" s="200"/>
      <c r="FS326" s="200"/>
      <c r="FT326" s="200"/>
      <c r="FU326" s="200"/>
      <c r="FV326" s="200"/>
      <c r="FW326" s="200"/>
      <c r="FX326" s="200"/>
      <c r="FY326" s="200"/>
      <c r="FZ326" s="200"/>
      <c r="GA326" s="200"/>
      <c r="GB326" s="200"/>
      <c r="GC326" s="200"/>
      <c r="GD326" s="200"/>
      <c r="GE326" s="200"/>
      <c r="GF326" s="200"/>
      <c r="GG326" s="200"/>
      <c r="GH326" s="200"/>
      <c r="GI326" s="200"/>
      <c r="GJ326" s="200"/>
      <c r="GK326" s="200"/>
      <c r="GL326" s="200"/>
      <c r="GM326" s="200"/>
      <c r="GN326" s="200"/>
      <c r="GO326" s="200"/>
      <c r="GP326" s="200"/>
      <c r="GQ326" s="200"/>
      <c r="GR326" s="200"/>
      <c r="GS326" s="200"/>
      <c r="GT326" s="200"/>
      <c r="GU326" s="200"/>
      <c r="GV326" s="200"/>
      <c r="GW326" s="200"/>
      <c r="GX326" s="200"/>
      <c r="GY326" s="200"/>
      <c r="GZ326" s="200"/>
      <c r="HA326" s="200"/>
      <c r="HB326" s="200"/>
      <c r="HC326" s="200"/>
      <c r="HD326" s="200"/>
      <c r="HE326" s="200"/>
      <c r="HF326" s="200"/>
      <c r="HG326" s="200"/>
      <c r="HH326" s="200"/>
      <c r="HI326" s="200"/>
      <c r="HJ326" s="200"/>
      <c r="HK326" s="200"/>
      <c r="HL326" s="200"/>
      <c r="HM326" s="200"/>
      <c r="HN326" s="200"/>
      <c r="HO326" s="200"/>
      <c r="HP326" s="200"/>
      <c r="HQ326" s="200"/>
      <c r="HR326" s="200"/>
      <c r="HS326" s="200"/>
      <c r="HT326" s="200"/>
      <c r="HU326" s="200"/>
      <c r="HV326" s="200"/>
      <c r="HW326" s="200"/>
      <c r="HX326" s="200"/>
      <c r="HY326" s="200"/>
      <c r="HZ326" s="200"/>
      <c r="IA326" s="200"/>
      <c r="IB326" s="200"/>
      <c r="IC326" s="200"/>
      <c r="ID326" s="200"/>
      <c r="IE326" s="200"/>
      <c r="IF326" s="200"/>
      <c r="IG326" s="200"/>
      <c r="IH326" s="200"/>
      <c r="II326" s="200"/>
      <c r="IJ326" s="200"/>
      <c r="IK326" s="200"/>
      <c r="IL326" s="200"/>
      <c r="IM326" s="200"/>
      <c r="IN326" s="200"/>
      <c r="IO326" s="200"/>
      <c r="IP326" s="200"/>
      <c r="IQ326" s="200"/>
      <c r="IR326" s="200"/>
      <c r="IS326" s="200"/>
      <c r="IT326" s="200"/>
      <c r="IU326" s="201"/>
      <c r="IV326" s="201"/>
    </row>
    <row r="327" s="10" customFormat="1" ht="15.95" customHeight="1" spans="1:256">
      <c r="A327" s="199">
        <v>21</v>
      </c>
      <c r="B327" s="20" t="s">
        <v>2305</v>
      </c>
      <c r="C327" s="20" t="s">
        <v>2312</v>
      </c>
      <c r="D327" s="199">
        <v>7021</v>
      </c>
      <c r="E327" s="199">
        <f>'05版台时'!X527</f>
        <v>148.651777835321</v>
      </c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  <c r="AA327" s="200"/>
      <c r="AB327" s="200"/>
      <c r="AC327" s="200"/>
      <c r="AD327" s="200"/>
      <c r="AE327" s="200"/>
      <c r="AF327" s="200"/>
      <c r="AG327" s="200"/>
      <c r="AH327" s="200"/>
      <c r="AI327" s="200"/>
      <c r="AJ327" s="200"/>
      <c r="AK327" s="200"/>
      <c r="AL327" s="200"/>
      <c r="AM327" s="200"/>
      <c r="AN327" s="200"/>
      <c r="AO327" s="200"/>
      <c r="AP327" s="200"/>
      <c r="AQ327" s="200"/>
      <c r="AR327" s="200"/>
      <c r="AS327" s="200"/>
      <c r="AT327" s="200"/>
      <c r="AU327" s="200"/>
      <c r="AV327" s="200"/>
      <c r="AW327" s="200"/>
      <c r="AX327" s="200"/>
      <c r="AY327" s="200"/>
      <c r="AZ327" s="200"/>
      <c r="BA327" s="200"/>
      <c r="BB327" s="200"/>
      <c r="BC327" s="200"/>
      <c r="BD327" s="200"/>
      <c r="BE327" s="200"/>
      <c r="BF327" s="200"/>
      <c r="BG327" s="200"/>
      <c r="BH327" s="200"/>
      <c r="BI327" s="200"/>
      <c r="BJ327" s="200"/>
      <c r="BK327" s="200"/>
      <c r="BL327" s="200"/>
      <c r="BM327" s="200"/>
      <c r="BN327" s="200"/>
      <c r="BO327" s="200"/>
      <c r="BP327" s="200"/>
      <c r="BQ327" s="200"/>
      <c r="BR327" s="200"/>
      <c r="BS327" s="200"/>
      <c r="BT327" s="200"/>
      <c r="BU327" s="200"/>
      <c r="BV327" s="200"/>
      <c r="BW327" s="200"/>
      <c r="BX327" s="200"/>
      <c r="BY327" s="200"/>
      <c r="BZ327" s="200"/>
      <c r="CA327" s="200"/>
      <c r="CB327" s="200"/>
      <c r="CC327" s="200"/>
      <c r="CD327" s="200"/>
      <c r="CE327" s="200"/>
      <c r="CF327" s="200"/>
      <c r="CG327" s="200"/>
      <c r="CH327" s="200"/>
      <c r="CI327" s="200"/>
      <c r="CJ327" s="200"/>
      <c r="CK327" s="200"/>
      <c r="CL327" s="200"/>
      <c r="CM327" s="200"/>
      <c r="CN327" s="200"/>
      <c r="CO327" s="200"/>
      <c r="CP327" s="200"/>
      <c r="CQ327" s="200"/>
      <c r="CR327" s="200"/>
      <c r="CS327" s="200"/>
      <c r="CT327" s="200"/>
      <c r="CU327" s="200"/>
      <c r="CV327" s="200"/>
      <c r="CW327" s="200"/>
      <c r="CX327" s="200"/>
      <c r="CY327" s="200"/>
      <c r="CZ327" s="200"/>
      <c r="DA327" s="200"/>
      <c r="DB327" s="200"/>
      <c r="DC327" s="200"/>
      <c r="DD327" s="200"/>
      <c r="DE327" s="200"/>
      <c r="DF327" s="200"/>
      <c r="DG327" s="200"/>
      <c r="DH327" s="200"/>
      <c r="DI327" s="200"/>
      <c r="DJ327" s="200"/>
      <c r="DK327" s="200"/>
      <c r="DL327" s="200"/>
      <c r="DM327" s="200"/>
      <c r="DN327" s="200"/>
      <c r="DO327" s="200"/>
      <c r="DP327" s="200"/>
      <c r="DQ327" s="200"/>
      <c r="DR327" s="200"/>
      <c r="DS327" s="200"/>
      <c r="DT327" s="200"/>
      <c r="DU327" s="200"/>
      <c r="DV327" s="200"/>
      <c r="DW327" s="200"/>
      <c r="DX327" s="200"/>
      <c r="DY327" s="200"/>
      <c r="DZ327" s="200"/>
      <c r="EA327" s="200"/>
      <c r="EB327" s="200"/>
      <c r="EC327" s="200"/>
      <c r="ED327" s="200"/>
      <c r="EE327" s="200"/>
      <c r="EF327" s="200"/>
      <c r="EG327" s="200"/>
      <c r="EH327" s="200"/>
      <c r="EI327" s="200"/>
      <c r="EJ327" s="200"/>
      <c r="EK327" s="200"/>
      <c r="EL327" s="200"/>
      <c r="EM327" s="200"/>
      <c r="EN327" s="200"/>
      <c r="EO327" s="200"/>
      <c r="EP327" s="200"/>
      <c r="EQ327" s="200"/>
      <c r="ER327" s="200"/>
      <c r="ES327" s="200"/>
      <c r="ET327" s="200"/>
      <c r="EU327" s="200"/>
      <c r="EV327" s="200"/>
      <c r="EW327" s="200"/>
      <c r="EX327" s="200"/>
      <c r="EY327" s="200"/>
      <c r="EZ327" s="200"/>
      <c r="FA327" s="200"/>
      <c r="FB327" s="200"/>
      <c r="FC327" s="200"/>
      <c r="FD327" s="200"/>
      <c r="FE327" s="200"/>
      <c r="FF327" s="200"/>
      <c r="FG327" s="200"/>
      <c r="FH327" s="200"/>
      <c r="FI327" s="200"/>
      <c r="FJ327" s="200"/>
      <c r="FK327" s="200"/>
      <c r="FL327" s="200"/>
      <c r="FM327" s="200"/>
      <c r="FN327" s="200"/>
      <c r="FO327" s="200"/>
      <c r="FP327" s="200"/>
      <c r="FQ327" s="200"/>
      <c r="FR327" s="200"/>
      <c r="FS327" s="200"/>
      <c r="FT327" s="200"/>
      <c r="FU327" s="200"/>
      <c r="FV327" s="200"/>
      <c r="FW327" s="200"/>
      <c r="FX327" s="200"/>
      <c r="FY327" s="200"/>
      <c r="FZ327" s="200"/>
      <c r="GA327" s="200"/>
      <c r="GB327" s="200"/>
      <c r="GC327" s="200"/>
      <c r="GD327" s="200"/>
      <c r="GE327" s="200"/>
      <c r="GF327" s="200"/>
      <c r="GG327" s="200"/>
      <c r="GH327" s="200"/>
      <c r="GI327" s="200"/>
      <c r="GJ327" s="200"/>
      <c r="GK327" s="200"/>
      <c r="GL327" s="200"/>
      <c r="GM327" s="200"/>
      <c r="GN327" s="200"/>
      <c r="GO327" s="200"/>
      <c r="GP327" s="200"/>
      <c r="GQ327" s="200"/>
      <c r="GR327" s="200"/>
      <c r="GS327" s="200"/>
      <c r="GT327" s="200"/>
      <c r="GU327" s="200"/>
      <c r="GV327" s="200"/>
      <c r="GW327" s="200"/>
      <c r="GX327" s="200"/>
      <c r="GY327" s="200"/>
      <c r="GZ327" s="200"/>
      <c r="HA327" s="200"/>
      <c r="HB327" s="200"/>
      <c r="HC327" s="200"/>
      <c r="HD327" s="200"/>
      <c r="HE327" s="200"/>
      <c r="HF327" s="200"/>
      <c r="HG327" s="200"/>
      <c r="HH327" s="200"/>
      <c r="HI327" s="200"/>
      <c r="HJ327" s="200"/>
      <c r="HK327" s="200"/>
      <c r="HL327" s="200"/>
      <c r="HM327" s="200"/>
      <c r="HN327" s="200"/>
      <c r="HO327" s="200"/>
      <c r="HP327" s="200"/>
      <c r="HQ327" s="200"/>
      <c r="HR327" s="200"/>
      <c r="HS327" s="200"/>
      <c r="HT327" s="200"/>
      <c r="HU327" s="200"/>
      <c r="HV327" s="200"/>
      <c r="HW327" s="200"/>
      <c r="HX327" s="200"/>
      <c r="HY327" s="200"/>
      <c r="HZ327" s="200"/>
      <c r="IA327" s="200"/>
      <c r="IB327" s="200"/>
      <c r="IC327" s="200"/>
      <c r="ID327" s="200"/>
      <c r="IE327" s="200"/>
      <c r="IF327" s="200"/>
      <c r="IG327" s="200"/>
      <c r="IH327" s="200"/>
      <c r="II327" s="200"/>
      <c r="IJ327" s="200"/>
      <c r="IK327" s="200"/>
      <c r="IL327" s="200"/>
      <c r="IM327" s="200"/>
      <c r="IN327" s="200"/>
      <c r="IO327" s="200"/>
      <c r="IP327" s="200"/>
      <c r="IQ327" s="200"/>
      <c r="IR327" s="200"/>
      <c r="IS327" s="200"/>
      <c r="IT327" s="200"/>
      <c r="IU327" s="201"/>
      <c r="IV327" s="201"/>
    </row>
    <row r="328" s="10" customFormat="1" ht="15.95" customHeight="1" spans="1:256">
      <c r="A328" s="199">
        <v>22</v>
      </c>
      <c r="B328" s="20" t="s">
        <v>2305</v>
      </c>
      <c r="C328" s="20" t="s">
        <v>2313</v>
      </c>
      <c r="D328" s="199">
        <v>7022</v>
      </c>
      <c r="E328" s="199">
        <f>'05版台时'!Y527</f>
        <v>163.999205438033</v>
      </c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  <c r="AA328" s="200"/>
      <c r="AB328" s="200"/>
      <c r="AC328" s="200"/>
      <c r="AD328" s="200"/>
      <c r="AE328" s="200"/>
      <c r="AF328" s="200"/>
      <c r="AG328" s="200"/>
      <c r="AH328" s="200"/>
      <c r="AI328" s="200"/>
      <c r="AJ328" s="200"/>
      <c r="AK328" s="200"/>
      <c r="AL328" s="200"/>
      <c r="AM328" s="200"/>
      <c r="AN328" s="200"/>
      <c r="AO328" s="200"/>
      <c r="AP328" s="200"/>
      <c r="AQ328" s="200"/>
      <c r="AR328" s="200"/>
      <c r="AS328" s="200"/>
      <c r="AT328" s="200"/>
      <c r="AU328" s="200"/>
      <c r="AV328" s="200"/>
      <c r="AW328" s="200"/>
      <c r="AX328" s="200"/>
      <c r="AY328" s="200"/>
      <c r="AZ328" s="200"/>
      <c r="BA328" s="200"/>
      <c r="BB328" s="200"/>
      <c r="BC328" s="200"/>
      <c r="BD328" s="200"/>
      <c r="BE328" s="200"/>
      <c r="BF328" s="200"/>
      <c r="BG328" s="200"/>
      <c r="BH328" s="200"/>
      <c r="BI328" s="200"/>
      <c r="BJ328" s="200"/>
      <c r="BK328" s="200"/>
      <c r="BL328" s="200"/>
      <c r="BM328" s="200"/>
      <c r="BN328" s="200"/>
      <c r="BO328" s="200"/>
      <c r="BP328" s="200"/>
      <c r="BQ328" s="200"/>
      <c r="BR328" s="200"/>
      <c r="BS328" s="200"/>
      <c r="BT328" s="200"/>
      <c r="BU328" s="200"/>
      <c r="BV328" s="200"/>
      <c r="BW328" s="200"/>
      <c r="BX328" s="200"/>
      <c r="BY328" s="200"/>
      <c r="BZ328" s="200"/>
      <c r="CA328" s="200"/>
      <c r="CB328" s="200"/>
      <c r="CC328" s="200"/>
      <c r="CD328" s="200"/>
      <c r="CE328" s="200"/>
      <c r="CF328" s="200"/>
      <c r="CG328" s="200"/>
      <c r="CH328" s="200"/>
      <c r="CI328" s="200"/>
      <c r="CJ328" s="200"/>
      <c r="CK328" s="200"/>
      <c r="CL328" s="200"/>
      <c r="CM328" s="200"/>
      <c r="CN328" s="200"/>
      <c r="CO328" s="200"/>
      <c r="CP328" s="200"/>
      <c r="CQ328" s="200"/>
      <c r="CR328" s="200"/>
      <c r="CS328" s="200"/>
      <c r="CT328" s="200"/>
      <c r="CU328" s="200"/>
      <c r="CV328" s="200"/>
      <c r="CW328" s="200"/>
      <c r="CX328" s="200"/>
      <c r="CY328" s="200"/>
      <c r="CZ328" s="200"/>
      <c r="DA328" s="200"/>
      <c r="DB328" s="200"/>
      <c r="DC328" s="200"/>
      <c r="DD328" s="200"/>
      <c r="DE328" s="200"/>
      <c r="DF328" s="200"/>
      <c r="DG328" s="200"/>
      <c r="DH328" s="200"/>
      <c r="DI328" s="200"/>
      <c r="DJ328" s="200"/>
      <c r="DK328" s="200"/>
      <c r="DL328" s="200"/>
      <c r="DM328" s="200"/>
      <c r="DN328" s="200"/>
      <c r="DO328" s="200"/>
      <c r="DP328" s="200"/>
      <c r="DQ328" s="200"/>
      <c r="DR328" s="200"/>
      <c r="DS328" s="200"/>
      <c r="DT328" s="200"/>
      <c r="DU328" s="200"/>
      <c r="DV328" s="200"/>
      <c r="DW328" s="200"/>
      <c r="DX328" s="200"/>
      <c r="DY328" s="200"/>
      <c r="DZ328" s="200"/>
      <c r="EA328" s="200"/>
      <c r="EB328" s="200"/>
      <c r="EC328" s="200"/>
      <c r="ED328" s="200"/>
      <c r="EE328" s="200"/>
      <c r="EF328" s="200"/>
      <c r="EG328" s="200"/>
      <c r="EH328" s="200"/>
      <c r="EI328" s="200"/>
      <c r="EJ328" s="200"/>
      <c r="EK328" s="200"/>
      <c r="EL328" s="200"/>
      <c r="EM328" s="200"/>
      <c r="EN328" s="200"/>
      <c r="EO328" s="200"/>
      <c r="EP328" s="200"/>
      <c r="EQ328" s="200"/>
      <c r="ER328" s="200"/>
      <c r="ES328" s="200"/>
      <c r="ET328" s="200"/>
      <c r="EU328" s="200"/>
      <c r="EV328" s="200"/>
      <c r="EW328" s="200"/>
      <c r="EX328" s="200"/>
      <c r="EY328" s="200"/>
      <c r="EZ328" s="200"/>
      <c r="FA328" s="200"/>
      <c r="FB328" s="200"/>
      <c r="FC328" s="200"/>
      <c r="FD328" s="200"/>
      <c r="FE328" s="200"/>
      <c r="FF328" s="200"/>
      <c r="FG328" s="200"/>
      <c r="FH328" s="200"/>
      <c r="FI328" s="200"/>
      <c r="FJ328" s="200"/>
      <c r="FK328" s="200"/>
      <c r="FL328" s="200"/>
      <c r="FM328" s="200"/>
      <c r="FN328" s="200"/>
      <c r="FO328" s="200"/>
      <c r="FP328" s="200"/>
      <c r="FQ328" s="200"/>
      <c r="FR328" s="200"/>
      <c r="FS328" s="200"/>
      <c r="FT328" s="200"/>
      <c r="FU328" s="200"/>
      <c r="FV328" s="200"/>
      <c r="FW328" s="200"/>
      <c r="FX328" s="200"/>
      <c r="FY328" s="200"/>
      <c r="FZ328" s="200"/>
      <c r="GA328" s="200"/>
      <c r="GB328" s="200"/>
      <c r="GC328" s="200"/>
      <c r="GD328" s="200"/>
      <c r="GE328" s="200"/>
      <c r="GF328" s="200"/>
      <c r="GG328" s="200"/>
      <c r="GH328" s="200"/>
      <c r="GI328" s="200"/>
      <c r="GJ328" s="200"/>
      <c r="GK328" s="200"/>
      <c r="GL328" s="200"/>
      <c r="GM328" s="200"/>
      <c r="GN328" s="200"/>
      <c r="GO328" s="200"/>
      <c r="GP328" s="200"/>
      <c r="GQ328" s="200"/>
      <c r="GR328" s="200"/>
      <c r="GS328" s="200"/>
      <c r="GT328" s="200"/>
      <c r="GU328" s="200"/>
      <c r="GV328" s="200"/>
      <c r="GW328" s="200"/>
      <c r="GX328" s="200"/>
      <c r="GY328" s="200"/>
      <c r="GZ328" s="200"/>
      <c r="HA328" s="200"/>
      <c r="HB328" s="200"/>
      <c r="HC328" s="200"/>
      <c r="HD328" s="200"/>
      <c r="HE328" s="200"/>
      <c r="HF328" s="200"/>
      <c r="HG328" s="200"/>
      <c r="HH328" s="200"/>
      <c r="HI328" s="200"/>
      <c r="HJ328" s="200"/>
      <c r="HK328" s="200"/>
      <c r="HL328" s="200"/>
      <c r="HM328" s="200"/>
      <c r="HN328" s="200"/>
      <c r="HO328" s="200"/>
      <c r="HP328" s="200"/>
      <c r="HQ328" s="200"/>
      <c r="HR328" s="200"/>
      <c r="HS328" s="200"/>
      <c r="HT328" s="200"/>
      <c r="HU328" s="200"/>
      <c r="HV328" s="200"/>
      <c r="HW328" s="200"/>
      <c r="HX328" s="200"/>
      <c r="HY328" s="200"/>
      <c r="HZ328" s="200"/>
      <c r="IA328" s="200"/>
      <c r="IB328" s="200"/>
      <c r="IC328" s="200"/>
      <c r="ID328" s="200"/>
      <c r="IE328" s="200"/>
      <c r="IF328" s="200"/>
      <c r="IG328" s="200"/>
      <c r="IH328" s="200"/>
      <c r="II328" s="200"/>
      <c r="IJ328" s="200"/>
      <c r="IK328" s="200"/>
      <c r="IL328" s="200"/>
      <c r="IM328" s="200"/>
      <c r="IN328" s="200"/>
      <c r="IO328" s="200"/>
      <c r="IP328" s="200"/>
      <c r="IQ328" s="200"/>
      <c r="IR328" s="200"/>
      <c r="IS328" s="200"/>
      <c r="IT328" s="200"/>
      <c r="IU328" s="201"/>
      <c r="IV328" s="201"/>
    </row>
    <row r="329" s="10" customFormat="1" ht="15.95" customHeight="1" spans="1:256">
      <c r="A329" s="199">
        <v>23</v>
      </c>
      <c r="B329" s="20" t="s">
        <v>2305</v>
      </c>
      <c r="C329" s="20" t="s">
        <v>2314</v>
      </c>
      <c r="D329" s="199">
        <v>7023</v>
      </c>
      <c r="E329" s="199">
        <f>'05版台时'!Z527</f>
        <v>195.879816526984</v>
      </c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200"/>
      <c r="AE329" s="200"/>
      <c r="AF329" s="200"/>
      <c r="AG329" s="200"/>
      <c r="AH329" s="200"/>
      <c r="AI329" s="200"/>
      <c r="AJ329" s="200"/>
      <c r="AK329" s="200"/>
      <c r="AL329" s="200"/>
      <c r="AM329" s="200"/>
      <c r="AN329" s="200"/>
      <c r="AO329" s="200"/>
      <c r="AP329" s="200"/>
      <c r="AQ329" s="200"/>
      <c r="AR329" s="200"/>
      <c r="AS329" s="200"/>
      <c r="AT329" s="200"/>
      <c r="AU329" s="200"/>
      <c r="AV329" s="200"/>
      <c r="AW329" s="200"/>
      <c r="AX329" s="200"/>
      <c r="AY329" s="200"/>
      <c r="AZ329" s="200"/>
      <c r="BA329" s="200"/>
      <c r="BB329" s="200"/>
      <c r="BC329" s="200"/>
      <c r="BD329" s="200"/>
      <c r="BE329" s="200"/>
      <c r="BF329" s="200"/>
      <c r="BG329" s="200"/>
      <c r="BH329" s="200"/>
      <c r="BI329" s="200"/>
      <c r="BJ329" s="200"/>
      <c r="BK329" s="200"/>
      <c r="BL329" s="200"/>
      <c r="BM329" s="200"/>
      <c r="BN329" s="200"/>
      <c r="BO329" s="200"/>
      <c r="BP329" s="200"/>
      <c r="BQ329" s="200"/>
      <c r="BR329" s="200"/>
      <c r="BS329" s="200"/>
      <c r="BT329" s="200"/>
      <c r="BU329" s="200"/>
      <c r="BV329" s="200"/>
      <c r="BW329" s="200"/>
      <c r="BX329" s="200"/>
      <c r="BY329" s="200"/>
      <c r="BZ329" s="200"/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200"/>
      <c r="CX329" s="200"/>
      <c r="CY329" s="200"/>
      <c r="CZ329" s="200"/>
      <c r="DA329" s="200"/>
      <c r="DB329" s="200"/>
      <c r="DC329" s="200"/>
      <c r="DD329" s="200"/>
      <c r="DE329" s="200"/>
      <c r="DF329" s="200"/>
      <c r="DG329" s="200"/>
      <c r="DH329" s="200"/>
      <c r="DI329" s="200"/>
      <c r="DJ329" s="200"/>
      <c r="DK329" s="200"/>
      <c r="DL329" s="200"/>
      <c r="DM329" s="200"/>
      <c r="DN329" s="200"/>
      <c r="DO329" s="200"/>
      <c r="DP329" s="200"/>
      <c r="DQ329" s="200"/>
      <c r="DR329" s="200"/>
      <c r="DS329" s="200"/>
      <c r="DT329" s="200"/>
      <c r="DU329" s="200"/>
      <c r="DV329" s="200"/>
      <c r="DW329" s="200"/>
      <c r="DX329" s="200"/>
      <c r="DY329" s="200"/>
      <c r="DZ329" s="200"/>
      <c r="EA329" s="200"/>
      <c r="EB329" s="200"/>
      <c r="EC329" s="200"/>
      <c r="ED329" s="200"/>
      <c r="EE329" s="200"/>
      <c r="EF329" s="200"/>
      <c r="EG329" s="200"/>
      <c r="EH329" s="200"/>
      <c r="EI329" s="200"/>
      <c r="EJ329" s="200"/>
      <c r="EK329" s="200"/>
      <c r="EL329" s="200"/>
      <c r="EM329" s="200"/>
      <c r="EN329" s="200"/>
      <c r="EO329" s="200"/>
      <c r="EP329" s="200"/>
      <c r="EQ329" s="200"/>
      <c r="ER329" s="200"/>
      <c r="ES329" s="200"/>
      <c r="ET329" s="200"/>
      <c r="EU329" s="200"/>
      <c r="EV329" s="200"/>
      <c r="EW329" s="200"/>
      <c r="EX329" s="200"/>
      <c r="EY329" s="200"/>
      <c r="EZ329" s="200"/>
      <c r="FA329" s="200"/>
      <c r="FB329" s="200"/>
      <c r="FC329" s="200"/>
      <c r="FD329" s="200"/>
      <c r="FE329" s="200"/>
      <c r="FF329" s="200"/>
      <c r="FG329" s="200"/>
      <c r="FH329" s="200"/>
      <c r="FI329" s="200"/>
      <c r="FJ329" s="200"/>
      <c r="FK329" s="200"/>
      <c r="FL329" s="200"/>
      <c r="FM329" s="200"/>
      <c r="FN329" s="200"/>
      <c r="FO329" s="200"/>
      <c r="FP329" s="200"/>
      <c r="FQ329" s="200"/>
      <c r="FR329" s="200"/>
      <c r="FS329" s="200"/>
      <c r="FT329" s="200"/>
      <c r="FU329" s="200"/>
      <c r="FV329" s="200"/>
      <c r="FW329" s="200"/>
      <c r="FX329" s="200"/>
      <c r="FY329" s="200"/>
      <c r="FZ329" s="200"/>
      <c r="GA329" s="200"/>
      <c r="GB329" s="200"/>
      <c r="GC329" s="200"/>
      <c r="GD329" s="200"/>
      <c r="GE329" s="200"/>
      <c r="GF329" s="200"/>
      <c r="GG329" s="200"/>
      <c r="GH329" s="200"/>
      <c r="GI329" s="200"/>
      <c r="GJ329" s="200"/>
      <c r="GK329" s="200"/>
      <c r="GL329" s="200"/>
      <c r="GM329" s="200"/>
      <c r="GN329" s="200"/>
      <c r="GO329" s="200"/>
      <c r="GP329" s="200"/>
      <c r="GQ329" s="200"/>
      <c r="GR329" s="200"/>
      <c r="GS329" s="200"/>
      <c r="GT329" s="200"/>
      <c r="GU329" s="200"/>
      <c r="GV329" s="200"/>
      <c r="GW329" s="200"/>
      <c r="GX329" s="200"/>
      <c r="GY329" s="200"/>
      <c r="GZ329" s="200"/>
      <c r="HA329" s="200"/>
      <c r="HB329" s="200"/>
      <c r="HC329" s="200"/>
      <c r="HD329" s="200"/>
      <c r="HE329" s="200"/>
      <c r="HF329" s="200"/>
      <c r="HG329" s="200"/>
      <c r="HH329" s="200"/>
      <c r="HI329" s="200"/>
      <c r="HJ329" s="200"/>
      <c r="HK329" s="200"/>
      <c r="HL329" s="200"/>
      <c r="HM329" s="200"/>
      <c r="HN329" s="200"/>
      <c r="HO329" s="200"/>
      <c r="HP329" s="200"/>
      <c r="HQ329" s="200"/>
      <c r="HR329" s="200"/>
      <c r="HS329" s="200"/>
      <c r="HT329" s="200"/>
      <c r="HU329" s="200"/>
      <c r="HV329" s="200"/>
      <c r="HW329" s="200"/>
      <c r="HX329" s="200"/>
      <c r="HY329" s="200"/>
      <c r="HZ329" s="200"/>
      <c r="IA329" s="200"/>
      <c r="IB329" s="200"/>
      <c r="IC329" s="200"/>
      <c r="ID329" s="200"/>
      <c r="IE329" s="200"/>
      <c r="IF329" s="200"/>
      <c r="IG329" s="200"/>
      <c r="IH329" s="200"/>
      <c r="II329" s="200"/>
      <c r="IJ329" s="200"/>
      <c r="IK329" s="200"/>
      <c r="IL329" s="200"/>
      <c r="IM329" s="200"/>
      <c r="IN329" s="200"/>
      <c r="IO329" s="200"/>
      <c r="IP329" s="200"/>
      <c r="IQ329" s="200"/>
      <c r="IR329" s="200"/>
      <c r="IS329" s="200"/>
      <c r="IT329" s="200"/>
      <c r="IU329" s="201"/>
      <c r="IV329" s="201"/>
    </row>
    <row r="330" s="10" customFormat="1" ht="15.95" customHeight="1" spans="1:256">
      <c r="A330" s="197" t="s">
        <v>2315</v>
      </c>
      <c r="B330" s="198"/>
      <c r="C330" s="199"/>
      <c r="D330" s="199"/>
      <c r="E330" s="199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200"/>
      <c r="AE330" s="200"/>
      <c r="AF330" s="200"/>
      <c r="AG330" s="200"/>
      <c r="AH330" s="200"/>
      <c r="AI330" s="200"/>
      <c r="AJ330" s="200"/>
      <c r="AK330" s="200"/>
      <c r="AL330" s="200"/>
      <c r="AM330" s="200"/>
      <c r="AN330" s="200"/>
      <c r="AO330" s="200"/>
      <c r="AP330" s="200"/>
      <c r="AQ330" s="200"/>
      <c r="AR330" s="200"/>
      <c r="AS330" s="200"/>
      <c r="AT330" s="200"/>
      <c r="AU330" s="200"/>
      <c r="AV330" s="200"/>
      <c r="AW330" s="200"/>
      <c r="AX330" s="200"/>
      <c r="AY330" s="200"/>
      <c r="AZ330" s="200"/>
      <c r="BA330" s="200"/>
      <c r="BB330" s="200"/>
      <c r="BC330" s="200"/>
      <c r="BD330" s="200"/>
      <c r="BE330" s="200"/>
      <c r="BF330" s="200"/>
      <c r="BG330" s="200"/>
      <c r="BH330" s="200"/>
      <c r="BI330" s="200"/>
      <c r="BJ330" s="200"/>
      <c r="BK330" s="200"/>
      <c r="BL330" s="200"/>
      <c r="BM330" s="200"/>
      <c r="BN330" s="200"/>
      <c r="BO330" s="200"/>
      <c r="BP330" s="200"/>
      <c r="BQ330" s="200"/>
      <c r="BR330" s="200"/>
      <c r="BS330" s="200"/>
      <c r="BT330" s="200"/>
      <c r="BU330" s="200"/>
      <c r="BV330" s="200"/>
      <c r="BW330" s="200"/>
      <c r="BX330" s="200"/>
      <c r="BY330" s="200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200"/>
      <c r="CX330" s="200"/>
      <c r="CY330" s="200"/>
      <c r="CZ330" s="200"/>
      <c r="DA330" s="200"/>
      <c r="DB330" s="200"/>
      <c r="DC330" s="200"/>
      <c r="DD330" s="200"/>
      <c r="DE330" s="200"/>
      <c r="DF330" s="200"/>
      <c r="DG330" s="200"/>
      <c r="DH330" s="200"/>
      <c r="DI330" s="200"/>
      <c r="DJ330" s="200"/>
      <c r="DK330" s="200"/>
      <c r="DL330" s="200"/>
      <c r="DM330" s="200"/>
      <c r="DN330" s="200"/>
      <c r="DO330" s="200"/>
      <c r="DP330" s="200"/>
      <c r="DQ330" s="200"/>
      <c r="DR330" s="200"/>
      <c r="DS330" s="200"/>
      <c r="DT330" s="200"/>
      <c r="DU330" s="200"/>
      <c r="DV330" s="200"/>
      <c r="DW330" s="200"/>
      <c r="DX330" s="200"/>
      <c r="DY330" s="200"/>
      <c r="DZ330" s="200"/>
      <c r="EA330" s="200"/>
      <c r="EB330" s="200"/>
      <c r="EC330" s="200"/>
      <c r="ED330" s="200"/>
      <c r="EE330" s="200"/>
      <c r="EF330" s="200"/>
      <c r="EG330" s="200"/>
      <c r="EH330" s="200"/>
      <c r="EI330" s="200"/>
      <c r="EJ330" s="200"/>
      <c r="EK330" s="200"/>
      <c r="EL330" s="200"/>
      <c r="EM330" s="200"/>
      <c r="EN330" s="200"/>
      <c r="EO330" s="200"/>
      <c r="EP330" s="200"/>
      <c r="EQ330" s="200"/>
      <c r="ER330" s="200"/>
      <c r="ES330" s="200"/>
      <c r="ET330" s="200"/>
      <c r="EU330" s="200"/>
      <c r="EV330" s="200"/>
      <c r="EW330" s="200"/>
      <c r="EX330" s="200"/>
      <c r="EY330" s="200"/>
      <c r="EZ330" s="200"/>
      <c r="FA330" s="200"/>
      <c r="FB330" s="200"/>
      <c r="FC330" s="200"/>
      <c r="FD330" s="200"/>
      <c r="FE330" s="200"/>
      <c r="FF330" s="200"/>
      <c r="FG330" s="200"/>
      <c r="FH330" s="200"/>
      <c r="FI330" s="200"/>
      <c r="FJ330" s="200"/>
      <c r="FK330" s="200"/>
      <c r="FL330" s="200"/>
      <c r="FM330" s="200"/>
      <c r="FN330" s="200"/>
      <c r="FO330" s="200"/>
      <c r="FP330" s="200"/>
      <c r="FQ330" s="200"/>
      <c r="FR330" s="200"/>
      <c r="FS330" s="200"/>
      <c r="FT330" s="200"/>
      <c r="FU330" s="200"/>
      <c r="FV330" s="200"/>
      <c r="FW330" s="200"/>
      <c r="FX330" s="200"/>
      <c r="FY330" s="200"/>
      <c r="FZ330" s="200"/>
      <c r="GA330" s="200"/>
      <c r="GB330" s="200"/>
      <c r="GC330" s="200"/>
      <c r="GD330" s="200"/>
      <c r="GE330" s="200"/>
      <c r="GF330" s="200"/>
      <c r="GG330" s="200"/>
      <c r="GH330" s="200"/>
      <c r="GI330" s="200"/>
      <c r="GJ330" s="200"/>
      <c r="GK330" s="200"/>
      <c r="GL330" s="200"/>
      <c r="GM330" s="200"/>
      <c r="GN330" s="200"/>
      <c r="GO330" s="200"/>
      <c r="GP330" s="200"/>
      <c r="GQ330" s="200"/>
      <c r="GR330" s="200"/>
      <c r="GS330" s="200"/>
      <c r="GT330" s="200"/>
      <c r="GU330" s="200"/>
      <c r="GV330" s="200"/>
      <c r="GW330" s="200"/>
      <c r="GX330" s="200"/>
      <c r="GY330" s="200"/>
      <c r="GZ330" s="200"/>
      <c r="HA330" s="200"/>
      <c r="HB330" s="200"/>
      <c r="HC330" s="200"/>
      <c r="HD330" s="200"/>
      <c r="HE330" s="200"/>
      <c r="HF330" s="200"/>
      <c r="HG330" s="200"/>
      <c r="HH330" s="200"/>
      <c r="HI330" s="200"/>
      <c r="HJ330" s="200"/>
      <c r="HK330" s="200"/>
      <c r="HL330" s="200"/>
      <c r="HM330" s="200"/>
      <c r="HN330" s="200"/>
      <c r="HO330" s="200"/>
      <c r="HP330" s="200"/>
      <c r="HQ330" s="200"/>
      <c r="HR330" s="200"/>
      <c r="HS330" s="200"/>
      <c r="HT330" s="200"/>
      <c r="HU330" s="200"/>
      <c r="HV330" s="200"/>
      <c r="HW330" s="200"/>
      <c r="HX330" s="200"/>
      <c r="HY330" s="200"/>
      <c r="HZ330" s="200"/>
      <c r="IA330" s="200"/>
      <c r="IB330" s="200"/>
      <c r="IC330" s="200"/>
      <c r="ID330" s="200"/>
      <c r="IE330" s="200"/>
      <c r="IF330" s="200"/>
      <c r="IG330" s="200"/>
      <c r="IH330" s="200"/>
      <c r="II330" s="200"/>
      <c r="IJ330" s="200"/>
      <c r="IK330" s="200"/>
      <c r="IL330" s="200"/>
      <c r="IM330" s="200"/>
      <c r="IN330" s="200"/>
      <c r="IO330" s="200"/>
      <c r="IP330" s="200"/>
      <c r="IQ330" s="200"/>
      <c r="IR330" s="200"/>
      <c r="IS330" s="200"/>
      <c r="IT330" s="200"/>
      <c r="IU330" s="201"/>
      <c r="IV330" s="201"/>
    </row>
    <row r="331" s="10" customFormat="1" ht="15.95" customHeight="1" spans="1:256">
      <c r="A331" s="199">
        <v>1</v>
      </c>
      <c r="B331" s="20" t="s">
        <v>2316</v>
      </c>
      <c r="C331" s="199" t="s">
        <v>2317</v>
      </c>
      <c r="D331" s="199">
        <v>8001</v>
      </c>
      <c r="E331" s="199">
        <f>'05版台时'!D560</f>
        <v>0.0787395293179099</v>
      </c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200"/>
      <c r="AE331" s="200"/>
      <c r="AF331" s="200"/>
      <c r="AG331" s="200"/>
      <c r="AH331" s="200"/>
      <c r="AI331" s="200"/>
      <c r="AJ331" s="200"/>
      <c r="AK331" s="200"/>
      <c r="AL331" s="200"/>
      <c r="AM331" s="200"/>
      <c r="AN331" s="200"/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200"/>
      <c r="BB331" s="200"/>
      <c r="BC331" s="200"/>
      <c r="BD331" s="200"/>
      <c r="BE331" s="200"/>
      <c r="BF331" s="200"/>
      <c r="BG331" s="200"/>
      <c r="BH331" s="200"/>
      <c r="BI331" s="200"/>
      <c r="BJ331" s="200"/>
      <c r="BK331" s="200"/>
      <c r="BL331" s="200"/>
      <c r="BM331" s="200"/>
      <c r="BN331" s="200"/>
      <c r="BO331" s="200"/>
      <c r="BP331" s="200"/>
      <c r="BQ331" s="200"/>
      <c r="BR331" s="200"/>
      <c r="BS331" s="200"/>
      <c r="BT331" s="200"/>
      <c r="BU331" s="200"/>
      <c r="BV331" s="200"/>
      <c r="BW331" s="200"/>
      <c r="BX331" s="200"/>
      <c r="BY331" s="200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200"/>
      <c r="CX331" s="200"/>
      <c r="CY331" s="200"/>
      <c r="CZ331" s="200"/>
      <c r="DA331" s="200"/>
      <c r="DB331" s="200"/>
      <c r="DC331" s="200"/>
      <c r="DD331" s="200"/>
      <c r="DE331" s="200"/>
      <c r="DF331" s="200"/>
      <c r="DG331" s="200"/>
      <c r="DH331" s="200"/>
      <c r="DI331" s="200"/>
      <c r="DJ331" s="200"/>
      <c r="DK331" s="200"/>
      <c r="DL331" s="200"/>
      <c r="DM331" s="200"/>
      <c r="DN331" s="200"/>
      <c r="DO331" s="200"/>
      <c r="DP331" s="200"/>
      <c r="DQ331" s="200"/>
      <c r="DR331" s="200"/>
      <c r="DS331" s="200"/>
      <c r="DT331" s="200"/>
      <c r="DU331" s="200"/>
      <c r="DV331" s="200"/>
      <c r="DW331" s="200"/>
      <c r="DX331" s="200"/>
      <c r="DY331" s="200"/>
      <c r="DZ331" s="200"/>
      <c r="EA331" s="200"/>
      <c r="EB331" s="200"/>
      <c r="EC331" s="200"/>
      <c r="ED331" s="200"/>
      <c r="EE331" s="200"/>
      <c r="EF331" s="200"/>
      <c r="EG331" s="200"/>
      <c r="EH331" s="200"/>
      <c r="EI331" s="200"/>
      <c r="EJ331" s="200"/>
      <c r="EK331" s="200"/>
      <c r="EL331" s="200"/>
      <c r="EM331" s="200"/>
      <c r="EN331" s="200"/>
      <c r="EO331" s="200"/>
      <c r="EP331" s="200"/>
      <c r="EQ331" s="200"/>
      <c r="ER331" s="200"/>
      <c r="ES331" s="200"/>
      <c r="ET331" s="200"/>
      <c r="EU331" s="200"/>
      <c r="EV331" s="200"/>
      <c r="EW331" s="200"/>
      <c r="EX331" s="200"/>
      <c r="EY331" s="200"/>
      <c r="EZ331" s="200"/>
      <c r="FA331" s="200"/>
      <c r="FB331" s="200"/>
      <c r="FC331" s="200"/>
      <c r="FD331" s="200"/>
      <c r="FE331" s="200"/>
      <c r="FF331" s="200"/>
      <c r="FG331" s="200"/>
      <c r="FH331" s="200"/>
      <c r="FI331" s="200"/>
      <c r="FJ331" s="200"/>
      <c r="FK331" s="200"/>
      <c r="FL331" s="200"/>
      <c r="FM331" s="200"/>
      <c r="FN331" s="200"/>
      <c r="FO331" s="200"/>
      <c r="FP331" s="200"/>
      <c r="FQ331" s="200"/>
      <c r="FR331" s="200"/>
      <c r="FS331" s="200"/>
      <c r="FT331" s="200"/>
      <c r="FU331" s="200"/>
      <c r="FV331" s="200"/>
      <c r="FW331" s="200"/>
      <c r="FX331" s="200"/>
      <c r="FY331" s="200"/>
      <c r="FZ331" s="200"/>
      <c r="GA331" s="200"/>
      <c r="GB331" s="200"/>
      <c r="GC331" s="200"/>
      <c r="GD331" s="200"/>
      <c r="GE331" s="200"/>
      <c r="GF331" s="200"/>
      <c r="GG331" s="200"/>
      <c r="GH331" s="200"/>
      <c r="GI331" s="200"/>
      <c r="GJ331" s="200"/>
      <c r="GK331" s="200"/>
      <c r="GL331" s="200"/>
      <c r="GM331" s="200"/>
      <c r="GN331" s="200"/>
      <c r="GO331" s="200"/>
      <c r="GP331" s="200"/>
      <c r="GQ331" s="200"/>
      <c r="GR331" s="200"/>
      <c r="GS331" s="200"/>
      <c r="GT331" s="200"/>
      <c r="GU331" s="200"/>
      <c r="GV331" s="200"/>
      <c r="GW331" s="200"/>
      <c r="GX331" s="200"/>
      <c r="GY331" s="200"/>
      <c r="GZ331" s="200"/>
      <c r="HA331" s="200"/>
      <c r="HB331" s="200"/>
      <c r="HC331" s="200"/>
      <c r="HD331" s="200"/>
      <c r="HE331" s="200"/>
      <c r="HF331" s="200"/>
      <c r="HG331" s="200"/>
      <c r="HH331" s="200"/>
      <c r="HI331" s="200"/>
      <c r="HJ331" s="200"/>
      <c r="HK331" s="200"/>
      <c r="HL331" s="200"/>
      <c r="HM331" s="200"/>
      <c r="HN331" s="200"/>
      <c r="HO331" s="200"/>
      <c r="HP331" s="200"/>
      <c r="HQ331" s="200"/>
      <c r="HR331" s="200"/>
      <c r="HS331" s="200"/>
      <c r="HT331" s="200"/>
      <c r="HU331" s="200"/>
      <c r="HV331" s="200"/>
      <c r="HW331" s="200"/>
      <c r="HX331" s="200"/>
      <c r="HY331" s="200"/>
      <c r="HZ331" s="200"/>
      <c r="IA331" s="200"/>
      <c r="IB331" s="200"/>
      <c r="IC331" s="200"/>
      <c r="ID331" s="200"/>
      <c r="IE331" s="200"/>
      <c r="IF331" s="200"/>
      <c r="IG331" s="200"/>
      <c r="IH331" s="200"/>
      <c r="II331" s="200"/>
      <c r="IJ331" s="200"/>
      <c r="IK331" s="200"/>
      <c r="IL331" s="200"/>
      <c r="IM331" s="200"/>
      <c r="IN331" s="200"/>
      <c r="IO331" s="200"/>
      <c r="IP331" s="200"/>
      <c r="IQ331" s="200"/>
      <c r="IR331" s="200"/>
      <c r="IS331" s="200"/>
      <c r="IT331" s="200"/>
      <c r="IU331" s="201"/>
      <c r="IV331" s="201"/>
    </row>
    <row r="332" s="10" customFormat="1" ht="15.95" customHeight="1" spans="1:256">
      <c r="A332" s="199">
        <v>2</v>
      </c>
      <c r="B332" s="20" t="s">
        <v>2316</v>
      </c>
      <c r="C332" s="199" t="s">
        <v>2318</v>
      </c>
      <c r="D332" s="199">
        <v>8002</v>
      </c>
      <c r="E332" s="199">
        <f>'05版台时'!E560</f>
        <v>0.096130833665736</v>
      </c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200"/>
      <c r="AE332" s="200"/>
      <c r="AF332" s="200"/>
      <c r="AG332" s="200"/>
      <c r="AH332" s="200"/>
      <c r="AI332" s="200"/>
      <c r="AJ332" s="200"/>
      <c r="AK332" s="200"/>
      <c r="AL332" s="200"/>
      <c r="AM332" s="200"/>
      <c r="AN332" s="200"/>
      <c r="AO332" s="200"/>
      <c r="AP332" s="200"/>
      <c r="AQ332" s="200"/>
      <c r="AR332" s="200"/>
      <c r="AS332" s="200"/>
      <c r="AT332" s="200"/>
      <c r="AU332" s="200"/>
      <c r="AV332" s="200"/>
      <c r="AW332" s="200"/>
      <c r="AX332" s="200"/>
      <c r="AY332" s="200"/>
      <c r="AZ332" s="200"/>
      <c r="BA332" s="200"/>
      <c r="BB332" s="200"/>
      <c r="BC332" s="200"/>
      <c r="BD332" s="200"/>
      <c r="BE332" s="200"/>
      <c r="BF332" s="200"/>
      <c r="BG332" s="200"/>
      <c r="BH332" s="200"/>
      <c r="BI332" s="200"/>
      <c r="BJ332" s="200"/>
      <c r="BK332" s="200"/>
      <c r="BL332" s="200"/>
      <c r="BM332" s="200"/>
      <c r="BN332" s="200"/>
      <c r="BO332" s="200"/>
      <c r="BP332" s="200"/>
      <c r="BQ332" s="200"/>
      <c r="BR332" s="200"/>
      <c r="BS332" s="200"/>
      <c r="BT332" s="200"/>
      <c r="BU332" s="200"/>
      <c r="BV332" s="200"/>
      <c r="BW332" s="200"/>
      <c r="BX332" s="200"/>
      <c r="BY332" s="200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200"/>
      <c r="CX332" s="200"/>
      <c r="CY332" s="200"/>
      <c r="CZ332" s="200"/>
      <c r="DA332" s="200"/>
      <c r="DB332" s="200"/>
      <c r="DC332" s="200"/>
      <c r="DD332" s="200"/>
      <c r="DE332" s="200"/>
      <c r="DF332" s="200"/>
      <c r="DG332" s="200"/>
      <c r="DH332" s="200"/>
      <c r="DI332" s="200"/>
      <c r="DJ332" s="200"/>
      <c r="DK332" s="200"/>
      <c r="DL332" s="200"/>
      <c r="DM332" s="200"/>
      <c r="DN332" s="200"/>
      <c r="DO332" s="200"/>
      <c r="DP332" s="200"/>
      <c r="DQ332" s="200"/>
      <c r="DR332" s="200"/>
      <c r="DS332" s="200"/>
      <c r="DT332" s="200"/>
      <c r="DU332" s="200"/>
      <c r="DV332" s="200"/>
      <c r="DW332" s="200"/>
      <c r="DX332" s="200"/>
      <c r="DY332" s="200"/>
      <c r="DZ332" s="200"/>
      <c r="EA332" s="200"/>
      <c r="EB332" s="200"/>
      <c r="EC332" s="200"/>
      <c r="ED332" s="200"/>
      <c r="EE332" s="200"/>
      <c r="EF332" s="200"/>
      <c r="EG332" s="200"/>
      <c r="EH332" s="200"/>
      <c r="EI332" s="200"/>
      <c r="EJ332" s="200"/>
      <c r="EK332" s="200"/>
      <c r="EL332" s="200"/>
      <c r="EM332" s="200"/>
      <c r="EN332" s="200"/>
      <c r="EO332" s="200"/>
      <c r="EP332" s="200"/>
      <c r="EQ332" s="200"/>
      <c r="ER332" s="200"/>
      <c r="ES332" s="200"/>
      <c r="ET332" s="200"/>
      <c r="EU332" s="200"/>
      <c r="EV332" s="200"/>
      <c r="EW332" s="200"/>
      <c r="EX332" s="200"/>
      <c r="EY332" s="200"/>
      <c r="EZ332" s="200"/>
      <c r="FA332" s="200"/>
      <c r="FB332" s="200"/>
      <c r="FC332" s="200"/>
      <c r="FD332" s="200"/>
      <c r="FE332" s="200"/>
      <c r="FF332" s="200"/>
      <c r="FG332" s="200"/>
      <c r="FH332" s="200"/>
      <c r="FI332" s="200"/>
      <c r="FJ332" s="200"/>
      <c r="FK332" s="200"/>
      <c r="FL332" s="200"/>
      <c r="FM332" s="200"/>
      <c r="FN332" s="200"/>
      <c r="FO332" s="200"/>
      <c r="FP332" s="200"/>
      <c r="FQ332" s="200"/>
      <c r="FR332" s="200"/>
      <c r="FS332" s="200"/>
      <c r="FT332" s="200"/>
      <c r="FU332" s="200"/>
      <c r="FV332" s="200"/>
      <c r="FW332" s="200"/>
      <c r="FX332" s="200"/>
      <c r="FY332" s="200"/>
      <c r="FZ332" s="200"/>
      <c r="GA332" s="200"/>
      <c r="GB332" s="200"/>
      <c r="GC332" s="200"/>
      <c r="GD332" s="200"/>
      <c r="GE332" s="200"/>
      <c r="GF332" s="200"/>
      <c r="GG332" s="200"/>
      <c r="GH332" s="200"/>
      <c r="GI332" s="200"/>
      <c r="GJ332" s="200"/>
      <c r="GK332" s="200"/>
      <c r="GL332" s="200"/>
      <c r="GM332" s="200"/>
      <c r="GN332" s="200"/>
      <c r="GO332" s="200"/>
      <c r="GP332" s="200"/>
      <c r="GQ332" s="200"/>
      <c r="GR332" s="200"/>
      <c r="GS332" s="200"/>
      <c r="GT332" s="200"/>
      <c r="GU332" s="200"/>
      <c r="GV332" s="200"/>
      <c r="GW332" s="200"/>
      <c r="GX332" s="200"/>
      <c r="GY332" s="200"/>
      <c r="GZ332" s="200"/>
      <c r="HA332" s="200"/>
      <c r="HB332" s="200"/>
      <c r="HC332" s="200"/>
      <c r="HD332" s="200"/>
      <c r="HE332" s="200"/>
      <c r="HF332" s="200"/>
      <c r="HG332" s="200"/>
      <c r="HH332" s="200"/>
      <c r="HI332" s="200"/>
      <c r="HJ332" s="200"/>
      <c r="HK332" s="200"/>
      <c r="HL332" s="200"/>
      <c r="HM332" s="200"/>
      <c r="HN332" s="200"/>
      <c r="HO332" s="200"/>
      <c r="HP332" s="200"/>
      <c r="HQ332" s="200"/>
      <c r="HR332" s="200"/>
      <c r="HS332" s="200"/>
      <c r="HT332" s="200"/>
      <c r="HU332" s="200"/>
      <c r="HV332" s="200"/>
      <c r="HW332" s="200"/>
      <c r="HX332" s="200"/>
      <c r="HY332" s="200"/>
      <c r="HZ332" s="200"/>
      <c r="IA332" s="200"/>
      <c r="IB332" s="200"/>
      <c r="IC332" s="200"/>
      <c r="ID332" s="200"/>
      <c r="IE332" s="200"/>
      <c r="IF332" s="200"/>
      <c r="IG332" s="200"/>
      <c r="IH332" s="200"/>
      <c r="II332" s="200"/>
      <c r="IJ332" s="200"/>
      <c r="IK332" s="200"/>
      <c r="IL332" s="200"/>
      <c r="IM332" s="200"/>
      <c r="IN332" s="200"/>
      <c r="IO332" s="200"/>
      <c r="IP332" s="200"/>
      <c r="IQ332" s="200"/>
      <c r="IR332" s="200"/>
      <c r="IS332" s="200"/>
      <c r="IT332" s="200"/>
      <c r="IU332" s="201"/>
      <c r="IV332" s="201"/>
    </row>
    <row r="333" s="10" customFormat="1" ht="15.95" customHeight="1" spans="1:256">
      <c r="A333" s="199">
        <v>3</v>
      </c>
      <c r="B333" s="20" t="s">
        <v>2316</v>
      </c>
      <c r="C333" s="199" t="s">
        <v>2319</v>
      </c>
      <c r="D333" s="199">
        <v>8003</v>
      </c>
      <c r="E333" s="199">
        <f>'05版台时'!F560</f>
        <v>0.148304746709214</v>
      </c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200"/>
      <c r="AE333" s="200"/>
      <c r="AF333" s="200"/>
      <c r="AG333" s="200"/>
      <c r="AH333" s="200"/>
      <c r="AI333" s="200"/>
      <c r="AJ333" s="200"/>
      <c r="AK333" s="200"/>
      <c r="AL333" s="200"/>
      <c r="AM333" s="200"/>
      <c r="AN333" s="200"/>
      <c r="AO333" s="200"/>
      <c r="AP333" s="200"/>
      <c r="AQ333" s="200"/>
      <c r="AR333" s="200"/>
      <c r="AS333" s="200"/>
      <c r="AT333" s="200"/>
      <c r="AU333" s="200"/>
      <c r="AV333" s="200"/>
      <c r="AW333" s="200"/>
      <c r="AX333" s="200"/>
      <c r="AY333" s="200"/>
      <c r="AZ333" s="200"/>
      <c r="BA333" s="200"/>
      <c r="BB333" s="200"/>
      <c r="BC333" s="200"/>
      <c r="BD333" s="200"/>
      <c r="BE333" s="200"/>
      <c r="BF333" s="200"/>
      <c r="BG333" s="200"/>
      <c r="BH333" s="200"/>
      <c r="BI333" s="200"/>
      <c r="BJ333" s="200"/>
      <c r="BK333" s="200"/>
      <c r="BL333" s="200"/>
      <c r="BM333" s="200"/>
      <c r="BN333" s="200"/>
      <c r="BO333" s="200"/>
      <c r="BP333" s="200"/>
      <c r="BQ333" s="200"/>
      <c r="BR333" s="200"/>
      <c r="BS333" s="200"/>
      <c r="BT333" s="200"/>
      <c r="BU333" s="200"/>
      <c r="BV333" s="200"/>
      <c r="BW333" s="200"/>
      <c r="BX333" s="200"/>
      <c r="BY333" s="200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200"/>
      <c r="CX333" s="200"/>
      <c r="CY333" s="200"/>
      <c r="CZ333" s="200"/>
      <c r="DA333" s="200"/>
      <c r="DB333" s="200"/>
      <c r="DC333" s="200"/>
      <c r="DD333" s="200"/>
      <c r="DE333" s="200"/>
      <c r="DF333" s="200"/>
      <c r="DG333" s="200"/>
      <c r="DH333" s="200"/>
      <c r="DI333" s="200"/>
      <c r="DJ333" s="200"/>
      <c r="DK333" s="200"/>
      <c r="DL333" s="200"/>
      <c r="DM333" s="200"/>
      <c r="DN333" s="200"/>
      <c r="DO333" s="200"/>
      <c r="DP333" s="200"/>
      <c r="DQ333" s="200"/>
      <c r="DR333" s="200"/>
      <c r="DS333" s="200"/>
      <c r="DT333" s="200"/>
      <c r="DU333" s="200"/>
      <c r="DV333" s="200"/>
      <c r="DW333" s="200"/>
      <c r="DX333" s="200"/>
      <c r="DY333" s="200"/>
      <c r="DZ333" s="200"/>
      <c r="EA333" s="200"/>
      <c r="EB333" s="200"/>
      <c r="EC333" s="200"/>
      <c r="ED333" s="200"/>
      <c r="EE333" s="200"/>
      <c r="EF333" s="200"/>
      <c r="EG333" s="200"/>
      <c r="EH333" s="200"/>
      <c r="EI333" s="200"/>
      <c r="EJ333" s="200"/>
      <c r="EK333" s="200"/>
      <c r="EL333" s="200"/>
      <c r="EM333" s="200"/>
      <c r="EN333" s="200"/>
      <c r="EO333" s="200"/>
      <c r="EP333" s="200"/>
      <c r="EQ333" s="200"/>
      <c r="ER333" s="200"/>
      <c r="ES333" s="200"/>
      <c r="ET333" s="200"/>
      <c r="EU333" s="200"/>
      <c r="EV333" s="200"/>
      <c r="EW333" s="200"/>
      <c r="EX333" s="200"/>
      <c r="EY333" s="200"/>
      <c r="EZ333" s="200"/>
      <c r="FA333" s="200"/>
      <c r="FB333" s="200"/>
      <c r="FC333" s="200"/>
      <c r="FD333" s="200"/>
      <c r="FE333" s="200"/>
      <c r="FF333" s="200"/>
      <c r="FG333" s="200"/>
      <c r="FH333" s="200"/>
      <c r="FI333" s="200"/>
      <c r="FJ333" s="200"/>
      <c r="FK333" s="200"/>
      <c r="FL333" s="200"/>
      <c r="FM333" s="200"/>
      <c r="FN333" s="200"/>
      <c r="FO333" s="200"/>
      <c r="FP333" s="200"/>
      <c r="FQ333" s="200"/>
      <c r="FR333" s="200"/>
      <c r="FS333" s="200"/>
      <c r="FT333" s="200"/>
      <c r="FU333" s="200"/>
      <c r="FV333" s="200"/>
      <c r="FW333" s="200"/>
      <c r="FX333" s="200"/>
      <c r="FY333" s="200"/>
      <c r="FZ333" s="200"/>
      <c r="GA333" s="200"/>
      <c r="GB333" s="200"/>
      <c r="GC333" s="200"/>
      <c r="GD333" s="200"/>
      <c r="GE333" s="200"/>
      <c r="GF333" s="200"/>
      <c r="GG333" s="200"/>
      <c r="GH333" s="200"/>
      <c r="GI333" s="200"/>
      <c r="GJ333" s="200"/>
      <c r="GK333" s="200"/>
      <c r="GL333" s="200"/>
      <c r="GM333" s="200"/>
      <c r="GN333" s="200"/>
      <c r="GO333" s="200"/>
      <c r="GP333" s="200"/>
      <c r="GQ333" s="200"/>
      <c r="GR333" s="200"/>
      <c r="GS333" s="200"/>
      <c r="GT333" s="200"/>
      <c r="GU333" s="200"/>
      <c r="GV333" s="200"/>
      <c r="GW333" s="200"/>
      <c r="GX333" s="200"/>
      <c r="GY333" s="200"/>
      <c r="GZ333" s="200"/>
      <c r="HA333" s="200"/>
      <c r="HB333" s="200"/>
      <c r="HC333" s="200"/>
      <c r="HD333" s="200"/>
      <c r="HE333" s="200"/>
      <c r="HF333" s="200"/>
      <c r="HG333" s="200"/>
      <c r="HH333" s="200"/>
      <c r="HI333" s="200"/>
      <c r="HJ333" s="200"/>
      <c r="HK333" s="200"/>
      <c r="HL333" s="200"/>
      <c r="HM333" s="200"/>
      <c r="HN333" s="200"/>
      <c r="HO333" s="200"/>
      <c r="HP333" s="200"/>
      <c r="HQ333" s="200"/>
      <c r="HR333" s="200"/>
      <c r="HS333" s="200"/>
      <c r="HT333" s="200"/>
      <c r="HU333" s="200"/>
      <c r="HV333" s="200"/>
      <c r="HW333" s="200"/>
      <c r="HX333" s="200"/>
      <c r="HY333" s="200"/>
      <c r="HZ333" s="200"/>
      <c r="IA333" s="200"/>
      <c r="IB333" s="200"/>
      <c r="IC333" s="200"/>
      <c r="ID333" s="200"/>
      <c r="IE333" s="200"/>
      <c r="IF333" s="200"/>
      <c r="IG333" s="200"/>
      <c r="IH333" s="200"/>
      <c r="II333" s="200"/>
      <c r="IJ333" s="200"/>
      <c r="IK333" s="200"/>
      <c r="IL333" s="200"/>
      <c r="IM333" s="200"/>
      <c r="IN333" s="200"/>
      <c r="IO333" s="200"/>
      <c r="IP333" s="200"/>
      <c r="IQ333" s="200"/>
      <c r="IR333" s="200"/>
      <c r="IS333" s="200"/>
      <c r="IT333" s="200"/>
      <c r="IU333" s="201"/>
      <c r="IV333" s="201"/>
    </row>
    <row r="334" s="10" customFormat="1" ht="15.95" customHeight="1" spans="1:256">
      <c r="A334" s="199">
        <v>4</v>
      </c>
      <c r="B334" s="20" t="s">
        <v>2320</v>
      </c>
      <c r="C334" s="20" t="s">
        <v>2321</v>
      </c>
      <c r="D334" s="199">
        <v>8004</v>
      </c>
      <c r="E334" s="199">
        <f>'05版台时'!G560</f>
        <v>16.3745212116938</v>
      </c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200"/>
      <c r="AE334" s="200"/>
      <c r="AF334" s="200"/>
      <c r="AG334" s="200"/>
      <c r="AH334" s="200"/>
      <c r="AI334" s="200"/>
      <c r="AJ334" s="200"/>
      <c r="AK334" s="200"/>
      <c r="AL334" s="200"/>
      <c r="AM334" s="200"/>
      <c r="AN334" s="200"/>
      <c r="AO334" s="200"/>
      <c r="AP334" s="200"/>
      <c r="AQ334" s="200"/>
      <c r="AR334" s="200"/>
      <c r="AS334" s="200"/>
      <c r="AT334" s="200"/>
      <c r="AU334" s="200"/>
      <c r="AV334" s="200"/>
      <c r="AW334" s="200"/>
      <c r="AX334" s="200"/>
      <c r="AY334" s="200"/>
      <c r="AZ334" s="200"/>
      <c r="BA334" s="200"/>
      <c r="BB334" s="200"/>
      <c r="BC334" s="200"/>
      <c r="BD334" s="200"/>
      <c r="BE334" s="200"/>
      <c r="BF334" s="200"/>
      <c r="BG334" s="200"/>
      <c r="BH334" s="200"/>
      <c r="BI334" s="200"/>
      <c r="BJ334" s="200"/>
      <c r="BK334" s="200"/>
      <c r="BL334" s="200"/>
      <c r="BM334" s="200"/>
      <c r="BN334" s="200"/>
      <c r="BO334" s="200"/>
      <c r="BP334" s="200"/>
      <c r="BQ334" s="200"/>
      <c r="BR334" s="200"/>
      <c r="BS334" s="200"/>
      <c r="BT334" s="200"/>
      <c r="BU334" s="200"/>
      <c r="BV334" s="200"/>
      <c r="BW334" s="200"/>
      <c r="BX334" s="200"/>
      <c r="BY334" s="200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200"/>
      <c r="CX334" s="200"/>
      <c r="CY334" s="200"/>
      <c r="CZ334" s="200"/>
      <c r="DA334" s="200"/>
      <c r="DB334" s="200"/>
      <c r="DC334" s="200"/>
      <c r="DD334" s="200"/>
      <c r="DE334" s="200"/>
      <c r="DF334" s="200"/>
      <c r="DG334" s="200"/>
      <c r="DH334" s="200"/>
      <c r="DI334" s="200"/>
      <c r="DJ334" s="200"/>
      <c r="DK334" s="200"/>
      <c r="DL334" s="200"/>
      <c r="DM334" s="200"/>
      <c r="DN334" s="200"/>
      <c r="DO334" s="200"/>
      <c r="DP334" s="200"/>
      <c r="DQ334" s="200"/>
      <c r="DR334" s="200"/>
      <c r="DS334" s="200"/>
      <c r="DT334" s="200"/>
      <c r="DU334" s="200"/>
      <c r="DV334" s="200"/>
      <c r="DW334" s="200"/>
      <c r="DX334" s="200"/>
      <c r="DY334" s="200"/>
      <c r="DZ334" s="200"/>
      <c r="EA334" s="200"/>
      <c r="EB334" s="200"/>
      <c r="EC334" s="200"/>
      <c r="ED334" s="200"/>
      <c r="EE334" s="200"/>
      <c r="EF334" s="200"/>
      <c r="EG334" s="200"/>
      <c r="EH334" s="200"/>
      <c r="EI334" s="200"/>
      <c r="EJ334" s="200"/>
      <c r="EK334" s="200"/>
      <c r="EL334" s="200"/>
      <c r="EM334" s="200"/>
      <c r="EN334" s="200"/>
      <c r="EO334" s="200"/>
      <c r="EP334" s="200"/>
      <c r="EQ334" s="200"/>
      <c r="ER334" s="200"/>
      <c r="ES334" s="200"/>
      <c r="ET334" s="200"/>
      <c r="EU334" s="200"/>
      <c r="EV334" s="200"/>
      <c r="EW334" s="200"/>
      <c r="EX334" s="200"/>
      <c r="EY334" s="200"/>
      <c r="EZ334" s="200"/>
      <c r="FA334" s="200"/>
      <c r="FB334" s="200"/>
      <c r="FC334" s="200"/>
      <c r="FD334" s="200"/>
      <c r="FE334" s="200"/>
      <c r="FF334" s="200"/>
      <c r="FG334" s="200"/>
      <c r="FH334" s="200"/>
      <c r="FI334" s="200"/>
      <c r="FJ334" s="200"/>
      <c r="FK334" s="200"/>
      <c r="FL334" s="200"/>
      <c r="FM334" s="200"/>
      <c r="FN334" s="200"/>
      <c r="FO334" s="200"/>
      <c r="FP334" s="200"/>
      <c r="FQ334" s="200"/>
      <c r="FR334" s="200"/>
      <c r="FS334" s="200"/>
      <c r="FT334" s="200"/>
      <c r="FU334" s="200"/>
      <c r="FV334" s="200"/>
      <c r="FW334" s="200"/>
      <c r="FX334" s="200"/>
      <c r="FY334" s="200"/>
      <c r="FZ334" s="200"/>
      <c r="GA334" s="200"/>
      <c r="GB334" s="200"/>
      <c r="GC334" s="200"/>
      <c r="GD334" s="200"/>
      <c r="GE334" s="200"/>
      <c r="GF334" s="200"/>
      <c r="GG334" s="200"/>
      <c r="GH334" s="200"/>
      <c r="GI334" s="200"/>
      <c r="GJ334" s="200"/>
      <c r="GK334" s="200"/>
      <c r="GL334" s="200"/>
      <c r="GM334" s="200"/>
      <c r="GN334" s="200"/>
      <c r="GO334" s="200"/>
      <c r="GP334" s="200"/>
      <c r="GQ334" s="200"/>
      <c r="GR334" s="200"/>
      <c r="GS334" s="200"/>
      <c r="GT334" s="200"/>
      <c r="GU334" s="200"/>
      <c r="GV334" s="200"/>
      <c r="GW334" s="200"/>
      <c r="GX334" s="200"/>
      <c r="GY334" s="200"/>
      <c r="GZ334" s="200"/>
      <c r="HA334" s="200"/>
      <c r="HB334" s="200"/>
      <c r="HC334" s="200"/>
      <c r="HD334" s="200"/>
      <c r="HE334" s="200"/>
      <c r="HF334" s="200"/>
      <c r="HG334" s="200"/>
      <c r="HH334" s="200"/>
      <c r="HI334" s="200"/>
      <c r="HJ334" s="200"/>
      <c r="HK334" s="200"/>
      <c r="HL334" s="200"/>
      <c r="HM334" s="200"/>
      <c r="HN334" s="200"/>
      <c r="HO334" s="200"/>
      <c r="HP334" s="200"/>
      <c r="HQ334" s="200"/>
      <c r="HR334" s="200"/>
      <c r="HS334" s="200"/>
      <c r="HT334" s="200"/>
      <c r="HU334" s="200"/>
      <c r="HV334" s="200"/>
      <c r="HW334" s="200"/>
      <c r="HX334" s="200"/>
      <c r="HY334" s="200"/>
      <c r="HZ334" s="200"/>
      <c r="IA334" s="200"/>
      <c r="IB334" s="200"/>
      <c r="IC334" s="200"/>
      <c r="ID334" s="200"/>
      <c r="IE334" s="200"/>
      <c r="IF334" s="200"/>
      <c r="IG334" s="200"/>
      <c r="IH334" s="200"/>
      <c r="II334" s="200"/>
      <c r="IJ334" s="200"/>
      <c r="IK334" s="200"/>
      <c r="IL334" s="200"/>
      <c r="IM334" s="200"/>
      <c r="IN334" s="200"/>
      <c r="IO334" s="200"/>
      <c r="IP334" s="200"/>
      <c r="IQ334" s="200"/>
      <c r="IR334" s="200"/>
      <c r="IS334" s="200"/>
      <c r="IT334" s="200"/>
      <c r="IU334" s="201"/>
      <c r="IV334" s="201"/>
    </row>
    <row r="335" s="10" customFormat="1" ht="15.95" customHeight="1" spans="1:256">
      <c r="A335" s="199">
        <v>5</v>
      </c>
      <c r="B335" s="20" t="s">
        <v>2320</v>
      </c>
      <c r="C335" s="20" t="s">
        <v>2322</v>
      </c>
      <c r="D335" s="199">
        <v>8005</v>
      </c>
      <c r="E335" s="199">
        <f>'05版台时'!H560</f>
        <v>20.3647222487899</v>
      </c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  <c r="AA335" s="200"/>
      <c r="AB335" s="200"/>
      <c r="AC335" s="200"/>
      <c r="AD335" s="200"/>
      <c r="AE335" s="200"/>
      <c r="AF335" s="200"/>
      <c r="AG335" s="200"/>
      <c r="AH335" s="200"/>
      <c r="AI335" s="200"/>
      <c r="AJ335" s="200"/>
      <c r="AK335" s="200"/>
      <c r="AL335" s="200"/>
      <c r="AM335" s="200"/>
      <c r="AN335" s="200"/>
      <c r="AO335" s="200"/>
      <c r="AP335" s="200"/>
      <c r="AQ335" s="200"/>
      <c r="AR335" s="200"/>
      <c r="AS335" s="200"/>
      <c r="AT335" s="200"/>
      <c r="AU335" s="200"/>
      <c r="AV335" s="200"/>
      <c r="AW335" s="200"/>
      <c r="AX335" s="200"/>
      <c r="AY335" s="200"/>
      <c r="AZ335" s="200"/>
      <c r="BA335" s="200"/>
      <c r="BB335" s="200"/>
      <c r="BC335" s="200"/>
      <c r="BD335" s="200"/>
      <c r="BE335" s="200"/>
      <c r="BF335" s="200"/>
      <c r="BG335" s="200"/>
      <c r="BH335" s="200"/>
      <c r="BI335" s="200"/>
      <c r="BJ335" s="200"/>
      <c r="BK335" s="200"/>
      <c r="BL335" s="200"/>
      <c r="BM335" s="200"/>
      <c r="BN335" s="200"/>
      <c r="BO335" s="200"/>
      <c r="BP335" s="200"/>
      <c r="BQ335" s="200"/>
      <c r="BR335" s="200"/>
      <c r="BS335" s="200"/>
      <c r="BT335" s="200"/>
      <c r="BU335" s="200"/>
      <c r="BV335" s="200"/>
      <c r="BW335" s="200"/>
      <c r="BX335" s="200"/>
      <c r="BY335" s="200"/>
      <c r="BZ335" s="200"/>
      <c r="CA335" s="200"/>
      <c r="CB335" s="200"/>
      <c r="CC335" s="200"/>
      <c r="CD335" s="200"/>
      <c r="CE335" s="200"/>
      <c r="CF335" s="200"/>
      <c r="CG335" s="200"/>
      <c r="CH335" s="200"/>
      <c r="CI335" s="200"/>
      <c r="CJ335" s="200"/>
      <c r="CK335" s="200"/>
      <c r="CL335" s="200"/>
      <c r="CM335" s="200"/>
      <c r="CN335" s="200"/>
      <c r="CO335" s="200"/>
      <c r="CP335" s="200"/>
      <c r="CQ335" s="200"/>
      <c r="CR335" s="200"/>
      <c r="CS335" s="200"/>
      <c r="CT335" s="200"/>
      <c r="CU335" s="200"/>
      <c r="CV335" s="200"/>
      <c r="CW335" s="200"/>
      <c r="CX335" s="200"/>
      <c r="CY335" s="200"/>
      <c r="CZ335" s="200"/>
      <c r="DA335" s="200"/>
      <c r="DB335" s="200"/>
      <c r="DC335" s="200"/>
      <c r="DD335" s="200"/>
      <c r="DE335" s="200"/>
      <c r="DF335" s="200"/>
      <c r="DG335" s="200"/>
      <c r="DH335" s="200"/>
      <c r="DI335" s="200"/>
      <c r="DJ335" s="200"/>
      <c r="DK335" s="200"/>
      <c r="DL335" s="200"/>
      <c r="DM335" s="200"/>
      <c r="DN335" s="200"/>
      <c r="DO335" s="200"/>
      <c r="DP335" s="200"/>
      <c r="DQ335" s="200"/>
      <c r="DR335" s="200"/>
      <c r="DS335" s="200"/>
      <c r="DT335" s="200"/>
      <c r="DU335" s="200"/>
      <c r="DV335" s="200"/>
      <c r="DW335" s="200"/>
      <c r="DX335" s="200"/>
      <c r="DY335" s="200"/>
      <c r="DZ335" s="200"/>
      <c r="EA335" s="200"/>
      <c r="EB335" s="200"/>
      <c r="EC335" s="200"/>
      <c r="ED335" s="200"/>
      <c r="EE335" s="200"/>
      <c r="EF335" s="200"/>
      <c r="EG335" s="200"/>
      <c r="EH335" s="200"/>
      <c r="EI335" s="200"/>
      <c r="EJ335" s="200"/>
      <c r="EK335" s="200"/>
      <c r="EL335" s="200"/>
      <c r="EM335" s="200"/>
      <c r="EN335" s="200"/>
      <c r="EO335" s="200"/>
      <c r="EP335" s="200"/>
      <c r="EQ335" s="200"/>
      <c r="ER335" s="200"/>
      <c r="ES335" s="200"/>
      <c r="ET335" s="200"/>
      <c r="EU335" s="200"/>
      <c r="EV335" s="200"/>
      <c r="EW335" s="200"/>
      <c r="EX335" s="200"/>
      <c r="EY335" s="200"/>
      <c r="EZ335" s="200"/>
      <c r="FA335" s="200"/>
      <c r="FB335" s="200"/>
      <c r="FC335" s="200"/>
      <c r="FD335" s="200"/>
      <c r="FE335" s="200"/>
      <c r="FF335" s="200"/>
      <c r="FG335" s="200"/>
      <c r="FH335" s="200"/>
      <c r="FI335" s="200"/>
      <c r="FJ335" s="200"/>
      <c r="FK335" s="200"/>
      <c r="FL335" s="200"/>
      <c r="FM335" s="200"/>
      <c r="FN335" s="200"/>
      <c r="FO335" s="200"/>
      <c r="FP335" s="200"/>
      <c r="FQ335" s="200"/>
      <c r="FR335" s="200"/>
      <c r="FS335" s="200"/>
      <c r="FT335" s="200"/>
      <c r="FU335" s="200"/>
      <c r="FV335" s="200"/>
      <c r="FW335" s="200"/>
      <c r="FX335" s="200"/>
      <c r="FY335" s="200"/>
      <c r="FZ335" s="200"/>
      <c r="GA335" s="200"/>
      <c r="GB335" s="200"/>
      <c r="GC335" s="200"/>
      <c r="GD335" s="200"/>
      <c r="GE335" s="200"/>
      <c r="GF335" s="200"/>
      <c r="GG335" s="200"/>
      <c r="GH335" s="200"/>
      <c r="GI335" s="200"/>
      <c r="GJ335" s="200"/>
      <c r="GK335" s="200"/>
      <c r="GL335" s="200"/>
      <c r="GM335" s="200"/>
      <c r="GN335" s="200"/>
      <c r="GO335" s="200"/>
      <c r="GP335" s="200"/>
      <c r="GQ335" s="200"/>
      <c r="GR335" s="200"/>
      <c r="GS335" s="200"/>
      <c r="GT335" s="200"/>
      <c r="GU335" s="200"/>
      <c r="GV335" s="200"/>
      <c r="GW335" s="200"/>
      <c r="GX335" s="200"/>
      <c r="GY335" s="200"/>
      <c r="GZ335" s="200"/>
      <c r="HA335" s="200"/>
      <c r="HB335" s="200"/>
      <c r="HC335" s="200"/>
      <c r="HD335" s="200"/>
      <c r="HE335" s="200"/>
      <c r="HF335" s="200"/>
      <c r="HG335" s="200"/>
      <c r="HH335" s="200"/>
      <c r="HI335" s="200"/>
      <c r="HJ335" s="200"/>
      <c r="HK335" s="200"/>
      <c r="HL335" s="200"/>
      <c r="HM335" s="200"/>
      <c r="HN335" s="200"/>
      <c r="HO335" s="200"/>
      <c r="HP335" s="200"/>
      <c r="HQ335" s="200"/>
      <c r="HR335" s="200"/>
      <c r="HS335" s="200"/>
      <c r="HT335" s="200"/>
      <c r="HU335" s="200"/>
      <c r="HV335" s="200"/>
      <c r="HW335" s="200"/>
      <c r="HX335" s="200"/>
      <c r="HY335" s="200"/>
      <c r="HZ335" s="200"/>
      <c r="IA335" s="200"/>
      <c r="IB335" s="200"/>
      <c r="IC335" s="200"/>
      <c r="ID335" s="200"/>
      <c r="IE335" s="200"/>
      <c r="IF335" s="200"/>
      <c r="IG335" s="200"/>
      <c r="IH335" s="200"/>
      <c r="II335" s="200"/>
      <c r="IJ335" s="200"/>
      <c r="IK335" s="200"/>
      <c r="IL335" s="200"/>
      <c r="IM335" s="200"/>
      <c r="IN335" s="200"/>
      <c r="IO335" s="200"/>
      <c r="IP335" s="200"/>
      <c r="IQ335" s="200"/>
      <c r="IR335" s="200"/>
      <c r="IS335" s="200"/>
      <c r="IT335" s="200"/>
      <c r="IU335" s="201"/>
      <c r="IV335" s="201"/>
    </row>
    <row r="336" s="10" customFormat="1" ht="15.95" customHeight="1" spans="1:256">
      <c r="A336" s="199">
        <v>6</v>
      </c>
      <c r="B336" s="20" t="s">
        <v>2320</v>
      </c>
      <c r="C336" s="20" t="s">
        <v>2323</v>
      </c>
      <c r="D336" s="199">
        <v>8006</v>
      </c>
      <c r="E336" s="199">
        <f>'05版台时'!I560</f>
        <v>23.4542260381796</v>
      </c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  <c r="AA336" s="200"/>
      <c r="AB336" s="200"/>
      <c r="AC336" s="200"/>
      <c r="AD336" s="200"/>
      <c r="AE336" s="200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200"/>
      <c r="BB336" s="200"/>
      <c r="BC336" s="200"/>
      <c r="BD336" s="200"/>
      <c r="BE336" s="200"/>
      <c r="BF336" s="200"/>
      <c r="BG336" s="200"/>
      <c r="BH336" s="200"/>
      <c r="BI336" s="200"/>
      <c r="BJ336" s="200"/>
      <c r="BK336" s="200"/>
      <c r="BL336" s="200"/>
      <c r="BM336" s="200"/>
      <c r="BN336" s="200"/>
      <c r="BO336" s="200"/>
      <c r="BP336" s="200"/>
      <c r="BQ336" s="200"/>
      <c r="BR336" s="200"/>
      <c r="BS336" s="200"/>
      <c r="BT336" s="200"/>
      <c r="BU336" s="200"/>
      <c r="BV336" s="200"/>
      <c r="BW336" s="200"/>
      <c r="BX336" s="200"/>
      <c r="BY336" s="200"/>
      <c r="BZ336" s="200"/>
      <c r="CA336" s="200"/>
      <c r="CB336" s="200"/>
      <c r="CC336" s="200"/>
      <c r="CD336" s="200"/>
      <c r="CE336" s="200"/>
      <c r="CF336" s="200"/>
      <c r="CG336" s="200"/>
      <c r="CH336" s="200"/>
      <c r="CI336" s="200"/>
      <c r="CJ336" s="200"/>
      <c r="CK336" s="200"/>
      <c r="CL336" s="200"/>
      <c r="CM336" s="200"/>
      <c r="CN336" s="200"/>
      <c r="CO336" s="200"/>
      <c r="CP336" s="200"/>
      <c r="CQ336" s="200"/>
      <c r="CR336" s="200"/>
      <c r="CS336" s="200"/>
      <c r="CT336" s="200"/>
      <c r="CU336" s="200"/>
      <c r="CV336" s="200"/>
      <c r="CW336" s="200"/>
      <c r="CX336" s="200"/>
      <c r="CY336" s="200"/>
      <c r="CZ336" s="200"/>
      <c r="DA336" s="200"/>
      <c r="DB336" s="200"/>
      <c r="DC336" s="200"/>
      <c r="DD336" s="200"/>
      <c r="DE336" s="200"/>
      <c r="DF336" s="200"/>
      <c r="DG336" s="200"/>
      <c r="DH336" s="200"/>
      <c r="DI336" s="200"/>
      <c r="DJ336" s="200"/>
      <c r="DK336" s="200"/>
      <c r="DL336" s="200"/>
      <c r="DM336" s="200"/>
      <c r="DN336" s="200"/>
      <c r="DO336" s="200"/>
      <c r="DP336" s="200"/>
      <c r="DQ336" s="200"/>
      <c r="DR336" s="200"/>
      <c r="DS336" s="200"/>
      <c r="DT336" s="200"/>
      <c r="DU336" s="200"/>
      <c r="DV336" s="200"/>
      <c r="DW336" s="200"/>
      <c r="DX336" s="200"/>
      <c r="DY336" s="200"/>
      <c r="DZ336" s="200"/>
      <c r="EA336" s="200"/>
      <c r="EB336" s="200"/>
      <c r="EC336" s="200"/>
      <c r="ED336" s="200"/>
      <c r="EE336" s="200"/>
      <c r="EF336" s="200"/>
      <c r="EG336" s="200"/>
      <c r="EH336" s="200"/>
      <c r="EI336" s="200"/>
      <c r="EJ336" s="200"/>
      <c r="EK336" s="200"/>
      <c r="EL336" s="200"/>
      <c r="EM336" s="200"/>
      <c r="EN336" s="200"/>
      <c r="EO336" s="200"/>
      <c r="EP336" s="200"/>
      <c r="EQ336" s="200"/>
      <c r="ER336" s="200"/>
      <c r="ES336" s="200"/>
      <c r="ET336" s="200"/>
      <c r="EU336" s="200"/>
      <c r="EV336" s="200"/>
      <c r="EW336" s="200"/>
      <c r="EX336" s="200"/>
      <c r="EY336" s="200"/>
      <c r="EZ336" s="200"/>
      <c r="FA336" s="200"/>
      <c r="FB336" s="200"/>
      <c r="FC336" s="200"/>
      <c r="FD336" s="200"/>
      <c r="FE336" s="200"/>
      <c r="FF336" s="200"/>
      <c r="FG336" s="200"/>
      <c r="FH336" s="200"/>
      <c r="FI336" s="200"/>
      <c r="FJ336" s="200"/>
      <c r="FK336" s="200"/>
      <c r="FL336" s="200"/>
      <c r="FM336" s="200"/>
      <c r="FN336" s="200"/>
      <c r="FO336" s="200"/>
      <c r="FP336" s="200"/>
      <c r="FQ336" s="200"/>
      <c r="FR336" s="200"/>
      <c r="FS336" s="200"/>
      <c r="FT336" s="200"/>
      <c r="FU336" s="200"/>
      <c r="FV336" s="200"/>
      <c r="FW336" s="200"/>
      <c r="FX336" s="200"/>
      <c r="FY336" s="200"/>
      <c r="FZ336" s="200"/>
      <c r="GA336" s="200"/>
      <c r="GB336" s="200"/>
      <c r="GC336" s="200"/>
      <c r="GD336" s="200"/>
      <c r="GE336" s="200"/>
      <c r="GF336" s="200"/>
      <c r="GG336" s="200"/>
      <c r="GH336" s="200"/>
      <c r="GI336" s="200"/>
      <c r="GJ336" s="200"/>
      <c r="GK336" s="200"/>
      <c r="GL336" s="200"/>
      <c r="GM336" s="200"/>
      <c r="GN336" s="200"/>
      <c r="GO336" s="200"/>
      <c r="GP336" s="200"/>
      <c r="GQ336" s="200"/>
      <c r="GR336" s="200"/>
      <c r="GS336" s="200"/>
      <c r="GT336" s="200"/>
      <c r="GU336" s="200"/>
      <c r="GV336" s="200"/>
      <c r="GW336" s="200"/>
      <c r="GX336" s="200"/>
      <c r="GY336" s="200"/>
      <c r="GZ336" s="200"/>
      <c r="HA336" s="200"/>
      <c r="HB336" s="200"/>
      <c r="HC336" s="200"/>
      <c r="HD336" s="200"/>
      <c r="HE336" s="200"/>
      <c r="HF336" s="200"/>
      <c r="HG336" s="200"/>
      <c r="HH336" s="200"/>
      <c r="HI336" s="200"/>
      <c r="HJ336" s="200"/>
      <c r="HK336" s="200"/>
      <c r="HL336" s="200"/>
      <c r="HM336" s="200"/>
      <c r="HN336" s="200"/>
      <c r="HO336" s="200"/>
      <c r="HP336" s="200"/>
      <c r="HQ336" s="200"/>
      <c r="HR336" s="200"/>
      <c r="HS336" s="200"/>
      <c r="HT336" s="200"/>
      <c r="HU336" s="200"/>
      <c r="HV336" s="200"/>
      <c r="HW336" s="200"/>
      <c r="HX336" s="200"/>
      <c r="HY336" s="200"/>
      <c r="HZ336" s="200"/>
      <c r="IA336" s="200"/>
      <c r="IB336" s="200"/>
      <c r="IC336" s="200"/>
      <c r="ID336" s="200"/>
      <c r="IE336" s="200"/>
      <c r="IF336" s="200"/>
      <c r="IG336" s="200"/>
      <c r="IH336" s="200"/>
      <c r="II336" s="200"/>
      <c r="IJ336" s="200"/>
      <c r="IK336" s="200"/>
      <c r="IL336" s="200"/>
      <c r="IM336" s="200"/>
      <c r="IN336" s="200"/>
      <c r="IO336" s="200"/>
      <c r="IP336" s="200"/>
      <c r="IQ336" s="200"/>
      <c r="IR336" s="200"/>
      <c r="IS336" s="200"/>
      <c r="IT336" s="200"/>
      <c r="IU336" s="201"/>
      <c r="IV336" s="201"/>
    </row>
    <row r="337" s="10" customFormat="1" ht="15.95" customHeight="1" spans="1:256">
      <c r="A337" s="199">
        <v>7</v>
      </c>
      <c r="B337" s="20" t="s">
        <v>2320</v>
      </c>
      <c r="C337" s="20" t="s">
        <v>2324</v>
      </c>
      <c r="D337" s="199">
        <v>8007</v>
      </c>
      <c r="E337" s="199">
        <f>'05版台时'!J560</f>
        <v>28.5917521650244</v>
      </c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  <c r="AA337" s="200"/>
      <c r="AB337" s="200"/>
      <c r="AC337" s="200"/>
      <c r="AD337" s="200"/>
      <c r="AE337" s="200"/>
      <c r="AF337" s="200"/>
      <c r="AG337" s="200"/>
      <c r="AH337" s="200"/>
      <c r="AI337" s="200"/>
      <c r="AJ337" s="200"/>
      <c r="AK337" s="200"/>
      <c r="AL337" s="200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200"/>
      <c r="BB337" s="200"/>
      <c r="BC337" s="200"/>
      <c r="BD337" s="200"/>
      <c r="BE337" s="200"/>
      <c r="BF337" s="200"/>
      <c r="BG337" s="200"/>
      <c r="BH337" s="200"/>
      <c r="BI337" s="200"/>
      <c r="BJ337" s="200"/>
      <c r="BK337" s="200"/>
      <c r="BL337" s="200"/>
      <c r="BM337" s="200"/>
      <c r="BN337" s="200"/>
      <c r="BO337" s="200"/>
      <c r="BP337" s="200"/>
      <c r="BQ337" s="200"/>
      <c r="BR337" s="200"/>
      <c r="BS337" s="200"/>
      <c r="BT337" s="200"/>
      <c r="BU337" s="200"/>
      <c r="BV337" s="200"/>
      <c r="BW337" s="200"/>
      <c r="BX337" s="200"/>
      <c r="BY337" s="200"/>
      <c r="BZ337" s="200"/>
      <c r="CA337" s="200"/>
      <c r="CB337" s="200"/>
      <c r="CC337" s="200"/>
      <c r="CD337" s="200"/>
      <c r="CE337" s="200"/>
      <c r="CF337" s="200"/>
      <c r="CG337" s="200"/>
      <c r="CH337" s="200"/>
      <c r="CI337" s="200"/>
      <c r="CJ337" s="200"/>
      <c r="CK337" s="200"/>
      <c r="CL337" s="200"/>
      <c r="CM337" s="200"/>
      <c r="CN337" s="200"/>
      <c r="CO337" s="200"/>
      <c r="CP337" s="200"/>
      <c r="CQ337" s="200"/>
      <c r="CR337" s="200"/>
      <c r="CS337" s="200"/>
      <c r="CT337" s="200"/>
      <c r="CU337" s="200"/>
      <c r="CV337" s="200"/>
      <c r="CW337" s="200"/>
      <c r="CX337" s="200"/>
      <c r="CY337" s="200"/>
      <c r="CZ337" s="200"/>
      <c r="DA337" s="200"/>
      <c r="DB337" s="200"/>
      <c r="DC337" s="200"/>
      <c r="DD337" s="200"/>
      <c r="DE337" s="200"/>
      <c r="DF337" s="200"/>
      <c r="DG337" s="200"/>
      <c r="DH337" s="200"/>
      <c r="DI337" s="200"/>
      <c r="DJ337" s="200"/>
      <c r="DK337" s="200"/>
      <c r="DL337" s="200"/>
      <c r="DM337" s="200"/>
      <c r="DN337" s="200"/>
      <c r="DO337" s="200"/>
      <c r="DP337" s="200"/>
      <c r="DQ337" s="200"/>
      <c r="DR337" s="200"/>
      <c r="DS337" s="200"/>
      <c r="DT337" s="200"/>
      <c r="DU337" s="200"/>
      <c r="DV337" s="200"/>
      <c r="DW337" s="200"/>
      <c r="DX337" s="200"/>
      <c r="DY337" s="200"/>
      <c r="DZ337" s="200"/>
      <c r="EA337" s="200"/>
      <c r="EB337" s="200"/>
      <c r="EC337" s="200"/>
      <c r="ED337" s="200"/>
      <c r="EE337" s="200"/>
      <c r="EF337" s="200"/>
      <c r="EG337" s="200"/>
      <c r="EH337" s="200"/>
      <c r="EI337" s="200"/>
      <c r="EJ337" s="200"/>
      <c r="EK337" s="200"/>
      <c r="EL337" s="200"/>
      <c r="EM337" s="200"/>
      <c r="EN337" s="200"/>
      <c r="EO337" s="200"/>
      <c r="EP337" s="200"/>
      <c r="EQ337" s="200"/>
      <c r="ER337" s="200"/>
      <c r="ES337" s="200"/>
      <c r="ET337" s="200"/>
      <c r="EU337" s="200"/>
      <c r="EV337" s="200"/>
      <c r="EW337" s="200"/>
      <c r="EX337" s="200"/>
      <c r="EY337" s="200"/>
      <c r="EZ337" s="200"/>
      <c r="FA337" s="200"/>
      <c r="FB337" s="200"/>
      <c r="FC337" s="200"/>
      <c r="FD337" s="200"/>
      <c r="FE337" s="200"/>
      <c r="FF337" s="200"/>
      <c r="FG337" s="200"/>
      <c r="FH337" s="200"/>
      <c r="FI337" s="200"/>
      <c r="FJ337" s="200"/>
      <c r="FK337" s="200"/>
      <c r="FL337" s="200"/>
      <c r="FM337" s="200"/>
      <c r="FN337" s="200"/>
      <c r="FO337" s="200"/>
      <c r="FP337" s="200"/>
      <c r="FQ337" s="200"/>
      <c r="FR337" s="200"/>
      <c r="FS337" s="200"/>
      <c r="FT337" s="200"/>
      <c r="FU337" s="200"/>
      <c r="FV337" s="200"/>
      <c r="FW337" s="200"/>
      <c r="FX337" s="200"/>
      <c r="FY337" s="200"/>
      <c r="FZ337" s="200"/>
      <c r="GA337" s="200"/>
      <c r="GB337" s="200"/>
      <c r="GC337" s="200"/>
      <c r="GD337" s="200"/>
      <c r="GE337" s="200"/>
      <c r="GF337" s="200"/>
      <c r="GG337" s="200"/>
      <c r="GH337" s="200"/>
      <c r="GI337" s="200"/>
      <c r="GJ337" s="200"/>
      <c r="GK337" s="200"/>
      <c r="GL337" s="200"/>
      <c r="GM337" s="200"/>
      <c r="GN337" s="200"/>
      <c r="GO337" s="200"/>
      <c r="GP337" s="200"/>
      <c r="GQ337" s="200"/>
      <c r="GR337" s="200"/>
      <c r="GS337" s="200"/>
      <c r="GT337" s="200"/>
      <c r="GU337" s="200"/>
      <c r="GV337" s="200"/>
      <c r="GW337" s="200"/>
      <c r="GX337" s="200"/>
      <c r="GY337" s="200"/>
      <c r="GZ337" s="200"/>
      <c r="HA337" s="200"/>
      <c r="HB337" s="200"/>
      <c r="HC337" s="200"/>
      <c r="HD337" s="200"/>
      <c r="HE337" s="200"/>
      <c r="HF337" s="200"/>
      <c r="HG337" s="200"/>
      <c r="HH337" s="200"/>
      <c r="HI337" s="200"/>
      <c r="HJ337" s="200"/>
      <c r="HK337" s="200"/>
      <c r="HL337" s="200"/>
      <c r="HM337" s="200"/>
      <c r="HN337" s="200"/>
      <c r="HO337" s="200"/>
      <c r="HP337" s="200"/>
      <c r="HQ337" s="200"/>
      <c r="HR337" s="200"/>
      <c r="HS337" s="200"/>
      <c r="HT337" s="200"/>
      <c r="HU337" s="200"/>
      <c r="HV337" s="200"/>
      <c r="HW337" s="200"/>
      <c r="HX337" s="200"/>
      <c r="HY337" s="200"/>
      <c r="HZ337" s="200"/>
      <c r="IA337" s="200"/>
      <c r="IB337" s="200"/>
      <c r="IC337" s="200"/>
      <c r="ID337" s="200"/>
      <c r="IE337" s="200"/>
      <c r="IF337" s="200"/>
      <c r="IG337" s="200"/>
      <c r="IH337" s="200"/>
      <c r="II337" s="200"/>
      <c r="IJ337" s="200"/>
      <c r="IK337" s="200"/>
      <c r="IL337" s="200"/>
      <c r="IM337" s="200"/>
      <c r="IN337" s="200"/>
      <c r="IO337" s="200"/>
      <c r="IP337" s="200"/>
      <c r="IQ337" s="200"/>
      <c r="IR337" s="200"/>
      <c r="IS337" s="200"/>
      <c r="IT337" s="200"/>
      <c r="IU337" s="201"/>
      <c r="IV337" s="201"/>
    </row>
    <row r="338" s="10" customFormat="1" ht="15.95" customHeight="1" spans="1:256">
      <c r="A338" s="199">
        <v>8</v>
      </c>
      <c r="B338" s="20" t="s">
        <v>2320</v>
      </c>
      <c r="C338" s="20" t="s">
        <v>2325</v>
      </c>
      <c r="D338" s="199">
        <v>8008</v>
      </c>
      <c r="E338" s="199">
        <f>'05版台时'!K560</f>
        <v>40.8056085670986</v>
      </c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  <c r="AA338" s="200"/>
      <c r="AB338" s="200"/>
      <c r="AC338" s="200"/>
      <c r="AD338" s="200"/>
      <c r="AE338" s="200"/>
      <c r="AF338" s="200"/>
      <c r="AG338" s="200"/>
      <c r="AH338" s="200"/>
      <c r="AI338" s="200"/>
      <c r="AJ338" s="200"/>
      <c r="AK338" s="200"/>
      <c r="AL338" s="200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200"/>
      <c r="BB338" s="200"/>
      <c r="BC338" s="200"/>
      <c r="BD338" s="200"/>
      <c r="BE338" s="200"/>
      <c r="BF338" s="200"/>
      <c r="BG338" s="200"/>
      <c r="BH338" s="200"/>
      <c r="BI338" s="200"/>
      <c r="BJ338" s="200"/>
      <c r="BK338" s="200"/>
      <c r="BL338" s="200"/>
      <c r="BM338" s="200"/>
      <c r="BN338" s="200"/>
      <c r="BO338" s="200"/>
      <c r="BP338" s="200"/>
      <c r="BQ338" s="200"/>
      <c r="BR338" s="200"/>
      <c r="BS338" s="200"/>
      <c r="BT338" s="200"/>
      <c r="BU338" s="200"/>
      <c r="BV338" s="200"/>
      <c r="BW338" s="200"/>
      <c r="BX338" s="200"/>
      <c r="BY338" s="200"/>
      <c r="BZ338" s="200"/>
      <c r="CA338" s="200"/>
      <c r="CB338" s="200"/>
      <c r="CC338" s="200"/>
      <c r="CD338" s="200"/>
      <c r="CE338" s="200"/>
      <c r="CF338" s="200"/>
      <c r="CG338" s="200"/>
      <c r="CH338" s="200"/>
      <c r="CI338" s="200"/>
      <c r="CJ338" s="200"/>
      <c r="CK338" s="200"/>
      <c r="CL338" s="200"/>
      <c r="CM338" s="200"/>
      <c r="CN338" s="200"/>
      <c r="CO338" s="200"/>
      <c r="CP338" s="200"/>
      <c r="CQ338" s="200"/>
      <c r="CR338" s="200"/>
      <c r="CS338" s="200"/>
      <c r="CT338" s="200"/>
      <c r="CU338" s="200"/>
      <c r="CV338" s="200"/>
      <c r="CW338" s="200"/>
      <c r="CX338" s="200"/>
      <c r="CY338" s="200"/>
      <c r="CZ338" s="200"/>
      <c r="DA338" s="200"/>
      <c r="DB338" s="200"/>
      <c r="DC338" s="200"/>
      <c r="DD338" s="200"/>
      <c r="DE338" s="200"/>
      <c r="DF338" s="200"/>
      <c r="DG338" s="200"/>
      <c r="DH338" s="200"/>
      <c r="DI338" s="200"/>
      <c r="DJ338" s="200"/>
      <c r="DK338" s="200"/>
      <c r="DL338" s="200"/>
      <c r="DM338" s="200"/>
      <c r="DN338" s="200"/>
      <c r="DO338" s="200"/>
      <c r="DP338" s="200"/>
      <c r="DQ338" s="200"/>
      <c r="DR338" s="200"/>
      <c r="DS338" s="200"/>
      <c r="DT338" s="200"/>
      <c r="DU338" s="200"/>
      <c r="DV338" s="200"/>
      <c r="DW338" s="200"/>
      <c r="DX338" s="200"/>
      <c r="DY338" s="200"/>
      <c r="DZ338" s="200"/>
      <c r="EA338" s="200"/>
      <c r="EB338" s="200"/>
      <c r="EC338" s="200"/>
      <c r="ED338" s="200"/>
      <c r="EE338" s="200"/>
      <c r="EF338" s="200"/>
      <c r="EG338" s="200"/>
      <c r="EH338" s="200"/>
      <c r="EI338" s="200"/>
      <c r="EJ338" s="200"/>
      <c r="EK338" s="200"/>
      <c r="EL338" s="200"/>
      <c r="EM338" s="200"/>
      <c r="EN338" s="200"/>
      <c r="EO338" s="200"/>
      <c r="EP338" s="200"/>
      <c r="EQ338" s="200"/>
      <c r="ER338" s="200"/>
      <c r="ES338" s="200"/>
      <c r="ET338" s="200"/>
      <c r="EU338" s="200"/>
      <c r="EV338" s="200"/>
      <c r="EW338" s="200"/>
      <c r="EX338" s="200"/>
      <c r="EY338" s="200"/>
      <c r="EZ338" s="200"/>
      <c r="FA338" s="200"/>
      <c r="FB338" s="200"/>
      <c r="FC338" s="200"/>
      <c r="FD338" s="200"/>
      <c r="FE338" s="200"/>
      <c r="FF338" s="200"/>
      <c r="FG338" s="200"/>
      <c r="FH338" s="200"/>
      <c r="FI338" s="200"/>
      <c r="FJ338" s="200"/>
      <c r="FK338" s="200"/>
      <c r="FL338" s="200"/>
      <c r="FM338" s="200"/>
      <c r="FN338" s="200"/>
      <c r="FO338" s="200"/>
      <c r="FP338" s="200"/>
      <c r="FQ338" s="200"/>
      <c r="FR338" s="200"/>
      <c r="FS338" s="200"/>
      <c r="FT338" s="200"/>
      <c r="FU338" s="200"/>
      <c r="FV338" s="200"/>
      <c r="FW338" s="200"/>
      <c r="FX338" s="200"/>
      <c r="FY338" s="200"/>
      <c r="FZ338" s="200"/>
      <c r="GA338" s="200"/>
      <c r="GB338" s="200"/>
      <c r="GC338" s="200"/>
      <c r="GD338" s="200"/>
      <c r="GE338" s="200"/>
      <c r="GF338" s="200"/>
      <c r="GG338" s="200"/>
      <c r="GH338" s="200"/>
      <c r="GI338" s="200"/>
      <c r="GJ338" s="200"/>
      <c r="GK338" s="200"/>
      <c r="GL338" s="200"/>
      <c r="GM338" s="200"/>
      <c r="GN338" s="200"/>
      <c r="GO338" s="200"/>
      <c r="GP338" s="200"/>
      <c r="GQ338" s="200"/>
      <c r="GR338" s="200"/>
      <c r="GS338" s="200"/>
      <c r="GT338" s="200"/>
      <c r="GU338" s="200"/>
      <c r="GV338" s="200"/>
      <c r="GW338" s="200"/>
      <c r="GX338" s="200"/>
      <c r="GY338" s="200"/>
      <c r="GZ338" s="200"/>
      <c r="HA338" s="200"/>
      <c r="HB338" s="200"/>
      <c r="HC338" s="200"/>
      <c r="HD338" s="200"/>
      <c r="HE338" s="200"/>
      <c r="HF338" s="200"/>
      <c r="HG338" s="200"/>
      <c r="HH338" s="200"/>
      <c r="HI338" s="200"/>
      <c r="HJ338" s="200"/>
      <c r="HK338" s="200"/>
      <c r="HL338" s="200"/>
      <c r="HM338" s="200"/>
      <c r="HN338" s="200"/>
      <c r="HO338" s="200"/>
      <c r="HP338" s="200"/>
      <c r="HQ338" s="200"/>
      <c r="HR338" s="200"/>
      <c r="HS338" s="200"/>
      <c r="HT338" s="200"/>
      <c r="HU338" s="200"/>
      <c r="HV338" s="200"/>
      <c r="HW338" s="200"/>
      <c r="HX338" s="200"/>
      <c r="HY338" s="200"/>
      <c r="HZ338" s="200"/>
      <c r="IA338" s="200"/>
      <c r="IB338" s="200"/>
      <c r="IC338" s="200"/>
      <c r="ID338" s="200"/>
      <c r="IE338" s="200"/>
      <c r="IF338" s="200"/>
      <c r="IG338" s="200"/>
      <c r="IH338" s="200"/>
      <c r="II338" s="200"/>
      <c r="IJ338" s="200"/>
      <c r="IK338" s="200"/>
      <c r="IL338" s="200"/>
      <c r="IM338" s="200"/>
      <c r="IN338" s="200"/>
      <c r="IO338" s="200"/>
      <c r="IP338" s="200"/>
      <c r="IQ338" s="200"/>
      <c r="IR338" s="200"/>
      <c r="IS338" s="200"/>
      <c r="IT338" s="200"/>
      <c r="IU338" s="201"/>
      <c r="IV338" s="201"/>
    </row>
    <row r="339" s="10" customFormat="1" ht="15.95" customHeight="1" spans="1:256">
      <c r="A339" s="199">
        <v>9</v>
      </c>
      <c r="B339" s="20" t="s">
        <v>2320</v>
      </c>
      <c r="C339" s="20" t="s">
        <v>2326</v>
      </c>
      <c r="D339" s="199">
        <v>8009</v>
      </c>
      <c r="E339" s="199">
        <f>'05版台时'!L560</f>
        <v>51.1984797278485</v>
      </c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  <c r="AA339" s="200"/>
      <c r="AB339" s="200"/>
      <c r="AC339" s="200"/>
      <c r="AD339" s="200"/>
      <c r="AE339" s="200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/>
      <c r="BB339" s="200"/>
      <c r="BC339" s="200"/>
      <c r="BD339" s="200"/>
      <c r="BE339" s="200"/>
      <c r="BF339" s="200"/>
      <c r="BG339" s="200"/>
      <c r="BH339" s="200"/>
      <c r="BI339" s="200"/>
      <c r="BJ339" s="200"/>
      <c r="BK339" s="200"/>
      <c r="BL339" s="200"/>
      <c r="BM339" s="200"/>
      <c r="BN339" s="200"/>
      <c r="BO339" s="200"/>
      <c r="BP339" s="200"/>
      <c r="BQ339" s="200"/>
      <c r="BR339" s="200"/>
      <c r="BS339" s="200"/>
      <c r="BT339" s="200"/>
      <c r="BU339" s="200"/>
      <c r="BV339" s="200"/>
      <c r="BW339" s="200"/>
      <c r="BX339" s="200"/>
      <c r="BY339" s="200"/>
      <c r="BZ339" s="200"/>
      <c r="CA339" s="200"/>
      <c r="CB339" s="200"/>
      <c r="CC339" s="200"/>
      <c r="CD339" s="200"/>
      <c r="CE339" s="200"/>
      <c r="CF339" s="200"/>
      <c r="CG339" s="200"/>
      <c r="CH339" s="200"/>
      <c r="CI339" s="200"/>
      <c r="CJ339" s="200"/>
      <c r="CK339" s="200"/>
      <c r="CL339" s="200"/>
      <c r="CM339" s="200"/>
      <c r="CN339" s="200"/>
      <c r="CO339" s="200"/>
      <c r="CP339" s="200"/>
      <c r="CQ339" s="200"/>
      <c r="CR339" s="200"/>
      <c r="CS339" s="200"/>
      <c r="CT339" s="200"/>
      <c r="CU339" s="200"/>
      <c r="CV339" s="200"/>
      <c r="CW339" s="200"/>
      <c r="CX339" s="200"/>
      <c r="CY339" s="200"/>
      <c r="CZ339" s="200"/>
      <c r="DA339" s="200"/>
      <c r="DB339" s="200"/>
      <c r="DC339" s="200"/>
      <c r="DD339" s="200"/>
      <c r="DE339" s="200"/>
      <c r="DF339" s="200"/>
      <c r="DG339" s="200"/>
      <c r="DH339" s="200"/>
      <c r="DI339" s="200"/>
      <c r="DJ339" s="200"/>
      <c r="DK339" s="200"/>
      <c r="DL339" s="200"/>
      <c r="DM339" s="200"/>
      <c r="DN339" s="200"/>
      <c r="DO339" s="200"/>
      <c r="DP339" s="200"/>
      <c r="DQ339" s="200"/>
      <c r="DR339" s="200"/>
      <c r="DS339" s="200"/>
      <c r="DT339" s="200"/>
      <c r="DU339" s="200"/>
      <c r="DV339" s="200"/>
      <c r="DW339" s="200"/>
      <c r="DX339" s="200"/>
      <c r="DY339" s="200"/>
      <c r="DZ339" s="200"/>
      <c r="EA339" s="200"/>
      <c r="EB339" s="200"/>
      <c r="EC339" s="200"/>
      <c r="ED339" s="200"/>
      <c r="EE339" s="200"/>
      <c r="EF339" s="200"/>
      <c r="EG339" s="200"/>
      <c r="EH339" s="200"/>
      <c r="EI339" s="200"/>
      <c r="EJ339" s="200"/>
      <c r="EK339" s="200"/>
      <c r="EL339" s="200"/>
      <c r="EM339" s="200"/>
      <c r="EN339" s="200"/>
      <c r="EO339" s="200"/>
      <c r="EP339" s="200"/>
      <c r="EQ339" s="200"/>
      <c r="ER339" s="200"/>
      <c r="ES339" s="200"/>
      <c r="ET339" s="200"/>
      <c r="EU339" s="200"/>
      <c r="EV339" s="200"/>
      <c r="EW339" s="200"/>
      <c r="EX339" s="200"/>
      <c r="EY339" s="200"/>
      <c r="EZ339" s="200"/>
      <c r="FA339" s="200"/>
      <c r="FB339" s="200"/>
      <c r="FC339" s="200"/>
      <c r="FD339" s="200"/>
      <c r="FE339" s="200"/>
      <c r="FF339" s="200"/>
      <c r="FG339" s="200"/>
      <c r="FH339" s="200"/>
      <c r="FI339" s="200"/>
      <c r="FJ339" s="200"/>
      <c r="FK339" s="200"/>
      <c r="FL339" s="200"/>
      <c r="FM339" s="200"/>
      <c r="FN339" s="200"/>
      <c r="FO339" s="200"/>
      <c r="FP339" s="200"/>
      <c r="FQ339" s="200"/>
      <c r="FR339" s="200"/>
      <c r="FS339" s="200"/>
      <c r="FT339" s="200"/>
      <c r="FU339" s="200"/>
      <c r="FV339" s="200"/>
      <c r="FW339" s="200"/>
      <c r="FX339" s="200"/>
      <c r="FY339" s="200"/>
      <c r="FZ339" s="200"/>
      <c r="GA339" s="200"/>
      <c r="GB339" s="200"/>
      <c r="GC339" s="200"/>
      <c r="GD339" s="200"/>
      <c r="GE339" s="200"/>
      <c r="GF339" s="200"/>
      <c r="GG339" s="200"/>
      <c r="GH339" s="200"/>
      <c r="GI339" s="200"/>
      <c r="GJ339" s="200"/>
      <c r="GK339" s="200"/>
      <c r="GL339" s="200"/>
      <c r="GM339" s="200"/>
      <c r="GN339" s="200"/>
      <c r="GO339" s="200"/>
      <c r="GP339" s="200"/>
      <c r="GQ339" s="200"/>
      <c r="GR339" s="200"/>
      <c r="GS339" s="200"/>
      <c r="GT339" s="200"/>
      <c r="GU339" s="200"/>
      <c r="GV339" s="200"/>
      <c r="GW339" s="200"/>
      <c r="GX339" s="200"/>
      <c r="GY339" s="200"/>
      <c r="GZ339" s="200"/>
      <c r="HA339" s="200"/>
      <c r="HB339" s="200"/>
      <c r="HC339" s="200"/>
      <c r="HD339" s="200"/>
      <c r="HE339" s="200"/>
      <c r="HF339" s="200"/>
      <c r="HG339" s="200"/>
      <c r="HH339" s="200"/>
      <c r="HI339" s="200"/>
      <c r="HJ339" s="200"/>
      <c r="HK339" s="200"/>
      <c r="HL339" s="200"/>
      <c r="HM339" s="200"/>
      <c r="HN339" s="200"/>
      <c r="HO339" s="200"/>
      <c r="HP339" s="200"/>
      <c r="HQ339" s="200"/>
      <c r="HR339" s="200"/>
      <c r="HS339" s="200"/>
      <c r="HT339" s="200"/>
      <c r="HU339" s="200"/>
      <c r="HV339" s="200"/>
      <c r="HW339" s="200"/>
      <c r="HX339" s="200"/>
      <c r="HY339" s="200"/>
      <c r="HZ339" s="200"/>
      <c r="IA339" s="200"/>
      <c r="IB339" s="200"/>
      <c r="IC339" s="200"/>
      <c r="ID339" s="200"/>
      <c r="IE339" s="200"/>
      <c r="IF339" s="200"/>
      <c r="IG339" s="200"/>
      <c r="IH339" s="200"/>
      <c r="II339" s="200"/>
      <c r="IJ339" s="200"/>
      <c r="IK339" s="200"/>
      <c r="IL339" s="200"/>
      <c r="IM339" s="200"/>
      <c r="IN339" s="200"/>
      <c r="IO339" s="200"/>
      <c r="IP339" s="200"/>
      <c r="IQ339" s="200"/>
      <c r="IR339" s="200"/>
      <c r="IS339" s="200"/>
      <c r="IT339" s="200"/>
      <c r="IU339" s="201"/>
      <c r="IV339" s="201"/>
    </row>
    <row r="340" s="10" customFormat="1" ht="15.95" customHeight="1" spans="1:256">
      <c r="A340" s="199">
        <v>10</v>
      </c>
      <c r="B340" s="20" t="s">
        <v>2320</v>
      </c>
      <c r="C340" s="20" t="s">
        <v>2327</v>
      </c>
      <c r="D340" s="199">
        <v>8010</v>
      </c>
      <c r="E340" s="199">
        <f>'05版台时'!M560</f>
        <v>25.9640872268513</v>
      </c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  <c r="AA340" s="200"/>
      <c r="AB340" s="200"/>
      <c r="AC340" s="200"/>
      <c r="AD340" s="200"/>
      <c r="AE340" s="200"/>
      <c r="AF340" s="200"/>
      <c r="AG340" s="200"/>
      <c r="AH340" s="200"/>
      <c r="AI340" s="200"/>
      <c r="AJ340" s="200"/>
      <c r="AK340" s="200"/>
      <c r="AL340" s="200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200"/>
      <c r="BD340" s="200"/>
      <c r="BE340" s="200"/>
      <c r="BF340" s="200"/>
      <c r="BG340" s="200"/>
      <c r="BH340" s="200"/>
      <c r="BI340" s="200"/>
      <c r="BJ340" s="200"/>
      <c r="BK340" s="200"/>
      <c r="BL340" s="200"/>
      <c r="BM340" s="200"/>
      <c r="BN340" s="200"/>
      <c r="BO340" s="200"/>
      <c r="BP340" s="200"/>
      <c r="BQ340" s="200"/>
      <c r="BR340" s="200"/>
      <c r="BS340" s="200"/>
      <c r="BT340" s="200"/>
      <c r="BU340" s="200"/>
      <c r="BV340" s="200"/>
      <c r="BW340" s="200"/>
      <c r="BX340" s="200"/>
      <c r="BY340" s="200"/>
      <c r="BZ340" s="200"/>
      <c r="CA340" s="200"/>
      <c r="CB340" s="200"/>
      <c r="CC340" s="200"/>
      <c r="CD340" s="200"/>
      <c r="CE340" s="200"/>
      <c r="CF340" s="200"/>
      <c r="CG340" s="200"/>
      <c r="CH340" s="200"/>
      <c r="CI340" s="200"/>
      <c r="CJ340" s="200"/>
      <c r="CK340" s="200"/>
      <c r="CL340" s="200"/>
      <c r="CM340" s="200"/>
      <c r="CN340" s="200"/>
      <c r="CO340" s="200"/>
      <c r="CP340" s="200"/>
      <c r="CQ340" s="200"/>
      <c r="CR340" s="200"/>
      <c r="CS340" s="200"/>
      <c r="CT340" s="200"/>
      <c r="CU340" s="200"/>
      <c r="CV340" s="200"/>
      <c r="CW340" s="200"/>
      <c r="CX340" s="200"/>
      <c r="CY340" s="200"/>
      <c r="CZ340" s="200"/>
      <c r="DA340" s="200"/>
      <c r="DB340" s="200"/>
      <c r="DC340" s="200"/>
      <c r="DD340" s="200"/>
      <c r="DE340" s="200"/>
      <c r="DF340" s="200"/>
      <c r="DG340" s="200"/>
      <c r="DH340" s="200"/>
      <c r="DI340" s="200"/>
      <c r="DJ340" s="200"/>
      <c r="DK340" s="200"/>
      <c r="DL340" s="200"/>
      <c r="DM340" s="200"/>
      <c r="DN340" s="200"/>
      <c r="DO340" s="200"/>
      <c r="DP340" s="200"/>
      <c r="DQ340" s="200"/>
      <c r="DR340" s="200"/>
      <c r="DS340" s="200"/>
      <c r="DT340" s="200"/>
      <c r="DU340" s="200"/>
      <c r="DV340" s="200"/>
      <c r="DW340" s="200"/>
      <c r="DX340" s="200"/>
      <c r="DY340" s="200"/>
      <c r="DZ340" s="200"/>
      <c r="EA340" s="200"/>
      <c r="EB340" s="200"/>
      <c r="EC340" s="200"/>
      <c r="ED340" s="200"/>
      <c r="EE340" s="200"/>
      <c r="EF340" s="200"/>
      <c r="EG340" s="200"/>
      <c r="EH340" s="200"/>
      <c r="EI340" s="200"/>
      <c r="EJ340" s="200"/>
      <c r="EK340" s="200"/>
      <c r="EL340" s="200"/>
      <c r="EM340" s="200"/>
      <c r="EN340" s="200"/>
      <c r="EO340" s="200"/>
      <c r="EP340" s="200"/>
      <c r="EQ340" s="200"/>
      <c r="ER340" s="200"/>
      <c r="ES340" s="200"/>
      <c r="ET340" s="200"/>
      <c r="EU340" s="200"/>
      <c r="EV340" s="200"/>
      <c r="EW340" s="200"/>
      <c r="EX340" s="200"/>
      <c r="EY340" s="200"/>
      <c r="EZ340" s="200"/>
      <c r="FA340" s="200"/>
      <c r="FB340" s="200"/>
      <c r="FC340" s="200"/>
      <c r="FD340" s="200"/>
      <c r="FE340" s="200"/>
      <c r="FF340" s="200"/>
      <c r="FG340" s="200"/>
      <c r="FH340" s="200"/>
      <c r="FI340" s="200"/>
      <c r="FJ340" s="200"/>
      <c r="FK340" s="200"/>
      <c r="FL340" s="200"/>
      <c r="FM340" s="200"/>
      <c r="FN340" s="200"/>
      <c r="FO340" s="200"/>
      <c r="FP340" s="200"/>
      <c r="FQ340" s="200"/>
      <c r="FR340" s="200"/>
      <c r="FS340" s="200"/>
      <c r="FT340" s="200"/>
      <c r="FU340" s="200"/>
      <c r="FV340" s="200"/>
      <c r="FW340" s="200"/>
      <c r="FX340" s="200"/>
      <c r="FY340" s="200"/>
      <c r="FZ340" s="200"/>
      <c r="GA340" s="200"/>
      <c r="GB340" s="200"/>
      <c r="GC340" s="200"/>
      <c r="GD340" s="200"/>
      <c r="GE340" s="200"/>
      <c r="GF340" s="200"/>
      <c r="GG340" s="200"/>
      <c r="GH340" s="200"/>
      <c r="GI340" s="200"/>
      <c r="GJ340" s="200"/>
      <c r="GK340" s="200"/>
      <c r="GL340" s="200"/>
      <c r="GM340" s="200"/>
      <c r="GN340" s="200"/>
      <c r="GO340" s="200"/>
      <c r="GP340" s="200"/>
      <c r="GQ340" s="200"/>
      <c r="GR340" s="200"/>
      <c r="GS340" s="200"/>
      <c r="GT340" s="200"/>
      <c r="GU340" s="200"/>
      <c r="GV340" s="200"/>
      <c r="GW340" s="200"/>
      <c r="GX340" s="200"/>
      <c r="GY340" s="200"/>
      <c r="GZ340" s="200"/>
      <c r="HA340" s="200"/>
      <c r="HB340" s="200"/>
      <c r="HC340" s="200"/>
      <c r="HD340" s="200"/>
      <c r="HE340" s="200"/>
      <c r="HF340" s="200"/>
      <c r="HG340" s="200"/>
      <c r="HH340" s="200"/>
      <c r="HI340" s="200"/>
      <c r="HJ340" s="200"/>
      <c r="HK340" s="200"/>
      <c r="HL340" s="200"/>
      <c r="HM340" s="200"/>
      <c r="HN340" s="200"/>
      <c r="HO340" s="200"/>
      <c r="HP340" s="200"/>
      <c r="HQ340" s="200"/>
      <c r="HR340" s="200"/>
      <c r="HS340" s="200"/>
      <c r="HT340" s="200"/>
      <c r="HU340" s="200"/>
      <c r="HV340" s="200"/>
      <c r="HW340" s="200"/>
      <c r="HX340" s="200"/>
      <c r="HY340" s="200"/>
      <c r="HZ340" s="200"/>
      <c r="IA340" s="200"/>
      <c r="IB340" s="200"/>
      <c r="IC340" s="200"/>
      <c r="ID340" s="200"/>
      <c r="IE340" s="200"/>
      <c r="IF340" s="200"/>
      <c r="IG340" s="200"/>
      <c r="IH340" s="200"/>
      <c r="II340" s="200"/>
      <c r="IJ340" s="200"/>
      <c r="IK340" s="200"/>
      <c r="IL340" s="200"/>
      <c r="IM340" s="200"/>
      <c r="IN340" s="200"/>
      <c r="IO340" s="200"/>
      <c r="IP340" s="200"/>
      <c r="IQ340" s="200"/>
      <c r="IR340" s="200"/>
      <c r="IS340" s="200"/>
      <c r="IT340" s="200"/>
      <c r="IU340" s="201"/>
      <c r="IV340" s="201"/>
    </row>
    <row r="341" s="10" customFormat="1" ht="15.95" customHeight="1" spans="1:256">
      <c r="A341" s="199">
        <v>11</v>
      </c>
      <c r="B341" s="20" t="s">
        <v>2320</v>
      </c>
      <c r="C341" s="20" t="s">
        <v>2328</v>
      </c>
      <c r="D341" s="199">
        <v>8011</v>
      </c>
      <c r="E341" s="199">
        <f>'05版台时'!N560</f>
        <v>46.602656831957</v>
      </c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  <c r="AA341" s="200"/>
      <c r="AB341" s="200"/>
      <c r="AC341" s="200"/>
      <c r="AD341" s="200"/>
      <c r="AE341" s="200"/>
      <c r="AF341" s="200"/>
      <c r="AG341" s="200"/>
      <c r="AH341" s="200"/>
      <c r="AI341" s="200"/>
      <c r="AJ341" s="200"/>
      <c r="AK341" s="200"/>
      <c r="AL341" s="200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200"/>
      <c r="BB341" s="200"/>
      <c r="BC341" s="200"/>
      <c r="BD341" s="200"/>
      <c r="BE341" s="200"/>
      <c r="BF341" s="200"/>
      <c r="BG341" s="200"/>
      <c r="BH341" s="200"/>
      <c r="BI341" s="200"/>
      <c r="BJ341" s="200"/>
      <c r="BK341" s="200"/>
      <c r="BL341" s="200"/>
      <c r="BM341" s="200"/>
      <c r="BN341" s="200"/>
      <c r="BO341" s="200"/>
      <c r="BP341" s="200"/>
      <c r="BQ341" s="200"/>
      <c r="BR341" s="200"/>
      <c r="BS341" s="200"/>
      <c r="BT341" s="200"/>
      <c r="BU341" s="200"/>
      <c r="BV341" s="200"/>
      <c r="BW341" s="200"/>
      <c r="BX341" s="200"/>
      <c r="BY341" s="200"/>
      <c r="BZ341" s="200"/>
      <c r="CA341" s="200"/>
      <c r="CB341" s="200"/>
      <c r="CC341" s="200"/>
      <c r="CD341" s="200"/>
      <c r="CE341" s="200"/>
      <c r="CF341" s="200"/>
      <c r="CG341" s="200"/>
      <c r="CH341" s="200"/>
      <c r="CI341" s="200"/>
      <c r="CJ341" s="200"/>
      <c r="CK341" s="200"/>
      <c r="CL341" s="200"/>
      <c r="CM341" s="200"/>
      <c r="CN341" s="200"/>
      <c r="CO341" s="200"/>
      <c r="CP341" s="200"/>
      <c r="CQ341" s="200"/>
      <c r="CR341" s="200"/>
      <c r="CS341" s="200"/>
      <c r="CT341" s="200"/>
      <c r="CU341" s="200"/>
      <c r="CV341" s="200"/>
      <c r="CW341" s="200"/>
      <c r="CX341" s="200"/>
      <c r="CY341" s="200"/>
      <c r="CZ341" s="200"/>
      <c r="DA341" s="200"/>
      <c r="DB341" s="200"/>
      <c r="DC341" s="200"/>
      <c r="DD341" s="200"/>
      <c r="DE341" s="200"/>
      <c r="DF341" s="200"/>
      <c r="DG341" s="200"/>
      <c r="DH341" s="200"/>
      <c r="DI341" s="200"/>
      <c r="DJ341" s="200"/>
      <c r="DK341" s="200"/>
      <c r="DL341" s="200"/>
      <c r="DM341" s="200"/>
      <c r="DN341" s="200"/>
      <c r="DO341" s="200"/>
      <c r="DP341" s="200"/>
      <c r="DQ341" s="200"/>
      <c r="DR341" s="200"/>
      <c r="DS341" s="200"/>
      <c r="DT341" s="200"/>
      <c r="DU341" s="200"/>
      <c r="DV341" s="200"/>
      <c r="DW341" s="200"/>
      <c r="DX341" s="200"/>
      <c r="DY341" s="200"/>
      <c r="DZ341" s="200"/>
      <c r="EA341" s="200"/>
      <c r="EB341" s="200"/>
      <c r="EC341" s="200"/>
      <c r="ED341" s="200"/>
      <c r="EE341" s="200"/>
      <c r="EF341" s="200"/>
      <c r="EG341" s="200"/>
      <c r="EH341" s="200"/>
      <c r="EI341" s="200"/>
      <c r="EJ341" s="200"/>
      <c r="EK341" s="200"/>
      <c r="EL341" s="200"/>
      <c r="EM341" s="200"/>
      <c r="EN341" s="200"/>
      <c r="EO341" s="200"/>
      <c r="EP341" s="200"/>
      <c r="EQ341" s="200"/>
      <c r="ER341" s="200"/>
      <c r="ES341" s="200"/>
      <c r="ET341" s="200"/>
      <c r="EU341" s="200"/>
      <c r="EV341" s="200"/>
      <c r="EW341" s="200"/>
      <c r="EX341" s="200"/>
      <c r="EY341" s="200"/>
      <c r="EZ341" s="200"/>
      <c r="FA341" s="200"/>
      <c r="FB341" s="200"/>
      <c r="FC341" s="200"/>
      <c r="FD341" s="200"/>
      <c r="FE341" s="200"/>
      <c r="FF341" s="200"/>
      <c r="FG341" s="200"/>
      <c r="FH341" s="200"/>
      <c r="FI341" s="200"/>
      <c r="FJ341" s="200"/>
      <c r="FK341" s="200"/>
      <c r="FL341" s="200"/>
      <c r="FM341" s="200"/>
      <c r="FN341" s="200"/>
      <c r="FO341" s="200"/>
      <c r="FP341" s="200"/>
      <c r="FQ341" s="200"/>
      <c r="FR341" s="200"/>
      <c r="FS341" s="200"/>
      <c r="FT341" s="200"/>
      <c r="FU341" s="200"/>
      <c r="FV341" s="200"/>
      <c r="FW341" s="200"/>
      <c r="FX341" s="200"/>
      <c r="FY341" s="200"/>
      <c r="FZ341" s="200"/>
      <c r="GA341" s="200"/>
      <c r="GB341" s="200"/>
      <c r="GC341" s="200"/>
      <c r="GD341" s="200"/>
      <c r="GE341" s="200"/>
      <c r="GF341" s="200"/>
      <c r="GG341" s="200"/>
      <c r="GH341" s="200"/>
      <c r="GI341" s="200"/>
      <c r="GJ341" s="200"/>
      <c r="GK341" s="200"/>
      <c r="GL341" s="200"/>
      <c r="GM341" s="200"/>
      <c r="GN341" s="200"/>
      <c r="GO341" s="200"/>
      <c r="GP341" s="200"/>
      <c r="GQ341" s="200"/>
      <c r="GR341" s="200"/>
      <c r="GS341" s="200"/>
      <c r="GT341" s="200"/>
      <c r="GU341" s="200"/>
      <c r="GV341" s="200"/>
      <c r="GW341" s="200"/>
      <c r="GX341" s="200"/>
      <c r="GY341" s="200"/>
      <c r="GZ341" s="200"/>
      <c r="HA341" s="200"/>
      <c r="HB341" s="200"/>
      <c r="HC341" s="200"/>
      <c r="HD341" s="200"/>
      <c r="HE341" s="200"/>
      <c r="HF341" s="200"/>
      <c r="HG341" s="200"/>
      <c r="HH341" s="200"/>
      <c r="HI341" s="200"/>
      <c r="HJ341" s="200"/>
      <c r="HK341" s="200"/>
      <c r="HL341" s="200"/>
      <c r="HM341" s="200"/>
      <c r="HN341" s="200"/>
      <c r="HO341" s="200"/>
      <c r="HP341" s="200"/>
      <c r="HQ341" s="200"/>
      <c r="HR341" s="200"/>
      <c r="HS341" s="200"/>
      <c r="HT341" s="200"/>
      <c r="HU341" s="200"/>
      <c r="HV341" s="200"/>
      <c r="HW341" s="200"/>
      <c r="HX341" s="200"/>
      <c r="HY341" s="200"/>
      <c r="HZ341" s="200"/>
      <c r="IA341" s="200"/>
      <c r="IB341" s="200"/>
      <c r="IC341" s="200"/>
      <c r="ID341" s="200"/>
      <c r="IE341" s="200"/>
      <c r="IF341" s="200"/>
      <c r="IG341" s="200"/>
      <c r="IH341" s="200"/>
      <c r="II341" s="200"/>
      <c r="IJ341" s="200"/>
      <c r="IK341" s="200"/>
      <c r="IL341" s="200"/>
      <c r="IM341" s="200"/>
      <c r="IN341" s="200"/>
      <c r="IO341" s="200"/>
      <c r="IP341" s="200"/>
      <c r="IQ341" s="200"/>
      <c r="IR341" s="200"/>
      <c r="IS341" s="200"/>
      <c r="IT341" s="200"/>
      <c r="IU341" s="201"/>
      <c r="IV341" s="201"/>
    </row>
    <row r="342" s="10" customFormat="1" ht="15.95" customHeight="1" spans="1:256">
      <c r="A342" s="199">
        <v>12</v>
      </c>
      <c r="B342" s="20" t="s">
        <v>2329</v>
      </c>
      <c r="C342" s="20" t="s">
        <v>2330</v>
      </c>
      <c r="D342" s="199">
        <v>8012</v>
      </c>
      <c r="E342" s="199">
        <f>'05版台时'!O560</f>
        <v>14.933603381618</v>
      </c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  <c r="AA342" s="200"/>
      <c r="AB342" s="200"/>
      <c r="AC342" s="200"/>
      <c r="AD342" s="200"/>
      <c r="AE342" s="200"/>
      <c r="AF342" s="200"/>
      <c r="AG342" s="200"/>
      <c r="AH342" s="200"/>
      <c r="AI342" s="200"/>
      <c r="AJ342" s="200"/>
      <c r="AK342" s="200"/>
      <c r="AL342" s="200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200"/>
      <c r="BB342" s="200"/>
      <c r="BC342" s="200"/>
      <c r="BD342" s="200"/>
      <c r="BE342" s="200"/>
      <c r="BF342" s="200"/>
      <c r="BG342" s="200"/>
      <c r="BH342" s="200"/>
      <c r="BI342" s="200"/>
      <c r="BJ342" s="200"/>
      <c r="BK342" s="200"/>
      <c r="BL342" s="200"/>
      <c r="BM342" s="200"/>
      <c r="BN342" s="200"/>
      <c r="BO342" s="200"/>
      <c r="BP342" s="200"/>
      <c r="BQ342" s="200"/>
      <c r="BR342" s="200"/>
      <c r="BS342" s="200"/>
      <c r="BT342" s="200"/>
      <c r="BU342" s="200"/>
      <c r="BV342" s="200"/>
      <c r="BW342" s="200"/>
      <c r="BX342" s="200"/>
      <c r="BY342" s="200"/>
      <c r="BZ342" s="200"/>
      <c r="CA342" s="200"/>
      <c r="CB342" s="200"/>
      <c r="CC342" s="200"/>
      <c r="CD342" s="200"/>
      <c r="CE342" s="200"/>
      <c r="CF342" s="200"/>
      <c r="CG342" s="200"/>
      <c r="CH342" s="200"/>
      <c r="CI342" s="200"/>
      <c r="CJ342" s="200"/>
      <c r="CK342" s="200"/>
      <c r="CL342" s="200"/>
      <c r="CM342" s="200"/>
      <c r="CN342" s="200"/>
      <c r="CO342" s="200"/>
      <c r="CP342" s="200"/>
      <c r="CQ342" s="200"/>
      <c r="CR342" s="200"/>
      <c r="CS342" s="200"/>
      <c r="CT342" s="200"/>
      <c r="CU342" s="200"/>
      <c r="CV342" s="200"/>
      <c r="CW342" s="200"/>
      <c r="CX342" s="200"/>
      <c r="CY342" s="200"/>
      <c r="CZ342" s="200"/>
      <c r="DA342" s="200"/>
      <c r="DB342" s="200"/>
      <c r="DC342" s="200"/>
      <c r="DD342" s="200"/>
      <c r="DE342" s="200"/>
      <c r="DF342" s="200"/>
      <c r="DG342" s="200"/>
      <c r="DH342" s="200"/>
      <c r="DI342" s="200"/>
      <c r="DJ342" s="200"/>
      <c r="DK342" s="200"/>
      <c r="DL342" s="200"/>
      <c r="DM342" s="200"/>
      <c r="DN342" s="200"/>
      <c r="DO342" s="200"/>
      <c r="DP342" s="200"/>
      <c r="DQ342" s="200"/>
      <c r="DR342" s="200"/>
      <c r="DS342" s="200"/>
      <c r="DT342" s="200"/>
      <c r="DU342" s="200"/>
      <c r="DV342" s="200"/>
      <c r="DW342" s="200"/>
      <c r="DX342" s="200"/>
      <c r="DY342" s="200"/>
      <c r="DZ342" s="200"/>
      <c r="EA342" s="200"/>
      <c r="EB342" s="200"/>
      <c r="EC342" s="200"/>
      <c r="ED342" s="200"/>
      <c r="EE342" s="200"/>
      <c r="EF342" s="200"/>
      <c r="EG342" s="200"/>
      <c r="EH342" s="200"/>
      <c r="EI342" s="200"/>
      <c r="EJ342" s="200"/>
      <c r="EK342" s="200"/>
      <c r="EL342" s="200"/>
      <c r="EM342" s="200"/>
      <c r="EN342" s="200"/>
      <c r="EO342" s="200"/>
      <c r="EP342" s="200"/>
      <c r="EQ342" s="200"/>
      <c r="ER342" s="200"/>
      <c r="ES342" s="200"/>
      <c r="ET342" s="200"/>
      <c r="EU342" s="200"/>
      <c r="EV342" s="200"/>
      <c r="EW342" s="200"/>
      <c r="EX342" s="200"/>
      <c r="EY342" s="200"/>
      <c r="EZ342" s="200"/>
      <c r="FA342" s="200"/>
      <c r="FB342" s="200"/>
      <c r="FC342" s="200"/>
      <c r="FD342" s="200"/>
      <c r="FE342" s="200"/>
      <c r="FF342" s="200"/>
      <c r="FG342" s="200"/>
      <c r="FH342" s="200"/>
      <c r="FI342" s="200"/>
      <c r="FJ342" s="200"/>
      <c r="FK342" s="200"/>
      <c r="FL342" s="200"/>
      <c r="FM342" s="200"/>
      <c r="FN342" s="200"/>
      <c r="FO342" s="200"/>
      <c r="FP342" s="200"/>
      <c r="FQ342" s="200"/>
      <c r="FR342" s="200"/>
      <c r="FS342" s="200"/>
      <c r="FT342" s="200"/>
      <c r="FU342" s="200"/>
      <c r="FV342" s="200"/>
      <c r="FW342" s="200"/>
      <c r="FX342" s="200"/>
      <c r="FY342" s="200"/>
      <c r="FZ342" s="200"/>
      <c r="GA342" s="200"/>
      <c r="GB342" s="200"/>
      <c r="GC342" s="200"/>
      <c r="GD342" s="200"/>
      <c r="GE342" s="200"/>
      <c r="GF342" s="200"/>
      <c r="GG342" s="200"/>
      <c r="GH342" s="200"/>
      <c r="GI342" s="200"/>
      <c r="GJ342" s="200"/>
      <c r="GK342" s="200"/>
      <c r="GL342" s="200"/>
      <c r="GM342" s="200"/>
      <c r="GN342" s="200"/>
      <c r="GO342" s="200"/>
      <c r="GP342" s="200"/>
      <c r="GQ342" s="200"/>
      <c r="GR342" s="200"/>
      <c r="GS342" s="200"/>
      <c r="GT342" s="200"/>
      <c r="GU342" s="200"/>
      <c r="GV342" s="200"/>
      <c r="GW342" s="200"/>
      <c r="GX342" s="200"/>
      <c r="GY342" s="200"/>
      <c r="GZ342" s="200"/>
      <c r="HA342" s="200"/>
      <c r="HB342" s="200"/>
      <c r="HC342" s="200"/>
      <c r="HD342" s="200"/>
      <c r="HE342" s="200"/>
      <c r="HF342" s="200"/>
      <c r="HG342" s="200"/>
      <c r="HH342" s="200"/>
      <c r="HI342" s="200"/>
      <c r="HJ342" s="200"/>
      <c r="HK342" s="200"/>
      <c r="HL342" s="200"/>
      <c r="HM342" s="200"/>
      <c r="HN342" s="200"/>
      <c r="HO342" s="200"/>
      <c r="HP342" s="200"/>
      <c r="HQ342" s="200"/>
      <c r="HR342" s="200"/>
      <c r="HS342" s="200"/>
      <c r="HT342" s="200"/>
      <c r="HU342" s="200"/>
      <c r="HV342" s="200"/>
      <c r="HW342" s="200"/>
      <c r="HX342" s="200"/>
      <c r="HY342" s="200"/>
      <c r="HZ342" s="200"/>
      <c r="IA342" s="200"/>
      <c r="IB342" s="200"/>
      <c r="IC342" s="200"/>
      <c r="ID342" s="200"/>
      <c r="IE342" s="200"/>
      <c r="IF342" s="200"/>
      <c r="IG342" s="200"/>
      <c r="IH342" s="200"/>
      <c r="II342" s="200"/>
      <c r="IJ342" s="200"/>
      <c r="IK342" s="200"/>
      <c r="IL342" s="200"/>
      <c r="IM342" s="200"/>
      <c r="IN342" s="200"/>
      <c r="IO342" s="200"/>
      <c r="IP342" s="200"/>
      <c r="IQ342" s="200"/>
      <c r="IR342" s="200"/>
      <c r="IS342" s="200"/>
      <c r="IT342" s="200"/>
      <c r="IU342" s="201"/>
      <c r="IV342" s="201"/>
    </row>
    <row r="343" s="10" customFormat="1" ht="15.95" customHeight="1" spans="1:256">
      <c r="A343" s="199">
        <v>13</v>
      </c>
      <c r="B343" s="20" t="s">
        <v>2331</v>
      </c>
      <c r="C343" s="20" t="s">
        <v>2106</v>
      </c>
      <c r="D343" s="199">
        <v>8013</v>
      </c>
      <c r="E343" s="199">
        <f>'05版台时'!P560</f>
        <v>7.79569805739564</v>
      </c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  <c r="AA343" s="200"/>
      <c r="AB343" s="200"/>
      <c r="AC343" s="200"/>
      <c r="AD343" s="200"/>
      <c r="AE343" s="200"/>
      <c r="AF343" s="200"/>
      <c r="AG343" s="200"/>
      <c r="AH343" s="200"/>
      <c r="AI343" s="200"/>
      <c r="AJ343" s="200"/>
      <c r="AK343" s="200"/>
      <c r="AL343" s="200"/>
      <c r="AM343" s="200"/>
      <c r="AN343" s="200"/>
      <c r="AO343" s="200"/>
      <c r="AP343" s="200"/>
      <c r="AQ343" s="200"/>
      <c r="AR343" s="200"/>
      <c r="AS343" s="200"/>
      <c r="AT343" s="200"/>
      <c r="AU343" s="200"/>
      <c r="AV343" s="200"/>
      <c r="AW343" s="200"/>
      <c r="AX343" s="200"/>
      <c r="AY343" s="200"/>
      <c r="AZ343" s="200"/>
      <c r="BA343" s="200"/>
      <c r="BB343" s="200"/>
      <c r="BC343" s="200"/>
      <c r="BD343" s="200"/>
      <c r="BE343" s="200"/>
      <c r="BF343" s="200"/>
      <c r="BG343" s="200"/>
      <c r="BH343" s="200"/>
      <c r="BI343" s="200"/>
      <c r="BJ343" s="200"/>
      <c r="BK343" s="200"/>
      <c r="BL343" s="200"/>
      <c r="BM343" s="200"/>
      <c r="BN343" s="200"/>
      <c r="BO343" s="200"/>
      <c r="BP343" s="200"/>
      <c r="BQ343" s="200"/>
      <c r="BR343" s="200"/>
      <c r="BS343" s="200"/>
      <c r="BT343" s="200"/>
      <c r="BU343" s="200"/>
      <c r="BV343" s="200"/>
      <c r="BW343" s="200"/>
      <c r="BX343" s="200"/>
      <c r="BY343" s="200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200"/>
      <c r="CM343" s="200"/>
      <c r="CN343" s="200"/>
      <c r="CO343" s="200"/>
      <c r="CP343" s="200"/>
      <c r="CQ343" s="200"/>
      <c r="CR343" s="200"/>
      <c r="CS343" s="200"/>
      <c r="CT343" s="200"/>
      <c r="CU343" s="200"/>
      <c r="CV343" s="200"/>
      <c r="CW343" s="200"/>
      <c r="CX343" s="200"/>
      <c r="CY343" s="200"/>
      <c r="CZ343" s="200"/>
      <c r="DA343" s="200"/>
      <c r="DB343" s="200"/>
      <c r="DC343" s="200"/>
      <c r="DD343" s="200"/>
      <c r="DE343" s="200"/>
      <c r="DF343" s="200"/>
      <c r="DG343" s="200"/>
      <c r="DH343" s="200"/>
      <c r="DI343" s="200"/>
      <c r="DJ343" s="200"/>
      <c r="DK343" s="200"/>
      <c r="DL343" s="200"/>
      <c r="DM343" s="200"/>
      <c r="DN343" s="200"/>
      <c r="DO343" s="200"/>
      <c r="DP343" s="200"/>
      <c r="DQ343" s="200"/>
      <c r="DR343" s="200"/>
      <c r="DS343" s="200"/>
      <c r="DT343" s="200"/>
      <c r="DU343" s="200"/>
      <c r="DV343" s="200"/>
      <c r="DW343" s="200"/>
      <c r="DX343" s="200"/>
      <c r="DY343" s="200"/>
      <c r="DZ343" s="200"/>
      <c r="EA343" s="200"/>
      <c r="EB343" s="200"/>
      <c r="EC343" s="200"/>
      <c r="ED343" s="200"/>
      <c r="EE343" s="200"/>
      <c r="EF343" s="200"/>
      <c r="EG343" s="200"/>
      <c r="EH343" s="200"/>
      <c r="EI343" s="200"/>
      <c r="EJ343" s="200"/>
      <c r="EK343" s="200"/>
      <c r="EL343" s="200"/>
      <c r="EM343" s="200"/>
      <c r="EN343" s="200"/>
      <c r="EO343" s="200"/>
      <c r="EP343" s="200"/>
      <c r="EQ343" s="200"/>
      <c r="ER343" s="200"/>
      <c r="ES343" s="200"/>
      <c r="ET343" s="200"/>
      <c r="EU343" s="200"/>
      <c r="EV343" s="200"/>
      <c r="EW343" s="200"/>
      <c r="EX343" s="200"/>
      <c r="EY343" s="200"/>
      <c r="EZ343" s="200"/>
      <c r="FA343" s="200"/>
      <c r="FB343" s="200"/>
      <c r="FC343" s="200"/>
      <c r="FD343" s="200"/>
      <c r="FE343" s="200"/>
      <c r="FF343" s="200"/>
      <c r="FG343" s="200"/>
      <c r="FH343" s="200"/>
      <c r="FI343" s="200"/>
      <c r="FJ343" s="200"/>
      <c r="FK343" s="200"/>
      <c r="FL343" s="200"/>
      <c r="FM343" s="200"/>
      <c r="FN343" s="200"/>
      <c r="FO343" s="200"/>
      <c r="FP343" s="200"/>
      <c r="FQ343" s="200"/>
      <c r="FR343" s="200"/>
      <c r="FS343" s="200"/>
      <c r="FT343" s="200"/>
      <c r="FU343" s="200"/>
      <c r="FV343" s="200"/>
      <c r="FW343" s="200"/>
      <c r="FX343" s="200"/>
      <c r="FY343" s="200"/>
      <c r="FZ343" s="200"/>
      <c r="GA343" s="200"/>
      <c r="GB343" s="200"/>
      <c r="GC343" s="200"/>
      <c r="GD343" s="200"/>
      <c r="GE343" s="200"/>
      <c r="GF343" s="200"/>
      <c r="GG343" s="200"/>
      <c r="GH343" s="200"/>
      <c r="GI343" s="200"/>
      <c r="GJ343" s="200"/>
      <c r="GK343" s="200"/>
      <c r="GL343" s="200"/>
      <c r="GM343" s="200"/>
      <c r="GN343" s="200"/>
      <c r="GO343" s="200"/>
      <c r="GP343" s="200"/>
      <c r="GQ343" s="200"/>
      <c r="GR343" s="200"/>
      <c r="GS343" s="200"/>
      <c r="GT343" s="200"/>
      <c r="GU343" s="200"/>
      <c r="GV343" s="200"/>
      <c r="GW343" s="200"/>
      <c r="GX343" s="200"/>
      <c r="GY343" s="200"/>
      <c r="GZ343" s="200"/>
      <c r="HA343" s="200"/>
      <c r="HB343" s="200"/>
      <c r="HC343" s="200"/>
      <c r="HD343" s="200"/>
      <c r="HE343" s="200"/>
      <c r="HF343" s="200"/>
      <c r="HG343" s="200"/>
      <c r="HH343" s="200"/>
      <c r="HI343" s="200"/>
      <c r="HJ343" s="200"/>
      <c r="HK343" s="200"/>
      <c r="HL343" s="200"/>
      <c r="HM343" s="200"/>
      <c r="HN343" s="200"/>
      <c r="HO343" s="200"/>
      <c r="HP343" s="200"/>
      <c r="HQ343" s="200"/>
      <c r="HR343" s="200"/>
      <c r="HS343" s="200"/>
      <c r="HT343" s="200"/>
      <c r="HU343" s="200"/>
      <c r="HV343" s="200"/>
      <c r="HW343" s="200"/>
      <c r="HX343" s="200"/>
      <c r="HY343" s="200"/>
      <c r="HZ343" s="200"/>
      <c r="IA343" s="200"/>
      <c r="IB343" s="200"/>
      <c r="IC343" s="200"/>
      <c r="ID343" s="200"/>
      <c r="IE343" s="200"/>
      <c r="IF343" s="200"/>
      <c r="IG343" s="200"/>
      <c r="IH343" s="200"/>
      <c r="II343" s="200"/>
      <c r="IJ343" s="200"/>
      <c r="IK343" s="200"/>
      <c r="IL343" s="200"/>
      <c r="IM343" s="200"/>
      <c r="IN343" s="200"/>
      <c r="IO343" s="200"/>
      <c r="IP343" s="200"/>
      <c r="IQ343" s="200"/>
      <c r="IR343" s="200"/>
      <c r="IS343" s="200"/>
      <c r="IT343" s="200"/>
      <c r="IU343" s="201"/>
      <c r="IV343" s="201"/>
    </row>
    <row r="344" s="10" customFormat="1" ht="15.95" customHeight="1" spans="1:256">
      <c r="A344" s="199">
        <v>14</v>
      </c>
      <c r="B344" s="20" t="s">
        <v>2331</v>
      </c>
      <c r="C344" s="199" t="s">
        <v>2332</v>
      </c>
      <c r="D344" s="199">
        <v>8014</v>
      </c>
      <c r="E344" s="199">
        <f>'05版台时'!Q560</f>
        <v>17.6026360900344</v>
      </c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  <c r="AA344" s="200"/>
      <c r="AB344" s="200"/>
      <c r="AC344" s="200"/>
      <c r="AD344" s="200"/>
      <c r="AE344" s="200"/>
      <c r="AF344" s="200"/>
      <c r="AG344" s="200"/>
      <c r="AH344" s="200"/>
      <c r="AI344" s="200"/>
      <c r="AJ344" s="200"/>
      <c r="AK344" s="200"/>
      <c r="AL344" s="200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200"/>
      <c r="BB344" s="200"/>
      <c r="BC344" s="200"/>
      <c r="BD344" s="200"/>
      <c r="BE344" s="200"/>
      <c r="BF344" s="200"/>
      <c r="BG344" s="200"/>
      <c r="BH344" s="200"/>
      <c r="BI344" s="200"/>
      <c r="BJ344" s="200"/>
      <c r="BK344" s="200"/>
      <c r="BL344" s="200"/>
      <c r="BM344" s="200"/>
      <c r="BN344" s="200"/>
      <c r="BO344" s="200"/>
      <c r="BP344" s="200"/>
      <c r="BQ344" s="200"/>
      <c r="BR344" s="200"/>
      <c r="BS344" s="200"/>
      <c r="BT344" s="200"/>
      <c r="BU344" s="200"/>
      <c r="BV344" s="200"/>
      <c r="BW344" s="200"/>
      <c r="BX344" s="200"/>
      <c r="BY344" s="200"/>
      <c r="BZ344" s="200"/>
      <c r="CA344" s="200"/>
      <c r="CB344" s="200"/>
      <c r="CC344" s="200"/>
      <c r="CD344" s="200"/>
      <c r="CE344" s="200"/>
      <c r="CF344" s="200"/>
      <c r="CG344" s="200"/>
      <c r="CH344" s="200"/>
      <c r="CI344" s="200"/>
      <c r="CJ344" s="200"/>
      <c r="CK344" s="200"/>
      <c r="CL344" s="200"/>
      <c r="CM344" s="200"/>
      <c r="CN344" s="200"/>
      <c r="CO344" s="200"/>
      <c r="CP344" s="200"/>
      <c r="CQ344" s="200"/>
      <c r="CR344" s="200"/>
      <c r="CS344" s="200"/>
      <c r="CT344" s="200"/>
      <c r="CU344" s="200"/>
      <c r="CV344" s="200"/>
      <c r="CW344" s="200"/>
      <c r="CX344" s="200"/>
      <c r="CY344" s="200"/>
      <c r="CZ344" s="200"/>
      <c r="DA344" s="200"/>
      <c r="DB344" s="200"/>
      <c r="DC344" s="200"/>
      <c r="DD344" s="200"/>
      <c r="DE344" s="200"/>
      <c r="DF344" s="200"/>
      <c r="DG344" s="200"/>
      <c r="DH344" s="200"/>
      <c r="DI344" s="200"/>
      <c r="DJ344" s="200"/>
      <c r="DK344" s="200"/>
      <c r="DL344" s="200"/>
      <c r="DM344" s="200"/>
      <c r="DN344" s="200"/>
      <c r="DO344" s="200"/>
      <c r="DP344" s="200"/>
      <c r="DQ344" s="200"/>
      <c r="DR344" s="200"/>
      <c r="DS344" s="200"/>
      <c r="DT344" s="200"/>
      <c r="DU344" s="200"/>
      <c r="DV344" s="200"/>
      <c r="DW344" s="200"/>
      <c r="DX344" s="200"/>
      <c r="DY344" s="200"/>
      <c r="DZ344" s="200"/>
      <c r="EA344" s="200"/>
      <c r="EB344" s="200"/>
      <c r="EC344" s="200"/>
      <c r="ED344" s="200"/>
      <c r="EE344" s="200"/>
      <c r="EF344" s="200"/>
      <c r="EG344" s="200"/>
      <c r="EH344" s="200"/>
      <c r="EI344" s="200"/>
      <c r="EJ344" s="200"/>
      <c r="EK344" s="200"/>
      <c r="EL344" s="200"/>
      <c r="EM344" s="200"/>
      <c r="EN344" s="200"/>
      <c r="EO344" s="200"/>
      <c r="EP344" s="200"/>
      <c r="EQ344" s="200"/>
      <c r="ER344" s="200"/>
      <c r="ES344" s="200"/>
      <c r="ET344" s="200"/>
      <c r="EU344" s="200"/>
      <c r="EV344" s="200"/>
      <c r="EW344" s="200"/>
      <c r="EX344" s="200"/>
      <c r="EY344" s="200"/>
      <c r="EZ344" s="200"/>
      <c r="FA344" s="200"/>
      <c r="FB344" s="200"/>
      <c r="FC344" s="200"/>
      <c r="FD344" s="200"/>
      <c r="FE344" s="200"/>
      <c r="FF344" s="200"/>
      <c r="FG344" s="200"/>
      <c r="FH344" s="200"/>
      <c r="FI344" s="200"/>
      <c r="FJ344" s="200"/>
      <c r="FK344" s="200"/>
      <c r="FL344" s="200"/>
      <c r="FM344" s="200"/>
      <c r="FN344" s="200"/>
      <c r="FO344" s="200"/>
      <c r="FP344" s="200"/>
      <c r="FQ344" s="200"/>
      <c r="FR344" s="200"/>
      <c r="FS344" s="200"/>
      <c r="FT344" s="200"/>
      <c r="FU344" s="200"/>
      <c r="FV344" s="200"/>
      <c r="FW344" s="200"/>
      <c r="FX344" s="200"/>
      <c r="FY344" s="200"/>
      <c r="FZ344" s="200"/>
      <c r="GA344" s="200"/>
      <c r="GB344" s="200"/>
      <c r="GC344" s="200"/>
      <c r="GD344" s="200"/>
      <c r="GE344" s="200"/>
      <c r="GF344" s="200"/>
      <c r="GG344" s="200"/>
      <c r="GH344" s="200"/>
      <c r="GI344" s="200"/>
      <c r="GJ344" s="200"/>
      <c r="GK344" s="200"/>
      <c r="GL344" s="200"/>
      <c r="GM344" s="200"/>
      <c r="GN344" s="200"/>
      <c r="GO344" s="200"/>
      <c r="GP344" s="200"/>
      <c r="GQ344" s="200"/>
      <c r="GR344" s="200"/>
      <c r="GS344" s="200"/>
      <c r="GT344" s="200"/>
      <c r="GU344" s="200"/>
      <c r="GV344" s="200"/>
      <c r="GW344" s="200"/>
      <c r="GX344" s="200"/>
      <c r="GY344" s="200"/>
      <c r="GZ344" s="200"/>
      <c r="HA344" s="200"/>
      <c r="HB344" s="200"/>
      <c r="HC344" s="200"/>
      <c r="HD344" s="200"/>
      <c r="HE344" s="200"/>
      <c r="HF344" s="200"/>
      <c r="HG344" s="200"/>
      <c r="HH344" s="200"/>
      <c r="HI344" s="200"/>
      <c r="HJ344" s="200"/>
      <c r="HK344" s="200"/>
      <c r="HL344" s="200"/>
      <c r="HM344" s="200"/>
      <c r="HN344" s="200"/>
      <c r="HO344" s="200"/>
      <c r="HP344" s="200"/>
      <c r="HQ344" s="200"/>
      <c r="HR344" s="200"/>
      <c r="HS344" s="200"/>
      <c r="HT344" s="200"/>
      <c r="HU344" s="200"/>
      <c r="HV344" s="200"/>
      <c r="HW344" s="200"/>
      <c r="HX344" s="200"/>
      <c r="HY344" s="200"/>
      <c r="HZ344" s="200"/>
      <c r="IA344" s="200"/>
      <c r="IB344" s="200"/>
      <c r="IC344" s="200"/>
      <c r="ID344" s="200"/>
      <c r="IE344" s="200"/>
      <c r="IF344" s="200"/>
      <c r="IG344" s="200"/>
      <c r="IH344" s="200"/>
      <c r="II344" s="200"/>
      <c r="IJ344" s="200"/>
      <c r="IK344" s="200"/>
      <c r="IL344" s="200"/>
      <c r="IM344" s="200"/>
      <c r="IN344" s="200"/>
      <c r="IO344" s="200"/>
      <c r="IP344" s="200"/>
      <c r="IQ344" s="200"/>
      <c r="IR344" s="200"/>
      <c r="IS344" s="200"/>
      <c r="IT344" s="200"/>
      <c r="IU344" s="201"/>
      <c r="IV344" s="201"/>
    </row>
    <row r="345" s="10" customFormat="1" ht="15.95" customHeight="1" spans="1:256">
      <c r="A345" s="199">
        <v>15</v>
      </c>
      <c r="B345" s="20" t="s">
        <v>2331</v>
      </c>
      <c r="C345" s="199" t="s">
        <v>2333</v>
      </c>
      <c r="D345" s="199">
        <v>8015</v>
      </c>
      <c r="E345" s="199">
        <f>'05版台时'!R560</f>
        <v>32.9630716704094</v>
      </c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  <c r="AA345" s="200"/>
      <c r="AB345" s="200"/>
      <c r="AC345" s="200"/>
      <c r="AD345" s="200"/>
      <c r="AE345" s="200"/>
      <c r="AF345" s="200"/>
      <c r="AG345" s="200"/>
      <c r="AH345" s="200"/>
      <c r="AI345" s="200"/>
      <c r="AJ345" s="200"/>
      <c r="AK345" s="200"/>
      <c r="AL345" s="200"/>
      <c r="AM345" s="200"/>
      <c r="AN345" s="200"/>
      <c r="AO345" s="200"/>
      <c r="AP345" s="200"/>
      <c r="AQ345" s="200"/>
      <c r="AR345" s="200"/>
      <c r="AS345" s="200"/>
      <c r="AT345" s="200"/>
      <c r="AU345" s="200"/>
      <c r="AV345" s="200"/>
      <c r="AW345" s="200"/>
      <c r="AX345" s="200"/>
      <c r="AY345" s="200"/>
      <c r="AZ345" s="200"/>
      <c r="BA345" s="200"/>
      <c r="BB345" s="200"/>
      <c r="BC345" s="200"/>
      <c r="BD345" s="200"/>
      <c r="BE345" s="200"/>
      <c r="BF345" s="200"/>
      <c r="BG345" s="200"/>
      <c r="BH345" s="200"/>
      <c r="BI345" s="200"/>
      <c r="BJ345" s="200"/>
      <c r="BK345" s="200"/>
      <c r="BL345" s="200"/>
      <c r="BM345" s="200"/>
      <c r="BN345" s="200"/>
      <c r="BO345" s="200"/>
      <c r="BP345" s="200"/>
      <c r="BQ345" s="200"/>
      <c r="BR345" s="200"/>
      <c r="BS345" s="200"/>
      <c r="BT345" s="200"/>
      <c r="BU345" s="200"/>
      <c r="BV345" s="200"/>
      <c r="BW345" s="200"/>
      <c r="BX345" s="200"/>
      <c r="BY345" s="200"/>
      <c r="BZ345" s="200"/>
      <c r="CA345" s="200"/>
      <c r="CB345" s="200"/>
      <c r="CC345" s="200"/>
      <c r="CD345" s="200"/>
      <c r="CE345" s="200"/>
      <c r="CF345" s="200"/>
      <c r="CG345" s="200"/>
      <c r="CH345" s="200"/>
      <c r="CI345" s="200"/>
      <c r="CJ345" s="200"/>
      <c r="CK345" s="200"/>
      <c r="CL345" s="200"/>
      <c r="CM345" s="200"/>
      <c r="CN345" s="200"/>
      <c r="CO345" s="200"/>
      <c r="CP345" s="200"/>
      <c r="CQ345" s="200"/>
      <c r="CR345" s="200"/>
      <c r="CS345" s="200"/>
      <c r="CT345" s="200"/>
      <c r="CU345" s="200"/>
      <c r="CV345" s="200"/>
      <c r="CW345" s="200"/>
      <c r="CX345" s="200"/>
      <c r="CY345" s="200"/>
      <c r="CZ345" s="200"/>
      <c r="DA345" s="200"/>
      <c r="DB345" s="200"/>
      <c r="DC345" s="200"/>
      <c r="DD345" s="200"/>
      <c r="DE345" s="200"/>
      <c r="DF345" s="200"/>
      <c r="DG345" s="200"/>
      <c r="DH345" s="200"/>
      <c r="DI345" s="200"/>
      <c r="DJ345" s="200"/>
      <c r="DK345" s="200"/>
      <c r="DL345" s="200"/>
      <c r="DM345" s="200"/>
      <c r="DN345" s="200"/>
      <c r="DO345" s="200"/>
      <c r="DP345" s="200"/>
      <c r="DQ345" s="200"/>
      <c r="DR345" s="200"/>
      <c r="DS345" s="200"/>
      <c r="DT345" s="200"/>
      <c r="DU345" s="200"/>
      <c r="DV345" s="200"/>
      <c r="DW345" s="200"/>
      <c r="DX345" s="200"/>
      <c r="DY345" s="200"/>
      <c r="DZ345" s="200"/>
      <c r="EA345" s="200"/>
      <c r="EB345" s="200"/>
      <c r="EC345" s="200"/>
      <c r="ED345" s="200"/>
      <c r="EE345" s="200"/>
      <c r="EF345" s="200"/>
      <c r="EG345" s="200"/>
      <c r="EH345" s="200"/>
      <c r="EI345" s="200"/>
      <c r="EJ345" s="200"/>
      <c r="EK345" s="200"/>
      <c r="EL345" s="200"/>
      <c r="EM345" s="200"/>
      <c r="EN345" s="200"/>
      <c r="EO345" s="200"/>
      <c r="EP345" s="200"/>
      <c r="EQ345" s="200"/>
      <c r="ER345" s="200"/>
      <c r="ES345" s="200"/>
      <c r="ET345" s="200"/>
      <c r="EU345" s="200"/>
      <c r="EV345" s="200"/>
      <c r="EW345" s="200"/>
      <c r="EX345" s="200"/>
      <c r="EY345" s="200"/>
      <c r="EZ345" s="200"/>
      <c r="FA345" s="200"/>
      <c r="FB345" s="200"/>
      <c r="FC345" s="200"/>
      <c r="FD345" s="200"/>
      <c r="FE345" s="200"/>
      <c r="FF345" s="200"/>
      <c r="FG345" s="200"/>
      <c r="FH345" s="200"/>
      <c r="FI345" s="200"/>
      <c r="FJ345" s="200"/>
      <c r="FK345" s="200"/>
      <c r="FL345" s="200"/>
      <c r="FM345" s="200"/>
      <c r="FN345" s="200"/>
      <c r="FO345" s="200"/>
      <c r="FP345" s="200"/>
      <c r="FQ345" s="200"/>
      <c r="FR345" s="200"/>
      <c r="FS345" s="200"/>
      <c r="FT345" s="200"/>
      <c r="FU345" s="200"/>
      <c r="FV345" s="200"/>
      <c r="FW345" s="200"/>
      <c r="FX345" s="200"/>
      <c r="FY345" s="200"/>
      <c r="FZ345" s="200"/>
      <c r="GA345" s="200"/>
      <c r="GB345" s="200"/>
      <c r="GC345" s="200"/>
      <c r="GD345" s="200"/>
      <c r="GE345" s="200"/>
      <c r="GF345" s="200"/>
      <c r="GG345" s="200"/>
      <c r="GH345" s="200"/>
      <c r="GI345" s="200"/>
      <c r="GJ345" s="200"/>
      <c r="GK345" s="200"/>
      <c r="GL345" s="200"/>
      <c r="GM345" s="200"/>
      <c r="GN345" s="200"/>
      <c r="GO345" s="200"/>
      <c r="GP345" s="200"/>
      <c r="GQ345" s="200"/>
      <c r="GR345" s="200"/>
      <c r="GS345" s="200"/>
      <c r="GT345" s="200"/>
      <c r="GU345" s="200"/>
      <c r="GV345" s="200"/>
      <c r="GW345" s="200"/>
      <c r="GX345" s="200"/>
      <c r="GY345" s="200"/>
      <c r="GZ345" s="200"/>
      <c r="HA345" s="200"/>
      <c r="HB345" s="200"/>
      <c r="HC345" s="200"/>
      <c r="HD345" s="200"/>
      <c r="HE345" s="200"/>
      <c r="HF345" s="200"/>
      <c r="HG345" s="200"/>
      <c r="HH345" s="200"/>
      <c r="HI345" s="200"/>
      <c r="HJ345" s="200"/>
      <c r="HK345" s="200"/>
      <c r="HL345" s="200"/>
      <c r="HM345" s="200"/>
      <c r="HN345" s="200"/>
      <c r="HO345" s="200"/>
      <c r="HP345" s="200"/>
      <c r="HQ345" s="200"/>
      <c r="HR345" s="200"/>
      <c r="HS345" s="200"/>
      <c r="HT345" s="200"/>
      <c r="HU345" s="200"/>
      <c r="HV345" s="200"/>
      <c r="HW345" s="200"/>
      <c r="HX345" s="200"/>
      <c r="HY345" s="200"/>
      <c r="HZ345" s="200"/>
      <c r="IA345" s="200"/>
      <c r="IB345" s="200"/>
      <c r="IC345" s="200"/>
      <c r="ID345" s="200"/>
      <c r="IE345" s="200"/>
      <c r="IF345" s="200"/>
      <c r="IG345" s="200"/>
      <c r="IH345" s="200"/>
      <c r="II345" s="200"/>
      <c r="IJ345" s="200"/>
      <c r="IK345" s="200"/>
      <c r="IL345" s="200"/>
      <c r="IM345" s="200"/>
      <c r="IN345" s="200"/>
      <c r="IO345" s="200"/>
      <c r="IP345" s="200"/>
      <c r="IQ345" s="200"/>
      <c r="IR345" s="200"/>
      <c r="IS345" s="200"/>
      <c r="IT345" s="200"/>
      <c r="IU345" s="201"/>
      <c r="IV345" s="201"/>
    </row>
    <row r="346" s="10" customFormat="1" ht="15.95" customHeight="1" spans="1:256">
      <c r="A346" s="199">
        <v>16</v>
      </c>
      <c r="B346" s="20" t="s">
        <v>2331</v>
      </c>
      <c r="C346" s="199" t="s">
        <v>2334</v>
      </c>
      <c r="D346" s="199">
        <v>8016</v>
      </c>
      <c r="E346" s="199">
        <f>'05版台时'!S560</f>
        <v>15.1053341355071</v>
      </c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  <c r="AA346" s="200"/>
      <c r="AB346" s="200"/>
      <c r="AC346" s="200"/>
      <c r="AD346" s="200"/>
      <c r="AE346" s="200"/>
      <c r="AF346" s="200"/>
      <c r="AG346" s="200"/>
      <c r="AH346" s="200"/>
      <c r="AI346" s="200"/>
      <c r="AJ346" s="200"/>
      <c r="AK346" s="200"/>
      <c r="AL346" s="200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200"/>
      <c r="BD346" s="200"/>
      <c r="BE346" s="200"/>
      <c r="BF346" s="200"/>
      <c r="BG346" s="200"/>
      <c r="BH346" s="200"/>
      <c r="BI346" s="200"/>
      <c r="BJ346" s="200"/>
      <c r="BK346" s="200"/>
      <c r="BL346" s="200"/>
      <c r="BM346" s="200"/>
      <c r="BN346" s="200"/>
      <c r="BO346" s="200"/>
      <c r="BP346" s="200"/>
      <c r="BQ346" s="200"/>
      <c r="BR346" s="200"/>
      <c r="BS346" s="200"/>
      <c r="BT346" s="200"/>
      <c r="BU346" s="200"/>
      <c r="BV346" s="200"/>
      <c r="BW346" s="200"/>
      <c r="BX346" s="200"/>
      <c r="BY346" s="200"/>
      <c r="BZ346" s="200"/>
      <c r="CA346" s="200"/>
      <c r="CB346" s="200"/>
      <c r="CC346" s="200"/>
      <c r="CD346" s="200"/>
      <c r="CE346" s="200"/>
      <c r="CF346" s="200"/>
      <c r="CG346" s="200"/>
      <c r="CH346" s="200"/>
      <c r="CI346" s="200"/>
      <c r="CJ346" s="200"/>
      <c r="CK346" s="200"/>
      <c r="CL346" s="200"/>
      <c r="CM346" s="200"/>
      <c r="CN346" s="200"/>
      <c r="CO346" s="200"/>
      <c r="CP346" s="200"/>
      <c r="CQ346" s="200"/>
      <c r="CR346" s="200"/>
      <c r="CS346" s="200"/>
      <c r="CT346" s="200"/>
      <c r="CU346" s="200"/>
      <c r="CV346" s="200"/>
      <c r="CW346" s="200"/>
      <c r="CX346" s="200"/>
      <c r="CY346" s="200"/>
      <c r="CZ346" s="200"/>
      <c r="DA346" s="200"/>
      <c r="DB346" s="200"/>
      <c r="DC346" s="200"/>
      <c r="DD346" s="200"/>
      <c r="DE346" s="200"/>
      <c r="DF346" s="200"/>
      <c r="DG346" s="200"/>
      <c r="DH346" s="200"/>
      <c r="DI346" s="200"/>
      <c r="DJ346" s="200"/>
      <c r="DK346" s="200"/>
      <c r="DL346" s="200"/>
      <c r="DM346" s="200"/>
      <c r="DN346" s="200"/>
      <c r="DO346" s="200"/>
      <c r="DP346" s="200"/>
      <c r="DQ346" s="200"/>
      <c r="DR346" s="200"/>
      <c r="DS346" s="200"/>
      <c r="DT346" s="200"/>
      <c r="DU346" s="200"/>
      <c r="DV346" s="200"/>
      <c r="DW346" s="200"/>
      <c r="DX346" s="200"/>
      <c r="DY346" s="200"/>
      <c r="DZ346" s="200"/>
      <c r="EA346" s="200"/>
      <c r="EB346" s="200"/>
      <c r="EC346" s="200"/>
      <c r="ED346" s="200"/>
      <c r="EE346" s="200"/>
      <c r="EF346" s="200"/>
      <c r="EG346" s="200"/>
      <c r="EH346" s="200"/>
      <c r="EI346" s="200"/>
      <c r="EJ346" s="200"/>
      <c r="EK346" s="200"/>
      <c r="EL346" s="200"/>
      <c r="EM346" s="200"/>
      <c r="EN346" s="200"/>
      <c r="EO346" s="200"/>
      <c r="EP346" s="200"/>
      <c r="EQ346" s="200"/>
      <c r="ER346" s="200"/>
      <c r="ES346" s="200"/>
      <c r="ET346" s="200"/>
      <c r="EU346" s="200"/>
      <c r="EV346" s="200"/>
      <c r="EW346" s="200"/>
      <c r="EX346" s="200"/>
      <c r="EY346" s="200"/>
      <c r="EZ346" s="200"/>
      <c r="FA346" s="200"/>
      <c r="FB346" s="200"/>
      <c r="FC346" s="200"/>
      <c r="FD346" s="200"/>
      <c r="FE346" s="200"/>
      <c r="FF346" s="200"/>
      <c r="FG346" s="200"/>
      <c r="FH346" s="200"/>
      <c r="FI346" s="200"/>
      <c r="FJ346" s="200"/>
      <c r="FK346" s="200"/>
      <c r="FL346" s="200"/>
      <c r="FM346" s="200"/>
      <c r="FN346" s="200"/>
      <c r="FO346" s="200"/>
      <c r="FP346" s="200"/>
      <c r="FQ346" s="200"/>
      <c r="FR346" s="200"/>
      <c r="FS346" s="200"/>
      <c r="FT346" s="200"/>
      <c r="FU346" s="200"/>
      <c r="FV346" s="200"/>
      <c r="FW346" s="200"/>
      <c r="FX346" s="200"/>
      <c r="FY346" s="200"/>
      <c r="FZ346" s="200"/>
      <c r="GA346" s="200"/>
      <c r="GB346" s="200"/>
      <c r="GC346" s="200"/>
      <c r="GD346" s="200"/>
      <c r="GE346" s="200"/>
      <c r="GF346" s="200"/>
      <c r="GG346" s="200"/>
      <c r="GH346" s="200"/>
      <c r="GI346" s="200"/>
      <c r="GJ346" s="200"/>
      <c r="GK346" s="200"/>
      <c r="GL346" s="200"/>
      <c r="GM346" s="200"/>
      <c r="GN346" s="200"/>
      <c r="GO346" s="200"/>
      <c r="GP346" s="200"/>
      <c r="GQ346" s="200"/>
      <c r="GR346" s="200"/>
      <c r="GS346" s="200"/>
      <c r="GT346" s="200"/>
      <c r="GU346" s="200"/>
      <c r="GV346" s="200"/>
      <c r="GW346" s="200"/>
      <c r="GX346" s="200"/>
      <c r="GY346" s="200"/>
      <c r="GZ346" s="200"/>
      <c r="HA346" s="200"/>
      <c r="HB346" s="200"/>
      <c r="HC346" s="200"/>
      <c r="HD346" s="200"/>
      <c r="HE346" s="200"/>
      <c r="HF346" s="200"/>
      <c r="HG346" s="200"/>
      <c r="HH346" s="200"/>
      <c r="HI346" s="200"/>
      <c r="HJ346" s="200"/>
      <c r="HK346" s="200"/>
      <c r="HL346" s="200"/>
      <c r="HM346" s="200"/>
      <c r="HN346" s="200"/>
      <c r="HO346" s="200"/>
      <c r="HP346" s="200"/>
      <c r="HQ346" s="200"/>
      <c r="HR346" s="200"/>
      <c r="HS346" s="200"/>
      <c r="HT346" s="200"/>
      <c r="HU346" s="200"/>
      <c r="HV346" s="200"/>
      <c r="HW346" s="200"/>
      <c r="HX346" s="200"/>
      <c r="HY346" s="200"/>
      <c r="HZ346" s="200"/>
      <c r="IA346" s="200"/>
      <c r="IB346" s="200"/>
      <c r="IC346" s="200"/>
      <c r="ID346" s="200"/>
      <c r="IE346" s="200"/>
      <c r="IF346" s="200"/>
      <c r="IG346" s="200"/>
      <c r="IH346" s="200"/>
      <c r="II346" s="200"/>
      <c r="IJ346" s="200"/>
      <c r="IK346" s="200"/>
      <c r="IL346" s="200"/>
      <c r="IM346" s="200"/>
      <c r="IN346" s="200"/>
      <c r="IO346" s="200"/>
      <c r="IP346" s="200"/>
      <c r="IQ346" s="200"/>
      <c r="IR346" s="200"/>
      <c r="IS346" s="200"/>
      <c r="IT346" s="200"/>
      <c r="IU346" s="201"/>
      <c r="IV346" s="201"/>
    </row>
    <row r="347" s="10" customFormat="1" ht="15.95" customHeight="1" spans="1:256">
      <c r="A347" s="199">
        <v>17</v>
      </c>
      <c r="B347" s="20" t="s">
        <v>2331</v>
      </c>
      <c r="C347" s="199" t="s">
        <v>2335</v>
      </c>
      <c r="D347" s="199">
        <v>8017</v>
      </c>
      <c r="E347" s="199">
        <f>'05版台时'!T560</f>
        <v>17.8923648495079</v>
      </c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  <c r="AA347" s="200"/>
      <c r="AB347" s="200"/>
      <c r="AC347" s="200"/>
      <c r="AD347" s="200"/>
      <c r="AE347" s="200"/>
      <c r="AF347" s="200"/>
      <c r="AG347" s="200"/>
      <c r="AH347" s="200"/>
      <c r="AI347" s="200"/>
      <c r="AJ347" s="200"/>
      <c r="AK347" s="200"/>
      <c r="AL347" s="200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200"/>
      <c r="BB347" s="200"/>
      <c r="BC347" s="200"/>
      <c r="BD347" s="200"/>
      <c r="BE347" s="200"/>
      <c r="BF347" s="200"/>
      <c r="BG347" s="200"/>
      <c r="BH347" s="200"/>
      <c r="BI347" s="200"/>
      <c r="BJ347" s="200"/>
      <c r="BK347" s="200"/>
      <c r="BL347" s="200"/>
      <c r="BM347" s="200"/>
      <c r="BN347" s="200"/>
      <c r="BO347" s="200"/>
      <c r="BP347" s="200"/>
      <c r="BQ347" s="200"/>
      <c r="BR347" s="200"/>
      <c r="BS347" s="200"/>
      <c r="BT347" s="200"/>
      <c r="BU347" s="200"/>
      <c r="BV347" s="200"/>
      <c r="BW347" s="200"/>
      <c r="BX347" s="200"/>
      <c r="BY347" s="200"/>
      <c r="BZ347" s="200"/>
      <c r="CA347" s="200"/>
      <c r="CB347" s="200"/>
      <c r="CC347" s="200"/>
      <c r="CD347" s="200"/>
      <c r="CE347" s="200"/>
      <c r="CF347" s="200"/>
      <c r="CG347" s="200"/>
      <c r="CH347" s="200"/>
      <c r="CI347" s="200"/>
      <c r="CJ347" s="200"/>
      <c r="CK347" s="200"/>
      <c r="CL347" s="200"/>
      <c r="CM347" s="200"/>
      <c r="CN347" s="200"/>
      <c r="CO347" s="200"/>
      <c r="CP347" s="200"/>
      <c r="CQ347" s="200"/>
      <c r="CR347" s="200"/>
      <c r="CS347" s="200"/>
      <c r="CT347" s="200"/>
      <c r="CU347" s="200"/>
      <c r="CV347" s="200"/>
      <c r="CW347" s="200"/>
      <c r="CX347" s="200"/>
      <c r="CY347" s="200"/>
      <c r="CZ347" s="200"/>
      <c r="DA347" s="200"/>
      <c r="DB347" s="200"/>
      <c r="DC347" s="200"/>
      <c r="DD347" s="200"/>
      <c r="DE347" s="200"/>
      <c r="DF347" s="200"/>
      <c r="DG347" s="200"/>
      <c r="DH347" s="200"/>
      <c r="DI347" s="200"/>
      <c r="DJ347" s="200"/>
      <c r="DK347" s="200"/>
      <c r="DL347" s="200"/>
      <c r="DM347" s="200"/>
      <c r="DN347" s="200"/>
      <c r="DO347" s="200"/>
      <c r="DP347" s="200"/>
      <c r="DQ347" s="200"/>
      <c r="DR347" s="200"/>
      <c r="DS347" s="200"/>
      <c r="DT347" s="200"/>
      <c r="DU347" s="200"/>
      <c r="DV347" s="200"/>
      <c r="DW347" s="200"/>
      <c r="DX347" s="200"/>
      <c r="DY347" s="200"/>
      <c r="DZ347" s="200"/>
      <c r="EA347" s="200"/>
      <c r="EB347" s="200"/>
      <c r="EC347" s="200"/>
      <c r="ED347" s="200"/>
      <c r="EE347" s="200"/>
      <c r="EF347" s="200"/>
      <c r="EG347" s="200"/>
      <c r="EH347" s="200"/>
      <c r="EI347" s="200"/>
      <c r="EJ347" s="200"/>
      <c r="EK347" s="200"/>
      <c r="EL347" s="200"/>
      <c r="EM347" s="200"/>
      <c r="EN347" s="200"/>
      <c r="EO347" s="200"/>
      <c r="EP347" s="200"/>
      <c r="EQ347" s="200"/>
      <c r="ER347" s="200"/>
      <c r="ES347" s="200"/>
      <c r="ET347" s="200"/>
      <c r="EU347" s="200"/>
      <c r="EV347" s="200"/>
      <c r="EW347" s="200"/>
      <c r="EX347" s="200"/>
      <c r="EY347" s="200"/>
      <c r="EZ347" s="200"/>
      <c r="FA347" s="200"/>
      <c r="FB347" s="200"/>
      <c r="FC347" s="200"/>
      <c r="FD347" s="200"/>
      <c r="FE347" s="200"/>
      <c r="FF347" s="200"/>
      <c r="FG347" s="200"/>
      <c r="FH347" s="200"/>
      <c r="FI347" s="200"/>
      <c r="FJ347" s="200"/>
      <c r="FK347" s="200"/>
      <c r="FL347" s="200"/>
      <c r="FM347" s="200"/>
      <c r="FN347" s="200"/>
      <c r="FO347" s="200"/>
      <c r="FP347" s="200"/>
      <c r="FQ347" s="200"/>
      <c r="FR347" s="200"/>
      <c r="FS347" s="200"/>
      <c r="FT347" s="200"/>
      <c r="FU347" s="200"/>
      <c r="FV347" s="200"/>
      <c r="FW347" s="200"/>
      <c r="FX347" s="200"/>
      <c r="FY347" s="200"/>
      <c r="FZ347" s="200"/>
      <c r="GA347" s="200"/>
      <c r="GB347" s="200"/>
      <c r="GC347" s="200"/>
      <c r="GD347" s="200"/>
      <c r="GE347" s="200"/>
      <c r="GF347" s="200"/>
      <c r="GG347" s="200"/>
      <c r="GH347" s="200"/>
      <c r="GI347" s="200"/>
      <c r="GJ347" s="200"/>
      <c r="GK347" s="200"/>
      <c r="GL347" s="200"/>
      <c r="GM347" s="200"/>
      <c r="GN347" s="200"/>
      <c r="GO347" s="200"/>
      <c r="GP347" s="200"/>
      <c r="GQ347" s="200"/>
      <c r="GR347" s="200"/>
      <c r="GS347" s="200"/>
      <c r="GT347" s="200"/>
      <c r="GU347" s="200"/>
      <c r="GV347" s="200"/>
      <c r="GW347" s="200"/>
      <c r="GX347" s="200"/>
      <c r="GY347" s="200"/>
      <c r="GZ347" s="200"/>
      <c r="HA347" s="200"/>
      <c r="HB347" s="200"/>
      <c r="HC347" s="200"/>
      <c r="HD347" s="200"/>
      <c r="HE347" s="200"/>
      <c r="HF347" s="200"/>
      <c r="HG347" s="200"/>
      <c r="HH347" s="200"/>
      <c r="HI347" s="200"/>
      <c r="HJ347" s="200"/>
      <c r="HK347" s="200"/>
      <c r="HL347" s="200"/>
      <c r="HM347" s="200"/>
      <c r="HN347" s="200"/>
      <c r="HO347" s="200"/>
      <c r="HP347" s="200"/>
      <c r="HQ347" s="200"/>
      <c r="HR347" s="200"/>
      <c r="HS347" s="200"/>
      <c r="HT347" s="200"/>
      <c r="HU347" s="200"/>
      <c r="HV347" s="200"/>
      <c r="HW347" s="200"/>
      <c r="HX347" s="200"/>
      <c r="HY347" s="200"/>
      <c r="HZ347" s="200"/>
      <c r="IA347" s="200"/>
      <c r="IB347" s="200"/>
      <c r="IC347" s="200"/>
      <c r="ID347" s="200"/>
      <c r="IE347" s="200"/>
      <c r="IF347" s="200"/>
      <c r="IG347" s="200"/>
      <c r="IH347" s="200"/>
      <c r="II347" s="200"/>
      <c r="IJ347" s="200"/>
      <c r="IK347" s="200"/>
      <c r="IL347" s="200"/>
      <c r="IM347" s="200"/>
      <c r="IN347" s="200"/>
      <c r="IO347" s="200"/>
      <c r="IP347" s="200"/>
      <c r="IQ347" s="200"/>
      <c r="IR347" s="200"/>
      <c r="IS347" s="200"/>
      <c r="IT347" s="200"/>
      <c r="IU347" s="201"/>
      <c r="IV347" s="201"/>
    </row>
    <row r="348" s="10" customFormat="1" ht="15.95" customHeight="1" spans="1:256">
      <c r="A348" s="199">
        <v>18</v>
      </c>
      <c r="B348" s="20" t="s">
        <v>2331</v>
      </c>
      <c r="C348" s="199" t="s">
        <v>2336</v>
      </c>
      <c r="D348" s="199">
        <v>8018</v>
      </c>
      <c r="E348" s="199">
        <f>'05版台时'!U560</f>
        <v>26.9935686787859</v>
      </c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  <c r="AA348" s="200"/>
      <c r="AB348" s="200"/>
      <c r="AC348" s="200"/>
      <c r="AD348" s="200"/>
      <c r="AE348" s="200"/>
      <c r="AF348" s="200"/>
      <c r="AG348" s="200"/>
      <c r="AH348" s="200"/>
      <c r="AI348" s="200"/>
      <c r="AJ348" s="200"/>
      <c r="AK348" s="200"/>
      <c r="AL348" s="200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200"/>
      <c r="BB348" s="200"/>
      <c r="BC348" s="200"/>
      <c r="BD348" s="200"/>
      <c r="BE348" s="200"/>
      <c r="BF348" s="200"/>
      <c r="BG348" s="200"/>
      <c r="BH348" s="200"/>
      <c r="BI348" s="200"/>
      <c r="BJ348" s="200"/>
      <c r="BK348" s="200"/>
      <c r="BL348" s="200"/>
      <c r="BM348" s="200"/>
      <c r="BN348" s="200"/>
      <c r="BO348" s="200"/>
      <c r="BP348" s="200"/>
      <c r="BQ348" s="200"/>
      <c r="BR348" s="200"/>
      <c r="BS348" s="200"/>
      <c r="BT348" s="200"/>
      <c r="BU348" s="200"/>
      <c r="BV348" s="200"/>
      <c r="BW348" s="200"/>
      <c r="BX348" s="200"/>
      <c r="BY348" s="200"/>
      <c r="BZ348" s="200"/>
      <c r="CA348" s="200"/>
      <c r="CB348" s="200"/>
      <c r="CC348" s="200"/>
      <c r="CD348" s="200"/>
      <c r="CE348" s="200"/>
      <c r="CF348" s="200"/>
      <c r="CG348" s="200"/>
      <c r="CH348" s="200"/>
      <c r="CI348" s="200"/>
      <c r="CJ348" s="200"/>
      <c r="CK348" s="200"/>
      <c r="CL348" s="200"/>
      <c r="CM348" s="200"/>
      <c r="CN348" s="200"/>
      <c r="CO348" s="200"/>
      <c r="CP348" s="200"/>
      <c r="CQ348" s="200"/>
      <c r="CR348" s="200"/>
      <c r="CS348" s="200"/>
      <c r="CT348" s="200"/>
      <c r="CU348" s="200"/>
      <c r="CV348" s="200"/>
      <c r="CW348" s="200"/>
      <c r="CX348" s="200"/>
      <c r="CY348" s="200"/>
      <c r="CZ348" s="200"/>
      <c r="DA348" s="200"/>
      <c r="DB348" s="200"/>
      <c r="DC348" s="200"/>
      <c r="DD348" s="200"/>
      <c r="DE348" s="200"/>
      <c r="DF348" s="200"/>
      <c r="DG348" s="200"/>
      <c r="DH348" s="200"/>
      <c r="DI348" s="200"/>
      <c r="DJ348" s="200"/>
      <c r="DK348" s="200"/>
      <c r="DL348" s="200"/>
      <c r="DM348" s="200"/>
      <c r="DN348" s="200"/>
      <c r="DO348" s="200"/>
      <c r="DP348" s="200"/>
      <c r="DQ348" s="200"/>
      <c r="DR348" s="200"/>
      <c r="DS348" s="200"/>
      <c r="DT348" s="200"/>
      <c r="DU348" s="200"/>
      <c r="DV348" s="200"/>
      <c r="DW348" s="200"/>
      <c r="DX348" s="200"/>
      <c r="DY348" s="200"/>
      <c r="DZ348" s="200"/>
      <c r="EA348" s="200"/>
      <c r="EB348" s="200"/>
      <c r="EC348" s="200"/>
      <c r="ED348" s="200"/>
      <c r="EE348" s="200"/>
      <c r="EF348" s="200"/>
      <c r="EG348" s="200"/>
      <c r="EH348" s="200"/>
      <c r="EI348" s="200"/>
      <c r="EJ348" s="200"/>
      <c r="EK348" s="200"/>
      <c r="EL348" s="200"/>
      <c r="EM348" s="200"/>
      <c r="EN348" s="200"/>
      <c r="EO348" s="200"/>
      <c r="EP348" s="200"/>
      <c r="EQ348" s="200"/>
      <c r="ER348" s="200"/>
      <c r="ES348" s="200"/>
      <c r="ET348" s="200"/>
      <c r="EU348" s="200"/>
      <c r="EV348" s="200"/>
      <c r="EW348" s="200"/>
      <c r="EX348" s="200"/>
      <c r="EY348" s="200"/>
      <c r="EZ348" s="200"/>
      <c r="FA348" s="200"/>
      <c r="FB348" s="200"/>
      <c r="FC348" s="200"/>
      <c r="FD348" s="200"/>
      <c r="FE348" s="200"/>
      <c r="FF348" s="200"/>
      <c r="FG348" s="200"/>
      <c r="FH348" s="200"/>
      <c r="FI348" s="200"/>
      <c r="FJ348" s="200"/>
      <c r="FK348" s="200"/>
      <c r="FL348" s="200"/>
      <c r="FM348" s="200"/>
      <c r="FN348" s="200"/>
      <c r="FO348" s="200"/>
      <c r="FP348" s="200"/>
      <c r="FQ348" s="200"/>
      <c r="FR348" s="200"/>
      <c r="FS348" s="200"/>
      <c r="FT348" s="200"/>
      <c r="FU348" s="200"/>
      <c r="FV348" s="200"/>
      <c r="FW348" s="200"/>
      <c r="FX348" s="200"/>
      <c r="FY348" s="200"/>
      <c r="FZ348" s="200"/>
      <c r="GA348" s="200"/>
      <c r="GB348" s="200"/>
      <c r="GC348" s="200"/>
      <c r="GD348" s="200"/>
      <c r="GE348" s="200"/>
      <c r="GF348" s="200"/>
      <c r="GG348" s="200"/>
      <c r="GH348" s="200"/>
      <c r="GI348" s="200"/>
      <c r="GJ348" s="200"/>
      <c r="GK348" s="200"/>
      <c r="GL348" s="200"/>
      <c r="GM348" s="200"/>
      <c r="GN348" s="200"/>
      <c r="GO348" s="200"/>
      <c r="GP348" s="200"/>
      <c r="GQ348" s="200"/>
      <c r="GR348" s="200"/>
      <c r="GS348" s="200"/>
      <c r="GT348" s="200"/>
      <c r="GU348" s="200"/>
      <c r="GV348" s="200"/>
      <c r="GW348" s="200"/>
      <c r="GX348" s="200"/>
      <c r="GY348" s="200"/>
      <c r="GZ348" s="200"/>
      <c r="HA348" s="200"/>
      <c r="HB348" s="200"/>
      <c r="HC348" s="200"/>
      <c r="HD348" s="200"/>
      <c r="HE348" s="200"/>
      <c r="HF348" s="200"/>
      <c r="HG348" s="200"/>
      <c r="HH348" s="200"/>
      <c r="HI348" s="200"/>
      <c r="HJ348" s="200"/>
      <c r="HK348" s="200"/>
      <c r="HL348" s="200"/>
      <c r="HM348" s="200"/>
      <c r="HN348" s="200"/>
      <c r="HO348" s="200"/>
      <c r="HP348" s="200"/>
      <c r="HQ348" s="200"/>
      <c r="HR348" s="200"/>
      <c r="HS348" s="200"/>
      <c r="HT348" s="200"/>
      <c r="HU348" s="200"/>
      <c r="HV348" s="200"/>
      <c r="HW348" s="200"/>
      <c r="HX348" s="200"/>
      <c r="HY348" s="200"/>
      <c r="HZ348" s="200"/>
      <c r="IA348" s="200"/>
      <c r="IB348" s="200"/>
      <c r="IC348" s="200"/>
      <c r="ID348" s="200"/>
      <c r="IE348" s="200"/>
      <c r="IF348" s="200"/>
      <c r="IG348" s="200"/>
      <c r="IH348" s="200"/>
      <c r="II348" s="200"/>
      <c r="IJ348" s="200"/>
      <c r="IK348" s="200"/>
      <c r="IL348" s="200"/>
      <c r="IM348" s="200"/>
      <c r="IN348" s="200"/>
      <c r="IO348" s="200"/>
      <c r="IP348" s="200"/>
      <c r="IQ348" s="200"/>
      <c r="IR348" s="200"/>
      <c r="IS348" s="200"/>
      <c r="IT348" s="200"/>
      <c r="IU348" s="201"/>
      <c r="IV348" s="201"/>
    </row>
    <row r="349" s="10" customFormat="1" ht="15.95" customHeight="1" spans="1:256">
      <c r="A349" s="199">
        <v>19</v>
      </c>
      <c r="B349" s="20" t="s">
        <v>2337</v>
      </c>
      <c r="C349" s="199" t="s">
        <v>2338</v>
      </c>
      <c r="D349" s="199">
        <v>8019</v>
      </c>
      <c r="E349" s="199">
        <f>'05版台时'!V560</f>
        <v>20.5878335371824</v>
      </c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  <c r="AA349" s="200"/>
      <c r="AB349" s="200"/>
      <c r="AC349" s="200"/>
      <c r="AD349" s="200"/>
      <c r="AE349" s="200"/>
      <c r="AF349" s="200"/>
      <c r="AG349" s="200"/>
      <c r="AH349" s="200"/>
      <c r="AI349" s="200"/>
      <c r="AJ349" s="200"/>
      <c r="AK349" s="200"/>
      <c r="AL349" s="200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200"/>
      <c r="BB349" s="200"/>
      <c r="BC349" s="200"/>
      <c r="BD349" s="200"/>
      <c r="BE349" s="200"/>
      <c r="BF349" s="200"/>
      <c r="BG349" s="200"/>
      <c r="BH349" s="200"/>
      <c r="BI349" s="200"/>
      <c r="BJ349" s="200"/>
      <c r="BK349" s="200"/>
      <c r="BL349" s="200"/>
      <c r="BM349" s="200"/>
      <c r="BN349" s="200"/>
      <c r="BO349" s="200"/>
      <c r="BP349" s="200"/>
      <c r="BQ349" s="200"/>
      <c r="BR349" s="200"/>
      <c r="BS349" s="200"/>
      <c r="BT349" s="200"/>
      <c r="BU349" s="200"/>
      <c r="BV349" s="200"/>
      <c r="BW349" s="200"/>
      <c r="BX349" s="200"/>
      <c r="BY349" s="200"/>
      <c r="BZ349" s="200"/>
      <c r="CA349" s="200"/>
      <c r="CB349" s="200"/>
      <c r="CC349" s="200"/>
      <c r="CD349" s="200"/>
      <c r="CE349" s="200"/>
      <c r="CF349" s="200"/>
      <c r="CG349" s="200"/>
      <c r="CH349" s="200"/>
      <c r="CI349" s="200"/>
      <c r="CJ349" s="200"/>
      <c r="CK349" s="200"/>
      <c r="CL349" s="200"/>
      <c r="CM349" s="200"/>
      <c r="CN349" s="200"/>
      <c r="CO349" s="200"/>
      <c r="CP349" s="200"/>
      <c r="CQ349" s="200"/>
      <c r="CR349" s="200"/>
      <c r="CS349" s="200"/>
      <c r="CT349" s="200"/>
      <c r="CU349" s="200"/>
      <c r="CV349" s="200"/>
      <c r="CW349" s="200"/>
      <c r="CX349" s="200"/>
      <c r="CY349" s="200"/>
      <c r="CZ349" s="200"/>
      <c r="DA349" s="200"/>
      <c r="DB349" s="200"/>
      <c r="DC349" s="200"/>
      <c r="DD349" s="200"/>
      <c r="DE349" s="200"/>
      <c r="DF349" s="200"/>
      <c r="DG349" s="200"/>
      <c r="DH349" s="200"/>
      <c r="DI349" s="200"/>
      <c r="DJ349" s="200"/>
      <c r="DK349" s="200"/>
      <c r="DL349" s="200"/>
      <c r="DM349" s="200"/>
      <c r="DN349" s="200"/>
      <c r="DO349" s="200"/>
      <c r="DP349" s="200"/>
      <c r="DQ349" s="200"/>
      <c r="DR349" s="200"/>
      <c r="DS349" s="200"/>
      <c r="DT349" s="200"/>
      <c r="DU349" s="200"/>
      <c r="DV349" s="200"/>
      <c r="DW349" s="200"/>
      <c r="DX349" s="200"/>
      <c r="DY349" s="200"/>
      <c r="DZ349" s="200"/>
      <c r="EA349" s="200"/>
      <c r="EB349" s="200"/>
      <c r="EC349" s="200"/>
      <c r="ED349" s="200"/>
      <c r="EE349" s="200"/>
      <c r="EF349" s="200"/>
      <c r="EG349" s="200"/>
      <c r="EH349" s="200"/>
      <c r="EI349" s="200"/>
      <c r="EJ349" s="200"/>
      <c r="EK349" s="200"/>
      <c r="EL349" s="200"/>
      <c r="EM349" s="200"/>
      <c r="EN349" s="200"/>
      <c r="EO349" s="200"/>
      <c r="EP349" s="200"/>
      <c r="EQ349" s="200"/>
      <c r="ER349" s="200"/>
      <c r="ES349" s="200"/>
      <c r="ET349" s="200"/>
      <c r="EU349" s="200"/>
      <c r="EV349" s="200"/>
      <c r="EW349" s="200"/>
      <c r="EX349" s="200"/>
      <c r="EY349" s="200"/>
      <c r="EZ349" s="200"/>
      <c r="FA349" s="200"/>
      <c r="FB349" s="200"/>
      <c r="FC349" s="200"/>
      <c r="FD349" s="200"/>
      <c r="FE349" s="200"/>
      <c r="FF349" s="200"/>
      <c r="FG349" s="200"/>
      <c r="FH349" s="200"/>
      <c r="FI349" s="200"/>
      <c r="FJ349" s="200"/>
      <c r="FK349" s="200"/>
      <c r="FL349" s="200"/>
      <c r="FM349" s="200"/>
      <c r="FN349" s="200"/>
      <c r="FO349" s="200"/>
      <c r="FP349" s="200"/>
      <c r="FQ349" s="200"/>
      <c r="FR349" s="200"/>
      <c r="FS349" s="200"/>
      <c r="FT349" s="200"/>
      <c r="FU349" s="200"/>
      <c r="FV349" s="200"/>
      <c r="FW349" s="200"/>
      <c r="FX349" s="200"/>
      <c r="FY349" s="200"/>
      <c r="FZ349" s="200"/>
      <c r="GA349" s="200"/>
      <c r="GB349" s="200"/>
      <c r="GC349" s="200"/>
      <c r="GD349" s="200"/>
      <c r="GE349" s="200"/>
      <c r="GF349" s="200"/>
      <c r="GG349" s="200"/>
      <c r="GH349" s="200"/>
      <c r="GI349" s="200"/>
      <c r="GJ349" s="200"/>
      <c r="GK349" s="200"/>
      <c r="GL349" s="200"/>
      <c r="GM349" s="200"/>
      <c r="GN349" s="200"/>
      <c r="GO349" s="200"/>
      <c r="GP349" s="200"/>
      <c r="GQ349" s="200"/>
      <c r="GR349" s="200"/>
      <c r="GS349" s="200"/>
      <c r="GT349" s="200"/>
      <c r="GU349" s="200"/>
      <c r="GV349" s="200"/>
      <c r="GW349" s="200"/>
      <c r="GX349" s="200"/>
      <c r="GY349" s="200"/>
      <c r="GZ349" s="200"/>
      <c r="HA349" s="200"/>
      <c r="HB349" s="200"/>
      <c r="HC349" s="200"/>
      <c r="HD349" s="200"/>
      <c r="HE349" s="200"/>
      <c r="HF349" s="200"/>
      <c r="HG349" s="200"/>
      <c r="HH349" s="200"/>
      <c r="HI349" s="200"/>
      <c r="HJ349" s="200"/>
      <c r="HK349" s="200"/>
      <c r="HL349" s="200"/>
      <c r="HM349" s="200"/>
      <c r="HN349" s="200"/>
      <c r="HO349" s="200"/>
      <c r="HP349" s="200"/>
      <c r="HQ349" s="200"/>
      <c r="HR349" s="200"/>
      <c r="HS349" s="200"/>
      <c r="HT349" s="200"/>
      <c r="HU349" s="200"/>
      <c r="HV349" s="200"/>
      <c r="HW349" s="200"/>
      <c r="HX349" s="200"/>
      <c r="HY349" s="200"/>
      <c r="HZ349" s="200"/>
      <c r="IA349" s="200"/>
      <c r="IB349" s="200"/>
      <c r="IC349" s="200"/>
      <c r="ID349" s="200"/>
      <c r="IE349" s="200"/>
      <c r="IF349" s="200"/>
      <c r="IG349" s="200"/>
      <c r="IH349" s="200"/>
      <c r="II349" s="200"/>
      <c r="IJ349" s="200"/>
      <c r="IK349" s="200"/>
      <c r="IL349" s="200"/>
      <c r="IM349" s="200"/>
      <c r="IN349" s="200"/>
      <c r="IO349" s="200"/>
      <c r="IP349" s="200"/>
      <c r="IQ349" s="200"/>
      <c r="IR349" s="200"/>
      <c r="IS349" s="200"/>
      <c r="IT349" s="200"/>
      <c r="IU349" s="201"/>
      <c r="IV349" s="201"/>
    </row>
    <row r="350" s="10" customFormat="1" ht="15.95" customHeight="1" spans="1:256">
      <c r="A350" s="199">
        <v>20</v>
      </c>
      <c r="B350" s="20" t="s">
        <v>2339</v>
      </c>
      <c r="C350" s="199" t="s">
        <v>2340</v>
      </c>
      <c r="D350" s="199">
        <v>8020</v>
      </c>
      <c r="E350" s="199">
        <f>'05版台时'!W560</f>
        <v>13.3875758586822</v>
      </c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  <c r="AA350" s="200"/>
      <c r="AB350" s="200"/>
      <c r="AC350" s="200"/>
      <c r="AD350" s="200"/>
      <c r="AE350" s="200"/>
      <c r="AF350" s="200"/>
      <c r="AG350" s="200"/>
      <c r="AH350" s="200"/>
      <c r="AI350" s="200"/>
      <c r="AJ350" s="200"/>
      <c r="AK350" s="200"/>
      <c r="AL350" s="200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200"/>
      <c r="BB350" s="200"/>
      <c r="BC350" s="200"/>
      <c r="BD350" s="200"/>
      <c r="BE350" s="200"/>
      <c r="BF350" s="200"/>
      <c r="BG350" s="200"/>
      <c r="BH350" s="200"/>
      <c r="BI350" s="200"/>
      <c r="BJ350" s="200"/>
      <c r="BK350" s="200"/>
      <c r="BL350" s="200"/>
      <c r="BM350" s="200"/>
      <c r="BN350" s="200"/>
      <c r="BO350" s="200"/>
      <c r="BP350" s="200"/>
      <c r="BQ350" s="200"/>
      <c r="BR350" s="200"/>
      <c r="BS350" s="200"/>
      <c r="BT350" s="200"/>
      <c r="BU350" s="200"/>
      <c r="BV350" s="200"/>
      <c r="BW350" s="200"/>
      <c r="BX350" s="200"/>
      <c r="BY350" s="200"/>
      <c r="BZ350" s="200"/>
      <c r="CA350" s="200"/>
      <c r="CB350" s="200"/>
      <c r="CC350" s="200"/>
      <c r="CD350" s="200"/>
      <c r="CE350" s="200"/>
      <c r="CF350" s="200"/>
      <c r="CG350" s="200"/>
      <c r="CH350" s="200"/>
      <c r="CI350" s="200"/>
      <c r="CJ350" s="200"/>
      <c r="CK350" s="200"/>
      <c r="CL350" s="200"/>
      <c r="CM350" s="200"/>
      <c r="CN350" s="200"/>
      <c r="CO350" s="200"/>
      <c r="CP350" s="200"/>
      <c r="CQ350" s="200"/>
      <c r="CR350" s="200"/>
      <c r="CS350" s="200"/>
      <c r="CT350" s="200"/>
      <c r="CU350" s="200"/>
      <c r="CV350" s="200"/>
      <c r="CW350" s="200"/>
      <c r="CX350" s="200"/>
      <c r="CY350" s="200"/>
      <c r="CZ350" s="200"/>
      <c r="DA350" s="200"/>
      <c r="DB350" s="200"/>
      <c r="DC350" s="200"/>
      <c r="DD350" s="200"/>
      <c r="DE350" s="200"/>
      <c r="DF350" s="200"/>
      <c r="DG350" s="200"/>
      <c r="DH350" s="200"/>
      <c r="DI350" s="200"/>
      <c r="DJ350" s="200"/>
      <c r="DK350" s="200"/>
      <c r="DL350" s="200"/>
      <c r="DM350" s="200"/>
      <c r="DN350" s="200"/>
      <c r="DO350" s="200"/>
      <c r="DP350" s="200"/>
      <c r="DQ350" s="200"/>
      <c r="DR350" s="200"/>
      <c r="DS350" s="200"/>
      <c r="DT350" s="200"/>
      <c r="DU350" s="200"/>
      <c r="DV350" s="200"/>
      <c r="DW350" s="200"/>
      <c r="DX350" s="200"/>
      <c r="DY350" s="200"/>
      <c r="DZ350" s="200"/>
      <c r="EA350" s="200"/>
      <c r="EB350" s="200"/>
      <c r="EC350" s="200"/>
      <c r="ED350" s="200"/>
      <c r="EE350" s="200"/>
      <c r="EF350" s="200"/>
      <c r="EG350" s="200"/>
      <c r="EH350" s="200"/>
      <c r="EI350" s="200"/>
      <c r="EJ350" s="200"/>
      <c r="EK350" s="200"/>
      <c r="EL350" s="200"/>
      <c r="EM350" s="200"/>
      <c r="EN350" s="200"/>
      <c r="EO350" s="200"/>
      <c r="EP350" s="200"/>
      <c r="EQ350" s="200"/>
      <c r="ER350" s="200"/>
      <c r="ES350" s="200"/>
      <c r="ET350" s="200"/>
      <c r="EU350" s="200"/>
      <c r="EV350" s="200"/>
      <c r="EW350" s="200"/>
      <c r="EX350" s="200"/>
      <c r="EY350" s="200"/>
      <c r="EZ350" s="200"/>
      <c r="FA350" s="200"/>
      <c r="FB350" s="200"/>
      <c r="FC350" s="200"/>
      <c r="FD350" s="200"/>
      <c r="FE350" s="200"/>
      <c r="FF350" s="200"/>
      <c r="FG350" s="200"/>
      <c r="FH350" s="200"/>
      <c r="FI350" s="200"/>
      <c r="FJ350" s="200"/>
      <c r="FK350" s="200"/>
      <c r="FL350" s="200"/>
      <c r="FM350" s="200"/>
      <c r="FN350" s="200"/>
      <c r="FO350" s="200"/>
      <c r="FP350" s="200"/>
      <c r="FQ350" s="200"/>
      <c r="FR350" s="200"/>
      <c r="FS350" s="200"/>
      <c r="FT350" s="200"/>
      <c r="FU350" s="200"/>
      <c r="FV350" s="200"/>
      <c r="FW350" s="200"/>
      <c r="FX350" s="200"/>
      <c r="FY350" s="200"/>
      <c r="FZ350" s="200"/>
      <c r="GA350" s="200"/>
      <c r="GB350" s="200"/>
      <c r="GC350" s="200"/>
      <c r="GD350" s="200"/>
      <c r="GE350" s="200"/>
      <c r="GF350" s="200"/>
      <c r="GG350" s="200"/>
      <c r="GH350" s="200"/>
      <c r="GI350" s="200"/>
      <c r="GJ350" s="200"/>
      <c r="GK350" s="200"/>
      <c r="GL350" s="200"/>
      <c r="GM350" s="200"/>
      <c r="GN350" s="200"/>
      <c r="GO350" s="200"/>
      <c r="GP350" s="200"/>
      <c r="GQ350" s="200"/>
      <c r="GR350" s="200"/>
      <c r="GS350" s="200"/>
      <c r="GT350" s="200"/>
      <c r="GU350" s="200"/>
      <c r="GV350" s="200"/>
      <c r="GW350" s="200"/>
      <c r="GX350" s="200"/>
      <c r="GY350" s="200"/>
      <c r="GZ350" s="200"/>
      <c r="HA350" s="200"/>
      <c r="HB350" s="200"/>
      <c r="HC350" s="200"/>
      <c r="HD350" s="200"/>
      <c r="HE350" s="200"/>
      <c r="HF350" s="200"/>
      <c r="HG350" s="200"/>
      <c r="HH350" s="200"/>
      <c r="HI350" s="200"/>
      <c r="HJ350" s="200"/>
      <c r="HK350" s="200"/>
      <c r="HL350" s="200"/>
      <c r="HM350" s="200"/>
      <c r="HN350" s="200"/>
      <c r="HO350" s="200"/>
      <c r="HP350" s="200"/>
      <c r="HQ350" s="200"/>
      <c r="HR350" s="200"/>
      <c r="HS350" s="200"/>
      <c r="HT350" s="200"/>
      <c r="HU350" s="200"/>
      <c r="HV350" s="200"/>
      <c r="HW350" s="200"/>
      <c r="HX350" s="200"/>
      <c r="HY350" s="200"/>
      <c r="HZ350" s="200"/>
      <c r="IA350" s="200"/>
      <c r="IB350" s="200"/>
      <c r="IC350" s="200"/>
      <c r="ID350" s="200"/>
      <c r="IE350" s="200"/>
      <c r="IF350" s="200"/>
      <c r="IG350" s="200"/>
      <c r="IH350" s="200"/>
      <c r="II350" s="200"/>
      <c r="IJ350" s="200"/>
      <c r="IK350" s="200"/>
      <c r="IL350" s="200"/>
      <c r="IM350" s="200"/>
      <c r="IN350" s="200"/>
      <c r="IO350" s="200"/>
      <c r="IP350" s="200"/>
      <c r="IQ350" s="200"/>
      <c r="IR350" s="200"/>
      <c r="IS350" s="200"/>
      <c r="IT350" s="200"/>
      <c r="IU350" s="201"/>
      <c r="IV350" s="201"/>
    </row>
    <row r="351" s="10" customFormat="1" ht="15.95" customHeight="1" spans="1:256">
      <c r="A351" s="199">
        <v>21</v>
      </c>
      <c r="B351" s="20" t="s">
        <v>2341</v>
      </c>
      <c r="C351" s="199" t="s">
        <v>2342</v>
      </c>
      <c r="D351" s="199">
        <v>8021</v>
      </c>
      <c r="E351" s="199">
        <f>'05版台时'!X560</f>
        <v>8.07093715271129</v>
      </c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  <c r="AA351" s="200"/>
      <c r="AB351" s="200"/>
      <c r="AC351" s="200"/>
      <c r="AD351" s="200"/>
      <c r="AE351" s="200"/>
      <c r="AF351" s="200"/>
      <c r="AG351" s="200"/>
      <c r="AH351" s="200"/>
      <c r="AI351" s="200"/>
      <c r="AJ351" s="200"/>
      <c r="AK351" s="200"/>
      <c r="AL351" s="200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200"/>
      <c r="BB351" s="200"/>
      <c r="BC351" s="200"/>
      <c r="BD351" s="200"/>
      <c r="BE351" s="200"/>
      <c r="BF351" s="200"/>
      <c r="BG351" s="200"/>
      <c r="BH351" s="200"/>
      <c r="BI351" s="200"/>
      <c r="BJ351" s="200"/>
      <c r="BK351" s="200"/>
      <c r="BL351" s="200"/>
      <c r="BM351" s="200"/>
      <c r="BN351" s="200"/>
      <c r="BO351" s="200"/>
      <c r="BP351" s="200"/>
      <c r="BQ351" s="200"/>
      <c r="BR351" s="200"/>
      <c r="BS351" s="200"/>
      <c r="BT351" s="200"/>
      <c r="BU351" s="200"/>
      <c r="BV351" s="200"/>
      <c r="BW351" s="200"/>
      <c r="BX351" s="200"/>
      <c r="BY351" s="200"/>
      <c r="BZ351" s="200"/>
      <c r="CA351" s="200"/>
      <c r="CB351" s="200"/>
      <c r="CC351" s="200"/>
      <c r="CD351" s="200"/>
      <c r="CE351" s="200"/>
      <c r="CF351" s="200"/>
      <c r="CG351" s="200"/>
      <c r="CH351" s="200"/>
      <c r="CI351" s="200"/>
      <c r="CJ351" s="200"/>
      <c r="CK351" s="200"/>
      <c r="CL351" s="200"/>
      <c r="CM351" s="200"/>
      <c r="CN351" s="200"/>
      <c r="CO351" s="200"/>
      <c r="CP351" s="200"/>
      <c r="CQ351" s="200"/>
      <c r="CR351" s="200"/>
      <c r="CS351" s="200"/>
      <c r="CT351" s="200"/>
      <c r="CU351" s="200"/>
      <c r="CV351" s="200"/>
      <c r="CW351" s="200"/>
      <c r="CX351" s="200"/>
      <c r="CY351" s="200"/>
      <c r="CZ351" s="200"/>
      <c r="DA351" s="200"/>
      <c r="DB351" s="200"/>
      <c r="DC351" s="200"/>
      <c r="DD351" s="200"/>
      <c r="DE351" s="200"/>
      <c r="DF351" s="200"/>
      <c r="DG351" s="200"/>
      <c r="DH351" s="200"/>
      <c r="DI351" s="200"/>
      <c r="DJ351" s="200"/>
      <c r="DK351" s="200"/>
      <c r="DL351" s="200"/>
      <c r="DM351" s="200"/>
      <c r="DN351" s="200"/>
      <c r="DO351" s="200"/>
      <c r="DP351" s="200"/>
      <c r="DQ351" s="200"/>
      <c r="DR351" s="200"/>
      <c r="DS351" s="200"/>
      <c r="DT351" s="200"/>
      <c r="DU351" s="200"/>
      <c r="DV351" s="200"/>
      <c r="DW351" s="200"/>
      <c r="DX351" s="200"/>
      <c r="DY351" s="200"/>
      <c r="DZ351" s="200"/>
      <c r="EA351" s="200"/>
      <c r="EB351" s="200"/>
      <c r="EC351" s="200"/>
      <c r="ED351" s="200"/>
      <c r="EE351" s="200"/>
      <c r="EF351" s="200"/>
      <c r="EG351" s="200"/>
      <c r="EH351" s="200"/>
      <c r="EI351" s="200"/>
      <c r="EJ351" s="200"/>
      <c r="EK351" s="200"/>
      <c r="EL351" s="200"/>
      <c r="EM351" s="200"/>
      <c r="EN351" s="200"/>
      <c r="EO351" s="200"/>
      <c r="EP351" s="200"/>
      <c r="EQ351" s="200"/>
      <c r="ER351" s="200"/>
      <c r="ES351" s="200"/>
      <c r="ET351" s="200"/>
      <c r="EU351" s="200"/>
      <c r="EV351" s="200"/>
      <c r="EW351" s="200"/>
      <c r="EX351" s="200"/>
      <c r="EY351" s="200"/>
      <c r="EZ351" s="200"/>
      <c r="FA351" s="200"/>
      <c r="FB351" s="200"/>
      <c r="FC351" s="200"/>
      <c r="FD351" s="200"/>
      <c r="FE351" s="200"/>
      <c r="FF351" s="200"/>
      <c r="FG351" s="200"/>
      <c r="FH351" s="200"/>
      <c r="FI351" s="200"/>
      <c r="FJ351" s="200"/>
      <c r="FK351" s="200"/>
      <c r="FL351" s="200"/>
      <c r="FM351" s="200"/>
      <c r="FN351" s="200"/>
      <c r="FO351" s="200"/>
      <c r="FP351" s="200"/>
      <c r="FQ351" s="200"/>
      <c r="FR351" s="200"/>
      <c r="FS351" s="200"/>
      <c r="FT351" s="200"/>
      <c r="FU351" s="200"/>
      <c r="FV351" s="200"/>
      <c r="FW351" s="200"/>
      <c r="FX351" s="200"/>
      <c r="FY351" s="200"/>
      <c r="FZ351" s="200"/>
      <c r="GA351" s="200"/>
      <c r="GB351" s="200"/>
      <c r="GC351" s="200"/>
      <c r="GD351" s="200"/>
      <c r="GE351" s="200"/>
      <c r="GF351" s="200"/>
      <c r="GG351" s="200"/>
      <c r="GH351" s="200"/>
      <c r="GI351" s="200"/>
      <c r="GJ351" s="200"/>
      <c r="GK351" s="200"/>
      <c r="GL351" s="200"/>
      <c r="GM351" s="200"/>
      <c r="GN351" s="200"/>
      <c r="GO351" s="200"/>
      <c r="GP351" s="200"/>
      <c r="GQ351" s="200"/>
      <c r="GR351" s="200"/>
      <c r="GS351" s="200"/>
      <c r="GT351" s="200"/>
      <c r="GU351" s="200"/>
      <c r="GV351" s="200"/>
      <c r="GW351" s="200"/>
      <c r="GX351" s="200"/>
      <c r="GY351" s="200"/>
      <c r="GZ351" s="200"/>
      <c r="HA351" s="200"/>
      <c r="HB351" s="200"/>
      <c r="HC351" s="200"/>
      <c r="HD351" s="200"/>
      <c r="HE351" s="200"/>
      <c r="HF351" s="200"/>
      <c r="HG351" s="200"/>
      <c r="HH351" s="200"/>
      <c r="HI351" s="200"/>
      <c r="HJ351" s="200"/>
      <c r="HK351" s="200"/>
      <c r="HL351" s="200"/>
      <c r="HM351" s="200"/>
      <c r="HN351" s="200"/>
      <c r="HO351" s="200"/>
      <c r="HP351" s="200"/>
      <c r="HQ351" s="200"/>
      <c r="HR351" s="200"/>
      <c r="HS351" s="200"/>
      <c r="HT351" s="200"/>
      <c r="HU351" s="200"/>
      <c r="HV351" s="200"/>
      <c r="HW351" s="200"/>
      <c r="HX351" s="200"/>
      <c r="HY351" s="200"/>
      <c r="HZ351" s="200"/>
      <c r="IA351" s="200"/>
      <c r="IB351" s="200"/>
      <c r="IC351" s="200"/>
      <c r="ID351" s="200"/>
      <c r="IE351" s="200"/>
      <c r="IF351" s="200"/>
      <c r="IG351" s="200"/>
      <c r="IH351" s="200"/>
      <c r="II351" s="200"/>
      <c r="IJ351" s="200"/>
      <c r="IK351" s="200"/>
      <c r="IL351" s="200"/>
      <c r="IM351" s="200"/>
      <c r="IN351" s="200"/>
      <c r="IO351" s="200"/>
      <c r="IP351" s="200"/>
      <c r="IQ351" s="200"/>
      <c r="IR351" s="200"/>
      <c r="IS351" s="200"/>
      <c r="IT351" s="200"/>
      <c r="IU351" s="201"/>
      <c r="IV351" s="201"/>
    </row>
    <row r="352" s="10" customFormat="1" ht="15.95" customHeight="1" spans="1:256">
      <c r="A352" s="199">
        <v>22</v>
      </c>
      <c r="B352" s="20" t="s">
        <v>2341</v>
      </c>
      <c r="C352" s="199" t="s">
        <v>2343</v>
      </c>
      <c r="D352" s="199">
        <v>8022</v>
      </c>
      <c r="E352" s="199">
        <f>'05版台时'!Y560</f>
        <v>10.9991389875737</v>
      </c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  <c r="AA352" s="200"/>
      <c r="AB352" s="200"/>
      <c r="AC352" s="200"/>
      <c r="AD352" s="200"/>
      <c r="AE352" s="200"/>
      <c r="AF352" s="200"/>
      <c r="AG352" s="200"/>
      <c r="AH352" s="200"/>
      <c r="AI352" s="200"/>
      <c r="AJ352" s="200"/>
      <c r="AK352" s="200"/>
      <c r="AL352" s="200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200"/>
      <c r="BB352" s="200"/>
      <c r="BC352" s="200"/>
      <c r="BD352" s="200"/>
      <c r="BE352" s="200"/>
      <c r="BF352" s="200"/>
      <c r="BG352" s="200"/>
      <c r="BH352" s="200"/>
      <c r="BI352" s="200"/>
      <c r="BJ352" s="200"/>
      <c r="BK352" s="200"/>
      <c r="BL352" s="200"/>
      <c r="BM352" s="200"/>
      <c r="BN352" s="200"/>
      <c r="BO352" s="200"/>
      <c r="BP352" s="200"/>
      <c r="BQ352" s="200"/>
      <c r="BR352" s="200"/>
      <c r="BS352" s="200"/>
      <c r="BT352" s="200"/>
      <c r="BU352" s="200"/>
      <c r="BV352" s="200"/>
      <c r="BW352" s="200"/>
      <c r="BX352" s="200"/>
      <c r="BY352" s="200"/>
      <c r="BZ352" s="200"/>
      <c r="CA352" s="200"/>
      <c r="CB352" s="200"/>
      <c r="CC352" s="200"/>
      <c r="CD352" s="200"/>
      <c r="CE352" s="200"/>
      <c r="CF352" s="200"/>
      <c r="CG352" s="200"/>
      <c r="CH352" s="200"/>
      <c r="CI352" s="200"/>
      <c r="CJ352" s="200"/>
      <c r="CK352" s="200"/>
      <c r="CL352" s="200"/>
      <c r="CM352" s="200"/>
      <c r="CN352" s="200"/>
      <c r="CO352" s="200"/>
      <c r="CP352" s="200"/>
      <c r="CQ352" s="200"/>
      <c r="CR352" s="200"/>
      <c r="CS352" s="200"/>
      <c r="CT352" s="200"/>
      <c r="CU352" s="200"/>
      <c r="CV352" s="200"/>
      <c r="CW352" s="200"/>
      <c r="CX352" s="200"/>
      <c r="CY352" s="200"/>
      <c r="CZ352" s="200"/>
      <c r="DA352" s="200"/>
      <c r="DB352" s="200"/>
      <c r="DC352" s="200"/>
      <c r="DD352" s="200"/>
      <c r="DE352" s="200"/>
      <c r="DF352" s="200"/>
      <c r="DG352" s="200"/>
      <c r="DH352" s="200"/>
      <c r="DI352" s="200"/>
      <c r="DJ352" s="200"/>
      <c r="DK352" s="200"/>
      <c r="DL352" s="200"/>
      <c r="DM352" s="200"/>
      <c r="DN352" s="200"/>
      <c r="DO352" s="200"/>
      <c r="DP352" s="200"/>
      <c r="DQ352" s="200"/>
      <c r="DR352" s="200"/>
      <c r="DS352" s="200"/>
      <c r="DT352" s="200"/>
      <c r="DU352" s="200"/>
      <c r="DV352" s="200"/>
      <c r="DW352" s="200"/>
      <c r="DX352" s="200"/>
      <c r="DY352" s="200"/>
      <c r="DZ352" s="200"/>
      <c r="EA352" s="200"/>
      <c r="EB352" s="200"/>
      <c r="EC352" s="200"/>
      <c r="ED352" s="200"/>
      <c r="EE352" s="200"/>
      <c r="EF352" s="200"/>
      <c r="EG352" s="200"/>
      <c r="EH352" s="200"/>
      <c r="EI352" s="200"/>
      <c r="EJ352" s="200"/>
      <c r="EK352" s="200"/>
      <c r="EL352" s="200"/>
      <c r="EM352" s="200"/>
      <c r="EN352" s="200"/>
      <c r="EO352" s="200"/>
      <c r="EP352" s="200"/>
      <c r="EQ352" s="200"/>
      <c r="ER352" s="200"/>
      <c r="ES352" s="200"/>
      <c r="ET352" s="200"/>
      <c r="EU352" s="200"/>
      <c r="EV352" s="200"/>
      <c r="EW352" s="200"/>
      <c r="EX352" s="200"/>
      <c r="EY352" s="200"/>
      <c r="EZ352" s="200"/>
      <c r="FA352" s="200"/>
      <c r="FB352" s="200"/>
      <c r="FC352" s="200"/>
      <c r="FD352" s="200"/>
      <c r="FE352" s="200"/>
      <c r="FF352" s="200"/>
      <c r="FG352" s="200"/>
      <c r="FH352" s="200"/>
      <c r="FI352" s="200"/>
      <c r="FJ352" s="200"/>
      <c r="FK352" s="200"/>
      <c r="FL352" s="200"/>
      <c r="FM352" s="200"/>
      <c r="FN352" s="200"/>
      <c r="FO352" s="200"/>
      <c r="FP352" s="200"/>
      <c r="FQ352" s="200"/>
      <c r="FR352" s="200"/>
      <c r="FS352" s="200"/>
      <c r="FT352" s="200"/>
      <c r="FU352" s="200"/>
      <c r="FV352" s="200"/>
      <c r="FW352" s="200"/>
      <c r="FX352" s="200"/>
      <c r="FY352" s="200"/>
      <c r="FZ352" s="200"/>
      <c r="GA352" s="200"/>
      <c r="GB352" s="200"/>
      <c r="GC352" s="200"/>
      <c r="GD352" s="200"/>
      <c r="GE352" s="200"/>
      <c r="GF352" s="200"/>
      <c r="GG352" s="200"/>
      <c r="GH352" s="200"/>
      <c r="GI352" s="200"/>
      <c r="GJ352" s="200"/>
      <c r="GK352" s="200"/>
      <c r="GL352" s="200"/>
      <c r="GM352" s="200"/>
      <c r="GN352" s="200"/>
      <c r="GO352" s="200"/>
      <c r="GP352" s="200"/>
      <c r="GQ352" s="200"/>
      <c r="GR352" s="200"/>
      <c r="GS352" s="200"/>
      <c r="GT352" s="200"/>
      <c r="GU352" s="200"/>
      <c r="GV352" s="200"/>
      <c r="GW352" s="200"/>
      <c r="GX352" s="200"/>
      <c r="GY352" s="200"/>
      <c r="GZ352" s="200"/>
      <c r="HA352" s="200"/>
      <c r="HB352" s="200"/>
      <c r="HC352" s="200"/>
      <c r="HD352" s="200"/>
      <c r="HE352" s="200"/>
      <c r="HF352" s="200"/>
      <c r="HG352" s="200"/>
      <c r="HH352" s="200"/>
      <c r="HI352" s="200"/>
      <c r="HJ352" s="200"/>
      <c r="HK352" s="200"/>
      <c r="HL352" s="200"/>
      <c r="HM352" s="200"/>
      <c r="HN352" s="200"/>
      <c r="HO352" s="200"/>
      <c r="HP352" s="200"/>
      <c r="HQ352" s="200"/>
      <c r="HR352" s="200"/>
      <c r="HS352" s="200"/>
      <c r="HT352" s="200"/>
      <c r="HU352" s="200"/>
      <c r="HV352" s="200"/>
      <c r="HW352" s="200"/>
      <c r="HX352" s="200"/>
      <c r="HY352" s="200"/>
      <c r="HZ352" s="200"/>
      <c r="IA352" s="200"/>
      <c r="IB352" s="200"/>
      <c r="IC352" s="200"/>
      <c r="ID352" s="200"/>
      <c r="IE352" s="200"/>
      <c r="IF352" s="200"/>
      <c r="IG352" s="200"/>
      <c r="IH352" s="200"/>
      <c r="II352" s="200"/>
      <c r="IJ352" s="200"/>
      <c r="IK352" s="200"/>
      <c r="IL352" s="200"/>
      <c r="IM352" s="200"/>
      <c r="IN352" s="200"/>
      <c r="IO352" s="200"/>
      <c r="IP352" s="200"/>
      <c r="IQ352" s="200"/>
      <c r="IR352" s="200"/>
      <c r="IS352" s="200"/>
      <c r="IT352" s="200"/>
      <c r="IU352" s="201"/>
      <c r="IV352" s="201"/>
    </row>
    <row r="353" s="10" customFormat="1" ht="15.95" customHeight="1" spans="1:256">
      <c r="A353" s="199">
        <v>23</v>
      </c>
      <c r="B353" s="20" t="s">
        <v>2341</v>
      </c>
      <c r="C353" s="199" t="s">
        <v>2344</v>
      </c>
      <c r="D353" s="199">
        <v>8023</v>
      </c>
      <c r="E353" s="199">
        <f>'05版台时'!Z560</f>
        <v>19.6770671886108</v>
      </c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  <c r="AA353" s="200"/>
      <c r="AB353" s="200"/>
      <c r="AC353" s="200"/>
      <c r="AD353" s="200"/>
      <c r="AE353" s="200"/>
      <c r="AF353" s="200"/>
      <c r="AG353" s="200"/>
      <c r="AH353" s="200"/>
      <c r="AI353" s="200"/>
      <c r="AJ353" s="200"/>
      <c r="AK353" s="200"/>
      <c r="AL353" s="200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200"/>
      <c r="BD353" s="200"/>
      <c r="BE353" s="200"/>
      <c r="BF353" s="200"/>
      <c r="BG353" s="200"/>
      <c r="BH353" s="200"/>
      <c r="BI353" s="200"/>
      <c r="BJ353" s="200"/>
      <c r="BK353" s="200"/>
      <c r="BL353" s="200"/>
      <c r="BM353" s="200"/>
      <c r="BN353" s="200"/>
      <c r="BO353" s="200"/>
      <c r="BP353" s="200"/>
      <c r="BQ353" s="200"/>
      <c r="BR353" s="200"/>
      <c r="BS353" s="200"/>
      <c r="BT353" s="200"/>
      <c r="BU353" s="200"/>
      <c r="BV353" s="200"/>
      <c r="BW353" s="200"/>
      <c r="BX353" s="200"/>
      <c r="BY353" s="200"/>
      <c r="BZ353" s="200"/>
      <c r="CA353" s="200"/>
      <c r="CB353" s="200"/>
      <c r="CC353" s="200"/>
      <c r="CD353" s="200"/>
      <c r="CE353" s="200"/>
      <c r="CF353" s="200"/>
      <c r="CG353" s="200"/>
      <c r="CH353" s="200"/>
      <c r="CI353" s="200"/>
      <c r="CJ353" s="200"/>
      <c r="CK353" s="200"/>
      <c r="CL353" s="200"/>
      <c r="CM353" s="200"/>
      <c r="CN353" s="200"/>
      <c r="CO353" s="200"/>
      <c r="CP353" s="200"/>
      <c r="CQ353" s="200"/>
      <c r="CR353" s="200"/>
      <c r="CS353" s="200"/>
      <c r="CT353" s="200"/>
      <c r="CU353" s="200"/>
      <c r="CV353" s="200"/>
      <c r="CW353" s="200"/>
      <c r="CX353" s="200"/>
      <c r="CY353" s="200"/>
      <c r="CZ353" s="200"/>
      <c r="DA353" s="200"/>
      <c r="DB353" s="200"/>
      <c r="DC353" s="200"/>
      <c r="DD353" s="200"/>
      <c r="DE353" s="200"/>
      <c r="DF353" s="200"/>
      <c r="DG353" s="200"/>
      <c r="DH353" s="200"/>
      <c r="DI353" s="200"/>
      <c r="DJ353" s="200"/>
      <c r="DK353" s="200"/>
      <c r="DL353" s="200"/>
      <c r="DM353" s="200"/>
      <c r="DN353" s="200"/>
      <c r="DO353" s="200"/>
      <c r="DP353" s="200"/>
      <c r="DQ353" s="200"/>
      <c r="DR353" s="200"/>
      <c r="DS353" s="200"/>
      <c r="DT353" s="200"/>
      <c r="DU353" s="200"/>
      <c r="DV353" s="200"/>
      <c r="DW353" s="200"/>
      <c r="DX353" s="200"/>
      <c r="DY353" s="200"/>
      <c r="DZ353" s="200"/>
      <c r="EA353" s="200"/>
      <c r="EB353" s="200"/>
      <c r="EC353" s="200"/>
      <c r="ED353" s="200"/>
      <c r="EE353" s="200"/>
      <c r="EF353" s="200"/>
      <c r="EG353" s="200"/>
      <c r="EH353" s="200"/>
      <c r="EI353" s="200"/>
      <c r="EJ353" s="200"/>
      <c r="EK353" s="200"/>
      <c r="EL353" s="200"/>
      <c r="EM353" s="200"/>
      <c r="EN353" s="200"/>
      <c r="EO353" s="200"/>
      <c r="EP353" s="200"/>
      <c r="EQ353" s="200"/>
      <c r="ER353" s="200"/>
      <c r="ES353" s="200"/>
      <c r="ET353" s="200"/>
      <c r="EU353" s="200"/>
      <c r="EV353" s="200"/>
      <c r="EW353" s="200"/>
      <c r="EX353" s="200"/>
      <c r="EY353" s="200"/>
      <c r="EZ353" s="200"/>
      <c r="FA353" s="200"/>
      <c r="FB353" s="200"/>
      <c r="FC353" s="200"/>
      <c r="FD353" s="200"/>
      <c r="FE353" s="200"/>
      <c r="FF353" s="200"/>
      <c r="FG353" s="200"/>
      <c r="FH353" s="200"/>
      <c r="FI353" s="200"/>
      <c r="FJ353" s="200"/>
      <c r="FK353" s="200"/>
      <c r="FL353" s="200"/>
      <c r="FM353" s="200"/>
      <c r="FN353" s="200"/>
      <c r="FO353" s="200"/>
      <c r="FP353" s="200"/>
      <c r="FQ353" s="200"/>
      <c r="FR353" s="200"/>
      <c r="FS353" s="200"/>
      <c r="FT353" s="200"/>
      <c r="FU353" s="200"/>
      <c r="FV353" s="200"/>
      <c r="FW353" s="200"/>
      <c r="FX353" s="200"/>
      <c r="FY353" s="200"/>
      <c r="FZ353" s="200"/>
      <c r="GA353" s="200"/>
      <c r="GB353" s="200"/>
      <c r="GC353" s="200"/>
      <c r="GD353" s="200"/>
      <c r="GE353" s="200"/>
      <c r="GF353" s="200"/>
      <c r="GG353" s="200"/>
      <c r="GH353" s="200"/>
      <c r="GI353" s="200"/>
      <c r="GJ353" s="200"/>
      <c r="GK353" s="200"/>
      <c r="GL353" s="200"/>
      <c r="GM353" s="200"/>
      <c r="GN353" s="200"/>
      <c r="GO353" s="200"/>
      <c r="GP353" s="200"/>
      <c r="GQ353" s="200"/>
      <c r="GR353" s="200"/>
      <c r="GS353" s="200"/>
      <c r="GT353" s="200"/>
      <c r="GU353" s="200"/>
      <c r="GV353" s="200"/>
      <c r="GW353" s="200"/>
      <c r="GX353" s="200"/>
      <c r="GY353" s="200"/>
      <c r="GZ353" s="200"/>
      <c r="HA353" s="200"/>
      <c r="HB353" s="200"/>
      <c r="HC353" s="200"/>
      <c r="HD353" s="200"/>
      <c r="HE353" s="200"/>
      <c r="HF353" s="200"/>
      <c r="HG353" s="200"/>
      <c r="HH353" s="200"/>
      <c r="HI353" s="200"/>
      <c r="HJ353" s="200"/>
      <c r="HK353" s="200"/>
      <c r="HL353" s="200"/>
      <c r="HM353" s="200"/>
      <c r="HN353" s="200"/>
      <c r="HO353" s="200"/>
      <c r="HP353" s="200"/>
      <c r="HQ353" s="200"/>
      <c r="HR353" s="200"/>
      <c r="HS353" s="200"/>
      <c r="HT353" s="200"/>
      <c r="HU353" s="200"/>
      <c r="HV353" s="200"/>
      <c r="HW353" s="200"/>
      <c r="HX353" s="200"/>
      <c r="HY353" s="200"/>
      <c r="HZ353" s="200"/>
      <c r="IA353" s="200"/>
      <c r="IB353" s="200"/>
      <c r="IC353" s="200"/>
      <c r="ID353" s="200"/>
      <c r="IE353" s="200"/>
      <c r="IF353" s="200"/>
      <c r="IG353" s="200"/>
      <c r="IH353" s="200"/>
      <c r="II353" s="200"/>
      <c r="IJ353" s="200"/>
      <c r="IK353" s="200"/>
      <c r="IL353" s="200"/>
      <c r="IM353" s="200"/>
      <c r="IN353" s="200"/>
      <c r="IO353" s="200"/>
      <c r="IP353" s="200"/>
      <c r="IQ353" s="200"/>
      <c r="IR353" s="200"/>
      <c r="IS353" s="200"/>
      <c r="IT353" s="200"/>
      <c r="IU353" s="201"/>
      <c r="IV353" s="201"/>
    </row>
    <row r="354" s="10" customFormat="1" ht="15.95" customHeight="1" spans="1:256">
      <c r="A354" s="199">
        <v>24</v>
      </c>
      <c r="B354" s="20" t="s">
        <v>2345</v>
      </c>
      <c r="C354" s="199" t="s">
        <v>2335</v>
      </c>
      <c r="D354" s="199">
        <v>8024</v>
      </c>
      <c r="E354" s="199">
        <f>'05版台时'!D593</f>
        <v>9.45650077457009</v>
      </c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  <c r="AA354" s="200"/>
      <c r="AB354" s="200"/>
      <c r="AC354" s="200"/>
      <c r="AD354" s="200"/>
      <c r="AE354" s="200"/>
      <c r="AF354" s="200"/>
      <c r="AG354" s="200"/>
      <c r="AH354" s="200"/>
      <c r="AI354" s="200"/>
      <c r="AJ354" s="200"/>
      <c r="AK354" s="200"/>
      <c r="AL354" s="200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200"/>
      <c r="BB354" s="200"/>
      <c r="BC354" s="200"/>
      <c r="BD354" s="200"/>
      <c r="BE354" s="200"/>
      <c r="BF354" s="200"/>
      <c r="BG354" s="200"/>
      <c r="BH354" s="200"/>
      <c r="BI354" s="200"/>
      <c r="BJ354" s="200"/>
      <c r="BK354" s="200"/>
      <c r="BL354" s="200"/>
      <c r="BM354" s="200"/>
      <c r="BN354" s="200"/>
      <c r="BO354" s="200"/>
      <c r="BP354" s="200"/>
      <c r="BQ354" s="200"/>
      <c r="BR354" s="200"/>
      <c r="BS354" s="200"/>
      <c r="BT354" s="200"/>
      <c r="BU354" s="200"/>
      <c r="BV354" s="200"/>
      <c r="BW354" s="200"/>
      <c r="BX354" s="200"/>
      <c r="BY354" s="200"/>
      <c r="BZ354" s="200"/>
      <c r="CA354" s="200"/>
      <c r="CB354" s="200"/>
      <c r="CC354" s="200"/>
      <c r="CD354" s="200"/>
      <c r="CE354" s="200"/>
      <c r="CF354" s="200"/>
      <c r="CG354" s="200"/>
      <c r="CH354" s="200"/>
      <c r="CI354" s="200"/>
      <c r="CJ354" s="200"/>
      <c r="CK354" s="200"/>
      <c r="CL354" s="200"/>
      <c r="CM354" s="200"/>
      <c r="CN354" s="200"/>
      <c r="CO354" s="200"/>
      <c r="CP354" s="200"/>
      <c r="CQ354" s="200"/>
      <c r="CR354" s="200"/>
      <c r="CS354" s="200"/>
      <c r="CT354" s="200"/>
      <c r="CU354" s="200"/>
      <c r="CV354" s="200"/>
      <c r="CW354" s="200"/>
      <c r="CX354" s="200"/>
      <c r="CY354" s="200"/>
      <c r="CZ354" s="200"/>
      <c r="DA354" s="200"/>
      <c r="DB354" s="200"/>
      <c r="DC354" s="200"/>
      <c r="DD354" s="200"/>
      <c r="DE354" s="200"/>
      <c r="DF354" s="200"/>
      <c r="DG354" s="200"/>
      <c r="DH354" s="200"/>
      <c r="DI354" s="200"/>
      <c r="DJ354" s="200"/>
      <c r="DK354" s="200"/>
      <c r="DL354" s="200"/>
      <c r="DM354" s="200"/>
      <c r="DN354" s="200"/>
      <c r="DO354" s="200"/>
      <c r="DP354" s="200"/>
      <c r="DQ354" s="200"/>
      <c r="DR354" s="200"/>
      <c r="DS354" s="200"/>
      <c r="DT354" s="200"/>
      <c r="DU354" s="200"/>
      <c r="DV354" s="200"/>
      <c r="DW354" s="200"/>
      <c r="DX354" s="200"/>
      <c r="DY354" s="200"/>
      <c r="DZ354" s="200"/>
      <c r="EA354" s="200"/>
      <c r="EB354" s="200"/>
      <c r="EC354" s="200"/>
      <c r="ED354" s="200"/>
      <c r="EE354" s="200"/>
      <c r="EF354" s="200"/>
      <c r="EG354" s="200"/>
      <c r="EH354" s="200"/>
      <c r="EI354" s="200"/>
      <c r="EJ354" s="200"/>
      <c r="EK354" s="200"/>
      <c r="EL354" s="200"/>
      <c r="EM354" s="200"/>
      <c r="EN354" s="200"/>
      <c r="EO354" s="200"/>
      <c r="EP354" s="200"/>
      <c r="EQ354" s="200"/>
      <c r="ER354" s="200"/>
      <c r="ES354" s="200"/>
      <c r="ET354" s="200"/>
      <c r="EU354" s="200"/>
      <c r="EV354" s="200"/>
      <c r="EW354" s="200"/>
      <c r="EX354" s="200"/>
      <c r="EY354" s="200"/>
      <c r="EZ354" s="200"/>
      <c r="FA354" s="200"/>
      <c r="FB354" s="200"/>
      <c r="FC354" s="200"/>
      <c r="FD354" s="200"/>
      <c r="FE354" s="200"/>
      <c r="FF354" s="200"/>
      <c r="FG354" s="200"/>
      <c r="FH354" s="200"/>
      <c r="FI354" s="200"/>
      <c r="FJ354" s="200"/>
      <c r="FK354" s="200"/>
      <c r="FL354" s="200"/>
      <c r="FM354" s="200"/>
      <c r="FN354" s="200"/>
      <c r="FO354" s="200"/>
      <c r="FP354" s="200"/>
      <c r="FQ354" s="200"/>
      <c r="FR354" s="200"/>
      <c r="FS354" s="200"/>
      <c r="FT354" s="200"/>
      <c r="FU354" s="200"/>
      <c r="FV354" s="200"/>
      <c r="FW354" s="200"/>
      <c r="FX354" s="200"/>
      <c r="FY354" s="200"/>
      <c r="FZ354" s="200"/>
      <c r="GA354" s="200"/>
      <c r="GB354" s="200"/>
      <c r="GC354" s="200"/>
      <c r="GD354" s="200"/>
      <c r="GE354" s="200"/>
      <c r="GF354" s="200"/>
      <c r="GG354" s="200"/>
      <c r="GH354" s="200"/>
      <c r="GI354" s="200"/>
      <c r="GJ354" s="200"/>
      <c r="GK354" s="200"/>
      <c r="GL354" s="200"/>
      <c r="GM354" s="200"/>
      <c r="GN354" s="200"/>
      <c r="GO354" s="200"/>
      <c r="GP354" s="200"/>
      <c r="GQ354" s="200"/>
      <c r="GR354" s="200"/>
      <c r="GS354" s="200"/>
      <c r="GT354" s="200"/>
      <c r="GU354" s="200"/>
      <c r="GV354" s="200"/>
      <c r="GW354" s="200"/>
      <c r="GX354" s="200"/>
      <c r="GY354" s="200"/>
      <c r="GZ354" s="200"/>
      <c r="HA354" s="200"/>
      <c r="HB354" s="200"/>
      <c r="HC354" s="200"/>
      <c r="HD354" s="200"/>
      <c r="HE354" s="200"/>
      <c r="HF354" s="200"/>
      <c r="HG354" s="200"/>
      <c r="HH354" s="200"/>
      <c r="HI354" s="200"/>
      <c r="HJ354" s="200"/>
      <c r="HK354" s="200"/>
      <c r="HL354" s="200"/>
      <c r="HM354" s="200"/>
      <c r="HN354" s="200"/>
      <c r="HO354" s="200"/>
      <c r="HP354" s="200"/>
      <c r="HQ354" s="200"/>
      <c r="HR354" s="200"/>
      <c r="HS354" s="200"/>
      <c r="HT354" s="200"/>
      <c r="HU354" s="200"/>
      <c r="HV354" s="200"/>
      <c r="HW354" s="200"/>
      <c r="HX354" s="200"/>
      <c r="HY354" s="200"/>
      <c r="HZ354" s="200"/>
      <c r="IA354" s="200"/>
      <c r="IB354" s="200"/>
      <c r="IC354" s="200"/>
      <c r="ID354" s="200"/>
      <c r="IE354" s="200"/>
      <c r="IF354" s="200"/>
      <c r="IG354" s="200"/>
      <c r="IH354" s="200"/>
      <c r="II354" s="200"/>
      <c r="IJ354" s="200"/>
      <c r="IK354" s="200"/>
      <c r="IL354" s="200"/>
      <c r="IM354" s="200"/>
      <c r="IN354" s="200"/>
      <c r="IO354" s="200"/>
      <c r="IP354" s="200"/>
      <c r="IQ354" s="200"/>
      <c r="IR354" s="200"/>
      <c r="IS354" s="200"/>
      <c r="IT354" s="200"/>
      <c r="IU354" s="201"/>
      <c r="IV354" s="201"/>
    </row>
    <row r="355" s="10" customFormat="1" ht="15.95" customHeight="1" spans="1:256">
      <c r="A355" s="199">
        <v>25</v>
      </c>
      <c r="B355" s="20" t="s">
        <v>2345</v>
      </c>
      <c r="C355" s="199" t="s">
        <v>2338</v>
      </c>
      <c r="D355" s="199">
        <v>8025</v>
      </c>
      <c r="E355" s="199">
        <f>'05版台时'!E593</f>
        <v>16.9274078348014</v>
      </c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  <c r="AA355" s="200"/>
      <c r="AB355" s="200"/>
      <c r="AC355" s="200"/>
      <c r="AD355" s="200"/>
      <c r="AE355" s="200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200"/>
      <c r="BB355" s="200"/>
      <c r="BC355" s="200"/>
      <c r="BD355" s="200"/>
      <c r="BE355" s="200"/>
      <c r="BF355" s="200"/>
      <c r="BG355" s="200"/>
      <c r="BH355" s="200"/>
      <c r="BI355" s="200"/>
      <c r="BJ355" s="200"/>
      <c r="BK355" s="200"/>
      <c r="BL355" s="200"/>
      <c r="BM355" s="200"/>
      <c r="BN355" s="200"/>
      <c r="BO355" s="200"/>
      <c r="BP355" s="200"/>
      <c r="BQ355" s="200"/>
      <c r="BR355" s="200"/>
      <c r="BS355" s="200"/>
      <c r="BT355" s="200"/>
      <c r="BU355" s="200"/>
      <c r="BV355" s="200"/>
      <c r="BW355" s="200"/>
      <c r="BX355" s="200"/>
      <c r="BY355" s="200"/>
      <c r="BZ355" s="200"/>
      <c r="CA355" s="200"/>
      <c r="CB355" s="200"/>
      <c r="CC355" s="200"/>
      <c r="CD355" s="200"/>
      <c r="CE355" s="200"/>
      <c r="CF355" s="200"/>
      <c r="CG355" s="200"/>
      <c r="CH355" s="200"/>
      <c r="CI355" s="200"/>
      <c r="CJ355" s="200"/>
      <c r="CK355" s="200"/>
      <c r="CL355" s="200"/>
      <c r="CM355" s="200"/>
      <c r="CN355" s="200"/>
      <c r="CO355" s="200"/>
      <c r="CP355" s="200"/>
      <c r="CQ355" s="200"/>
      <c r="CR355" s="200"/>
      <c r="CS355" s="200"/>
      <c r="CT355" s="200"/>
      <c r="CU355" s="200"/>
      <c r="CV355" s="200"/>
      <c r="CW355" s="200"/>
      <c r="CX355" s="200"/>
      <c r="CY355" s="200"/>
      <c r="CZ355" s="200"/>
      <c r="DA355" s="200"/>
      <c r="DB355" s="200"/>
      <c r="DC355" s="200"/>
      <c r="DD355" s="200"/>
      <c r="DE355" s="200"/>
      <c r="DF355" s="200"/>
      <c r="DG355" s="200"/>
      <c r="DH355" s="200"/>
      <c r="DI355" s="200"/>
      <c r="DJ355" s="200"/>
      <c r="DK355" s="200"/>
      <c r="DL355" s="200"/>
      <c r="DM355" s="200"/>
      <c r="DN355" s="200"/>
      <c r="DO355" s="200"/>
      <c r="DP355" s="200"/>
      <c r="DQ355" s="200"/>
      <c r="DR355" s="200"/>
      <c r="DS355" s="200"/>
      <c r="DT355" s="200"/>
      <c r="DU355" s="200"/>
      <c r="DV355" s="200"/>
      <c r="DW355" s="200"/>
      <c r="DX355" s="200"/>
      <c r="DY355" s="200"/>
      <c r="DZ355" s="200"/>
      <c r="EA355" s="200"/>
      <c r="EB355" s="200"/>
      <c r="EC355" s="200"/>
      <c r="ED355" s="200"/>
      <c r="EE355" s="200"/>
      <c r="EF355" s="200"/>
      <c r="EG355" s="200"/>
      <c r="EH355" s="200"/>
      <c r="EI355" s="200"/>
      <c r="EJ355" s="200"/>
      <c r="EK355" s="200"/>
      <c r="EL355" s="200"/>
      <c r="EM355" s="200"/>
      <c r="EN355" s="200"/>
      <c r="EO355" s="200"/>
      <c r="EP355" s="200"/>
      <c r="EQ355" s="200"/>
      <c r="ER355" s="200"/>
      <c r="ES355" s="200"/>
      <c r="ET355" s="200"/>
      <c r="EU355" s="200"/>
      <c r="EV355" s="200"/>
      <c r="EW355" s="200"/>
      <c r="EX355" s="200"/>
      <c r="EY355" s="200"/>
      <c r="EZ355" s="200"/>
      <c r="FA355" s="200"/>
      <c r="FB355" s="200"/>
      <c r="FC355" s="200"/>
      <c r="FD355" s="200"/>
      <c r="FE355" s="200"/>
      <c r="FF355" s="200"/>
      <c r="FG355" s="200"/>
      <c r="FH355" s="200"/>
      <c r="FI355" s="200"/>
      <c r="FJ355" s="200"/>
      <c r="FK355" s="200"/>
      <c r="FL355" s="200"/>
      <c r="FM355" s="200"/>
      <c r="FN355" s="200"/>
      <c r="FO355" s="200"/>
      <c r="FP355" s="200"/>
      <c r="FQ355" s="200"/>
      <c r="FR355" s="200"/>
      <c r="FS355" s="200"/>
      <c r="FT355" s="200"/>
      <c r="FU355" s="200"/>
      <c r="FV355" s="200"/>
      <c r="FW355" s="200"/>
      <c r="FX355" s="200"/>
      <c r="FY355" s="200"/>
      <c r="FZ355" s="200"/>
      <c r="GA355" s="200"/>
      <c r="GB355" s="200"/>
      <c r="GC355" s="200"/>
      <c r="GD355" s="200"/>
      <c r="GE355" s="200"/>
      <c r="GF355" s="200"/>
      <c r="GG355" s="200"/>
      <c r="GH355" s="200"/>
      <c r="GI355" s="200"/>
      <c r="GJ355" s="200"/>
      <c r="GK355" s="200"/>
      <c r="GL355" s="200"/>
      <c r="GM355" s="200"/>
      <c r="GN355" s="200"/>
      <c r="GO355" s="200"/>
      <c r="GP355" s="200"/>
      <c r="GQ355" s="200"/>
      <c r="GR355" s="200"/>
      <c r="GS355" s="200"/>
      <c r="GT355" s="200"/>
      <c r="GU355" s="200"/>
      <c r="GV355" s="200"/>
      <c r="GW355" s="200"/>
      <c r="GX355" s="200"/>
      <c r="GY355" s="200"/>
      <c r="GZ355" s="200"/>
      <c r="HA355" s="200"/>
      <c r="HB355" s="200"/>
      <c r="HC355" s="200"/>
      <c r="HD355" s="200"/>
      <c r="HE355" s="200"/>
      <c r="HF355" s="200"/>
      <c r="HG355" s="200"/>
      <c r="HH355" s="200"/>
      <c r="HI355" s="200"/>
      <c r="HJ355" s="200"/>
      <c r="HK355" s="200"/>
      <c r="HL355" s="200"/>
      <c r="HM355" s="200"/>
      <c r="HN355" s="200"/>
      <c r="HO355" s="200"/>
      <c r="HP355" s="200"/>
      <c r="HQ355" s="200"/>
      <c r="HR355" s="200"/>
      <c r="HS355" s="200"/>
      <c r="HT355" s="200"/>
      <c r="HU355" s="200"/>
      <c r="HV355" s="200"/>
      <c r="HW355" s="200"/>
      <c r="HX355" s="200"/>
      <c r="HY355" s="200"/>
      <c r="HZ355" s="200"/>
      <c r="IA355" s="200"/>
      <c r="IB355" s="200"/>
      <c r="IC355" s="200"/>
      <c r="ID355" s="200"/>
      <c r="IE355" s="200"/>
      <c r="IF355" s="200"/>
      <c r="IG355" s="200"/>
      <c r="IH355" s="200"/>
      <c r="II355" s="200"/>
      <c r="IJ355" s="200"/>
      <c r="IK355" s="200"/>
      <c r="IL355" s="200"/>
      <c r="IM355" s="200"/>
      <c r="IN355" s="200"/>
      <c r="IO355" s="200"/>
      <c r="IP355" s="200"/>
      <c r="IQ355" s="200"/>
      <c r="IR355" s="200"/>
      <c r="IS355" s="200"/>
      <c r="IT355" s="200"/>
      <c r="IU355" s="201"/>
      <c r="IV355" s="201"/>
    </row>
    <row r="356" s="10" customFormat="1" ht="15.95" customHeight="1" spans="1:256">
      <c r="A356" s="199">
        <v>26</v>
      </c>
      <c r="B356" s="20" t="s">
        <v>2345</v>
      </c>
      <c r="C356" s="199" t="s">
        <v>2344</v>
      </c>
      <c r="D356" s="199">
        <v>8026</v>
      </c>
      <c r="E356" s="199">
        <f>'05版台时'!F593</f>
        <v>25.5468478028908</v>
      </c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  <c r="AA356" s="200"/>
      <c r="AB356" s="200"/>
      <c r="AC356" s="200"/>
      <c r="AD356" s="200"/>
      <c r="AE356" s="200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200"/>
      <c r="BB356" s="200"/>
      <c r="BC356" s="200"/>
      <c r="BD356" s="200"/>
      <c r="BE356" s="200"/>
      <c r="BF356" s="200"/>
      <c r="BG356" s="200"/>
      <c r="BH356" s="200"/>
      <c r="BI356" s="200"/>
      <c r="BJ356" s="200"/>
      <c r="BK356" s="200"/>
      <c r="BL356" s="200"/>
      <c r="BM356" s="200"/>
      <c r="BN356" s="200"/>
      <c r="BO356" s="200"/>
      <c r="BP356" s="200"/>
      <c r="BQ356" s="200"/>
      <c r="BR356" s="200"/>
      <c r="BS356" s="200"/>
      <c r="BT356" s="200"/>
      <c r="BU356" s="200"/>
      <c r="BV356" s="200"/>
      <c r="BW356" s="200"/>
      <c r="BX356" s="200"/>
      <c r="BY356" s="200"/>
      <c r="BZ356" s="200"/>
      <c r="CA356" s="200"/>
      <c r="CB356" s="200"/>
      <c r="CC356" s="200"/>
      <c r="CD356" s="200"/>
      <c r="CE356" s="200"/>
      <c r="CF356" s="200"/>
      <c r="CG356" s="200"/>
      <c r="CH356" s="200"/>
      <c r="CI356" s="200"/>
      <c r="CJ356" s="200"/>
      <c r="CK356" s="200"/>
      <c r="CL356" s="200"/>
      <c r="CM356" s="200"/>
      <c r="CN356" s="200"/>
      <c r="CO356" s="200"/>
      <c r="CP356" s="200"/>
      <c r="CQ356" s="200"/>
      <c r="CR356" s="200"/>
      <c r="CS356" s="200"/>
      <c r="CT356" s="200"/>
      <c r="CU356" s="200"/>
      <c r="CV356" s="200"/>
      <c r="CW356" s="200"/>
      <c r="CX356" s="200"/>
      <c r="CY356" s="200"/>
      <c r="CZ356" s="200"/>
      <c r="DA356" s="200"/>
      <c r="DB356" s="200"/>
      <c r="DC356" s="200"/>
      <c r="DD356" s="200"/>
      <c r="DE356" s="200"/>
      <c r="DF356" s="200"/>
      <c r="DG356" s="200"/>
      <c r="DH356" s="200"/>
      <c r="DI356" s="200"/>
      <c r="DJ356" s="200"/>
      <c r="DK356" s="200"/>
      <c r="DL356" s="200"/>
      <c r="DM356" s="200"/>
      <c r="DN356" s="200"/>
      <c r="DO356" s="200"/>
      <c r="DP356" s="200"/>
      <c r="DQ356" s="200"/>
      <c r="DR356" s="200"/>
      <c r="DS356" s="200"/>
      <c r="DT356" s="200"/>
      <c r="DU356" s="200"/>
      <c r="DV356" s="200"/>
      <c r="DW356" s="200"/>
      <c r="DX356" s="200"/>
      <c r="DY356" s="200"/>
      <c r="DZ356" s="200"/>
      <c r="EA356" s="200"/>
      <c r="EB356" s="200"/>
      <c r="EC356" s="200"/>
      <c r="ED356" s="200"/>
      <c r="EE356" s="200"/>
      <c r="EF356" s="200"/>
      <c r="EG356" s="200"/>
      <c r="EH356" s="200"/>
      <c r="EI356" s="200"/>
      <c r="EJ356" s="200"/>
      <c r="EK356" s="200"/>
      <c r="EL356" s="200"/>
      <c r="EM356" s="200"/>
      <c r="EN356" s="200"/>
      <c r="EO356" s="200"/>
      <c r="EP356" s="200"/>
      <c r="EQ356" s="200"/>
      <c r="ER356" s="200"/>
      <c r="ES356" s="200"/>
      <c r="ET356" s="200"/>
      <c r="EU356" s="200"/>
      <c r="EV356" s="200"/>
      <c r="EW356" s="200"/>
      <c r="EX356" s="200"/>
      <c r="EY356" s="200"/>
      <c r="EZ356" s="200"/>
      <c r="FA356" s="200"/>
      <c r="FB356" s="200"/>
      <c r="FC356" s="200"/>
      <c r="FD356" s="200"/>
      <c r="FE356" s="200"/>
      <c r="FF356" s="200"/>
      <c r="FG356" s="200"/>
      <c r="FH356" s="200"/>
      <c r="FI356" s="200"/>
      <c r="FJ356" s="200"/>
      <c r="FK356" s="200"/>
      <c r="FL356" s="200"/>
      <c r="FM356" s="200"/>
      <c r="FN356" s="200"/>
      <c r="FO356" s="200"/>
      <c r="FP356" s="200"/>
      <c r="FQ356" s="200"/>
      <c r="FR356" s="200"/>
      <c r="FS356" s="200"/>
      <c r="FT356" s="200"/>
      <c r="FU356" s="200"/>
      <c r="FV356" s="200"/>
      <c r="FW356" s="200"/>
      <c r="FX356" s="200"/>
      <c r="FY356" s="200"/>
      <c r="FZ356" s="200"/>
      <c r="GA356" s="200"/>
      <c r="GB356" s="200"/>
      <c r="GC356" s="200"/>
      <c r="GD356" s="200"/>
      <c r="GE356" s="200"/>
      <c r="GF356" s="200"/>
      <c r="GG356" s="200"/>
      <c r="GH356" s="200"/>
      <c r="GI356" s="200"/>
      <c r="GJ356" s="200"/>
      <c r="GK356" s="200"/>
      <c r="GL356" s="200"/>
      <c r="GM356" s="200"/>
      <c r="GN356" s="200"/>
      <c r="GO356" s="200"/>
      <c r="GP356" s="200"/>
      <c r="GQ356" s="200"/>
      <c r="GR356" s="200"/>
      <c r="GS356" s="200"/>
      <c r="GT356" s="200"/>
      <c r="GU356" s="200"/>
      <c r="GV356" s="200"/>
      <c r="GW356" s="200"/>
      <c r="GX356" s="200"/>
      <c r="GY356" s="200"/>
      <c r="GZ356" s="200"/>
      <c r="HA356" s="200"/>
      <c r="HB356" s="200"/>
      <c r="HC356" s="200"/>
      <c r="HD356" s="200"/>
      <c r="HE356" s="200"/>
      <c r="HF356" s="200"/>
      <c r="HG356" s="200"/>
      <c r="HH356" s="200"/>
      <c r="HI356" s="200"/>
      <c r="HJ356" s="200"/>
      <c r="HK356" s="200"/>
      <c r="HL356" s="200"/>
      <c r="HM356" s="200"/>
      <c r="HN356" s="200"/>
      <c r="HO356" s="200"/>
      <c r="HP356" s="200"/>
      <c r="HQ356" s="200"/>
      <c r="HR356" s="200"/>
      <c r="HS356" s="200"/>
      <c r="HT356" s="200"/>
      <c r="HU356" s="200"/>
      <c r="HV356" s="200"/>
      <c r="HW356" s="200"/>
      <c r="HX356" s="200"/>
      <c r="HY356" s="200"/>
      <c r="HZ356" s="200"/>
      <c r="IA356" s="200"/>
      <c r="IB356" s="200"/>
      <c r="IC356" s="200"/>
      <c r="ID356" s="200"/>
      <c r="IE356" s="200"/>
      <c r="IF356" s="200"/>
      <c r="IG356" s="200"/>
      <c r="IH356" s="200"/>
      <c r="II356" s="200"/>
      <c r="IJ356" s="200"/>
      <c r="IK356" s="200"/>
      <c r="IL356" s="200"/>
      <c r="IM356" s="200"/>
      <c r="IN356" s="200"/>
      <c r="IO356" s="200"/>
      <c r="IP356" s="200"/>
      <c r="IQ356" s="200"/>
      <c r="IR356" s="200"/>
      <c r="IS356" s="200"/>
      <c r="IT356" s="200"/>
      <c r="IU356" s="201"/>
      <c r="IV356" s="201"/>
    </row>
    <row r="357" s="10" customFormat="1" ht="15.95" customHeight="1" spans="1:256">
      <c r="A357" s="199">
        <v>27</v>
      </c>
      <c r="B357" s="20" t="s">
        <v>2345</v>
      </c>
      <c r="C357" s="199" t="s">
        <v>2260</v>
      </c>
      <c r="D357" s="199">
        <v>8027</v>
      </c>
      <c r="E357" s="199">
        <f>'05版台时'!G593</f>
        <v>30.2311868535489</v>
      </c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0"/>
      <c r="AD357" s="200"/>
      <c r="AE357" s="200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  <c r="BD357" s="200"/>
      <c r="BE357" s="200"/>
      <c r="BF357" s="200"/>
      <c r="BG357" s="200"/>
      <c r="BH357" s="200"/>
      <c r="BI357" s="200"/>
      <c r="BJ357" s="200"/>
      <c r="BK357" s="200"/>
      <c r="BL357" s="200"/>
      <c r="BM357" s="200"/>
      <c r="BN357" s="200"/>
      <c r="BO357" s="200"/>
      <c r="BP357" s="200"/>
      <c r="BQ357" s="200"/>
      <c r="BR357" s="200"/>
      <c r="BS357" s="200"/>
      <c r="BT357" s="200"/>
      <c r="BU357" s="200"/>
      <c r="BV357" s="200"/>
      <c r="BW357" s="200"/>
      <c r="BX357" s="200"/>
      <c r="BY357" s="200"/>
      <c r="BZ357" s="200"/>
      <c r="CA357" s="200"/>
      <c r="CB357" s="200"/>
      <c r="CC357" s="200"/>
      <c r="CD357" s="200"/>
      <c r="CE357" s="200"/>
      <c r="CF357" s="200"/>
      <c r="CG357" s="200"/>
      <c r="CH357" s="200"/>
      <c r="CI357" s="200"/>
      <c r="CJ357" s="200"/>
      <c r="CK357" s="200"/>
      <c r="CL357" s="200"/>
      <c r="CM357" s="200"/>
      <c r="CN357" s="200"/>
      <c r="CO357" s="200"/>
      <c r="CP357" s="200"/>
      <c r="CQ357" s="200"/>
      <c r="CR357" s="200"/>
      <c r="CS357" s="200"/>
      <c r="CT357" s="200"/>
      <c r="CU357" s="200"/>
      <c r="CV357" s="200"/>
      <c r="CW357" s="200"/>
      <c r="CX357" s="200"/>
      <c r="CY357" s="200"/>
      <c r="CZ357" s="200"/>
      <c r="DA357" s="200"/>
      <c r="DB357" s="200"/>
      <c r="DC357" s="200"/>
      <c r="DD357" s="200"/>
      <c r="DE357" s="200"/>
      <c r="DF357" s="200"/>
      <c r="DG357" s="200"/>
      <c r="DH357" s="200"/>
      <c r="DI357" s="200"/>
      <c r="DJ357" s="200"/>
      <c r="DK357" s="200"/>
      <c r="DL357" s="200"/>
      <c r="DM357" s="200"/>
      <c r="DN357" s="200"/>
      <c r="DO357" s="200"/>
      <c r="DP357" s="200"/>
      <c r="DQ357" s="200"/>
      <c r="DR357" s="200"/>
      <c r="DS357" s="200"/>
      <c r="DT357" s="200"/>
      <c r="DU357" s="200"/>
      <c r="DV357" s="200"/>
      <c r="DW357" s="200"/>
      <c r="DX357" s="200"/>
      <c r="DY357" s="200"/>
      <c r="DZ357" s="200"/>
      <c r="EA357" s="200"/>
      <c r="EB357" s="200"/>
      <c r="EC357" s="200"/>
      <c r="ED357" s="200"/>
      <c r="EE357" s="200"/>
      <c r="EF357" s="200"/>
      <c r="EG357" s="200"/>
      <c r="EH357" s="200"/>
      <c r="EI357" s="200"/>
      <c r="EJ357" s="200"/>
      <c r="EK357" s="200"/>
      <c r="EL357" s="200"/>
      <c r="EM357" s="200"/>
      <c r="EN357" s="200"/>
      <c r="EO357" s="200"/>
      <c r="EP357" s="200"/>
      <c r="EQ357" s="200"/>
      <c r="ER357" s="200"/>
      <c r="ES357" s="200"/>
      <c r="ET357" s="200"/>
      <c r="EU357" s="200"/>
      <c r="EV357" s="200"/>
      <c r="EW357" s="200"/>
      <c r="EX357" s="200"/>
      <c r="EY357" s="200"/>
      <c r="EZ357" s="200"/>
      <c r="FA357" s="200"/>
      <c r="FB357" s="200"/>
      <c r="FC357" s="200"/>
      <c r="FD357" s="200"/>
      <c r="FE357" s="200"/>
      <c r="FF357" s="200"/>
      <c r="FG357" s="200"/>
      <c r="FH357" s="200"/>
      <c r="FI357" s="200"/>
      <c r="FJ357" s="200"/>
      <c r="FK357" s="200"/>
      <c r="FL357" s="200"/>
      <c r="FM357" s="200"/>
      <c r="FN357" s="200"/>
      <c r="FO357" s="200"/>
      <c r="FP357" s="200"/>
      <c r="FQ357" s="200"/>
      <c r="FR357" s="200"/>
      <c r="FS357" s="200"/>
      <c r="FT357" s="200"/>
      <c r="FU357" s="200"/>
      <c r="FV357" s="200"/>
      <c r="FW357" s="200"/>
      <c r="FX357" s="200"/>
      <c r="FY357" s="200"/>
      <c r="FZ357" s="200"/>
      <c r="GA357" s="200"/>
      <c r="GB357" s="200"/>
      <c r="GC357" s="200"/>
      <c r="GD357" s="200"/>
      <c r="GE357" s="200"/>
      <c r="GF357" s="200"/>
      <c r="GG357" s="200"/>
      <c r="GH357" s="200"/>
      <c r="GI357" s="200"/>
      <c r="GJ357" s="200"/>
      <c r="GK357" s="200"/>
      <c r="GL357" s="200"/>
      <c r="GM357" s="200"/>
      <c r="GN357" s="200"/>
      <c r="GO357" s="200"/>
      <c r="GP357" s="200"/>
      <c r="GQ357" s="200"/>
      <c r="GR357" s="200"/>
      <c r="GS357" s="200"/>
      <c r="GT357" s="200"/>
      <c r="GU357" s="200"/>
      <c r="GV357" s="200"/>
      <c r="GW357" s="200"/>
      <c r="GX357" s="200"/>
      <c r="GY357" s="200"/>
      <c r="GZ357" s="200"/>
      <c r="HA357" s="200"/>
      <c r="HB357" s="200"/>
      <c r="HC357" s="200"/>
      <c r="HD357" s="200"/>
      <c r="HE357" s="200"/>
      <c r="HF357" s="200"/>
      <c r="HG357" s="200"/>
      <c r="HH357" s="200"/>
      <c r="HI357" s="200"/>
      <c r="HJ357" s="200"/>
      <c r="HK357" s="200"/>
      <c r="HL357" s="200"/>
      <c r="HM357" s="200"/>
      <c r="HN357" s="200"/>
      <c r="HO357" s="200"/>
      <c r="HP357" s="200"/>
      <c r="HQ357" s="200"/>
      <c r="HR357" s="200"/>
      <c r="HS357" s="200"/>
      <c r="HT357" s="200"/>
      <c r="HU357" s="200"/>
      <c r="HV357" s="200"/>
      <c r="HW357" s="200"/>
      <c r="HX357" s="200"/>
      <c r="HY357" s="200"/>
      <c r="HZ357" s="200"/>
      <c r="IA357" s="200"/>
      <c r="IB357" s="200"/>
      <c r="IC357" s="200"/>
      <c r="ID357" s="200"/>
      <c r="IE357" s="200"/>
      <c r="IF357" s="200"/>
      <c r="IG357" s="200"/>
      <c r="IH357" s="200"/>
      <c r="II357" s="200"/>
      <c r="IJ357" s="200"/>
      <c r="IK357" s="200"/>
      <c r="IL357" s="200"/>
      <c r="IM357" s="200"/>
      <c r="IN357" s="200"/>
      <c r="IO357" s="200"/>
      <c r="IP357" s="200"/>
      <c r="IQ357" s="200"/>
      <c r="IR357" s="200"/>
      <c r="IS357" s="200"/>
      <c r="IT357" s="200"/>
      <c r="IU357" s="201"/>
      <c r="IV357" s="201"/>
    </row>
    <row r="358" s="10" customFormat="1" ht="15.95" customHeight="1" spans="1:256">
      <c r="A358" s="199">
        <v>28</v>
      </c>
      <c r="B358" s="20" t="s">
        <v>2345</v>
      </c>
      <c r="C358" s="199" t="s">
        <v>2048</v>
      </c>
      <c r="D358" s="199">
        <v>8028</v>
      </c>
      <c r="E358" s="199">
        <f>'05版台时'!H593</f>
        <v>43.5889993784791</v>
      </c>
      <c r="F358" s="200"/>
      <c r="G358" s="200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  <c r="AA358" s="200"/>
      <c r="AB358" s="200"/>
      <c r="AC358" s="200"/>
      <c r="AD358" s="200"/>
      <c r="AE358" s="200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200"/>
      <c r="BB358" s="200"/>
      <c r="BC358" s="200"/>
      <c r="BD358" s="200"/>
      <c r="BE358" s="200"/>
      <c r="BF358" s="200"/>
      <c r="BG358" s="200"/>
      <c r="BH358" s="200"/>
      <c r="BI358" s="200"/>
      <c r="BJ358" s="200"/>
      <c r="BK358" s="200"/>
      <c r="BL358" s="200"/>
      <c r="BM358" s="200"/>
      <c r="BN358" s="200"/>
      <c r="BO358" s="200"/>
      <c r="BP358" s="200"/>
      <c r="BQ358" s="200"/>
      <c r="BR358" s="200"/>
      <c r="BS358" s="200"/>
      <c r="BT358" s="200"/>
      <c r="BU358" s="200"/>
      <c r="BV358" s="200"/>
      <c r="BW358" s="200"/>
      <c r="BX358" s="200"/>
      <c r="BY358" s="200"/>
      <c r="BZ358" s="200"/>
      <c r="CA358" s="200"/>
      <c r="CB358" s="200"/>
      <c r="CC358" s="200"/>
      <c r="CD358" s="200"/>
      <c r="CE358" s="200"/>
      <c r="CF358" s="200"/>
      <c r="CG358" s="200"/>
      <c r="CH358" s="200"/>
      <c r="CI358" s="200"/>
      <c r="CJ358" s="200"/>
      <c r="CK358" s="200"/>
      <c r="CL358" s="200"/>
      <c r="CM358" s="200"/>
      <c r="CN358" s="200"/>
      <c r="CO358" s="200"/>
      <c r="CP358" s="200"/>
      <c r="CQ358" s="200"/>
      <c r="CR358" s="200"/>
      <c r="CS358" s="200"/>
      <c r="CT358" s="200"/>
      <c r="CU358" s="200"/>
      <c r="CV358" s="200"/>
      <c r="CW358" s="200"/>
      <c r="CX358" s="200"/>
      <c r="CY358" s="200"/>
      <c r="CZ358" s="200"/>
      <c r="DA358" s="200"/>
      <c r="DB358" s="200"/>
      <c r="DC358" s="200"/>
      <c r="DD358" s="200"/>
      <c r="DE358" s="200"/>
      <c r="DF358" s="200"/>
      <c r="DG358" s="200"/>
      <c r="DH358" s="200"/>
      <c r="DI358" s="200"/>
      <c r="DJ358" s="200"/>
      <c r="DK358" s="200"/>
      <c r="DL358" s="200"/>
      <c r="DM358" s="200"/>
      <c r="DN358" s="200"/>
      <c r="DO358" s="200"/>
      <c r="DP358" s="200"/>
      <c r="DQ358" s="200"/>
      <c r="DR358" s="200"/>
      <c r="DS358" s="200"/>
      <c r="DT358" s="200"/>
      <c r="DU358" s="200"/>
      <c r="DV358" s="200"/>
      <c r="DW358" s="200"/>
      <c r="DX358" s="200"/>
      <c r="DY358" s="200"/>
      <c r="DZ358" s="200"/>
      <c r="EA358" s="200"/>
      <c r="EB358" s="200"/>
      <c r="EC358" s="200"/>
      <c r="ED358" s="200"/>
      <c r="EE358" s="200"/>
      <c r="EF358" s="200"/>
      <c r="EG358" s="200"/>
      <c r="EH358" s="200"/>
      <c r="EI358" s="200"/>
      <c r="EJ358" s="200"/>
      <c r="EK358" s="200"/>
      <c r="EL358" s="200"/>
      <c r="EM358" s="200"/>
      <c r="EN358" s="200"/>
      <c r="EO358" s="200"/>
      <c r="EP358" s="200"/>
      <c r="EQ358" s="200"/>
      <c r="ER358" s="200"/>
      <c r="ES358" s="200"/>
      <c r="ET358" s="200"/>
      <c r="EU358" s="200"/>
      <c r="EV358" s="200"/>
      <c r="EW358" s="200"/>
      <c r="EX358" s="200"/>
      <c r="EY358" s="200"/>
      <c r="EZ358" s="200"/>
      <c r="FA358" s="200"/>
      <c r="FB358" s="200"/>
      <c r="FC358" s="200"/>
      <c r="FD358" s="200"/>
      <c r="FE358" s="200"/>
      <c r="FF358" s="200"/>
      <c r="FG358" s="200"/>
      <c r="FH358" s="200"/>
      <c r="FI358" s="200"/>
      <c r="FJ358" s="200"/>
      <c r="FK358" s="200"/>
      <c r="FL358" s="200"/>
      <c r="FM358" s="200"/>
      <c r="FN358" s="200"/>
      <c r="FO358" s="200"/>
      <c r="FP358" s="200"/>
      <c r="FQ358" s="200"/>
      <c r="FR358" s="200"/>
      <c r="FS358" s="200"/>
      <c r="FT358" s="200"/>
      <c r="FU358" s="200"/>
      <c r="FV358" s="200"/>
      <c r="FW358" s="200"/>
      <c r="FX358" s="200"/>
      <c r="FY358" s="200"/>
      <c r="FZ358" s="200"/>
      <c r="GA358" s="200"/>
      <c r="GB358" s="200"/>
      <c r="GC358" s="200"/>
      <c r="GD358" s="200"/>
      <c r="GE358" s="200"/>
      <c r="GF358" s="200"/>
      <c r="GG358" s="200"/>
      <c r="GH358" s="200"/>
      <c r="GI358" s="200"/>
      <c r="GJ358" s="200"/>
      <c r="GK358" s="200"/>
      <c r="GL358" s="200"/>
      <c r="GM358" s="200"/>
      <c r="GN358" s="200"/>
      <c r="GO358" s="200"/>
      <c r="GP358" s="200"/>
      <c r="GQ358" s="200"/>
      <c r="GR358" s="200"/>
      <c r="GS358" s="200"/>
      <c r="GT358" s="200"/>
      <c r="GU358" s="200"/>
      <c r="GV358" s="200"/>
      <c r="GW358" s="200"/>
      <c r="GX358" s="200"/>
      <c r="GY358" s="200"/>
      <c r="GZ358" s="200"/>
      <c r="HA358" s="200"/>
      <c r="HB358" s="200"/>
      <c r="HC358" s="200"/>
      <c r="HD358" s="200"/>
      <c r="HE358" s="200"/>
      <c r="HF358" s="200"/>
      <c r="HG358" s="200"/>
      <c r="HH358" s="200"/>
      <c r="HI358" s="200"/>
      <c r="HJ358" s="200"/>
      <c r="HK358" s="200"/>
      <c r="HL358" s="200"/>
      <c r="HM358" s="200"/>
      <c r="HN358" s="200"/>
      <c r="HO358" s="200"/>
      <c r="HP358" s="200"/>
      <c r="HQ358" s="200"/>
      <c r="HR358" s="200"/>
      <c r="HS358" s="200"/>
      <c r="HT358" s="200"/>
      <c r="HU358" s="200"/>
      <c r="HV358" s="200"/>
      <c r="HW358" s="200"/>
      <c r="HX358" s="200"/>
      <c r="HY358" s="200"/>
      <c r="HZ358" s="200"/>
      <c r="IA358" s="200"/>
      <c r="IB358" s="200"/>
      <c r="IC358" s="200"/>
      <c r="ID358" s="200"/>
      <c r="IE358" s="200"/>
      <c r="IF358" s="200"/>
      <c r="IG358" s="200"/>
      <c r="IH358" s="200"/>
      <c r="II358" s="200"/>
      <c r="IJ358" s="200"/>
      <c r="IK358" s="200"/>
      <c r="IL358" s="200"/>
      <c r="IM358" s="200"/>
      <c r="IN358" s="200"/>
      <c r="IO358" s="200"/>
      <c r="IP358" s="200"/>
      <c r="IQ358" s="200"/>
      <c r="IR358" s="200"/>
      <c r="IS358" s="200"/>
      <c r="IT358" s="200"/>
      <c r="IU358" s="201"/>
      <c r="IV358" s="201"/>
    </row>
    <row r="359" s="10" customFormat="1" ht="15.95" customHeight="1" spans="1:256">
      <c r="A359" s="199">
        <v>29</v>
      </c>
      <c r="B359" s="20" t="s">
        <v>2345</v>
      </c>
      <c r="C359" s="199" t="s">
        <v>2346</v>
      </c>
      <c r="D359" s="199">
        <v>8029</v>
      </c>
      <c r="E359" s="199">
        <f>'05版台时'!I593</f>
        <v>68.8370469396555</v>
      </c>
      <c r="F359" s="200"/>
      <c r="G359" s="200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  <c r="AA359" s="200"/>
      <c r="AB359" s="200"/>
      <c r="AC359" s="200"/>
      <c r="AD359" s="200"/>
      <c r="AE359" s="200"/>
      <c r="AF359" s="200"/>
      <c r="AG359" s="200"/>
      <c r="AH359" s="200"/>
      <c r="AI359" s="200"/>
      <c r="AJ359" s="200"/>
      <c r="AK359" s="200"/>
      <c r="AL359" s="200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200"/>
      <c r="BD359" s="200"/>
      <c r="BE359" s="200"/>
      <c r="BF359" s="200"/>
      <c r="BG359" s="200"/>
      <c r="BH359" s="200"/>
      <c r="BI359" s="200"/>
      <c r="BJ359" s="200"/>
      <c r="BK359" s="200"/>
      <c r="BL359" s="200"/>
      <c r="BM359" s="200"/>
      <c r="BN359" s="200"/>
      <c r="BO359" s="200"/>
      <c r="BP359" s="200"/>
      <c r="BQ359" s="200"/>
      <c r="BR359" s="200"/>
      <c r="BS359" s="200"/>
      <c r="BT359" s="200"/>
      <c r="BU359" s="200"/>
      <c r="BV359" s="200"/>
      <c r="BW359" s="200"/>
      <c r="BX359" s="200"/>
      <c r="BY359" s="200"/>
      <c r="BZ359" s="200"/>
      <c r="CA359" s="200"/>
      <c r="CB359" s="200"/>
      <c r="CC359" s="200"/>
      <c r="CD359" s="200"/>
      <c r="CE359" s="200"/>
      <c r="CF359" s="200"/>
      <c r="CG359" s="200"/>
      <c r="CH359" s="200"/>
      <c r="CI359" s="200"/>
      <c r="CJ359" s="200"/>
      <c r="CK359" s="200"/>
      <c r="CL359" s="200"/>
      <c r="CM359" s="200"/>
      <c r="CN359" s="200"/>
      <c r="CO359" s="200"/>
      <c r="CP359" s="200"/>
      <c r="CQ359" s="200"/>
      <c r="CR359" s="200"/>
      <c r="CS359" s="200"/>
      <c r="CT359" s="200"/>
      <c r="CU359" s="200"/>
      <c r="CV359" s="200"/>
      <c r="CW359" s="200"/>
      <c r="CX359" s="200"/>
      <c r="CY359" s="200"/>
      <c r="CZ359" s="200"/>
      <c r="DA359" s="200"/>
      <c r="DB359" s="200"/>
      <c r="DC359" s="200"/>
      <c r="DD359" s="200"/>
      <c r="DE359" s="200"/>
      <c r="DF359" s="200"/>
      <c r="DG359" s="200"/>
      <c r="DH359" s="200"/>
      <c r="DI359" s="200"/>
      <c r="DJ359" s="200"/>
      <c r="DK359" s="200"/>
      <c r="DL359" s="200"/>
      <c r="DM359" s="200"/>
      <c r="DN359" s="200"/>
      <c r="DO359" s="200"/>
      <c r="DP359" s="200"/>
      <c r="DQ359" s="200"/>
      <c r="DR359" s="200"/>
      <c r="DS359" s="200"/>
      <c r="DT359" s="200"/>
      <c r="DU359" s="200"/>
      <c r="DV359" s="200"/>
      <c r="DW359" s="200"/>
      <c r="DX359" s="200"/>
      <c r="DY359" s="200"/>
      <c r="DZ359" s="200"/>
      <c r="EA359" s="200"/>
      <c r="EB359" s="200"/>
      <c r="EC359" s="200"/>
      <c r="ED359" s="200"/>
      <c r="EE359" s="200"/>
      <c r="EF359" s="200"/>
      <c r="EG359" s="200"/>
      <c r="EH359" s="200"/>
      <c r="EI359" s="200"/>
      <c r="EJ359" s="200"/>
      <c r="EK359" s="200"/>
      <c r="EL359" s="200"/>
      <c r="EM359" s="200"/>
      <c r="EN359" s="200"/>
      <c r="EO359" s="200"/>
      <c r="EP359" s="200"/>
      <c r="EQ359" s="200"/>
      <c r="ER359" s="200"/>
      <c r="ES359" s="200"/>
      <c r="ET359" s="200"/>
      <c r="EU359" s="200"/>
      <c r="EV359" s="200"/>
      <c r="EW359" s="200"/>
      <c r="EX359" s="200"/>
      <c r="EY359" s="200"/>
      <c r="EZ359" s="200"/>
      <c r="FA359" s="200"/>
      <c r="FB359" s="200"/>
      <c r="FC359" s="200"/>
      <c r="FD359" s="200"/>
      <c r="FE359" s="200"/>
      <c r="FF359" s="200"/>
      <c r="FG359" s="200"/>
      <c r="FH359" s="200"/>
      <c r="FI359" s="200"/>
      <c r="FJ359" s="200"/>
      <c r="FK359" s="200"/>
      <c r="FL359" s="200"/>
      <c r="FM359" s="200"/>
      <c r="FN359" s="200"/>
      <c r="FO359" s="200"/>
      <c r="FP359" s="200"/>
      <c r="FQ359" s="200"/>
      <c r="FR359" s="200"/>
      <c r="FS359" s="200"/>
      <c r="FT359" s="200"/>
      <c r="FU359" s="200"/>
      <c r="FV359" s="200"/>
      <c r="FW359" s="200"/>
      <c r="FX359" s="200"/>
      <c r="FY359" s="200"/>
      <c r="FZ359" s="200"/>
      <c r="GA359" s="200"/>
      <c r="GB359" s="200"/>
      <c r="GC359" s="200"/>
      <c r="GD359" s="200"/>
      <c r="GE359" s="200"/>
      <c r="GF359" s="200"/>
      <c r="GG359" s="200"/>
      <c r="GH359" s="200"/>
      <c r="GI359" s="200"/>
      <c r="GJ359" s="200"/>
      <c r="GK359" s="200"/>
      <c r="GL359" s="200"/>
      <c r="GM359" s="200"/>
      <c r="GN359" s="200"/>
      <c r="GO359" s="200"/>
      <c r="GP359" s="200"/>
      <c r="GQ359" s="200"/>
      <c r="GR359" s="200"/>
      <c r="GS359" s="200"/>
      <c r="GT359" s="200"/>
      <c r="GU359" s="200"/>
      <c r="GV359" s="200"/>
      <c r="GW359" s="200"/>
      <c r="GX359" s="200"/>
      <c r="GY359" s="200"/>
      <c r="GZ359" s="200"/>
      <c r="HA359" s="200"/>
      <c r="HB359" s="200"/>
      <c r="HC359" s="200"/>
      <c r="HD359" s="200"/>
      <c r="HE359" s="200"/>
      <c r="HF359" s="200"/>
      <c r="HG359" s="200"/>
      <c r="HH359" s="200"/>
      <c r="HI359" s="200"/>
      <c r="HJ359" s="200"/>
      <c r="HK359" s="200"/>
      <c r="HL359" s="200"/>
      <c r="HM359" s="200"/>
      <c r="HN359" s="200"/>
      <c r="HO359" s="200"/>
      <c r="HP359" s="200"/>
      <c r="HQ359" s="200"/>
      <c r="HR359" s="200"/>
      <c r="HS359" s="200"/>
      <c r="HT359" s="200"/>
      <c r="HU359" s="200"/>
      <c r="HV359" s="200"/>
      <c r="HW359" s="200"/>
      <c r="HX359" s="200"/>
      <c r="HY359" s="200"/>
      <c r="HZ359" s="200"/>
      <c r="IA359" s="200"/>
      <c r="IB359" s="200"/>
      <c r="IC359" s="200"/>
      <c r="ID359" s="200"/>
      <c r="IE359" s="200"/>
      <c r="IF359" s="200"/>
      <c r="IG359" s="200"/>
      <c r="IH359" s="200"/>
      <c r="II359" s="200"/>
      <c r="IJ359" s="200"/>
      <c r="IK359" s="200"/>
      <c r="IL359" s="200"/>
      <c r="IM359" s="200"/>
      <c r="IN359" s="200"/>
      <c r="IO359" s="200"/>
      <c r="IP359" s="200"/>
      <c r="IQ359" s="200"/>
      <c r="IR359" s="200"/>
      <c r="IS359" s="200"/>
      <c r="IT359" s="200"/>
      <c r="IU359" s="201"/>
      <c r="IV359" s="201"/>
    </row>
    <row r="360" s="10" customFormat="1" ht="15.95" customHeight="1" spans="1:256">
      <c r="A360" s="199">
        <v>30</v>
      </c>
      <c r="B360" s="20" t="s">
        <v>2347</v>
      </c>
      <c r="C360" s="199" t="s">
        <v>2342</v>
      </c>
      <c r="D360" s="199">
        <v>8030</v>
      </c>
      <c r="E360" s="199">
        <f>'05版台时'!J593</f>
        <v>9.1853910817101</v>
      </c>
      <c r="F360" s="200"/>
      <c r="G360" s="200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  <c r="AA360" s="200"/>
      <c r="AB360" s="200"/>
      <c r="AC360" s="200"/>
      <c r="AD360" s="200"/>
      <c r="AE360" s="200"/>
      <c r="AF360" s="200"/>
      <c r="AG360" s="200"/>
      <c r="AH360" s="200"/>
      <c r="AI360" s="200"/>
      <c r="AJ360" s="200"/>
      <c r="AK360" s="200"/>
      <c r="AL360" s="200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200"/>
      <c r="BD360" s="200"/>
      <c r="BE360" s="200"/>
      <c r="BF360" s="200"/>
      <c r="BG360" s="200"/>
      <c r="BH360" s="200"/>
      <c r="BI360" s="200"/>
      <c r="BJ360" s="200"/>
      <c r="BK360" s="200"/>
      <c r="BL360" s="200"/>
      <c r="BM360" s="200"/>
      <c r="BN360" s="200"/>
      <c r="BO360" s="200"/>
      <c r="BP360" s="200"/>
      <c r="BQ360" s="200"/>
      <c r="BR360" s="200"/>
      <c r="BS360" s="200"/>
      <c r="BT360" s="200"/>
      <c r="BU360" s="200"/>
      <c r="BV360" s="200"/>
      <c r="BW360" s="200"/>
      <c r="BX360" s="200"/>
      <c r="BY360" s="200"/>
      <c r="BZ360" s="200"/>
      <c r="CA360" s="200"/>
      <c r="CB360" s="200"/>
      <c r="CC360" s="200"/>
      <c r="CD360" s="200"/>
      <c r="CE360" s="200"/>
      <c r="CF360" s="200"/>
      <c r="CG360" s="200"/>
      <c r="CH360" s="200"/>
      <c r="CI360" s="200"/>
      <c r="CJ360" s="200"/>
      <c r="CK360" s="200"/>
      <c r="CL360" s="200"/>
      <c r="CM360" s="200"/>
      <c r="CN360" s="200"/>
      <c r="CO360" s="200"/>
      <c r="CP360" s="200"/>
      <c r="CQ360" s="200"/>
      <c r="CR360" s="200"/>
      <c r="CS360" s="200"/>
      <c r="CT360" s="200"/>
      <c r="CU360" s="200"/>
      <c r="CV360" s="200"/>
      <c r="CW360" s="200"/>
      <c r="CX360" s="200"/>
      <c r="CY360" s="200"/>
      <c r="CZ360" s="200"/>
      <c r="DA360" s="200"/>
      <c r="DB360" s="200"/>
      <c r="DC360" s="200"/>
      <c r="DD360" s="200"/>
      <c r="DE360" s="200"/>
      <c r="DF360" s="200"/>
      <c r="DG360" s="200"/>
      <c r="DH360" s="200"/>
      <c r="DI360" s="200"/>
      <c r="DJ360" s="200"/>
      <c r="DK360" s="200"/>
      <c r="DL360" s="200"/>
      <c r="DM360" s="200"/>
      <c r="DN360" s="200"/>
      <c r="DO360" s="200"/>
      <c r="DP360" s="200"/>
      <c r="DQ360" s="200"/>
      <c r="DR360" s="200"/>
      <c r="DS360" s="200"/>
      <c r="DT360" s="200"/>
      <c r="DU360" s="200"/>
      <c r="DV360" s="200"/>
      <c r="DW360" s="200"/>
      <c r="DX360" s="200"/>
      <c r="DY360" s="200"/>
      <c r="DZ360" s="200"/>
      <c r="EA360" s="200"/>
      <c r="EB360" s="200"/>
      <c r="EC360" s="200"/>
      <c r="ED360" s="200"/>
      <c r="EE360" s="200"/>
      <c r="EF360" s="200"/>
      <c r="EG360" s="200"/>
      <c r="EH360" s="200"/>
      <c r="EI360" s="200"/>
      <c r="EJ360" s="200"/>
      <c r="EK360" s="200"/>
      <c r="EL360" s="200"/>
      <c r="EM360" s="200"/>
      <c r="EN360" s="200"/>
      <c r="EO360" s="200"/>
      <c r="EP360" s="200"/>
      <c r="EQ360" s="200"/>
      <c r="ER360" s="200"/>
      <c r="ES360" s="200"/>
      <c r="ET360" s="200"/>
      <c r="EU360" s="200"/>
      <c r="EV360" s="200"/>
      <c r="EW360" s="200"/>
      <c r="EX360" s="200"/>
      <c r="EY360" s="200"/>
      <c r="EZ360" s="200"/>
      <c r="FA360" s="200"/>
      <c r="FB360" s="200"/>
      <c r="FC360" s="200"/>
      <c r="FD360" s="200"/>
      <c r="FE360" s="200"/>
      <c r="FF360" s="200"/>
      <c r="FG360" s="200"/>
      <c r="FH360" s="200"/>
      <c r="FI360" s="200"/>
      <c r="FJ360" s="200"/>
      <c r="FK360" s="200"/>
      <c r="FL360" s="200"/>
      <c r="FM360" s="200"/>
      <c r="FN360" s="200"/>
      <c r="FO360" s="200"/>
      <c r="FP360" s="200"/>
      <c r="FQ360" s="200"/>
      <c r="FR360" s="200"/>
      <c r="FS360" s="200"/>
      <c r="FT360" s="200"/>
      <c r="FU360" s="200"/>
      <c r="FV360" s="200"/>
      <c r="FW360" s="200"/>
      <c r="FX360" s="200"/>
      <c r="FY360" s="200"/>
      <c r="FZ360" s="200"/>
      <c r="GA360" s="200"/>
      <c r="GB360" s="200"/>
      <c r="GC360" s="200"/>
      <c r="GD360" s="200"/>
      <c r="GE360" s="200"/>
      <c r="GF360" s="200"/>
      <c r="GG360" s="200"/>
      <c r="GH360" s="200"/>
      <c r="GI360" s="200"/>
      <c r="GJ360" s="200"/>
      <c r="GK360" s="200"/>
      <c r="GL360" s="200"/>
      <c r="GM360" s="200"/>
      <c r="GN360" s="200"/>
      <c r="GO360" s="200"/>
      <c r="GP360" s="200"/>
      <c r="GQ360" s="200"/>
      <c r="GR360" s="200"/>
      <c r="GS360" s="200"/>
      <c r="GT360" s="200"/>
      <c r="GU360" s="200"/>
      <c r="GV360" s="200"/>
      <c r="GW360" s="200"/>
      <c r="GX360" s="200"/>
      <c r="GY360" s="200"/>
      <c r="GZ360" s="200"/>
      <c r="HA360" s="200"/>
      <c r="HB360" s="200"/>
      <c r="HC360" s="200"/>
      <c r="HD360" s="200"/>
      <c r="HE360" s="200"/>
      <c r="HF360" s="200"/>
      <c r="HG360" s="200"/>
      <c r="HH360" s="200"/>
      <c r="HI360" s="200"/>
      <c r="HJ360" s="200"/>
      <c r="HK360" s="200"/>
      <c r="HL360" s="200"/>
      <c r="HM360" s="200"/>
      <c r="HN360" s="200"/>
      <c r="HO360" s="200"/>
      <c r="HP360" s="200"/>
      <c r="HQ360" s="200"/>
      <c r="HR360" s="200"/>
      <c r="HS360" s="200"/>
      <c r="HT360" s="200"/>
      <c r="HU360" s="200"/>
      <c r="HV360" s="200"/>
      <c r="HW360" s="200"/>
      <c r="HX360" s="200"/>
      <c r="HY360" s="200"/>
      <c r="HZ360" s="200"/>
      <c r="IA360" s="200"/>
      <c r="IB360" s="200"/>
      <c r="IC360" s="200"/>
      <c r="ID360" s="200"/>
      <c r="IE360" s="200"/>
      <c r="IF360" s="200"/>
      <c r="IG360" s="200"/>
      <c r="IH360" s="200"/>
      <c r="II360" s="200"/>
      <c r="IJ360" s="200"/>
      <c r="IK360" s="200"/>
      <c r="IL360" s="200"/>
      <c r="IM360" s="200"/>
      <c r="IN360" s="200"/>
      <c r="IO360" s="200"/>
      <c r="IP360" s="200"/>
      <c r="IQ360" s="200"/>
      <c r="IR360" s="200"/>
      <c r="IS360" s="200"/>
      <c r="IT360" s="200"/>
      <c r="IU360" s="201"/>
      <c r="IV360" s="201"/>
    </row>
    <row r="361" s="10" customFormat="1" ht="15.95" customHeight="1" spans="1:256">
      <c r="A361" s="199">
        <v>31</v>
      </c>
      <c r="B361" s="20" t="s">
        <v>2347</v>
      </c>
      <c r="C361" s="199" t="s">
        <v>2343</v>
      </c>
      <c r="D361" s="199">
        <v>8031</v>
      </c>
      <c r="E361" s="199">
        <f>'05版台时'!K593</f>
        <v>11.6803715364369</v>
      </c>
      <c r="F361" s="200"/>
      <c r="G361" s="200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200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200"/>
      <c r="BD361" s="200"/>
      <c r="BE361" s="200"/>
      <c r="BF361" s="200"/>
      <c r="BG361" s="200"/>
      <c r="BH361" s="200"/>
      <c r="BI361" s="200"/>
      <c r="BJ361" s="200"/>
      <c r="BK361" s="200"/>
      <c r="BL361" s="200"/>
      <c r="BM361" s="200"/>
      <c r="BN361" s="200"/>
      <c r="BO361" s="200"/>
      <c r="BP361" s="200"/>
      <c r="BQ361" s="200"/>
      <c r="BR361" s="200"/>
      <c r="BS361" s="200"/>
      <c r="BT361" s="200"/>
      <c r="BU361" s="200"/>
      <c r="BV361" s="200"/>
      <c r="BW361" s="200"/>
      <c r="BX361" s="200"/>
      <c r="BY361" s="200"/>
      <c r="BZ361" s="200"/>
      <c r="CA361" s="200"/>
      <c r="CB361" s="200"/>
      <c r="CC361" s="200"/>
      <c r="CD361" s="200"/>
      <c r="CE361" s="200"/>
      <c r="CF361" s="200"/>
      <c r="CG361" s="200"/>
      <c r="CH361" s="200"/>
      <c r="CI361" s="200"/>
      <c r="CJ361" s="200"/>
      <c r="CK361" s="200"/>
      <c r="CL361" s="200"/>
      <c r="CM361" s="200"/>
      <c r="CN361" s="200"/>
      <c r="CO361" s="200"/>
      <c r="CP361" s="200"/>
      <c r="CQ361" s="200"/>
      <c r="CR361" s="200"/>
      <c r="CS361" s="200"/>
      <c r="CT361" s="200"/>
      <c r="CU361" s="200"/>
      <c r="CV361" s="200"/>
      <c r="CW361" s="200"/>
      <c r="CX361" s="200"/>
      <c r="CY361" s="200"/>
      <c r="CZ361" s="200"/>
      <c r="DA361" s="200"/>
      <c r="DB361" s="200"/>
      <c r="DC361" s="200"/>
      <c r="DD361" s="200"/>
      <c r="DE361" s="200"/>
      <c r="DF361" s="200"/>
      <c r="DG361" s="200"/>
      <c r="DH361" s="200"/>
      <c r="DI361" s="200"/>
      <c r="DJ361" s="200"/>
      <c r="DK361" s="200"/>
      <c r="DL361" s="200"/>
      <c r="DM361" s="200"/>
      <c r="DN361" s="200"/>
      <c r="DO361" s="200"/>
      <c r="DP361" s="200"/>
      <c r="DQ361" s="200"/>
      <c r="DR361" s="200"/>
      <c r="DS361" s="200"/>
      <c r="DT361" s="200"/>
      <c r="DU361" s="200"/>
      <c r="DV361" s="200"/>
      <c r="DW361" s="200"/>
      <c r="DX361" s="200"/>
      <c r="DY361" s="200"/>
      <c r="DZ361" s="200"/>
      <c r="EA361" s="200"/>
      <c r="EB361" s="200"/>
      <c r="EC361" s="200"/>
      <c r="ED361" s="200"/>
      <c r="EE361" s="200"/>
      <c r="EF361" s="200"/>
      <c r="EG361" s="200"/>
      <c r="EH361" s="200"/>
      <c r="EI361" s="200"/>
      <c r="EJ361" s="200"/>
      <c r="EK361" s="200"/>
      <c r="EL361" s="200"/>
      <c r="EM361" s="200"/>
      <c r="EN361" s="200"/>
      <c r="EO361" s="200"/>
      <c r="EP361" s="200"/>
      <c r="EQ361" s="200"/>
      <c r="ER361" s="200"/>
      <c r="ES361" s="200"/>
      <c r="ET361" s="200"/>
      <c r="EU361" s="200"/>
      <c r="EV361" s="200"/>
      <c r="EW361" s="200"/>
      <c r="EX361" s="200"/>
      <c r="EY361" s="200"/>
      <c r="EZ361" s="200"/>
      <c r="FA361" s="200"/>
      <c r="FB361" s="200"/>
      <c r="FC361" s="200"/>
      <c r="FD361" s="200"/>
      <c r="FE361" s="200"/>
      <c r="FF361" s="200"/>
      <c r="FG361" s="200"/>
      <c r="FH361" s="200"/>
      <c r="FI361" s="200"/>
      <c r="FJ361" s="200"/>
      <c r="FK361" s="200"/>
      <c r="FL361" s="200"/>
      <c r="FM361" s="200"/>
      <c r="FN361" s="200"/>
      <c r="FO361" s="200"/>
      <c r="FP361" s="200"/>
      <c r="FQ361" s="200"/>
      <c r="FR361" s="200"/>
      <c r="FS361" s="200"/>
      <c r="FT361" s="200"/>
      <c r="FU361" s="200"/>
      <c r="FV361" s="200"/>
      <c r="FW361" s="200"/>
      <c r="FX361" s="200"/>
      <c r="FY361" s="200"/>
      <c r="FZ361" s="200"/>
      <c r="GA361" s="200"/>
      <c r="GB361" s="200"/>
      <c r="GC361" s="200"/>
      <c r="GD361" s="200"/>
      <c r="GE361" s="200"/>
      <c r="GF361" s="200"/>
      <c r="GG361" s="200"/>
      <c r="GH361" s="200"/>
      <c r="GI361" s="200"/>
      <c r="GJ361" s="200"/>
      <c r="GK361" s="200"/>
      <c r="GL361" s="200"/>
      <c r="GM361" s="200"/>
      <c r="GN361" s="200"/>
      <c r="GO361" s="200"/>
      <c r="GP361" s="200"/>
      <c r="GQ361" s="200"/>
      <c r="GR361" s="200"/>
      <c r="GS361" s="200"/>
      <c r="GT361" s="200"/>
      <c r="GU361" s="200"/>
      <c r="GV361" s="200"/>
      <c r="GW361" s="200"/>
      <c r="GX361" s="200"/>
      <c r="GY361" s="200"/>
      <c r="GZ361" s="200"/>
      <c r="HA361" s="200"/>
      <c r="HB361" s="200"/>
      <c r="HC361" s="200"/>
      <c r="HD361" s="200"/>
      <c r="HE361" s="200"/>
      <c r="HF361" s="200"/>
      <c r="HG361" s="200"/>
      <c r="HH361" s="200"/>
      <c r="HI361" s="200"/>
      <c r="HJ361" s="200"/>
      <c r="HK361" s="200"/>
      <c r="HL361" s="200"/>
      <c r="HM361" s="200"/>
      <c r="HN361" s="200"/>
      <c r="HO361" s="200"/>
      <c r="HP361" s="200"/>
      <c r="HQ361" s="200"/>
      <c r="HR361" s="200"/>
      <c r="HS361" s="200"/>
      <c r="HT361" s="200"/>
      <c r="HU361" s="200"/>
      <c r="HV361" s="200"/>
      <c r="HW361" s="200"/>
      <c r="HX361" s="200"/>
      <c r="HY361" s="200"/>
      <c r="HZ361" s="200"/>
      <c r="IA361" s="200"/>
      <c r="IB361" s="200"/>
      <c r="IC361" s="200"/>
      <c r="ID361" s="200"/>
      <c r="IE361" s="200"/>
      <c r="IF361" s="200"/>
      <c r="IG361" s="200"/>
      <c r="IH361" s="200"/>
      <c r="II361" s="200"/>
      <c r="IJ361" s="200"/>
      <c r="IK361" s="200"/>
      <c r="IL361" s="200"/>
      <c r="IM361" s="200"/>
      <c r="IN361" s="200"/>
      <c r="IO361" s="200"/>
      <c r="IP361" s="200"/>
      <c r="IQ361" s="200"/>
      <c r="IR361" s="200"/>
      <c r="IS361" s="200"/>
      <c r="IT361" s="200"/>
      <c r="IU361" s="201"/>
      <c r="IV361" s="201"/>
    </row>
    <row r="362" s="10" customFormat="1" ht="15.95" customHeight="1" spans="1:256">
      <c r="A362" s="199">
        <v>32</v>
      </c>
      <c r="B362" s="20" t="s">
        <v>2347</v>
      </c>
      <c r="C362" s="199" t="s">
        <v>2348</v>
      </c>
      <c r="D362" s="199">
        <v>8032</v>
      </c>
      <c r="E362" s="199">
        <f>'05版台时'!L593</f>
        <v>16.3214046437364</v>
      </c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  <c r="AA362" s="200"/>
      <c r="AB362" s="200"/>
      <c r="AC362" s="200"/>
      <c r="AD362" s="200"/>
      <c r="AE362" s="200"/>
      <c r="AF362" s="200"/>
      <c r="AG362" s="200"/>
      <c r="AH362" s="200"/>
      <c r="AI362" s="200"/>
      <c r="AJ362" s="200"/>
      <c r="AK362" s="200"/>
      <c r="AL362" s="200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200"/>
      <c r="BD362" s="200"/>
      <c r="BE362" s="200"/>
      <c r="BF362" s="200"/>
      <c r="BG362" s="200"/>
      <c r="BH362" s="200"/>
      <c r="BI362" s="200"/>
      <c r="BJ362" s="200"/>
      <c r="BK362" s="200"/>
      <c r="BL362" s="200"/>
      <c r="BM362" s="200"/>
      <c r="BN362" s="200"/>
      <c r="BO362" s="200"/>
      <c r="BP362" s="200"/>
      <c r="BQ362" s="200"/>
      <c r="BR362" s="200"/>
      <c r="BS362" s="200"/>
      <c r="BT362" s="200"/>
      <c r="BU362" s="200"/>
      <c r="BV362" s="200"/>
      <c r="BW362" s="200"/>
      <c r="BX362" s="200"/>
      <c r="BY362" s="200"/>
      <c r="BZ362" s="200"/>
      <c r="CA362" s="200"/>
      <c r="CB362" s="200"/>
      <c r="CC362" s="200"/>
      <c r="CD362" s="200"/>
      <c r="CE362" s="200"/>
      <c r="CF362" s="200"/>
      <c r="CG362" s="200"/>
      <c r="CH362" s="200"/>
      <c r="CI362" s="200"/>
      <c r="CJ362" s="200"/>
      <c r="CK362" s="200"/>
      <c r="CL362" s="200"/>
      <c r="CM362" s="200"/>
      <c r="CN362" s="200"/>
      <c r="CO362" s="200"/>
      <c r="CP362" s="200"/>
      <c r="CQ362" s="200"/>
      <c r="CR362" s="200"/>
      <c r="CS362" s="200"/>
      <c r="CT362" s="200"/>
      <c r="CU362" s="200"/>
      <c r="CV362" s="200"/>
      <c r="CW362" s="200"/>
      <c r="CX362" s="200"/>
      <c r="CY362" s="200"/>
      <c r="CZ362" s="200"/>
      <c r="DA362" s="200"/>
      <c r="DB362" s="200"/>
      <c r="DC362" s="200"/>
      <c r="DD362" s="200"/>
      <c r="DE362" s="200"/>
      <c r="DF362" s="200"/>
      <c r="DG362" s="200"/>
      <c r="DH362" s="200"/>
      <c r="DI362" s="200"/>
      <c r="DJ362" s="200"/>
      <c r="DK362" s="200"/>
      <c r="DL362" s="200"/>
      <c r="DM362" s="200"/>
      <c r="DN362" s="200"/>
      <c r="DO362" s="200"/>
      <c r="DP362" s="200"/>
      <c r="DQ362" s="200"/>
      <c r="DR362" s="200"/>
      <c r="DS362" s="200"/>
      <c r="DT362" s="200"/>
      <c r="DU362" s="200"/>
      <c r="DV362" s="200"/>
      <c r="DW362" s="200"/>
      <c r="DX362" s="200"/>
      <c r="DY362" s="200"/>
      <c r="DZ362" s="200"/>
      <c r="EA362" s="200"/>
      <c r="EB362" s="200"/>
      <c r="EC362" s="200"/>
      <c r="ED362" s="200"/>
      <c r="EE362" s="200"/>
      <c r="EF362" s="200"/>
      <c r="EG362" s="200"/>
      <c r="EH362" s="200"/>
      <c r="EI362" s="200"/>
      <c r="EJ362" s="200"/>
      <c r="EK362" s="200"/>
      <c r="EL362" s="200"/>
      <c r="EM362" s="200"/>
      <c r="EN362" s="200"/>
      <c r="EO362" s="200"/>
      <c r="EP362" s="200"/>
      <c r="EQ362" s="200"/>
      <c r="ER362" s="200"/>
      <c r="ES362" s="200"/>
      <c r="ET362" s="200"/>
      <c r="EU362" s="200"/>
      <c r="EV362" s="200"/>
      <c r="EW362" s="200"/>
      <c r="EX362" s="200"/>
      <c r="EY362" s="200"/>
      <c r="EZ362" s="200"/>
      <c r="FA362" s="200"/>
      <c r="FB362" s="200"/>
      <c r="FC362" s="200"/>
      <c r="FD362" s="200"/>
      <c r="FE362" s="200"/>
      <c r="FF362" s="200"/>
      <c r="FG362" s="200"/>
      <c r="FH362" s="200"/>
      <c r="FI362" s="200"/>
      <c r="FJ362" s="200"/>
      <c r="FK362" s="200"/>
      <c r="FL362" s="200"/>
      <c r="FM362" s="200"/>
      <c r="FN362" s="200"/>
      <c r="FO362" s="200"/>
      <c r="FP362" s="200"/>
      <c r="FQ362" s="200"/>
      <c r="FR362" s="200"/>
      <c r="FS362" s="200"/>
      <c r="FT362" s="200"/>
      <c r="FU362" s="200"/>
      <c r="FV362" s="200"/>
      <c r="FW362" s="200"/>
      <c r="FX362" s="200"/>
      <c r="FY362" s="200"/>
      <c r="FZ362" s="200"/>
      <c r="GA362" s="200"/>
      <c r="GB362" s="200"/>
      <c r="GC362" s="200"/>
      <c r="GD362" s="200"/>
      <c r="GE362" s="200"/>
      <c r="GF362" s="200"/>
      <c r="GG362" s="200"/>
      <c r="GH362" s="200"/>
      <c r="GI362" s="200"/>
      <c r="GJ362" s="200"/>
      <c r="GK362" s="200"/>
      <c r="GL362" s="200"/>
      <c r="GM362" s="200"/>
      <c r="GN362" s="200"/>
      <c r="GO362" s="200"/>
      <c r="GP362" s="200"/>
      <c r="GQ362" s="200"/>
      <c r="GR362" s="200"/>
      <c r="GS362" s="200"/>
      <c r="GT362" s="200"/>
      <c r="GU362" s="200"/>
      <c r="GV362" s="200"/>
      <c r="GW362" s="200"/>
      <c r="GX362" s="200"/>
      <c r="GY362" s="200"/>
      <c r="GZ362" s="200"/>
      <c r="HA362" s="200"/>
      <c r="HB362" s="200"/>
      <c r="HC362" s="200"/>
      <c r="HD362" s="200"/>
      <c r="HE362" s="200"/>
      <c r="HF362" s="200"/>
      <c r="HG362" s="200"/>
      <c r="HH362" s="200"/>
      <c r="HI362" s="200"/>
      <c r="HJ362" s="200"/>
      <c r="HK362" s="200"/>
      <c r="HL362" s="200"/>
      <c r="HM362" s="200"/>
      <c r="HN362" s="200"/>
      <c r="HO362" s="200"/>
      <c r="HP362" s="200"/>
      <c r="HQ362" s="200"/>
      <c r="HR362" s="200"/>
      <c r="HS362" s="200"/>
      <c r="HT362" s="200"/>
      <c r="HU362" s="200"/>
      <c r="HV362" s="200"/>
      <c r="HW362" s="200"/>
      <c r="HX362" s="200"/>
      <c r="HY362" s="200"/>
      <c r="HZ362" s="200"/>
      <c r="IA362" s="200"/>
      <c r="IB362" s="200"/>
      <c r="IC362" s="200"/>
      <c r="ID362" s="200"/>
      <c r="IE362" s="200"/>
      <c r="IF362" s="200"/>
      <c r="IG362" s="200"/>
      <c r="IH362" s="200"/>
      <c r="II362" s="200"/>
      <c r="IJ362" s="200"/>
      <c r="IK362" s="200"/>
      <c r="IL362" s="200"/>
      <c r="IM362" s="200"/>
      <c r="IN362" s="200"/>
      <c r="IO362" s="200"/>
      <c r="IP362" s="200"/>
      <c r="IQ362" s="200"/>
      <c r="IR362" s="200"/>
      <c r="IS362" s="200"/>
      <c r="IT362" s="200"/>
      <c r="IU362" s="201"/>
      <c r="IV362" s="201"/>
    </row>
    <row r="363" s="10" customFormat="1" ht="15.95" customHeight="1" spans="1:256">
      <c r="A363" s="199">
        <v>33</v>
      </c>
      <c r="B363" s="20" t="s">
        <v>2349</v>
      </c>
      <c r="C363" s="20" t="s">
        <v>2350</v>
      </c>
      <c r="D363" s="199">
        <v>8033</v>
      </c>
      <c r="E363" s="199">
        <f>'05版台时'!M593</f>
        <v>7.6121858795373</v>
      </c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  <c r="AA363" s="200"/>
      <c r="AB363" s="200"/>
      <c r="AC363" s="200"/>
      <c r="AD363" s="200"/>
      <c r="AE363" s="200"/>
      <c r="AF363" s="200"/>
      <c r="AG363" s="200"/>
      <c r="AH363" s="200"/>
      <c r="AI363" s="200"/>
      <c r="AJ363" s="200"/>
      <c r="AK363" s="200"/>
      <c r="AL363" s="200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/>
      <c r="BB363" s="200"/>
      <c r="BC363" s="200"/>
      <c r="BD363" s="200"/>
      <c r="BE363" s="200"/>
      <c r="BF363" s="200"/>
      <c r="BG363" s="200"/>
      <c r="BH363" s="200"/>
      <c r="BI363" s="200"/>
      <c r="BJ363" s="200"/>
      <c r="BK363" s="200"/>
      <c r="BL363" s="200"/>
      <c r="BM363" s="200"/>
      <c r="BN363" s="200"/>
      <c r="BO363" s="200"/>
      <c r="BP363" s="200"/>
      <c r="BQ363" s="200"/>
      <c r="BR363" s="200"/>
      <c r="BS363" s="200"/>
      <c r="BT363" s="200"/>
      <c r="BU363" s="200"/>
      <c r="BV363" s="200"/>
      <c r="BW363" s="200"/>
      <c r="BX363" s="200"/>
      <c r="BY363" s="200"/>
      <c r="BZ363" s="200"/>
      <c r="CA363" s="200"/>
      <c r="CB363" s="200"/>
      <c r="CC363" s="200"/>
      <c r="CD363" s="200"/>
      <c r="CE363" s="200"/>
      <c r="CF363" s="200"/>
      <c r="CG363" s="200"/>
      <c r="CH363" s="200"/>
      <c r="CI363" s="200"/>
      <c r="CJ363" s="200"/>
      <c r="CK363" s="200"/>
      <c r="CL363" s="200"/>
      <c r="CM363" s="200"/>
      <c r="CN363" s="200"/>
      <c r="CO363" s="200"/>
      <c r="CP363" s="200"/>
      <c r="CQ363" s="200"/>
      <c r="CR363" s="200"/>
      <c r="CS363" s="200"/>
      <c r="CT363" s="200"/>
      <c r="CU363" s="200"/>
      <c r="CV363" s="200"/>
      <c r="CW363" s="200"/>
      <c r="CX363" s="200"/>
      <c r="CY363" s="200"/>
      <c r="CZ363" s="200"/>
      <c r="DA363" s="200"/>
      <c r="DB363" s="200"/>
      <c r="DC363" s="200"/>
      <c r="DD363" s="200"/>
      <c r="DE363" s="200"/>
      <c r="DF363" s="200"/>
      <c r="DG363" s="200"/>
      <c r="DH363" s="200"/>
      <c r="DI363" s="200"/>
      <c r="DJ363" s="200"/>
      <c r="DK363" s="200"/>
      <c r="DL363" s="200"/>
      <c r="DM363" s="200"/>
      <c r="DN363" s="200"/>
      <c r="DO363" s="200"/>
      <c r="DP363" s="200"/>
      <c r="DQ363" s="200"/>
      <c r="DR363" s="200"/>
      <c r="DS363" s="200"/>
      <c r="DT363" s="200"/>
      <c r="DU363" s="200"/>
      <c r="DV363" s="200"/>
      <c r="DW363" s="200"/>
      <c r="DX363" s="200"/>
      <c r="DY363" s="200"/>
      <c r="DZ363" s="200"/>
      <c r="EA363" s="200"/>
      <c r="EB363" s="200"/>
      <c r="EC363" s="200"/>
      <c r="ED363" s="200"/>
      <c r="EE363" s="200"/>
      <c r="EF363" s="200"/>
      <c r="EG363" s="200"/>
      <c r="EH363" s="200"/>
      <c r="EI363" s="200"/>
      <c r="EJ363" s="200"/>
      <c r="EK363" s="200"/>
      <c r="EL363" s="200"/>
      <c r="EM363" s="200"/>
      <c r="EN363" s="200"/>
      <c r="EO363" s="200"/>
      <c r="EP363" s="200"/>
      <c r="EQ363" s="200"/>
      <c r="ER363" s="200"/>
      <c r="ES363" s="200"/>
      <c r="ET363" s="200"/>
      <c r="EU363" s="200"/>
      <c r="EV363" s="200"/>
      <c r="EW363" s="200"/>
      <c r="EX363" s="200"/>
      <c r="EY363" s="200"/>
      <c r="EZ363" s="200"/>
      <c r="FA363" s="200"/>
      <c r="FB363" s="200"/>
      <c r="FC363" s="200"/>
      <c r="FD363" s="200"/>
      <c r="FE363" s="200"/>
      <c r="FF363" s="200"/>
      <c r="FG363" s="200"/>
      <c r="FH363" s="200"/>
      <c r="FI363" s="200"/>
      <c r="FJ363" s="200"/>
      <c r="FK363" s="200"/>
      <c r="FL363" s="200"/>
      <c r="FM363" s="200"/>
      <c r="FN363" s="200"/>
      <c r="FO363" s="200"/>
      <c r="FP363" s="200"/>
      <c r="FQ363" s="200"/>
      <c r="FR363" s="200"/>
      <c r="FS363" s="200"/>
      <c r="FT363" s="200"/>
      <c r="FU363" s="200"/>
      <c r="FV363" s="200"/>
      <c r="FW363" s="200"/>
      <c r="FX363" s="200"/>
      <c r="FY363" s="200"/>
      <c r="FZ363" s="200"/>
      <c r="GA363" s="200"/>
      <c r="GB363" s="200"/>
      <c r="GC363" s="200"/>
      <c r="GD363" s="200"/>
      <c r="GE363" s="200"/>
      <c r="GF363" s="200"/>
      <c r="GG363" s="200"/>
      <c r="GH363" s="200"/>
      <c r="GI363" s="200"/>
      <c r="GJ363" s="200"/>
      <c r="GK363" s="200"/>
      <c r="GL363" s="200"/>
      <c r="GM363" s="200"/>
      <c r="GN363" s="200"/>
      <c r="GO363" s="200"/>
      <c r="GP363" s="200"/>
      <c r="GQ363" s="200"/>
      <c r="GR363" s="200"/>
      <c r="GS363" s="200"/>
      <c r="GT363" s="200"/>
      <c r="GU363" s="200"/>
      <c r="GV363" s="200"/>
      <c r="GW363" s="200"/>
      <c r="GX363" s="200"/>
      <c r="GY363" s="200"/>
      <c r="GZ363" s="200"/>
      <c r="HA363" s="200"/>
      <c r="HB363" s="200"/>
      <c r="HC363" s="200"/>
      <c r="HD363" s="200"/>
      <c r="HE363" s="200"/>
      <c r="HF363" s="200"/>
      <c r="HG363" s="200"/>
      <c r="HH363" s="200"/>
      <c r="HI363" s="200"/>
      <c r="HJ363" s="200"/>
      <c r="HK363" s="200"/>
      <c r="HL363" s="200"/>
      <c r="HM363" s="200"/>
      <c r="HN363" s="200"/>
      <c r="HO363" s="200"/>
      <c r="HP363" s="200"/>
      <c r="HQ363" s="200"/>
      <c r="HR363" s="200"/>
      <c r="HS363" s="200"/>
      <c r="HT363" s="200"/>
      <c r="HU363" s="200"/>
      <c r="HV363" s="200"/>
      <c r="HW363" s="200"/>
      <c r="HX363" s="200"/>
      <c r="HY363" s="200"/>
      <c r="HZ363" s="200"/>
      <c r="IA363" s="200"/>
      <c r="IB363" s="200"/>
      <c r="IC363" s="200"/>
      <c r="ID363" s="200"/>
      <c r="IE363" s="200"/>
      <c r="IF363" s="200"/>
      <c r="IG363" s="200"/>
      <c r="IH363" s="200"/>
      <c r="II363" s="200"/>
      <c r="IJ363" s="200"/>
      <c r="IK363" s="200"/>
      <c r="IL363" s="200"/>
      <c r="IM363" s="200"/>
      <c r="IN363" s="200"/>
      <c r="IO363" s="200"/>
      <c r="IP363" s="200"/>
      <c r="IQ363" s="200"/>
      <c r="IR363" s="200"/>
      <c r="IS363" s="200"/>
      <c r="IT363" s="200"/>
      <c r="IU363" s="201"/>
      <c r="IV363" s="201"/>
    </row>
    <row r="364" s="10" customFormat="1" ht="15.95" customHeight="1" spans="1:256">
      <c r="A364" s="199">
        <v>34</v>
      </c>
      <c r="B364" s="20" t="s">
        <v>2349</v>
      </c>
      <c r="C364" s="20" t="s">
        <v>2351</v>
      </c>
      <c r="D364" s="199">
        <v>8034</v>
      </c>
      <c r="E364" s="199">
        <f>'05版台时'!N593</f>
        <v>18.4254551256482</v>
      </c>
      <c r="F364" s="200"/>
      <c r="G364" s="200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  <c r="AA364" s="200"/>
      <c r="AB364" s="200"/>
      <c r="AC364" s="200"/>
      <c r="AD364" s="200"/>
      <c r="AE364" s="200"/>
      <c r="AF364" s="200"/>
      <c r="AG364" s="200"/>
      <c r="AH364" s="200"/>
      <c r="AI364" s="200"/>
      <c r="AJ364" s="200"/>
      <c r="AK364" s="200"/>
      <c r="AL364" s="200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200"/>
      <c r="BD364" s="200"/>
      <c r="BE364" s="200"/>
      <c r="BF364" s="200"/>
      <c r="BG364" s="200"/>
      <c r="BH364" s="200"/>
      <c r="BI364" s="200"/>
      <c r="BJ364" s="200"/>
      <c r="BK364" s="200"/>
      <c r="BL364" s="200"/>
      <c r="BM364" s="200"/>
      <c r="BN364" s="200"/>
      <c r="BO364" s="200"/>
      <c r="BP364" s="200"/>
      <c r="BQ364" s="200"/>
      <c r="BR364" s="200"/>
      <c r="BS364" s="200"/>
      <c r="BT364" s="200"/>
      <c r="BU364" s="200"/>
      <c r="BV364" s="200"/>
      <c r="BW364" s="200"/>
      <c r="BX364" s="200"/>
      <c r="BY364" s="200"/>
      <c r="BZ364" s="200"/>
      <c r="CA364" s="200"/>
      <c r="CB364" s="200"/>
      <c r="CC364" s="200"/>
      <c r="CD364" s="200"/>
      <c r="CE364" s="200"/>
      <c r="CF364" s="200"/>
      <c r="CG364" s="200"/>
      <c r="CH364" s="200"/>
      <c r="CI364" s="200"/>
      <c r="CJ364" s="200"/>
      <c r="CK364" s="200"/>
      <c r="CL364" s="200"/>
      <c r="CM364" s="200"/>
      <c r="CN364" s="200"/>
      <c r="CO364" s="200"/>
      <c r="CP364" s="200"/>
      <c r="CQ364" s="200"/>
      <c r="CR364" s="200"/>
      <c r="CS364" s="200"/>
      <c r="CT364" s="200"/>
      <c r="CU364" s="200"/>
      <c r="CV364" s="200"/>
      <c r="CW364" s="200"/>
      <c r="CX364" s="200"/>
      <c r="CY364" s="200"/>
      <c r="CZ364" s="200"/>
      <c r="DA364" s="200"/>
      <c r="DB364" s="200"/>
      <c r="DC364" s="200"/>
      <c r="DD364" s="200"/>
      <c r="DE364" s="200"/>
      <c r="DF364" s="200"/>
      <c r="DG364" s="200"/>
      <c r="DH364" s="200"/>
      <c r="DI364" s="200"/>
      <c r="DJ364" s="200"/>
      <c r="DK364" s="200"/>
      <c r="DL364" s="200"/>
      <c r="DM364" s="200"/>
      <c r="DN364" s="200"/>
      <c r="DO364" s="200"/>
      <c r="DP364" s="200"/>
      <c r="DQ364" s="200"/>
      <c r="DR364" s="200"/>
      <c r="DS364" s="200"/>
      <c r="DT364" s="200"/>
      <c r="DU364" s="200"/>
      <c r="DV364" s="200"/>
      <c r="DW364" s="200"/>
      <c r="DX364" s="200"/>
      <c r="DY364" s="200"/>
      <c r="DZ364" s="200"/>
      <c r="EA364" s="200"/>
      <c r="EB364" s="200"/>
      <c r="EC364" s="200"/>
      <c r="ED364" s="200"/>
      <c r="EE364" s="200"/>
      <c r="EF364" s="200"/>
      <c r="EG364" s="200"/>
      <c r="EH364" s="200"/>
      <c r="EI364" s="200"/>
      <c r="EJ364" s="200"/>
      <c r="EK364" s="200"/>
      <c r="EL364" s="200"/>
      <c r="EM364" s="200"/>
      <c r="EN364" s="200"/>
      <c r="EO364" s="200"/>
      <c r="EP364" s="200"/>
      <c r="EQ364" s="200"/>
      <c r="ER364" s="200"/>
      <c r="ES364" s="200"/>
      <c r="ET364" s="200"/>
      <c r="EU364" s="200"/>
      <c r="EV364" s="200"/>
      <c r="EW364" s="200"/>
      <c r="EX364" s="200"/>
      <c r="EY364" s="200"/>
      <c r="EZ364" s="200"/>
      <c r="FA364" s="200"/>
      <c r="FB364" s="200"/>
      <c r="FC364" s="200"/>
      <c r="FD364" s="200"/>
      <c r="FE364" s="200"/>
      <c r="FF364" s="200"/>
      <c r="FG364" s="200"/>
      <c r="FH364" s="200"/>
      <c r="FI364" s="200"/>
      <c r="FJ364" s="200"/>
      <c r="FK364" s="200"/>
      <c r="FL364" s="200"/>
      <c r="FM364" s="200"/>
      <c r="FN364" s="200"/>
      <c r="FO364" s="200"/>
      <c r="FP364" s="200"/>
      <c r="FQ364" s="200"/>
      <c r="FR364" s="200"/>
      <c r="FS364" s="200"/>
      <c r="FT364" s="200"/>
      <c r="FU364" s="200"/>
      <c r="FV364" s="200"/>
      <c r="FW364" s="200"/>
      <c r="FX364" s="200"/>
      <c r="FY364" s="200"/>
      <c r="FZ364" s="200"/>
      <c r="GA364" s="200"/>
      <c r="GB364" s="200"/>
      <c r="GC364" s="200"/>
      <c r="GD364" s="200"/>
      <c r="GE364" s="200"/>
      <c r="GF364" s="200"/>
      <c r="GG364" s="200"/>
      <c r="GH364" s="200"/>
      <c r="GI364" s="200"/>
      <c r="GJ364" s="200"/>
      <c r="GK364" s="200"/>
      <c r="GL364" s="200"/>
      <c r="GM364" s="200"/>
      <c r="GN364" s="200"/>
      <c r="GO364" s="200"/>
      <c r="GP364" s="200"/>
      <c r="GQ364" s="200"/>
      <c r="GR364" s="200"/>
      <c r="GS364" s="200"/>
      <c r="GT364" s="200"/>
      <c r="GU364" s="200"/>
      <c r="GV364" s="200"/>
      <c r="GW364" s="200"/>
      <c r="GX364" s="200"/>
      <c r="GY364" s="200"/>
      <c r="GZ364" s="200"/>
      <c r="HA364" s="200"/>
      <c r="HB364" s="200"/>
      <c r="HC364" s="200"/>
      <c r="HD364" s="200"/>
      <c r="HE364" s="200"/>
      <c r="HF364" s="200"/>
      <c r="HG364" s="200"/>
      <c r="HH364" s="200"/>
      <c r="HI364" s="200"/>
      <c r="HJ364" s="200"/>
      <c r="HK364" s="200"/>
      <c r="HL364" s="200"/>
      <c r="HM364" s="200"/>
      <c r="HN364" s="200"/>
      <c r="HO364" s="200"/>
      <c r="HP364" s="200"/>
      <c r="HQ364" s="200"/>
      <c r="HR364" s="200"/>
      <c r="HS364" s="200"/>
      <c r="HT364" s="200"/>
      <c r="HU364" s="200"/>
      <c r="HV364" s="200"/>
      <c r="HW364" s="200"/>
      <c r="HX364" s="200"/>
      <c r="HY364" s="200"/>
      <c r="HZ364" s="200"/>
      <c r="IA364" s="200"/>
      <c r="IB364" s="200"/>
      <c r="IC364" s="200"/>
      <c r="ID364" s="200"/>
      <c r="IE364" s="200"/>
      <c r="IF364" s="200"/>
      <c r="IG364" s="200"/>
      <c r="IH364" s="200"/>
      <c r="II364" s="200"/>
      <c r="IJ364" s="200"/>
      <c r="IK364" s="200"/>
      <c r="IL364" s="200"/>
      <c r="IM364" s="200"/>
      <c r="IN364" s="200"/>
      <c r="IO364" s="200"/>
      <c r="IP364" s="200"/>
      <c r="IQ364" s="200"/>
      <c r="IR364" s="200"/>
      <c r="IS364" s="200"/>
      <c r="IT364" s="200"/>
      <c r="IU364" s="201"/>
      <c r="IV364" s="201"/>
    </row>
    <row r="365" s="10" customFormat="1" ht="15.95" customHeight="1" spans="1:256">
      <c r="A365" s="199">
        <v>35</v>
      </c>
      <c r="B365" s="20" t="s">
        <v>2349</v>
      </c>
      <c r="C365" s="20" t="s">
        <v>2352</v>
      </c>
      <c r="D365" s="199">
        <v>8035</v>
      </c>
      <c r="E365" s="199">
        <f>'05版台时'!O593</f>
        <v>11.1378500199442</v>
      </c>
      <c r="F365" s="200"/>
      <c r="G365" s="200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  <c r="AA365" s="200"/>
      <c r="AB365" s="200"/>
      <c r="AC365" s="200"/>
      <c r="AD365" s="200"/>
      <c r="AE365" s="200"/>
      <c r="AF365" s="200"/>
      <c r="AG365" s="200"/>
      <c r="AH365" s="200"/>
      <c r="AI365" s="200"/>
      <c r="AJ365" s="200"/>
      <c r="AK365" s="200"/>
      <c r="AL365" s="200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/>
      <c r="BB365" s="200"/>
      <c r="BC365" s="200"/>
      <c r="BD365" s="200"/>
      <c r="BE365" s="200"/>
      <c r="BF365" s="200"/>
      <c r="BG365" s="200"/>
      <c r="BH365" s="200"/>
      <c r="BI365" s="200"/>
      <c r="BJ365" s="200"/>
      <c r="BK365" s="200"/>
      <c r="BL365" s="200"/>
      <c r="BM365" s="200"/>
      <c r="BN365" s="200"/>
      <c r="BO365" s="200"/>
      <c r="BP365" s="200"/>
      <c r="BQ365" s="200"/>
      <c r="BR365" s="200"/>
      <c r="BS365" s="200"/>
      <c r="BT365" s="200"/>
      <c r="BU365" s="200"/>
      <c r="BV365" s="200"/>
      <c r="BW365" s="200"/>
      <c r="BX365" s="200"/>
      <c r="BY365" s="200"/>
      <c r="BZ365" s="200"/>
      <c r="CA365" s="200"/>
      <c r="CB365" s="200"/>
      <c r="CC365" s="200"/>
      <c r="CD365" s="200"/>
      <c r="CE365" s="200"/>
      <c r="CF365" s="200"/>
      <c r="CG365" s="200"/>
      <c r="CH365" s="200"/>
      <c r="CI365" s="200"/>
      <c r="CJ365" s="200"/>
      <c r="CK365" s="200"/>
      <c r="CL365" s="200"/>
      <c r="CM365" s="200"/>
      <c r="CN365" s="200"/>
      <c r="CO365" s="200"/>
      <c r="CP365" s="200"/>
      <c r="CQ365" s="200"/>
      <c r="CR365" s="200"/>
      <c r="CS365" s="200"/>
      <c r="CT365" s="200"/>
      <c r="CU365" s="200"/>
      <c r="CV365" s="200"/>
      <c r="CW365" s="200"/>
      <c r="CX365" s="200"/>
      <c r="CY365" s="200"/>
      <c r="CZ365" s="200"/>
      <c r="DA365" s="200"/>
      <c r="DB365" s="200"/>
      <c r="DC365" s="200"/>
      <c r="DD365" s="200"/>
      <c r="DE365" s="200"/>
      <c r="DF365" s="200"/>
      <c r="DG365" s="200"/>
      <c r="DH365" s="200"/>
      <c r="DI365" s="200"/>
      <c r="DJ365" s="200"/>
      <c r="DK365" s="200"/>
      <c r="DL365" s="200"/>
      <c r="DM365" s="200"/>
      <c r="DN365" s="200"/>
      <c r="DO365" s="200"/>
      <c r="DP365" s="200"/>
      <c r="DQ365" s="200"/>
      <c r="DR365" s="200"/>
      <c r="DS365" s="200"/>
      <c r="DT365" s="200"/>
      <c r="DU365" s="200"/>
      <c r="DV365" s="200"/>
      <c r="DW365" s="200"/>
      <c r="DX365" s="200"/>
      <c r="DY365" s="200"/>
      <c r="DZ365" s="200"/>
      <c r="EA365" s="200"/>
      <c r="EB365" s="200"/>
      <c r="EC365" s="200"/>
      <c r="ED365" s="200"/>
      <c r="EE365" s="200"/>
      <c r="EF365" s="200"/>
      <c r="EG365" s="200"/>
      <c r="EH365" s="200"/>
      <c r="EI365" s="200"/>
      <c r="EJ365" s="200"/>
      <c r="EK365" s="200"/>
      <c r="EL365" s="200"/>
      <c r="EM365" s="200"/>
      <c r="EN365" s="200"/>
      <c r="EO365" s="200"/>
      <c r="EP365" s="200"/>
      <c r="EQ365" s="200"/>
      <c r="ER365" s="200"/>
      <c r="ES365" s="200"/>
      <c r="ET365" s="200"/>
      <c r="EU365" s="200"/>
      <c r="EV365" s="200"/>
      <c r="EW365" s="200"/>
      <c r="EX365" s="200"/>
      <c r="EY365" s="200"/>
      <c r="EZ365" s="200"/>
      <c r="FA365" s="200"/>
      <c r="FB365" s="200"/>
      <c r="FC365" s="200"/>
      <c r="FD365" s="200"/>
      <c r="FE365" s="200"/>
      <c r="FF365" s="200"/>
      <c r="FG365" s="200"/>
      <c r="FH365" s="200"/>
      <c r="FI365" s="200"/>
      <c r="FJ365" s="200"/>
      <c r="FK365" s="200"/>
      <c r="FL365" s="200"/>
      <c r="FM365" s="200"/>
      <c r="FN365" s="200"/>
      <c r="FO365" s="200"/>
      <c r="FP365" s="200"/>
      <c r="FQ365" s="200"/>
      <c r="FR365" s="200"/>
      <c r="FS365" s="200"/>
      <c r="FT365" s="200"/>
      <c r="FU365" s="200"/>
      <c r="FV365" s="200"/>
      <c r="FW365" s="200"/>
      <c r="FX365" s="200"/>
      <c r="FY365" s="200"/>
      <c r="FZ365" s="200"/>
      <c r="GA365" s="200"/>
      <c r="GB365" s="200"/>
      <c r="GC365" s="200"/>
      <c r="GD365" s="200"/>
      <c r="GE365" s="200"/>
      <c r="GF365" s="200"/>
      <c r="GG365" s="200"/>
      <c r="GH365" s="200"/>
      <c r="GI365" s="200"/>
      <c r="GJ365" s="200"/>
      <c r="GK365" s="200"/>
      <c r="GL365" s="200"/>
      <c r="GM365" s="200"/>
      <c r="GN365" s="200"/>
      <c r="GO365" s="200"/>
      <c r="GP365" s="200"/>
      <c r="GQ365" s="200"/>
      <c r="GR365" s="200"/>
      <c r="GS365" s="200"/>
      <c r="GT365" s="200"/>
      <c r="GU365" s="200"/>
      <c r="GV365" s="200"/>
      <c r="GW365" s="200"/>
      <c r="GX365" s="200"/>
      <c r="GY365" s="200"/>
      <c r="GZ365" s="200"/>
      <c r="HA365" s="200"/>
      <c r="HB365" s="200"/>
      <c r="HC365" s="200"/>
      <c r="HD365" s="200"/>
      <c r="HE365" s="200"/>
      <c r="HF365" s="200"/>
      <c r="HG365" s="200"/>
      <c r="HH365" s="200"/>
      <c r="HI365" s="200"/>
      <c r="HJ365" s="200"/>
      <c r="HK365" s="200"/>
      <c r="HL365" s="200"/>
      <c r="HM365" s="200"/>
      <c r="HN365" s="200"/>
      <c r="HO365" s="200"/>
      <c r="HP365" s="200"/>
      <c r="HQ365" s="200"/>
      <c r="HR365" s="200"/>
      <c r="HS365" s="200"/>
      <c r="HT365" s="200"/>
      <c r="HU365" s="200"/>
      <c r="HV365" s="200"/>
      <c r="HW365" s="200"/>
      <c r="HX365" s="200"/>
      <c r="HY365" s="200"/>
      <c r="HZ365" s="200"/>
      <c r="IA365" s="200"/>
      <c r="IB365" s="200"/>
      <c r="IC365" s="200"/>
      <c r="ID365" s="200"/>
      <c r="IE365" s="200"/>
      <c r="IF365" s="200"/>
      <c r="IG365" s="200"/>
      <c r="IH365" s="200"/>
      <c r="II365" s="200"/>
      <c r="IJ365" s="200"/>
      <c r="IK365" s="200"/>
      <c r="IL365" s="200"/>
      <c r="IM365" s="200"/>
      <c r="IN365" s="200"/>
      <c r="IO365" s="200"/>
      <c r="IP365" s="200"/>
      <c r="IQ365" s="200"/>
      <c r="IR365" s="200"/>
      <c r="IS365" s="200"/>
      <c r="IT365" s="200"/>
      <c r="IU365" s="201"/>
      <c r="IV365" s="201"/>
    </row>
    <row r="366" s="10" customFormat="1" ht="15.95" customHeight="1" spans="1:256">
      <c r="A366" s="199">
        <v>36</v>
      </c>
      <c r="B366" s="20" t="s">
        <v>2349</v>
      </c>
      <c r="C366" s="20" t="s">
        <v>2353</v>
      </c>
      <c r="D366" s="199">
        <v>8036</v>
      </c>
      <c r="E366" s="199">
        <f>'05版台时'!P593</f>
        <v>16.1095053849222</v>
      </c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  <c r="AA366" s="200"/>
      <c r="AB366" s="200"/>
      <c r="AC366" s="200"/>
      <c r="AD366" s="200"/>
      <c r="AE366" s="200"/>
      <c r="AF366" s="200"/>
      <c r="AG366" s="200"/>
      <c r="AH366" s="200"/>
      <c r="AI366" s="200"/>
      <c r="AJ366" s="200"/>
      <c r="AK366" s="200"/>
      <c r="AL366" s="200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200"/>
      <c r="BD366" s="200"/>
      <c r="BE366" s="200"/>
      <c r="BF366" s="200"/>
      <c r="BG366" s="200"/>
      <c r="BH366" s="200"/>
      <c r="BI366" s="200"/>
      <c r="BJ366" s="200"/>
      <c r="BK366" s="200"/>
      <c r="BL366" s="200"/>
      <c r="BM366" s="200"/>
      <c r="BN366" s="200"/>
      <c r="BO366" s="200"/>
      <c r="BP366" s="200"/>
      <c r="BQ366" s="200"/>
      <c r="BR366" s="200"/>
      <c r="BS366" s="200"/>
      <c r="BT366" s="200"/>
      <c r="BU366" s="200"/>
      <c r="BV366" s="200"/>
      <c r="BW366" s="200"/>
      <c r="BX366" s="200"/>
      <c r="BY366" s="200"/>
      <c r="BZ366" s="200"/>
      <c r="CA366" s="200"/>
      <c r="CB366" s="200"/>
      <c r="CC366" s="200"/>
      <c r="CD366" s="200"/>
      <c r="CE366" s="200"/>
      <c r="CF366" s="200"/>
      <c r="CG366" s="200"/>
      <c r="CH366" s="200"/>
      <c r="CI366" s="200"/>
      <c r="CJ366" s="200"/>
      <c r="CK366" s="200"/>
      <c r="CL366" s="200"/>
      <c r="CM366" s="200"/>
      <c r="CN366" s="200"/>
      <c r="CO366" s="200"/>
      <c r="CP366" s="200"/>
      <c r="CQ366" s="200"/>
      <c r="CR366" s="200"/>
      <c r="CS366" s="200"/>
      <c r="CT366" s="200"/>
      <c r="CU366" s="200"/>
      <c r="CV366" s="200"/>
      <c r="CW366" s="200"/>
      <c r="CX366" s="200"/>
      <c r="CY366" s="200"/>
      <c r="CZ366" s="200"/>
      <c r="DA366" s="200"/>
      <c r="DB366" s="200"/>
      <c r="DC366" s="200"/>
      <c r="DD366" s="200"/>
      <c r="DE366" s="200"/>
      <c r="DF366" s="200"/>
      <c r="DG366" s="200"/>
      <c r="DH366" s="200"/>
      <c r="DI366" s="200"/>
      <c r="DJ366" s="200"/>
      <c r="DK366" s="200"/>
      <c r="DL366" s="200"/>
      <c r="DM366" s="200"/>
      <c r="DN366" s="200"/>
      <c r="DO366" s="200"/>
      <c r="DP366" s="200"/>
      <c r="DQ366" s="200"/>
      <c r="DR366" s="200"/>
      <c r="DS366" s="200"/>
      <c r="DT366" s="200"/>
      <c r="DU366" s="200"/>
      <c r="DV366" s="200"/>
      <c r="DW366" s="200"/>
      <c r="DX366" s="200"/>
      <c r="DY366" s="200"/>
      <c r="DZ366" s="200"/>
      <c r="EA366" s="200"/>
      <c r="EB366" s="200"/>
      <c r="EC366" s="200"/>
      <c r="ED366" s="200"/>
      <c r="EE366" s="200"/>
      <c r="EF366" s="200"/>
      <c r="EG366" s="200"/>
      <c r="EH366" s="200"/>
      <c r="EI366" s="200"/>
      <c r="EJ366" s="200"/>
      <c r="EK366" s="200"/>
      <c r="EL366" s="200"/>
      <c r="EM366" s="200"/>
      <c r="EN366" s="200"/>
      <c r="EO366" s="200"/>
      <c r="EP366" s="200"/>
      <c r="EQ366" s="200"/>
      <c r="ER366" s="200"/>
      <c r="ES366" s="200"/>
      <c r="ET366" s="200"/>
      <c r="EU366" s="200"/>
      <c r="EV366" s="200"/>
      <c r="EW366" s="200"/>
      <c r="EX366" s="200"/>
      <c r="EY366" s="200"/>
      <c r="EZ366" s="200"/>
      <c r="FA366" s="200"/>
      <c r="FB366" s="200"/>
      <c r="FC366" s="200"/>
      <c r="FD366" s="200"/>
      <c r="FE366" s="200"/>
      <c r="FF366" s="200"/>
      <c r="FG366" s="200"/>
      <c r="FH366" s="200"/>
      <c r="FI366" s="200"/>
      <c r="FJ366" s="200"/>
      <c r="FK366" s="200"/>
      <c r="FL366" s="200"/>
      <c r="FM366" s="200"/>
      <c r="FN366" s="200"/>
      <c r="FO366" s="200"/>
      <c r="FP366" s="200"/>
      <c r="FQ366" s="200"/>
      <c r="FR366" s="200"/>
      <c r="FS366" s="200"/>
      <c r="FT366" s="200"/>
      <c r="FU366" s="200"/>
      <c r="FV366" s="200"/>
      <c r="FW366" s="200"/>
      <c r="FX366" s="200"/>
      <c r="FY366" s="200"/>
      <c r="FZ366" s="200"/>
      <c r="GA366" s="200"/>
      <c r="GB366" s="200"/>
      <c r="GC366" s="200"/>
      <c r="GD366" s="200"/>
      <c r="GE366" s="200"/>
      <c r="GF366" s="200"/>
      <c r="GG366" s="200"/>
      <c r="GH366" s="200"/>
      <c r="GI366" s="200"/>
      <c r="GJ366" s="200"/>
      <c r="GK366" s="200"/>
      <c r="GL366" s="200"/>
      <c r="GM366" s="200"/>
      <c r="GN366" s="200"/>
      <c r="GO366" s="200"/>
      <c r="GP366" s="200"/>
      <c r="GQ366" s="200"/>
      <c r="GR366" s="200"/>
      <c r="GS366" s="200"/>
      <c r="GT366" s="200"/>
      <c r="GU366" s="200"/>
      <c r="GV366" s="200"/>
      <c r="GW366" s="200"/>
      <c r="GX366" s="200"/>
      <c r="GY366" s="200"/>
      <c r="GZ366" s="200"/>
      <c r="HA366" s="200"/>
      <c r="HB366" s="200"/>
      <c r="HC366" s="200"/>
      <c r="HD366" s="200"/>
      <c r="HE366" s="200"/>
      <c r="HF366" s="200"/>
      <c r="HG366" s="200"/>
      <c r="HH366" s="200"/>
      <c r="HI366" s="200"/>
      <c r="HJ366" s="200"/>
      <c r="HK366" s="200"/>
      <c r="HL366" s="200"/>
      <c r="HM366" s="200"/>
      <c r="HN366" s="200"/>
      <c r="HO366" s="200"/>
      <c r="HP366" s="200"/>
      <c r="HQ366" s="200"/>
      <c r="HR366" s="200"/>
      <c r="HS366" s="200"/>
      <c r="HT366" s="200"/>
      <c r="HU366" s="200"/>
      <c r="HV366" s="200"/>
      <c r="HW366" s="200"/>
      <c r="HX366" s="200"/>
      <c r="HY366" s="200"/>
      <c r="HZ366" s="200"/>
      <c r="IA366" s="200"/>
      <c r="IB366" s="200"/>
      <c r="IC366" s="200"/>
      <c r="ID366" s="200"/>
      <c r="IE366" s="200"/>
      <c r="IF366" s="200"/>
      <c r="IG366" s="200"/>
      <c r="IH366" s="200"/>
      <c r="II366" s="200"/>
      <c r="IJ366" s="200"/>
      <c r="IK366" s="200"/>
      <c r="IL366" s="200"/>
      <c r="IM366" s="200"/>
      <c r="IN366" s="200"/>
      <c r="IO366" s="200"/>
      <c r="IP366" s="200"/>
      <c r="IQ366" s="200"/>
      <c r="IR366" s="200"/>
      <c r="IS366" s="200"/>
      <c r="IT366" s="200"/>
      <c r="IU366" s="201"/>
      <c r="IV366" s="201"/>
    </row>
    <row r="367" s="10" customFormat="1" ht="15.95" customHeight="1" spans="1:256">
      <c r="A367" s="199">
        <v>37</v>
      </c>
      <c r="B367" s="20" t="s">
        <v>2354</v>
      </c>
      <c r="C367" s="20" t="s">
        <v>2355</v>
      </c>
      <c r="D367" s="199">
        <v>8037</v>
      </c>
      <c r="E367" s="199">
        <f>'05版台时'!Q593</f>
        <v>17.7317753002458</v>
      </c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  <c r="AA367" s="200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200"/>
      <c r="BB367" s="200"/>
      <c r="BC367" s="200"/>
      <c r="BD367" s="200"/>
      <c r="BE367" s="200"/>
      <c r="BF367" s="200"/>
      <c r="BG367" s="200"/>
      <c r="BH367" s="200"/>
      <c r="BI367" s="200"/>
      <c r="BJ367" s="200"/>
      <c r="BK367" s="200"/>
      <c r="BL367" s="200"/>
      <c r="BM367" s="200"/>
      <c r="BN367" s="200"/>
      <c r="BO367" s="200"/>
      <c r="BP367" s="200"/>
      <c r="BQ367" s="200"/>
      <c r="BR367" s="200"/>
      <c r="BS367" s="200"/>
      <c r="BT367" s="200"/>
      <c r="BU367" s="200"/>
      <c r="BV367" s="200"/>
      <c r="BW367" s="200"/>
      <c r="BX367" s="200"/>
      <c r="BY367" s="200"/>
      <c r="BZ367" s="200"/>
      <c r="CA367" s="200"/>
      <c r="CB367" s="200"/>
      <c r="CC367" s="200"/>
      <c r="CD367" s="200"/>
      <c r="CE367" s="200"/>
      <c r="CF367" s="200"/>
      <c r="CG367" s="200"/>
      <c r="CH367" s="200"/>
      <c r="CI367" s="200"/>
      <c r="CJ367" s="200"/>
      <c r="CK367" s="200"/>
      <c r="CL367" s="200"/>
      <c r="CM367" s="200"/>
      <c r="CN367" s="200"/>
      <c r="CO367" s="200"/>
      <c r="CP367" s="200"/>
      <c r="CQ367" s="200"/>
      <c r="CR367" s="200"/>
      <c r="CS367" s="200"/>
      <c r="CT367" s="200"/>
      <c r="CU367" s="200"/>
      <c r="CV367" s="200"/>
      <c r="CW367" s="200"/>
      <c r="CX367" s="200"/>
      <c r="CY367" s="200"/>
      <c r="CZ367" s="200"/>
      <c r="DA367" s="200"/>
      <c r="DB367" s="200"/>
      <c r="DC367" s="200"/>
      <c r="DD367" s="200"/>
      <c r="DE367" s="200"/>
      <c r="DF367" s="200"/>
      <c r="DG367" s="200"/>
      <c r="DH367" s="200"/>
      <c r="DI367" s="200"/>
      <c r="DJ367" s="200"/>
      <c r="DK367" s="200"/>
      <c r="DL367" s="200"/>
      <c r="DM367" s="200"/>
      <c r="DN367" s="200"/>
      <c r="DO367" s="200"/>
      <c r="DP367" s="200"/>
      <c r="DQ367" s="200"/>
      <c r="DR367" s="200"/>
      <c r="DS367" s="200"/>
      <c r="DT367" s="200"/>
      <c r="DU367" s="200"/>
      <c r="DV367" s="200"/>
      <c r="DW367" s="200"/>
      <c r="DX367" s="200"/>
      <c r="DY367" s="200"/>
      <c r="DZ367" s="200"/>
      <c r="EA367" s="200"/>
      <c r="EB367" s="200"/>
      <c r="EC367" s="200"/>
      <c r="ED367" s="200"/>
      <c r="EE367" s="200"/>
      <c r="EF367" s="200"/>
      <c r="EG367" s="200"/>
      <c r="EH367" s="200"/>
      <c r="EI367" s="200"/>
      <c r="EJ367" s="200"/>
      <c r="EK367" s="200"/>
      <c r="EL367" s="200"/>
      <c r="EM367" s="200"/>
      <c r="EN367" s="200"/>
      <c r="EO367" s="200"/>
      <c r="EP367" s="200"/>
      <c r="EQ367" s="200"/>
      <c r="ER367" s="200"/>
      <c r="ES367" s="200"/>
      <c r="ET367" s="200"/>
      <c r="EU367" s="200"/>
      <c r="EV367" s="200"/>
      <c r="EW367" s="200"/>
      <c r="EX367" s="200"/>
      <c r="EY367" s="200"/>
      <c r="EZ367" s="200"/>
      <c r="FA367" s="200"/>
      <c r="FB367" s="200"/>
      <c r="FC367" s="200"/>
      <c r="FD367" s="200"/>
      <c r="FE367" s="200"/>
      <c r="FF367" s="200"/>
      <c r="FG367" s="200"/>
      <c r="FH367" s="200"/>
      <c r="FI367" s="200"/>
      <c r="FJ367" s="200"/>
      <c r="FK367" s="200"/>
      <c r="FL367" s="200"/>
      <c r="FM367" s="200"/>
      <c r="FN367" s="200"/>
      <c r="FO367" s="200"/>
      <c r="FP367" s="200"/>
      <c r="FQ367" s="200"/>
      <c r="FR367" s="200"/>
      <c r="FS367" s="200"/>
      <c r="FT367" s="200"/>
      <c r="FU367" s="200"/>
      <c r="FV367" s="200"/>
      <c r="FW367" s="200"/>
      <c r="FX367" s="200"/>
      <c r="FY367" s="200"/>
      <c r="FZ367" s="200"/>
      <c r="GA367" s="200"/>
      <c r="GB367" s="200"/>
      <c r="GC367" s="200"/>
      <c r="GD367" s="200"/>
      <c r="GE367" s="200"/>
      <c r="GF367" s="200"/>
      <c r="GG367" s="200"/>
      <c r="GH367" s="200"/>
      <c r="GI367" s="200"/>
      <c r="GJ367" s="200"/>
      <c r="GK367" s="200"/>
      <c r="GL367" s="200"/>
      <c r="GM367" s="200"/>
      <c r="GN367" s="200"/>
      <c r="GO367" s="200"/>
      <c r="GP367" s="200"/>
      <c r="GQ367" s="200"/>
      <c r="GR367" s="200"/>
      <c r="GS367" s="200"/>
      <c r="GT367" s="200"/>
      <c r="GU367" s="200"/>
      <c r="GV367" s="200"/>
      <c r="GW367" s="200"/>
      <c r="GX367" s="200"/>
      <c r="GY367" s="200"/>
      <c r="GZ367" s="200"/>
      <c r="HA367" s="200"/>
      <c r="HB367" s="200"/>
      <c r="HC367" s="200"/>
      <c r="HD367" s="200"/>
      <c r="HE367" s="200"/>
      <c r="HF367" s="200"/>
      <c r="HG367" s="200"/>
      <c r="HH367" s="200"/>
      <c r="HI367" s="200"/>
      <c r="HJ367" s="200"/>
      <c r="HK367" s="200"/>
      <c r="HL367" s="200"/>
      <c r="HM367" s="200"/>
      <c r="HN367" s="200"/>
      <c r="HO367" s="200"/>
      <c r="HP367" s="200"/>
      <c r="HQ367" s="200"/>
      <c r="HR367" s="200"/>
      <c r="HS367" s="200"/>
      <c r="HT367" s="200"/>
      <c r="HU367" s="200"/>
      <c r="HV367" s="200"/>
      <c r="HW367" s="200"/>
      <c r="HX367" s="200"/>
      <c r="HY367" s="200"/>
      <c r="HZ367" s="200"/>
      <c r="IA367" s="200"/>
      <c r="IB367" s="200"/>
      <c r="IC367" s="200"/>
      <c r="ID367" s="200"/>
      <c r="IE367" s="200"/>
      <c r="IF367" s="200"/>
      <c r="IG367" s="200"/>
      <c r="IH367" s="200"/>
      <c r="II367" s="200"/>
      <c r="IJ367" s="200"/>
      <c r="IK367" s="200"/>
      <c r="IL367" s="200"/>
      <c r="IM367" s="200"/>
      <c r="IN367" s="200"/>
      <c r="IO367" s="200"/>
      <c r="IP367" s="200"/>
      <c r="IQ367" s="200"/>
      <c r="IR367" s="200"/>
      <c r="IS367" s="200"/>
      <c r="IT367" s="200"/>
      <c r="IU367" s="201"/>
      <c r="IV367" s="201"/>
    </row>
    <row r="368" s="10" customFormat="1" ht="15.95" customHeight="1" spans="1:256">
      <c r="A368" s="199">
        <v>38</v>
      </c>
      <c r="B368" s="20" t="s">
        <v>2354</v>
      </c>
      <c r="C368" s="20" t="s">
        <v>2356</v>
      </c>
      <c r="D368" s="199">
        <v>8038</v>
      </c>
      <c r="E368" s="199">
        <f>'05版台时'!R593</f>
        <v>22.0155511279283</v>
      </c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00"/>
      <c r="AD368" s="200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  <c r="BD368" s="200"/>
      <c r="BE368" s="200"/>
      <c r="BF368" s="200"/>
      <c r="BG368" s="200"/>
      <c r="BH368" s="200"/>
      <c r="BI368" s="200"/>
      <c r="BJ368" s="200"/>
      <c r="BK368" s="200"/>
      <c r="BL368" s="200"/>
      <c r="BM368" s="200"/>
      <c r="BN368" s="200"/>
      <c r="BO368" s="200"/>
      <c r="BP368" s="200"/>
      <c r="BQ368" s="200"/>
      <c r="BR368" s="200"/>
      <c r="BS368" s="200"/>
      <c r="BT368" s="200"/>
      <c r="BU368" s="200"/>
      <c r="BV368" s="200"/>
      <c r="BW368" s="200"/>
      <c r="BX368" s="200"/>
      <c r="BY368" s="200"/>
      <c r="BZ368" s="200"/>
      <c r="CA368" s="200"/>
      <c r="CB368" s="200"/>
      <c r="CC368" s="200"/>
      <c r="CD368" s="200"/>
      <c r="CE368" s="200"/>
      <c r="CF368" s="200"/>
      <c r="CG368" s="200"/>
      <c r="CH368" s="200"/>
      <c r="CI368" s="200"/>
      <c r="CJ368" s="200"/>
      <c r="CK368" s="200"/>
      <c r="CL368" s="200"/>
      <c r="CM368" s="200"/>
      <c r="CN368" s="200"/>
      <c r="CO368" s="200"/>
      <c r="CP368" s="200"/>
      <c r="CQ368" s="200"/>
      <c r="CR368" s="200"/>
      <c r="CS368" s="200"/>
      <c r="CT368" s="200"/>
      <c r="CU368" s="200"/>
      <c r="CV368" s="200"/>
      <c r="CW368" s="200"/>
      <c r="CX368" s="200"/>
      <c r="CY368" s="200"/>
      <c r="CZ368" s="200"/>
      <c r="DA368" s="200"/>
      <c r="DB368" s="200"/>
      <c r="DC368" s="200"/>
      <c r="DD368" s="200"/>
      <c r="DE368" s="200"/>
      <c r="DF368" s="200"/>
      <c r="DG368" s="200"/>
      <c r="DH368" s="200"/>
      <c r="DI368" s="200"/>
      <c r="DJ368" s="200"/>
      <c r="DK368" s="200"/>
      <c r="DL368" s="200"/>
      <c r="DM368" s="200"/>
      <c r="DN368" s="200"/>
      <c r="DO368" s="200"/>
      <c r="DP368" s="200"/>
      <c r="DQ368" s="200"/>
      <c r="DR368" s="200"/>
      <c r="DS368" s="200"/>
      <c r="DT368" s="200"/>
      <c r="DU368" s="200"/>
      <c r="DV368" s="200"/>
      <c r="DW368" s="200"/>
      <c r="DX368" s="200"/>
      <c r="DY368" s="200"/>
      <c r="DZ368" s="200"/>
      <c r="EA368" s="200"/>
      <c r="EB368" s="200"/>
      <c r="EC368" s="200"/>
      <c r="ED368" s="200"/>
      <c r="EE368" s="200"/>
      <c r="EF368" s="200"/>
      <c r="EG368" s="200"/>
      <c r="EH368" s="200"/>
      <c r="EI368" s="200"/>
      <c r="EJ368" s="200"/>
      <c r="EK368" s="200"/>
      <c r="EL368" s="200"/>
      <c r="EM368" s="200"/>
      <c r="EN368" s="200"/>
      <c r="EO368" s="200"/>
      <c r="EP368" s="200"/>
      <c r="EQ368" s="200"/>
      <c r="ER368" s="200"/>
      <c r="ES368" s="200"/>
      <c r="ET368" s="200"/>
      <c r="EU368" s="200"/>
      <c r="EV368" s="200"/>
      <c r="EW368" s="200"/>
      <c r="EX368" s="200"/>
      <c r="EY368" s="200"/>
      <c r="EZ368" s="200"/>
      <c r="FA368" s="200"/>
      <c r="FB368" s="200"/>
      <c r="FC368" s="200"/>
      <c r="FD368" s="200"/>
      <c r="FE368" s="200"/>
      <c r="FF368" s="200"/>
      <c r="FG368" s="200"/>
      <c r="FH368" s="200"/>
      <c r="FI368" s="200"/>
      <c r="FJ368" s="200"/>
      <c r="FK368" s="200"/>
      <c r="FL368" s="200"/>
      <c r="FM368" s="200"/>
      <c r="FN368" s="200"/>
      <c r="FO368" s="200"/>
      <c r="FP368" s="200"/>
      <c r="FQ368" s="200"/>
      <c r="FR368" s="200"/>
      <c r="FS368" s="200"/>
      <c r="FT368" s="200"/>
      <c r="FU368" s="200"/>
      <c r="FV368" s="200"/>
      <c r="FW368" s="200"/>
      <c r="FX368" s="200"/>
      <c r="FY368" s="200"/>
      <c r="FZ368" s="200"/>
      <c r="GA368" s="200"/>
      <c r="GB368" s="200"/>
      <c r="GC368" s="200"/>
      <c r="GD368" s="200"/>
      <c r="GE368" s="200"/>
      <c r="GF368" s="200"/>
      <c r="GG368" s="200"/>
      <c r="GH368" s="200"/>
      <c r="GI368" s="200"/>
      <c r="GJ368" s="200"/>
      <c r="GK368" s="200"/>
      <c r="GL368" s="200"/>
      <c r="GM368" s="200"/>
      <c r="GN368" s="200"/>
      <c r="GO368" s="200"/>
      <c r="GP368" s="200"/>
      <c r="GQ368" s="200"/>
      <c r="GR368" s="200"/>
      <c r="GS368" s="200"/>
      <c r="GT368" s="200"/>
      <c r="GU368" s="200"/>
      <c r="GV368" s="200"/>
      <c r="GW368" s="200"/>
      <c r="GX368" s="200"/>
      <c r="GY368" s="200"/>
      <c r="GZ368" s="200"/>
      <c r="HA368" s="200"/>
      <c r="HB368" s="200"/>
      <c r="HC368" s="200"/>
      <c r="HD368" s="200"/>
      <c r="HE368" s="200"/>
      <c r="HF368" s="200"/>
      <c r="HG368" s="200"/>
      <c r="HH368" s="200"/>
      <c r="HI368" s="200"/>
      <c r="HJ368" s="200"/>
      <c r="HK368" s="200"/>
      <c r="HL368" s="200"/>
      <c r="HM368" s="200"/>
      <c r="HN368" s="200"/>
      <c r="HO368" s="200"/>
      <c r="HP368" s="200"/>
      <c r="HQ368" s="200"/>
      <c r="HR368" s="200"/>
      <c r="HS368" s="200"/>
      <c r="HT368" s="200"/>
      <c r="HU368" s="200"/>
      <c r="HV368" s="200"/>
      <c r="HW368" s="200"/>
      <c r="HX368" s="200"/>
      <c r="HY368" s="200"/>
      <c r="HZ368" s="200"/>
      <c r="IA368" s="200"/>
      <c r="IB368" s="200"/>
      <c r="IC368" s="200"/>
      <c r="ID368" s="200"/>
      <c r="IE368" s="200"/>
      <c r="IF368" s="200"/>
      <c r="IG368" s="200"/>
      <c r="IH368" s="200"/>
      <c r="II368" s="200"/>
      <c r="IJ368" s="200"/>
      <c r="IK368" s="200"/>
      <c r="IL368" s="200"/>
      <c r="IM368" s="200"/>
      <c r="IN368" s="200"/>
      <c r="IO368" s="200"/>
      <c r="IP368" s="200"/>
      <c r="IQ368" s="200"/>
      <c r="IR368" s="200"/>
      <c r="IS368" s="200"/>
      <c r="IT368" s="200"/>
      <c r="IU368" s="201"/>
      <c r="IV368" s="201"/>
    </row>
    <row r="369" s="10" customFormat="1" ht="15.95" customHeight="1" spans="1:256">
      <c r="A369" s="199">
        <v>39</v>
      </c>
      <c r="B369" s="20" t="s">
        <v>2354</v>
      </c>
      <c r="C369" s="20" t="s">
        <v>2357</v>
      </c>
      <c r="D369" s="199">
        <v>8039</v>
      </c>
      <c r="E369" s="199">
        <f>'05版台时'!S593</f>
        <v>37.319594207306</v>
      </c>
      <c r="F369" s="200"/>
      <c r="G369" s="200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  <c r="AA369" s="200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  <c r="BD369" s="200"/>
      <c r="BE369" s="200"/>
      <c r="BF369" s="200"/>
      <c r="BG369" s="200"/>
      <c r="BH369" s="200"/>
      <c r="BI369" s="200"/>
      <c r="BJ369" s="200"/>
      <c r="BK369" s="200"/>
      <c r="BL369" s="200"/>
      <c r="BM369" s="200"/>
      <c r="BN369" s="200"/>
      <c r="BO369" s="200"/>
      <c r="BP369" s="200"/>
      <c r="BQ369" s="200"/>
      <c r="BR369" s="200"/>
      <c r="BS369" s="200"/>
      <c r="BT369" s="200"/>
      <c r="BU369" s="200"/>
      <c r="BV369" s="200"/>
      <c r="BW369" s="200"/>
      <c r="BX369" s="200"/>
      <c r="BY369" s="200"/>
      <c r="BZ369" s="200"/>
      <c r="CA369" s="200"/>
      <c r="CB369" s="200"/>
      <c r="CC369" s="200"/>
      <c r="CD369" s="200"/>
      <c r="CE369" s="200"/>
      <c r="CF369" s="200"/>
      <c r="CG369" s="200"/>
      <c r="CH369" s="200"/>
      <c r="CI369" s="200"/>
      <c r="CJ369" s="200"/>
      <c r="CK369" s="200"/>
      <c r="CL369" s="200"/>
      <c r="CM369" s="200"/>
      <c r="CN369" s="200"/>
      <c r="CO369" s="200"/>
      <c r="CP369" s="200"/>
      <c r="CQ369" s="200"/>
      <c r="CR369" s="200"/>
      <c r="CS369" s="200"/>
      <c r="CT369" s="200"/>
      <c r="CU369" s="200"/>
      <c r="CV369" s="200"/>
      <c r="CW369" s="200"/>
      <c r="CX369" s="200"/>
      <c r="CY369" s="200"/>
      <c r="CZ369" s="200"/>
      <c r="DA369" s="200"/>
      <c r="DB369" s="200"/>
      <c r="DC369" s="200"/>
      <c r="DD369" s="200"/>
      <c r="DE369" s="200"/>
      <c r="DF369" s="200"/>
      <c r="DG369" s="200"/>
      <c r="DH369" s="200"/>
      <c r="DI369" s="200"/>
      <c r="DJ369" s="200"/>
      <c r="DK369" s="200"/>
      <c r="DL369" s="200"/>
      <c r="DM369" s="200"/>
      <c r="DN369" s="200"/>
      <c r="DO369" s="200"/>
      <c r="DP369" s="200"/>
      <c r="DQ369" s="200"/>
      <c r="DR369" s="200"/>
      <c r="DS369" s="200"/>
      <c r="DT369" s="200"/>
      <c r="DU369" s="200"/>
      <c r="DV369" s="200"/>
      <c r="DW369" s="200"/>
      <c r="DX369" s="200"/>
      <c r="DY369" s="200"/>
      <c r="DZ369" s="200"/>
      <c r="EA369" s="200"/>
      <c r="EB369" s="200"/>
      <c r="EC369" s="200"/>
      <c r="ED369" s="200"/>
      <c r="EE369" s="200"/>
      <c r="EF369" s="200"/>
      <c r="EG369" s="200"/>
      <c r="EH369" s="200"/>
      <c r="EI369" s="200"/>
      <c r="EJ369" s="200"/>
      <c r="EK369" s="200"/>
      <c r="EL369" s="200"/>
      <c r="EM369" s="200"/>
      <c r="EN369" s="200"/>
      <c r="EO369" s="200"/>
      <c r="EP369" s="200"/>
      <c r="EQ369" s="200"/>
      <c r="ER369" s="200"/>
      <c r="ES369" s="200"/>
      <c r="ET369" s="200"/>
      <c r="EU369" s="200"/>
      <c r="EV369" s="200"/>
      <c r="EW369" s="200"/>
      <c r="EX369" s="200"/>
      <c r="EY369" s="200"/>
      <c r="EZ369" s="200"/>
      <c r="FA369" s="200"/>
      <c r="FB369" s="200"/>
      <c r="FC369" s="200"/>
      <c r="FD369" s="200"/>
      <c r="FE369" s="200"/>
      <c r="FF369" s="200"/>
      <c r="FG369" s="200"/>
      <c r="FH369" s="200"/>
      <c r="FI369" s="200"/>
      <c r="FJ369" s="200"/>
      <c r="FK369" s="200"/>
      <c r="FL369" s="200"/>
      <c r="FM369" s="200"/>
      <c r="FN369" s="200"/>
      <c r="FO369" s="200"/>
      <c r="FP369" s="200"/>
      <c r="FQ369" s="200"/>
      <c r="FR369" s="200"/>
      <c r="FS369" s="200"/>
      <c r="FT369" s="200"/>
      <c r="FU369" s="200"/>
      <c r="FV369" s="200"/>
      <c r="FW369" s="200"/>
      <c r="FX369" s="200"/>
      <c r="FY369" s="200"/>
      <c r="FZ369" s="200"/>
      <c r="GA369" s="200"/>
      <c r="GB369" s="200"/>
      <c r="GC369" s="200"/>
      <c r="GD369" s="200"/>
      <c r="GE369" s="200"/>
      <c r="GF369" s="200"/>
      <c r="GG369" s="200"/>
      <c r="GH369" s="200"/>
      <c r="GI369" s="200"/>
      <c r="GJ369" s="200"/>
      <c r="GK369" s="200"/>
      <c r="GL369" s="200"/>
      <c r="GM369" s="200"/>
      <c r="GN369" s="200"/>
      <c r="GO369" s="200"/>
      <c r="GP369" s="200"/>
      <c r="GQ369" s="200"/>
      <c r="GR369" s="200"/>
      <c r="GS369" s="200"/>
      <c r="GT369" s="200"/>
      <c r="GU369" s="200"/>
      <c r="GV369" s="200"/>
      <c r="GW369" s="200"/>
      <c r="GX369" s="200"/>
      <c r="GY369" s="200"/>
      <c r="GZ369" s="200"/>
      <c r="HA369" s="200"/>
      <c r="HB369" s="200"/>
      <c r="HC369" s="200"/>
      <c r="HD369" s="200"/>
      <c r="HE369" s="200"/>
      <c r="HF369" s="200"/>
      <c r="HG369" s="200"/>
      <c r="HH369" s="200"/>
      <c r="HI369" s="200"/>
      <c r="HJ369" s="200"/>
      <c r="HK369" s="200"/>
      <c r="HL369" s="200"/>
      <c r="HM369" s="200"/>
      <c r="HN369" s="200"/>
      <c r="HO369" s="200"/>
      <c r="HP369" s="200"/>
      <c r="HQ369" s="200"/>
      <c r="HR369" s="200"/>
      <c r="HS369" s="200"/>
      <c r="HT369" s="200"/>
      <c r="HU369" s="200"/>
      <c r="HV369" s="200"/>
      <c r="HW369" s="200"/>
      <c r="HX369" s="200"/>
      <c r="HY369" s="200"/>
      <c r="HZ369" s="200"/>
      <c r="IA369" s="200"/>
      <c r="IB369" s="200"/>
      <c r="IC369" s="200"/>
      <c r="ID369" s="200"/>
      <c r="IE369" s="200"/>
      <c r="IF369" s="200"/>
      <c r="IG369" s="200"/>
      <c r="IH369" s="200"/>
      <c r="II369" s="200"/>
      <c r="IJ369" s="200"/>
      <c r="IK369" s="200"/>
      <c r="IL369" s="200"/>
      <c r="IM369" s="200"/>
      <c r="IN369" s="200"/>
      <c r="IO369" s="200"/>
      <c r="IP369" s="200"/>
      <c r="IQ369" s="200"/>
      <c r="IR369" s="200"/>
      <c r="IS369" s="200"/>
      <c r="IT369" s="200"/>
      <c r="IU369" s="201"/>
      <c r="IV369" s="201"/>
    </row>
    <row r="370" s="10" customFormat="1" ht="15.95" customHeight="1" spans="1:256">
      <c r="A370" s="199">
        <v>40</v>
      </c>
      <c r="B370" s="20" t="s">
        <v>2358</v>
      </c>
      <c r="C370" s="20" t="s">
        <v>2359</v>
      </c>
      <c r="D370" s="199">
        <v>8040</v>
      </c>
      <c r="E370" s="199">
        <f>'05版台时'!T593</f>
        <v>31.4505666843703</v>
      </c>
      <c r="F370" s="200"/>
      <c r="G370" s="200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0"/>
      <c r="AD370" s="200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200"/>
      <c r="BD370" s="200"/>
      <c r="BE370" s="200"/>
      <c r="BF370" s="200"/>
      <c r="BG370" s="200"/>
      <c r="BH370" s="200"/>
      <c r="BI370" s="200"/>
      <c r="BJ370" s="200"/>
      <c r="BK370" s="200"/>
      <c r="BL370" s="200"/>
      <c r="BM370" s="200"/>
      <c r="BN370" s="200"/>
      <c r="BO370" s="200"/>
      <c r="BP370" s="200"/>
      <c r="BQ370" s="200"/>
      <c r="BR370" s="200"/>
      <c r="BS370" s="200"/>
      <c r="BT370" s="200"/>
      <c r="BU370" s="200"/>
      <c r="BV370" s="200"/>
      <c r="BW370" s="200"/>
      <c r="BX370" s="200"/>
      <c r="BY370" s="200"/>
      <c r="BZ370" s="200"/>
      <c r="CA370" s="200"/>
      <c r="CB370" s="200"/>
      <c r="CC370" s="200"/>
      <c r="CD370" s="200"/>
      <c r="CE370" s="200"/>
      <c r="CF370" s="200"/>
      <c r="CG370" s="200"/>
      <c r="CH370" s="200"/>
      <c r="CI370" s="200"/>
      <c r="CJ370" s="200"/>
      <c r="CK370" s="200"/>
      <c r="CL370" s="200"/>
      <c r="CM370" s="200"/>
      <c r="CN370" s="200"/>
      <c r="CO370" s="200"/>
      <c r="CP370" s="200"/>
      <c r="CQ370" s="200"/>
      <c r="CR370" s="200"/>
      <c r="CS370" s="200"/>
      <c r="CT370" s="200"/>
      <c r="CU370" s="200"/>
      <c r="CV370" s="200"/>
      <c r="CW370" s="200"/>
      <c r="CX370" s="200"/>
      <c r="CY370" s="200"/>
      <c r="CZ370" s="200"/>
      <c r="DA370" s="200"/>
      <c r="DB370" s="200"/>
      <c r="DC370" s="200"/>
      <c r="DD370" s="200"/>
      <c r="DE370" s="200"/>
      <c r="DF370" s="200"/>
      <c r="DG370" s="200"/>
      <c r="DH370" s="200"/>
      <c r="DI370" s="200"/>
      <c r="DJ370" s="200"/>
      <c r="DK370" s="200"/>
      <c r="DL370" s="200"/>
      <c r="DM370" s="200"/>
      <c r="DN370" s="200"/>
      <c r="DO370" s="200"/>
      <c r="DP370" s="200"/>
      <c r="DQ370" s="200"/>
      <c r="DR370" s="200"/>
      <c r="DS370" s="200"/>
      <c r="DT370" s="200"/>
      <c r="DU370" s="200"/>
      <c r="DV370" s="200"/>
      <c r="DW370" s="200"/>
      <c r="DX370" s="200"/>
      <c r="DY370" s="200"/>
      <c r="DZ370" s="200"/>
      <c r="EA370" s="200"/>
      <c r="EB370" s="200"/>
      <c r="EC370" s="200"/>
      <c r="ED370" s="200"/>
      <c r="EE370" s="200"/>
      <c r="EF370" s="200"/>
      <c r="EG370" s="200"/>
      <c r="EH370" s="200"/>
      <c r="EI370" s="200"/>
      <c r="EJ370" s="200"/>
      <c r="EK370" s="200"/>
      <c r="EL370" s="200"/>
      <c r="EM370" s="200"/>
      <c r="EN370" s="200"/>
      <c r="EO370" s="200"/>
      <c r="EP370" s="200"/>
      <c r="EQ370" s="200"/>
      <c r="ER370" s="200"/>
      <c r="ES370" s="200"/>
      <c r="ET370" s="200"/>
      <c r="EU370" s="200"/>
      <c r="EV370" s="200"/>
      <c r="EW370" s="200"/>
      <c r="EX370" s="200"/>
      <c r="EY370" s="200"/>
      <c r="EZ370" s="200"/>
      <c r="FA370" s="200"/>
      <c r="FB370" s="200"/>
      <c r="FC370" s="200"/>
      <c r="FD370" s="200"/>
      <c r="FE370" s="200"/>
      <c r="FF370" s="200"/>
      <c r="FG370" s="200"/>
      <c r="FH370" s="200"/>
      <c r="FI370" s="200"/>
      <c r="FJ370" s="200"/>
      <c r="FK370" s="200"/>
      <c r="FL370" s="200"/>
      <c r="FM370" s="200"/>
      <c r="FN370" s="200"/>
      <c r="FO370" s="200"/>
      <c r="FP370" s="200"/>
      <c r="FQ370" s="200"/>
      <c r="FR370" s="200"/>
      <c r="FS370" s="200"/>
      <c r="FT370" s="200"/>
      <c r="FU370" s="200"/>
      <c r="FV370" s="200"/>
      <c r="FW370" s="200"/>
      <c r="FX370" s="200"/>
      <c r="FY370" s="200"/>
      <c r="FZ370" s="200"/>
      <c r="GA370" s="200"/>
      <c r="GB370" s="200"/>
      <c r="GC370" s="200"/>
      <c r="GD370" s="200"/>
      <c r="GE370" s="200"/>
      <c r="GF370" s="200"/>
      <c r="GG370" s="200"/>
      <c r="GH370" s="200"/>
      <c r="GI370" s="200"/>
      <c r="GJ370" s="200"/>
      <c r="GK370" s="200"/>
      <c r="GL370" s="200"/>
      <c r="GM370" s="200"/>
      <c r="GN370" s="200"/>
      <c r="GO370" s="200"/>
      <c r="GP370" s="200"/>
      <c r="GQ370" s="200"/>
      <c r="GR370" s="200"/>
      <c r="GS370" s="200"/>
      <c r="GT370" s="200"/>
      <c r="GU370" s="200"/>
      <c r="GV370" s="200"/>
      <c r="GW370" s="200"/>
      <c r="GX370" s="200"/>
      <c r="GY370" s="200"/>
      <c r="GZ370" s="200"/>
      <c r="HA370" s="200"/>
      <c r="HB370" s="200"/>
      <c r="HC370" s="200"/>
      <c r="HD370" s="200"/>
      <c r="HE370" s="200"/>
      <c r="HF370" s="200"/>
      <c r="HG370" s="200"/>
      <c r="HH370" s="200"/>
      <c r="HI370" s="200"/>
      <c r="HJ370" s="200"/>
      <c r="HK370" s="200"/>
      <c r="HL370" s="200"/>
      <c r="HM370" s="200"/>
      <c r="HN370" s="200"/>
      <c r="HO370" s="200"/>
      <c r="HP370" s="200"/>
      <c r="HQ370" s="200"/>
      <c r="HR370" s="200"/>
      <c r="HS370" s="200"/>
      <c r="HT370" s="200"/>
      <c r="HU370" s="200"/>
      <c r="HV370" s="200"/>
      <c r="HW370" s="200"/>
      <c r="HX370" s="200"/>
      <c r="HY370" s="200"/>
      <c r="HZ370" s="200"/>
      <c r="IA370" s="200"/>
      <c r="IB370" s="200"/>
      <c r="IC370" s="200"/>
      <c r="ID370" s="200"/>
      <c r="IE370" s="200"/>
      <c r="IF370" s="200"/>
      <c r="IG370" s="200"/>
      <c r="IH370" s="200"/>
      <c r="II370" s="200"/>
      <c r="IJ370" s="200"/>
      <c r="IK370" s="200"/>
      <c r="IL370" s="200"/>
      <c r="IM370" s="200"/>
      <c r="IN370" s="200"/>
      <c r="IO370" s="200"/>
      <c r="IP370" s="200"/>
      <c r="IQ370" s="200"/>
      <c r="IR370" s="200"/>
      <c r="IS370" s="200"/>
      <c r="IT370" s="200"/>
      <c r="IU370" s="201"/>
      <c r="IV370" s="201"/>
    </row>
    <row r="371" s="10" customFormat="1" ht="15.95" customHeight="1" spans="1:256">
      <c r="A371" s="199">
        <v>41</v>
      </c>
      <c r="B371" s="20" t="s">
        <v>2358</v>
      </c>
      <c r="C371" s="20" t="s">
        <v>2360</v>
      </c>
      <c r="D371" s="199">
        <v>8041</v>
      </c>
      <c r="E371" s="199">
        <f>'05版台时'!U593</f>
        <v>53.738170992308</v>
      </c>
      <c r="F371" s="200"/>
      <c r="G371" s="200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  <c r="AA371" s="200"/>
      <c r="AB371" s="200"/>
      <c r="AC371" s="200"/>
      <c r="AD371" s="200"/>
      <c r="AE371" s="200"/>
      <c r="AF371" s="200"/>
      <c r="AG371" s="200"/>
      <c r="AH371" s="200"/>
      <c r="AI371" s="200"/>
      <c r="AJ371" s="200"/>
      <c r="AK371" s="200"/>
      <c r="AL371" s="200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200"/>
      <c r="BD371" s="200"/>
      <c r="BE371" s="200"/>
      <c r="BF371" s="200"/>
      <c r="BG371" s="200"/>
      <c r="BH371" s="200"/>
      <c r="BI371" s="200"/>
      <c r="BJ371" s="200"/>
      <c r="BK371" s="200"/>
      <c r="BL371" s="200"/>
      <c r="BM371" s="200"/>
      <c r="BN371" s="200"/>
      <c r="BO371" s="200"/>
      <c r="BP371" s="200"/>
      <c r="BQ371" s="200"/>
      <c r="BR371" s="200"/>
      <c r="BS371" s="200"/>
      <c r="BT371" s="200"/>
      <c r="BU371" s="200"/>
      <c r="BV371" s="200"/>
      <c r="BW371" s="200"/>
      <c r="BX371" s="200"/>
      <c r="BY371" s="200"/>
      <c r="BZ371" s="200"/>
      <c r="CA371" s="200"/>
      <c r="CB371" s="200"/>
      <c r="CC371" s="200"/>
      <c r="CD371" s="200"/>
      <c r="CE371" s="200"/>
      <c r="CF371" s="200"/>
      <c r="CG371" s="200"/>
      <c r="CH371" s="200"/>
      <c r="CI371" s="200"/>
      <c r="CJ371" s="200"/>
      <c r="CK371" s="200"/>
      <c r="CL371" s="200"/>
      <c r="CM371" s="200"/>
      <c r="CN371" s="200"/>
      <c r="CO371" s="200"/>
      <c r="CP371" s="200"/>
      <c r="CQ371" s="200"/>
      <c r="CR371" s="200"/>
      <c r="CS371" s="200"/>
      <c r="CT371" s="200"/>
      <c r="CU371" s="200"/>
      <c r="CV371" s="200"/>
      <c r="CW371" s="200"/>
      <c r="CX371" s="200"/>
      <c r="CY371" s="200"/>
      <c r="CZ371" s="200"/>
      <c r="DA371" s="200"/>
      <c r="DB371" s="200"/>
      <c r="DC371" s="200"/>
      <c r="DD371" s="200"/>
      <c r="DE371" s="200"/>
      <c r="DF371" s="200"/>
      <c r="DG371" s="200"/>
      <c r="DH371" s="200"/>
      <c r="DI371" s="200"/>
      <c r="DJ371" s="200"/>
      <c r="DK371" s="200"/>
      <c r="DL371" s="200"/>
      <c r="DM371" s="200"/>
      <c r="DN371" s="200"/>
      <c r="DO371" s="200"/>
      <c r="DP371" s="200"/>
      <c r="DQ371" s="200"/>
      <c r="DR371" s="200"/>
      <c r="DS371" s="200"/>
      <c r="DT371" s="200"/>
      <c r="DU371" s="200"/>
      <c r="DV371" s="200"/>
      <c r="DW371" s="200"/>
      <c r="DX371" s="200"/>
      <c r="DY371" s="200"/>
      <c r="DZ371" s="200"/>
      <c r="EA371" s="200"/>
      <c r="EB371" s="200"/>
      <c r="EC371" s="200"/>
      <c r="ED371" s="200"/>
      <c r="EE371" s="200"/>
      <c r="EF371" s="200"/>
      <c r="EG371" s="200"/>
      <c r="EH371" s="200"/>
      <c r="EI371" s="200"/>
      <c r="EJ371" s="200"/>
      <c r="EK371" s="200"/>
      <c r="EL371" s="200"/>
      <c r="EM371" s="200"/>
      <c r="EN371" s="200"/>
      <c r="EO371" s="200"/>
      <c r="EP371" s="200"/>
      <c r="EQ371" s="200"/>
      <c r="ER371" s="200"/>
      <c r="ES371" s="200"/>
      <c r="ET371" s="200"/>
      <c r="EU371" s="200"/>
      <c r="EV371" s="200"/>
      <c r="EW371" s="200"/>
      <c r="EX371" s="200"/>
      <c r="EY371" s="200"/>
      <c r="EZ371" s="200"/>
      <c r="FA371" s="200"/>
      <c r="FB371" s="200"/>
      <c r="FC371" s="200"/>
      <c r="FD371" s="200"/>
      <c r="FE371" s="200"/>
      <c r="FF371" s="200"/>
      <c r="FG371" s="200"/>
      <c r="FH371" s="200"/>
      <c r="FI371" s="200"/>
      <c r="FJ371" s="200"/>
      <c r="FK371" s="200"/>
      <c r="FL371" s="200"/>
      <c r="FM371" s="200"/>
      <c r="FN371" s="200"/>
      <c r="FO371" s="200"/>
      <c r="FP371" s="200"/>
      <c r="FQ371" s="200"/>
      <c r="FR371" s="200"/>
      <c r="FS371" s="200"/>
      <c r="FT371" s="200"/>
      <c r="FU371" s="200"/>
      <c r="FV371" s="200"/>
      <c r="FW371" s="200"/>
      <c r="FX371" s="200"/>
      <c r="FY371" s="200"/>
      <c r="FZ371" s="200"/>
      <c r="GA371" s="200"/>
      <c r="GB371" s="200"/>
      <c r="GC371" s="200"/>
      <c r="GD371" s="200"/>
      <c r="GE371" s="200"/>
      <c r="GF371" s="200"/>
      <c r="GG371" s="200"/>
      <c r="GH371" s="200"/>
      <c r="GI371" s="200"/>
      <c r="GJ371" s="200"/>
      <c r="GK371" s="200"/>
      <c r="GL371" s="200"/>
      <c r="GM371" s="200"/>
      <c r="GN371" s="200"/>
      <c r="GO371" s="200"/>
      <c r="GP371" s="200"/>
      <c r="GQ371" s="200"/>
      <c r="GR371" s="200"/>
      <c r="GS371" s="200"/>
      <c r="GT371" s="200"/>
      <c r="GU371" s="200"/>
      <c r="GV371" s="200"/>
      <c r="GW371" s="200"/>
      <c r="GX371" s="200"/>
      <c r="GY371" s="200"/>
      <c r="GZ371" s="200"/>
      <c r="HA371" s="200"/>
      <c r="HB371" s="200"/>
      <c r="HC371" s="200"/>
      <c r="HD371" s="200"/>
      <c r="HE371" s="200"/>
      <c r="HF371" s="200"/>
      <c r="HG371" s="200"/>
      <c r="HH371" s="200"/>
      <c r="HI371" s="200"/>
      <c r="HJ371" s="200"/>
      <c r="HK371" s="200"/>
      <c r="HL371" s="200"/>
      <c r="HM371" s="200"/>
      <c r="HN371" s="200"/>
      <c r="HO371" s="200"/>
      <c r="HP371" s="200"/>
      <c r="HQ371" s="200"/>
      <c r="HR371" s="200"/>
      <c r="HS371" s="200"/>
      <c r="HT371" s="200"/>
      <c r="HU371" s="200"/>
      <c r="HV371" s="200"/>
      <c r="HW371" s="200"/>
      <c r="HX371" s="200"/>
      <c r="HY371" s="200"/>
      <c r="HZ371" s="200"/>
      <c r="IA371" s="200"/>
      <c r="IB371" s="200"/>
      <c r="IC371" s="200"/>
      <c r="ID371" s="200"/>
      <c r="IE371" s="200"/>
      <c r="IF371" s="200"/>
      <c r="IG371" s="200"/>
      <c r="IH371" s="200"/>
      <c r="II371" s="200"/>
      <c r="IJ371" s="200"/>
      <c r="IK371" s="200"/>
      <c r="IL371" s="200"/>
      <c r="IM371" s="200"/>
      <c r="IN371" s="200"/>
      <c r="IO371" s="200"/>
      <c r="IP371" s="200"/>
      <c r="IQ371" s="200"/>
      <c r="IR371" s="200"/>
      <c r="IS371" s="200"/>
      <c r="IT371" s="200"/>
      <c r="IU371" s="201"/>
      <c r="IV371" s="201"/>
    </row>
    <row r="372" s="10" customFormat="1" ht="15.95" customHeight="1" spans="1:256">
      <c r="A372" s="199">
        <v>42</v>
      </c>
      <c r="B372" s="20" t="s">
        <v>2358</v>
      </c>
      <c r="C372" s="20" t="s">
        <v>2361</v>
      </c>
      <c r="D372" s="199">
        <v>8042</v>
      </c>
      <c r="E372" s="199">
        <f>'05版台时'!V593</f>
        <v>66.9558516689378</v>
      </c>
      <c r="F372" s="200"/>
      <c r="G372" s="200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  <c r="AA372" s="200"/>
      <c r="AB372" s="200"/>
      <c r="AC372" s="200"/>
      <c r="AD372" s="200"/>
      <c r="AE372" s="200"/>
      <c r="AF372" s="200"/>
      <c r="AG372" s="200"/>
      <c r="AH372" s="200"/>
      <c r="AI372" s="200"/>
      <c r="AJ372" s="200"/>
      <c r="AK372" s="200"/>
      <c r="AL372" s="200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200"/>
      <c r="BD372" s="200"/>
      <c r="BE372" s="200"/>
      <c r="BF372" s="200"/>
      <c r="BG372" s="200"/>
      <c r="BH372" s="200"/>
      <c r="BI372" s="200"/>
      <c r="BJ372" s="200"/>
      <c r="BK372" s="200"/>
      <c r="BL372" s="200"/>
      <c r="BM372" s="200"/>
      <c r="BN372" s="200"/>
      <c r="BO372" s="200"/>
      <c r="BP372" s="200"/>
      <c r="BQ372" s="200"/>
      <c r="BR372" s="200"/>
      <c r="BS372" s="200"/>
      <c r="BT372" s="200"/>
      <c r="BU372" s="200"/>
      <c r="BV372" s="200"/>
      <c r="BW372" s="200"/>
      <c r="BX372" s="200"/>
      <c r="BY372" s="200"/>
      <c r="BZ372" s="200"/>
      <c r="CA372" s="200"/>
      <c r="CB372" s="200"/>
      <c r="CC372" s="200"/>
      <c r="CD372" s="200"/>
      <c r="CE372" s="200"/>
      <c r="CF372" s="200"/>
      <c r="CG372" s="200"/>
      <c r="CH372" s="200"/>
      <c r="CI372" s="200"/>
      <c r="CJ372" s="200"/>
      <c r="CK372" s="200"/>
      <c r="CL372" s="200"/>
      <c r="CM372" s="200"/>
      <c r="CN372" s="200"/>
      <c r="CO372" s="200"/>
      <c r="CP372" s="200"/>
      <c r="CQ372" s="200"/>
      <c r="CR372" s="200"/>
      <c r="CS372" s="200"/>
      <c r="CT372" s="200"/>
      <c r="CU372" s="200"/>
      <c r="CV372" s="200"/>
      <c r="CW372" s="200"/>
      <c r="CX372" s="200"/>
      <c r="CY372" s="200"/>
      <c r="CZ372" s="200"/>
      <c r="DA372" s="200"/>
      <c r="DB372" s="200"/>
      <c r="DC372" s="200"/>
      <c r="DD372" s="200"/>
      <c r="DE372" s="200"/>
      <c r="DF372" s="200"/>
      <c r="DG372" s="200"/>
      <c r="DH372" s="200"/>
      <c r="DI372" s="200"/>
      <c r="DJ372" s="200"/>
      <c r="DK372" s="200"/>
      <c r="DL372" s="200"/>
      <c r="DM372" s="200"/>
      <c r="DN372" s="200"/>
      <c r="DO372" s="200"/>
      <c r="DP372" s="200"/>
      <c r="DQ372" s="200"/>
      <c r="DR372" s="200"/>
      <c r="DS372" s="200"/>
      <c r="DT372" s="200"/>
      <c r="DU372" s="200"/>
      <c r="DV372" s="200"/>
      <c r="DW372" s="200"/>
      <c r="DX372" s="200"/>
      <c r="DY372" s="200"/>
      <c r="DZ372" s="200"/>
      <c r="EA372" s="200"/>
      <c r="EB372" s="200"/>
      <c r="EC372" s="200"/>
      <c r="ED372" s="200"/>
      <c r="EE372" s="200"/>
      <c r="EF372" s="200"/>
      <c r="EG372" s="200"/>
      <c r="EH372" s="200"/>
      <c r="EI372" s="200"/>
      <c r="EJ372" s="200"/>
      <c r="EK372" s="200"/>
      <c r="EL372" s="200"/>
      <c r="EM372" s="200"/>
      <c r="EN372" s="200"/>
      <c r="EO372" s="200"/>
      <c r="EP372" s="200"/>
      <c r="EQ372" s="200"/>
      <c r="ER372" s="200"/>
      <c r="ES372" s="200"/>
      <c r="ET372" s="200"/>
      <c r="EU372" s="200"/>
      <c r="EV372" s="200"/>
      <c r="EW372" s="200"/>
      <c r="EX372" s="200"/>
      <c r="EY372" s="200"/>
      <c r="EZ372" s="200"/>
      <c r="FA372" s="200"/>
      <c r="FB372" s="200"/>
      <c r="FC372" s="200"/>
      <c r="FD372" s="200"/>
      <c r="FE372" s="200"/>
      <c r="FF372" s="200"/>
      <c r="FG372" s="200"/>
      <c r="FH372" s="200"/>
      <c r="FI372" s="200"/>
      <c r="FJ372" s="200"/>
      <c r="FK372" s="200"/>
      <c r="FL372" s="200"/>
      <c r="FM372" s="200"/>
      <c r="FN372" s="200"/>
      <c r="FO372" s="200"/>
      <c r="FP372" s="200"/>
      <c r="FQ372" s="200"/>
      <c r="FR372" s="200"/>
      <c r="FS372" s="200"/>
      <c r="FT372" s="200"/>
      <c r="FU372" s="200"/>
      <c r="FV372" s="200"/>
      <c r="FW372" s="200"/>
      <c r="FX372" s="200"/>
      <c r="FY372" s="200"/>
      <c r="FZ372" s="200"/>
      <c r="GA372" s="200"/>
      <c r="GB372" s="200"/>
      <c r="GC372" s="200"/>
      <c r="GD372" s="200"/>
      <c r="GE372" s="200"/>
      <c r="GF372" s="200"/>
      <c r="GG372" s="200"/>
      <c r="GH372" s="200"/>
      <c r="GI372" s="200"/>
      <c r="GJ372" s="200"/>
      <c r="GK372" s="200"/>
      <c r="GL372" s="200"/>
      <c r="GM372" s="200"/>
      <c r="GN372" s="200"/>
      <c r="GO372" s="200"/>
      <c r="GP372" s="200"/>
      <c r="GQ372" s="200"/>
      <c r="GR372" s="200"/>
      <c r="GS372" s="200"/>
      <c r="GT372" s="200"/>
      <c r="GU372" s="200"/>
      <c r="GV372" s="200"/>
      <c r="GW372" s="200"/>
      <c r="GX372" s="200"/>
      <c r="GY372" s="200"/>
      <c r="GZ372" s="200"/>
      <c r="HA372" s="200"/>
      <c r="HB372" s="200"/>
      <c r="HC372" s="200"/>
      <c r="HD372" s="200"/>
      <c r="HE372" s="200"/>
      <c r="HF372" s="200"/>
      <c r="HG372" s="200"/>
      <c r="HH372" s="200"/>
      <c r="HI372" s="200"/>
      <c r="HJ372" s="200"/>
      <c r="HK372" s="200"/>
      <c r="HL372" s="200"/>
      <c r="HM372" s="200"/>
      <c r="HN372" s="200"/>
      <c r="HO372" s="200"/>
      <c r="HP372" s="200"/>
      <c r="HQ372" s="200"/>
      <c r="HR372" s="200"/>
      <c r="HS372" s="200"/>
      <c r="HT372" s="200"/>
      <c r="HU372" s="200"/>
      <c r="HV372" s="200"/>
      <c r="HW372" s="200"/>
      <c r="HX372" s="200"/>
      <c r="HY372" s="200"/>
      <c r="HZ372" s="200"/>
      <c r="IA372" s="200"/>
      <c r="IB372" s="200"/>
      <c r="IC372" s="200"/>
      <c r="ID372" s="200"/>
      <c r="IE372" s="200"/>
      <c r="IF372" s="200"/>
      <c r="IG372" s="200"/>
      <c r="IH372" s="200"/>
      <c r="II372" s="200"/>
      <c r="IJ372" s="200"/>
      <c r="IK372" s="200"/>
      <c r="IL372" s="200"/>
      <c r="IM372" s="200"/>
      <c r="IN372" s="200"/>
      <c r="IO372" s="200"/>
      <c r="IP372" s="200"/>
      <c r="IQ372" s="200"/>
      <c r="IR372" s="200"/>
      <c r="IS372" s="200"/>
      <c r="IT372" s="200"/>
      <c r="IU372" s="201"/>
      <c r="IV372" s="201"/>
    </row>
    <row r="373" s="10" customFormat="1" ht="15.95" customHeight="1" spans="1:256">
      <c r="A373" s="199">
        <v>43</v>
      </c>
      <c r="B373" s="20" t="s">
        <v>2362</v>
      </c>
      <c r="C373" s="199" t="str">
        <f>'05版台时'!W566</f>
        <v>ACM~2</v>
      </c>
      <c r="D373" s="199">
        <v>8043</v>
      </c>
      <c r="E373" s="199">
        <f>'05版台时'!W593</f>
        <v>10.6835694765522</v>
      </c>
      <c r="F373" s="200"/>
      <c r="G373" s="200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0"/>
      <c r="AD373" s="200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200"/>
      <c r="BD373" s="200"/>
      <c r="BE373" s="200"/>
      <c r="BF373" s="200"/>
      <c r="BG373" s="200"/>
      <c r="BH373" s="200"/>
      <c r="BI373" s="200"/>
      <c r="BJ373" s="200"/>
      <c r="BK373" s="200"/>
      <c r="BL373" s="200"/>
      <c r="BM373" s="200"/>
      <c r="BN373" s="200"/>
      <c r="BO373" s="200"/>
      <c r="BP373" s="200"/>
      <c r="BQ373" s="200"/>
      <c r="BR373" s="200"/>
      <c r="BS373" s="200"/>
      <c r="BT373" s="200"/>
      <c r="BU373" s="200"/>
      <c r="BV373" s="200"/>
      <c r="BW373" s="200"/>
      <c r="BX373" s="200"/>
      <c r="BY373" s="200"/>
      <c r="BZ373" s="200"/>
      <c r="CA373" s="200"/>
      <c r="CB373" s="200"/>
      <c r="CC373" s="200"/>
      <c r="CD373" s="200"/>
      <c r="CE373" s="200"/>
      <c r="CF373" s="200"/>
      <c r="CG373" s="200"/>
      <c r="CH373" s="200"/>
      <c r="CI373" s="200"/>
      <c r="CJ373" s="200"/>
      <c r="CK373" s="200"/>
      <c r="CL373" s="200"/>
      <c r="CM373" s="200"/>
      <c r="CN373" s="200"/>
      <c r="CO373" s="200"/>
      <c r="CP373" s="200"/>
      <c r="CQ373" s="200"/>
      <c r="CR373" s="200"/>
      <c r="CS373" s="200"/>
      <c r="CT373" s="200"/>
      <c r="CU373" s="200"/>
      <c r="CV373" s="200"/>
      <c r="CW373" s="200"/>
      <c r="CX373" s="200"/>
      <c r="CY373" s="200"/>
      <c r="CZ373" s="200"/>
      <c r="DA373" s="200"/>
      <c r="DB373" s="200"/>
      <c r="DC373" s="200"/>
      <c r="DD373" s="200"/>
      <c r="DE373" s="200"/>
      <c r="DF373" s="200"/>
      <c r="DG373" s="200"/>
      <c r="DH373" s="200"/>
      <c r="DI373" s="200"/>
      <c r="DJ373" s="200"/>
      <c r="DK373" s="200"/>
      <c r="DL373" s="200"/>
      <c r="DM373" s="200"/>
      <c r="DN373" s="200"/>
      <c r="DO373" s="200"/>
      <c r="DP373" s="200"/>
      <c r="DQ373" s="200"/>
      <c r="DR373" s="200"/>
      <c r="DS373" s="200"/>
      <c r="DT373" s="200"/>
      <c r="DU373" s="200"/>
      <c r="DV373" s="200"/>
      <c r="DW373" s="200"/>
      <c r="DX373" s="200"/>
      <c r="DY373" s="200"/>
      <c r="DZ373" s="200"/>
      <c r="EA373" s="200"/>
      <c r="EB373" s="200"/>
      <c r="EC373" s="200"/>
      <c r="ED373" s="200"/>
      <c r="EE373" s="200"/>
      <c r="EF373" s="200"/>
      <c r="EG373" s="200"/>
      <c r="EH373" s="200"/>
      <c r="EI373" s="200"/>
      <c r="EJ373" s="200"/>
      <c r="EK373" s="200"/>
      <c r="EL373" s="200"/>
      <c r="EM373" s="200"/>
      <c r="EN373" s="200"/>
      <c r="EO373" s="200"/>
      <c r="EP373" s="200"/>
      <c r="EQ373" s="200"/>
      <c r="ER373" s="200"/>
      <c r="ES373" s="200"/>
      <c r="ET373" s="200"/>
      <c r="EU373" s="200"/>
      <c r="EV373" s="200"/>
      <c r="EW373" s="200"/>
      <c r="EX373" s="200"/>
      <c r="EY373" s="200"/>
      <c r="EZ373" s="200"/>
      <c r="FA373" s="200"/>
      <c r="FB373" s="200"/>
      <c r="FC373" s="200"/>
      <c r="FD373" s="200"/>
      <c r="FE373" s="200"/>
      <c r="FF373" s="200"/>
      <c r="FG373" s="200"/>
      <c r="FH373" s="200"/>
      <c r="FI373" s="200"/>
      <c r="FJ373" s="200"/>
      <c r="FK373" s="200"/>
      <c r="FL373" s="200"/>
      <c r="FM373" s="200"/>
      <c r="FN373" s="200"/>
      <c r="FO373" s="200"/>
      <c r="FP373" s="200"/>
      <c r="FQ373" s="200"/>
      <c r="FR373" s="200"/>
      <c r="FS373" s="200"/>
      <c r="FT373" s="200"/>
      <c r="FU373" s="200"/>
      <c r="FV373" s="200"/>
      <c r="FW373" s="200"/>
      <c r="FX373" s="200"/>
      <c r="FY373" s="200"/>
      <c r="FZ373" s="200"/>
      <c r="GA373" s="200"/>
      <c r="GB373" s="200"/>
      <c r="GC373" s="200"/>
      <c r="GD373" s="200"/>
      <c r="GE373" s="200"/>
      <c r="GF373" s="200"/>
      <c r="GG373" s="200"/>
      <c r="GH373" s="200"/>
      <c r="GI373" s="200"/>
      <c r="GJ373" s="200"/>
      <c r="GK373" s="200"/>
      <c r="GL373" s="200"/>
      <c r="GM373" s="200"/>
      <c r="GN373" s="200"/>
      <c r="GO373" s="200"/>
      <c r="GP373" s="200"/>
      <c r="GQ373" s="200"/>
      <c r="GR373" s="200"/>
      <c r="GS373" s="200"/>
      <c r="GT373" s="200"/>
      <c r="GU373" s="200"/>
      <c r="GV373" s="200"/>
      <c r="GW373" s="200"/>
      <c r="GX373" s="200"/>
      <c r="GY373" s="200"/>
      <c r="GZ373" s="200"/>
      <c r="HA373" s="200"/>
      <c r="HB373" s="200"/>
      <c r="HC373" s="200"/>
      <c r="HD373" s="200"/>
      <c r="HE373" s="200"/>
      <c r="HF373" s="200"/>
      <c r="HG373" s="200"/>
      <c r="HH373" s="200"/>
      <c r="HI373" s="200"/>
      <c r="HJ373" s="200"/>
      <c r="HK373" s="200"/>
      <c r="HL373" s="200"/>
      <c r="HM373" s="200"/>
      <c r="HN373" s="200"/>
      <c r="HO373" s="200"/>
      <c r="HP373" s="200"/>
      <c r="HQ373" s="200"/>
      <c r="HR373" s="200"/>
      <c r="HS373" s="200"/>
      <c r="HT373" s="200"/>
      <c r="HU373" s="200"/>
      <c r="HV373" s="200"/>
      <c r="HW373" s="200"/>
      <c r="HX373" s="200"/>
      <c r="HY373" s="200"/>
      <c r="HZ373" s="200"/>
      <c r="IA373" s="200"/>
      <c r="IB373" s="200"/>
      <c r="IC373" s="200"/>
      <c r="ID373" s="200"/>
      <c r="IE373" s="200"/>
      <c r="IF373" s="200"/>
      <c r="IG373" s="200"/>
      <c r="IH373" s="200"/>
      <c r="II373" s="200"/>
      <c r="IJ373" s="200"/>
      <c r="IK373" s="200"/>
      <c r="IL373" s="200"/>
      <c r="IM373" s="200"/>
      <c r="IN373" s="200"/>
      <c r="IO373" s="200"/>
      <c r="IP373" s="200"/>
      <c r="IQ373" s="200"/>
      <c r="IR373" s="200"/>
      <c r="IS373" s="200"/>
      <c r="IT373" s="200"/>
      <c r="IU373" s="201"/>
      <c r="IV373" s="201"/>
    </row>
    <row r="374" s="10" customFormat="1" ht="15.95" customHeight="1" spans="1:256">
      <c r="A374" s="199">
        <v>44</v>
      </c>
      <c r="B374" s="20" t="s">
        <v>2363</v>
      </c>
      <c r="C374" s="199" t="str">
        <f>'05版台时'!D599</f>
        <v>φ6~40</v>
      </c>
      <c r="D374" s="199">
        <v>8044</v>
      </c>
      <c r="E374" s="199">
        <f>'05版台时'!D626</f>
        <v>15.4416229268912</v>
      </c>
      <c r="F374" s="200"/>
      <c r="G374" s="200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  <c r="AA374" s="200"/>
      <c r="AB374" s="200"/>
      <c r="AC374" s="200"/>
      <c r="AD374" s="200"/>
      <c r="AE374" s="200"/>
      <c r="AF374" s="200"/>
      <c r="AG374" s="200"/>
      <c r="AH374" s="200"/>
      <c r="AI374" s="200"/>
      <c r="AJ374" s="200"/>
      <c r="AK374" s="200"/>
      <c r="AL374" s="200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200"/>
      <c r="BD374" s="200"/>
      <c r="BE374" s="200"/>
      <c r="BF374" s="200"/>
      <c r="BG374" s="200"/>
      <c r="BH374" s="200"/>
      <c r="BI374" s="200"/>
      <c r="BJ374" s="200"/>
      <c r="BK374" s="200"/>
      <c r="BL374" s="200"/>
      <c r="BM374" s="200"/>
      <c r="BN374" s="200"/>
      <c r="BO374" s="200"/>
      <c r="BP374" s="200"/>
      <c r="BQ374" s="200"/>
      <c r="BR374" s="200"/>
      <c r="BS374" s="200"/>
      <c r="BT374" s="200"/>
      <c r="BU374" s="200"/>
      <c r="BV374" s="200"/>
      <c r="BW374" s="200"/>
      <c r="BX374" s="200"/>
      <c r="BY374" s="200"/>
      <c r="BZ374" s="200"/>
      <c r="CA374" s="200"/>
      <c r="CB374" s="200"/>
      <c r="CC374" s="200"/>
      <c r="CD374" s="200"/>
      <c r="CE374" s="200"/>
      <c r="CF374" s="200"/>
      <c r="CG374" s="200"/>
      <c r="CH374" s="200"/>
      <c r="CI374" s="200"/>
      <c r="CJ374" s="200"/>
      <c r="CK374" s="200"/>
      <c r="CL374" s="200"/>
      <c r="CM374" s="200"/>
      <c r="CN374" s="200"/>
      <c r="CO374" s="200"/>
      <c r="CP374" s="200"/>
      <c r="CQ374" s="200"/>
      <c r="CR374" s="200"/>
      <c r="CS374" s="200"/>
      <c r="CT374" s="200"/>
      <c r="CU374" s="200"/>
      <c r="CV374" s="200"/>
      <c r="CW374" s="200"/>
      <c r="CX374" s="200"/>
      <c r="CY374" s="200"/>
      <c r="CZ374" s="200"/>
      <c r="DA374" s="200"/>
      <c r="DB374" s="200"/>
      <c r="DC374" s="200"/>
      <c r="DD374" s="200"/>
      <c r="DE374" s="200"/>
      <c r="DF374" s="200"/>
      <c r="DG374" s="200"/>
      <c r="DH374" s="200"/>
      <c r="DI374" s="200"/>
      <c r="DJ374" s="200"/>
      <c r="DK374" s="200"/>
      <c r="DL374" s="200"/>
      <c r="DM374" s="200"/>
      <c r="DN374" s="200"/>
      <c r="DO374" s="200"/>
      <c r="DP374" s="200"/>
      <c r="DQ374" s="200"/>
      <c r="DR374" s="200"/>
      <c r="DS374" s="200"/>
      <c r="DT374" s="200"/>
      <c r="DU374" s="200"/>
      <c r="DV374" s="200"/>
      <c r="DW374" s="200"/>
      <c r="DX374" s="200"/>
      <c r="DY374" s="200"/>
      <c r="DZ374" s="200"/>
      <c r="EA374" s="200"/>
      <c r="EB374" s="200"/>
      <c r="EC374" s="200"/>
      <c r="ED374" s="200"/>
      <c r="EE374" s="200"/>
      <c r="EF374" s="200"/>
      <c r="EG374" s="200"/>
      <c r="EH374" s="200"/>
      <c r="EI374" s="200"/>
      <c r="EJ374" s="200"/>
      <c r="EK374" s="200"/>
      <c r="EL374" s="200"/>
      <c r="EM374" s="200"/>
      <c r="EN374" s="200"/>
      <c r="EO374" s="200"/>
      <c r="EP374" s="200"/>
      <c r="EQ374" s="200"/>
      <c r="ER374" s="200"/>
      <c r="ES374" s="200"/>
      <c r="ET374" s="200"/>
      <c r="EU374" s="200"/>
      <c r="EV374" s="200"/>
      <c r="EW374" s="200"/>
      <c r="EX374" s="200"/>
      <c r="EY374" s="200"/>
      <c r="EZ374" s="200"/>
      <c r="FA374" s="200"/>
      <c r="FB374" s="200"/>
      <c r="FC374" s="200"/>
      <c r="FD374" s="200"/>
      <c r="FE374" s="200"/>
      <c r="FF374" s="200"/>
      <c r="FG374" s="200"/>
      <c r="FH374" s="200"/>
      <c r="FI374" s="200"/>
      <c r="FJ374" s="200"/>
      <c r="FK374" s="200"/>
      <c r="FL374" s="200"/>
      <c r="FM374" s="200"/>
      <c r="FN374" s="200"/>
      <c r="FO374" s="200"/>
      <c r="FP374" s="200"/>
      <c r="FQ374" s="200"/>
      <c r="FR374" s="200"/>
      <c r="FS374" s="200"/>
      <c r="FT374" s="200"/>
      <c r="FU374" s="200"/>
      <c r="FV374" s="200"/>
      <c r="FW374" s="200"/>
      <c r="FX374" s="200"/>
      <c r="FY374" s="200"/>
      <c r="FZ374" s="200"/>
      <c r="GA374" s="200"/>
      <c r="GB374" s="200"/>
      <c r="GC374" s="200"/>
      <c r="GD374" s="200"/>
      <c r="GE374" s="200"/>
      <c r="GF374" s="200"/>
      <c r="GG374" s="200"/>
      <c r="GH374" s="200"/>
      <c r="GI374" s="200"/>
      <c r="GJ374" s="200"/>
      <c r="GK374" s="200"/>
      <c r="GL374" s="200"/>
      <c r="GM374" s="200"/>
      <c r="GN374" s="200"/>
      <c r="GO374" s="200"/>
      <c r="GP374" s="200"/>
      <c r="GQ374" s="200"/>
      <c r="GR374" s="200"/>
      <c r="GS374" s="200"/>
      <c r="GT374" s="200"/>
      <c r="GU374" s="200"/>
      <c r="GV374" s="200"/>
      <c r="GW374" s="200"/>
      <c r="GX374" s="200"/>
      <c r="GY374" s="200"/>
      <c r="GZ374" s="200"/>
      <c r="HA374" s="200"/>
      <c r="HB374" s="200"/>
      <c r="HC374" s="200"/>
      <c r="HD374" s="200"/>
      <c r="HE374" s="200"/>
      <c r="HF374" s="200"/>
      <c r="HG374" s="200"/>
      <c r="HH374" s="200"/>
      <c r="HI374" s="200"/>
      <c r="HJ374" s="200"/>
      <c r="HK374" s="200"/>
      <c r="HL374" s="200"/>
      <c r="HM374" s="200"/>
      <c r="HN374" s="200"/>
      <c r="HO374" s="200"/>
      <c r="HP374" s="200"/>
      <c r="HQ374" s="200"/>
      <c r="HR374" s="200"/>
      <c r="HS374" s="200"/>
      <c r="HT374" s="200"/>
      <c r="HU374" s="200"/>
      <c r="HV374" s="200"/>
      <c r="HW374" s="200"/>
      <c r="HX374" s="200"/>
      <c r="HY374" s="200"/>
      <c r="HZ374" s="200"/>
      <c r="IA374" s="200"/>
      <c r="IB374" s="200"/>
      <c r="IC374" s="200"/>
      <c r="ID374" s="200"/>
      <c r="IE374" s="200"/>
      <c r="IF374" s="200"/>
      <c r="IG374" s="200"/>
      <c r="IH374" s="200"/>
      <c r="II374" s="200"/>
      <c r="IJ374" s="200"/>
      <c r="IK374" s="200"/>
      <c r="IL374" s="200"/>
      <c r="IM374" s="200"/>
      <c r="IN374" s="200"/>
      <c r="IO374" s="200"/>
      <c r="IP374" s="200"/>
      <c r="IQ374" s="200"/>
      <c r="IR374" s="200"/>
      <c r="IS374" s="200"/>
      <c r="IT374" s="200"/>
      <c r="IU374" s="201"/>
      <c r="IV374" s="201"/>
    </row>
    <row r="375" s="10" customFormat="1" ht="15.95" customHeight="1" spans="1:256">
      <c r="A375" s="199">
        <v>45</v>
      </c>
      <c r="B375" s="20" t="s">
        <v>2364</v>
      </c>
      <c r="C375" s="199" t="s">
        <v>2365</v>
      </c>
      <c r="D375" s="199">
        <v>8045</v>
      </c>
      <c r="E375" s="199">
        <f>'05版台时'!E626</f>
        <v>15.2793492930659</v>
      </c>
      <c r="F375" s="200"/>
      <c r="G375" s="200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200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200"/>
      <c r="BD375" s="200"/>
      <c r="BE375" s="200"/>
      <c r="BF375" s="200"/>
      <c r="BG375" s="200"/>
      <c r="BH375" s="200"/>
      <c r="BI375" s="200"/>
      <c r="BJ375" s="200"/>
      <c r="BK375" s="200"/>
      <c r="BL375" s="200"/>
      <c r="BM375" s="200"/>
      <c r="BN375" s="200"/>
      <c r="BO375" s="200"/>
      <c r="BP375" s="200"/>
      <c r="BQ375" s="200"/>
      <c r="BR375" s="200"/>
      <c r="BS375" s="200"/>
      <c r="BT375" s="200"/>
      <c r="BU375" s="200"/>
      <c r="BV375" s="200"/>
      <c r="BW375" s="200"/>
      <c r="BX375" s="200"/>
      <c r="BY375" s="200"/>
      <c r="BZ375" s="200"/>
      <c r="CA375" s="200"/>
      <c r="CB375" s="200"/>
      <c r="CC375" s="200"/>
      <c r="CD375" s="200"/>
      <c r="CE375" s="200"/>
      <c r="CF375" s="200"/>
      <c r="CG375" s="200"/>
      <c r="CH375" s="200"/>
      <c r="CI375" s="200"/>
      <c r="CJ375" s="200"/>
      <c r="CK375" s="200"/>
      <c r="CL375" s="200"/>
      <c r="CM375" s="200"/>
      <c r="CN375" s="200"/>
      <c r="CO375" s="200"/>
      <c r="CP375" s="200"/>
      <c r="CQ375" s="200"/>
      <c r="CR375" s="200"/>
      <c r="CS375" s="200"/>
      <c r="CT375" s="200"/>
      <c r="CU375" s="200"/>
      <c r="CV375" s="200"/>
      <c r="CW375" s="200"/>
      <c r="CX375" s="200"/>
      <c r="CY375" s="200"/>
      <c r="CZ375" s="200"/>
      <c r="DA375" s="200"/>
      <c r="DB375" s="200"/>
      <c r="DC375" s="200"/>
      <c r="DD375" s="200"/>
      <c r="DE375" s="200"/>
      <c r="DF375" s="200"/>
      <c r="DG375" s="200"/>
      <c r="DH375" s="200"/>
      <c r="DI375" s="200"/>
      <c r="DJ375" s="200"/>
      <c r="DK375" s="200"/>
      <c r="DL375" s="200"/>
      <c r="DM375" s="200"/>
      <c r="DN375" s="200"/>
      <c r="DO375" s="200"/>
      <c r="DP375" s="200"/>
      <c r="DQ375" s="200"/>
      <c r="DR375" s="200"/>
      <c r="DS375" s="200"/>
      <c r="DT375" s="200"/>
      <c r="DU375" s="200"/>
      <c r="DV375" s="200"/>
      <c r="DW375" s="200"/>
      <c r="DX375" s="200"/>
      <c r="DY375" s="200"/>
      <c r="DZ375" s="200"/>
      <c r="EA375" s="200"/>
      <c r="EB375" s="200"/>
      <c r="EC375" s="200"/>
      <c r="ED375" s="200"/>
      <c r="EE375" s="200"/>
      <c r="EF375" s="200"/>
      <c r="EG375" s="200"/>
      <c r="EH375" s="200"/>
      <c r="EI375" s="200"/>
      <c r="EJ375" s="200"/>
      <c r="EK375" s="200"/>
      <c r="EL375" s="200"/>
      <c r="EM375" s="200"/>
      <c r="EN375" s="200"/>
      <c r="EO375" s="200"/>
      <c r="EP375" s="200"/>
      <c r="EQ375" s="200"/>
      <c r="ER375" s="200"/>
      <c r="ES375" s="200"/>
      <c r="ET375" s="200"/>
      <c r="EU375" s="200"/>
      <c r="EV375" s="200"/>
      <c r="EW375" s="200"/>
      <c r="EX375" s="200"/>
      <c r="EY375" s="200"/>
      <c r="EZ375" s="200"/>
      <c r="FA375" s="200"/>
      <c r="FB375" s="200"/>
      <c r="FC375" s="200"/>
      <c r="FD375" s="200"/>
      <c r="FE375" s="200"/>
      <c r="FF375" s="200"/>
      <c r="FG375" s="200"/>
      <c r="FH375" s="200"/>
      <c r="FI375" s="200"/>
      <c r="FJ375" s="200"/>
      <c r="FK375" s="200"/>
      <c r="FL375" s="200"/>
      <c r="FM375" s="200"/>
      <c r="FN375" s="200"/>
      <c r="FO375" s="200"/>
      <c r="FP375" s="200"/>
      <c r="FQ375" s="200"/>
      <c r="FR375" s="200"/>
      <c r="FS375" s="200"/>
      <c r="FT375" s="200"/>
      <c r="FU375" s="200"/>
      <c r="FV375" s="200"/>
      <c r="FW375" s="200"/>
      <c r="FX375" s="200"/>
      <c r="FY375" s="200"/>
      <c r="FZ375" s="200"/>
      <c r="GA375" s="200"/>
      <c r="GB375" s="200"/>
      <c r="GC375" s="200"/>
      <c r="GD375" s="200"/>
      <c r="GE375" s="200"/>
      <c r="GF375" s="200"/>
      <c r="GG375" s="200"/>
      <c r="GH375" s="200"/>
      <c r="GI375" s="200"/>
      <c r="GJ375" s="200"/>
      <c r="GK375" s="200"/>
      <c r="GL375" s="200"/>
      <c r="GM375" s="200"/>
      <c r="GN375" s="200"/>
      <c r="GO375" s="200"/>
      <c r="GP375" s="200"/>
      <c r="GQ375" s="200"/>
      <c r="GR375" s="200"/>
      <c r="GS375" s="200"/>
      <c r="GT375" s="200"/>
      <c r="GU375" s="200"/>
      <c r="GV375" s="200"/>
      <c r="GW375" s="200"/>
      <c r="GX375" s="200"/>
      <c r="GY375" s="200"/>
      <c r="GZ375" s="200"/>
      <c r="HA375" s="200"/>
      <c r="HB375" s="200"/>
      <c r="HC375" s="200"/>
      <c r="HD375" s="200"/>
      <c r="HE375" s="200"/>
      <c r="HF375" s="200"/>
      <c r="HG375" s="200"/>
      <c r="HH375" s="200"/>
      <c r="HI375" s="200"/>
      <c r="HJ375" s="200"/>
      <c r="HK375" s="200"/>
      <c r="HL375" s="200"/>
      <c r="HM375" s="200"/>
      <c r="HN375" s="200"/>
      <c r="HO375" s="200"/>
      <c r="HP375" s="200"/>
      <c r="HQ375" s="200"/>
      <c r="HR375" s="200"/>
      <c r="HS375" s="200"/>
      <c r="HT375" s="200"/>
      <c r="HU375" s="200"/>
      <c r="HV375" s="200"/>
      <c r="HW375" s="200"/>
      <c r="HX375" s="200"/>
      <c r="HY375" s="200"/>
      <c r="HZ375" s="200"/>
      <c r="IA375" s="200"/>
      <c r="IB375" s="200"/>
      <c r="IC375" s="200"/>
      <c r="ID375" s="200"/>
      <c r="IE375" s="200"/>
      <c r="IF375" s="200"/>
      <c r="IG375" s="200"/>
      <c r="IH375" s="200"/>
      <c r="II375" s="200"/>
      <c r="IJ375" s="200"/>
      <c r="IK375" s="200"/>
      <c r="IL375" s="200"/>
      <c r="IM375" s="200"/>
      <c r="IN375" s="200"/>
      <c r="IO375" s="200"/>
      <c r="IP375" s="200"/>
      <c r="IQ375" s="200"/>
      <c r="IR375" s="200"/>
      <c r="IS375" s="200"/>
      <c r="IT375" s="200"/>
      <c r="IU375" s="201"/>
      <c r="IV375" s="201"/>
    </row>
    <row r="376" s="10" customFormat="1" ht="15.95" customHeight="1" spans="1:256">
      <c r="A376" s="199">
        <v>46</v>
      </c>
      <c r="B376" s="20" t="s">
        <v>2364</v>
      </c>
      <c r="C376" s="199" t="s">
        <v>2343</v>
      </c>
      <c r="D376" s="199">
        <v>8046</v>
      </c>
      <c r="E376" s="199">
        <f>'05版台时'!F626</f>
        <v>16.8634003501062</v>
      </c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  <c r="AA376" s="200"/>
      <c r="AB376" s="200"/>
      <c r="AC376" s="200"/>
      <c r="AD376" s="200"/>
      <c r="AE376" s="200"/>
      <c r="AF376" s="200"/>
      <c r="AG376" s="200"/>
      <c r="AH376" s="200"/>
      <c r="AI376" s="200"/>
      <c r="AJ376" s="200"/>
      <c r="AK376" s="200"/>
      <c r="AL376" s="200"/>
      <c r="AM376" s="200"/>
      <c r="AN376" s="200"/>
      <c r="AO376" s="200"/>
      <c r="AP376" s="200"/>
      <c r="AQ376" s="200"/>
      <c r="AR376" s="200"/>
      <c r="AS376" s="200"/>
      <c r="AT376" s="200"/>
      <c r="AU376" s="200"/>
      <c r="AV376" s="200"/>
      <c r="AW376" s="200"/>
      <c r="AX376" s="200"/>
      <c r="AY376" s="200"/>
      <c r="AZ376" s="200"/>
      <c r="BA376" s="200"/>
      <c r="BB376" s="200"/>
      <c r="BC376" s="200"/>
      <c r="BD376" s="200"/>
      <c r="BE376" s="200"/>
      <c r="BF376" s="200"/>
      <c r="BG376" s="200"/>
      <c r="BH376" s="200"/>
      <c r="BI376" s="200"/>
      <c r="BJ376" s="200"/>
      <c r="BK376" s="200"/>
      <c r="BL376" s="200"/>
      <c r="BM376" s="200"/>
      <c r="BN376" s="200"/>
      <c r="BO376" s="200"/>
      <c r="BP376" s="200"/>
      <c r="BQ376" s="200"/>
      <c r="BR376" s="200"/>
      <c r="BS376" s="200"/>
      <c r="BT376" s="200"/>
      <c r="BU376" s="200"/>
      <c r="BV376" s="200"/>
      <c r="BW376" s="200"/>
      <c r="BX376" s="200"/>
      <c r="BY376" s="200"/>
      <c r="BZ376" s="200"/>
      <c r="CA376" s="200"/>
      <c r="CB376" s="200"/>
      <c r="CC376" s="200"/>
      <c r="CD376" s="200"/>
      <c r="CE376" s="200"/>
      <c r="CF376" s="200"/>
      <c r="CG376" s="200"/>
      <c r="CH376" s="200"/>
      <c r="CI376" s="200"/>
      <c r="CJ376" s="200"/>
      <c r="CK376" s="200"/>
      <c r="CL376" s="200"/>
      <c r="CM376" s="200"/>
      <c r="CN376" s="200"/>
      <c r="CO376" s="200"/>
      <c r="CP376" s="200"/>
      <c r="CQ376" s="200"/>
      <c r="CR376" s="200"/>
      <c r="CS376" s="200"/>
      <c r="CT376" s="200"/>
      <c r="CU376" s="200"/>
      <c r="CV376" s="200"/>
      <c r="CW376" s="200"/>
      <c r="CX376" s="200"/>
      <c r="CY376" s="200"/>
      <c r="CZ376" s="200"/>
      <c r="DA376" s="200"/>
      <c r="DB376" s="200"/>
      <c r="DC376" s="200"/>
      <c r="DD376" s="200"/>
      <c r="DE376" s="200"/>
      <c r="DF376" s="200"/>
      <c r="DG376" s="200"/>
      <c r="DH376" s="200"/>
      <c r="DI376" s="200"/>
      <c r="DJ376" s="200"/>
      <c r="DK376" s="200"/>
      <c r="DL376" s="200"/>
      <c r="DM376" s="200"/>
      <c r="DN376" s="200"/>
      <c r="DO376" s="200"/>
      <c r="DP376" s="200"/>
      <c r="DQ376" s="200"/>
      <c r="DR376" s="200"/>
      <c r="DS376" s="200"/>
      <c r="DT376" s="200"/>
      <c r="DU376" s="200"/>
      <c r="DV376" s="200"/>
      <c r="DW376" s="200"/>
      <c r="DX376" s="200"/>
      <c r="DY376" s="200"/>
      <c r="DZ376" s="200"/>
      <c r="EA376" s="200"/>
      <c r="EB376" s="200"/>
      <c r="EC376" s="200"/>
      <c r="ED376" s="200"/>
      <c r="EE376" s="200"/>
      <c r="EF376" s="200"/>
      <c r="EG376" s="200"/>
      <c r="EH376" s="200"/>
      <c r="EI376" s="200"/>
      <c r="EJ376" s="200"/>
      <c r="EK376" s="200"/>
      <c r="EL376" s="200"/>
      <c r="EM376" s="200"/>
      <c r="EN376" s="200"/>
      <c r="EO376" s="200"/>
      <c r="EP376" s="200"/>
      <c r="EQ376" s="200"/>
      <c r="ER376" s="200"/>
      <c r="ES376" s="200"/>
      <c r="ET376" s="200"/>
      <c r="EU376" s="200"/>
      <c r="EV376" s="200"/>
      <c r="EW376" s="200"/>
      <c r="EX376" s="200"/>
      <c r="EY376" s="200"/>
      <c r="EZ376" s="200"/>
      <c r="FA376" s="200"/>
      <c r="FB376" s="200"/>
      <c r="FC376" s="200"/>
      <c r="FD376" s="200"/>
      <c r="FE376" s="200"/>
      <c r="FF376" s="200"/>
      <c r="FG376" s="200"/>
      <c r="FH376" s="200"/>
      <c r="FI376" s="200"/>
      <c r="FJ376" s="200"/>
      <c r="FK376" s="200"/>
      <c r="FL376" s="200"/>
      <c r="FM376" s="200"/>
      <c r="FN376" s="200"/>
      <c r="FO376" s="200"/>
      <c r="FP376" s="200"/>
      <c r="FQ376" s="200"/>
      <c r="FR376" s="200"/>
      <c r="FS376" s="200"/>
      <c r="FT376" s="200"/>
      <c r="FU376" s="200"/>
      <c r="FV376" s="200"/>
      <c r="FW376" s="200"/>
      <c r="FX376" s="200"/>
      <c r="FY376" s="200"/>
      <c r="FZ376" s="200"/>
      <c r="GA376" s="200"/>
      <c r="GB376" s="200"/>
      <c r="GC376" s="200"/>
      <c r="GD376" s="200"/>
      <c r="GE376" s="200"/>
      <c r="GF376" s="200"/>
      <c r="GG376" s="200"/>
      <c r="GH376" s="200"/>
      <c r="GI376" s="200"/>
      <c r="GJ376" s="200"/>
      <c r="GK376" s="200"/>
      <c r="GL376" s="200"/>
      <c r="GM376" s="200"/>
      <c r="GN376" s="200"/>
      <c r="GO376" s="200"/>
      <c r="GP376" s="200"/>
      <c r="GQ376" s="200"/>
      <c r="GR376" s="200"/>
      <c r="GS376" s="200"/>
      <c r="GT376" s="200"/>
      <c r="GU376" s="200"/>
      <c r="GV376" s="200"/>
      <c r="GW376" s="200"/>
      <c r="GX376" s="200"/>
      <c r="GY376" s="200"/>
      <c r="GZ376" s="200"/>
      <c r="HA376" s="200"/>
      <c r="HB376" s="200"/>
      <c r="HC376" s="200"/>
      <c r="HD376" s="200"/>
      <c r="HE376" s="200"/>
      <c r="HF376" s="200"/>
      <c r="HG376" s="200"/>
      <c r="HH376" s="200"/>
      <c r="HI376" s="200"/>
      <c r="HJ376" s="200"/>
      <c r="HK376" s="200"/>
      <c r="HL376" s="200"/>
      <c r="HM376" s="200"/>
      <c r="HN376" s="200"/>
      <c r="HO376" s="200"/>
      <c r="HP376" s="200"/>
      <c r="HQ376" s="200"/>
      <c r="HR376" s="200"/>
      <c r="HS376" s="200"/>
      <c r="HT376" s="200"/>
      <c r="HU376" s="200"/>
      <c r="HV376" s="200"/>
      <c r="HW376" s="200"/>
      <c r="HX376" s="200"/>
      <c r="HY376" s="200"/>
      <c r="HZ376" s="200"/>
      <c r="IA376" s="200"/>
      <c r="IB376" s="200"/>
      <c r="IC376" s="200"/>
      <c r="ID376" s="200"/>
      <c r="IE376" s="200"/>
      <c r="IF376" s="200"/>
      <c r="IG376" s="200"/>
      <c r="IH376" s="200"/>
      <c r="II376" s="200"/>
      <c r="IJ376" s="200"/>
      <c r="IK376" s="200"/>
      <c r="IL376" s="200"/>
      <c r="IM376" s="200"/>
      <c r="IN376" s="200"/>
      <c r="IO376" s="200"/>
      <c r="IP376" s="200"/>
      <c r="IQ376" s="200"/>
      <c r="IR376" s="200"/>
      <c r="IS376" s="200"/>
      <c r="IT376" s="200"/>
      <c r="IU376" s="201"/>
      <c r="IV376" s="201"/>
    </row>
    <row r="377" s="10" customFormat="1" ht="15.95" customHeight="1" spans="1:256">
      <c r="A377" s="199">
        <v>47</v>
      </c>
      <c r="B377" s="20" t="s">
        <v>2364</v>
      </c>
      <c r="C377" s="199" t="s">
        <v>2348</v>
      </c>
      <c r="D377" s="199">
        <v>8047</v>
      </c>
      <c r="E377" s="199">
        <f>'05版台时'!G626</f>
        <v>21.6613724282873</v>
      </c>
      <c r="F377" s="200"/>
      <c r="G377" s="200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  <c r="AA377" s="200"/>
      <c r="AB377" s="200"/>
      <c r="AC377" s="200"/>
      <c r="AD377" s="200"/>
      <c r="AE377" s="200"/>
      <c r="AF377" s="200"/>
      <c r="AG377" s="200"/>
      <c r="AH377" s="200"/>
      <c r="AI377" s="200"/>
      <c r="AJ377" s="200"/>
      <c r="AK377" s="200"/>
      <c r="AL377" s="200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200"/>
      <c r="BD377" s="200"/>
      <c r="BE377" s="200"/>
      <c r="BF377" s="200"/>
      <c r="BG377" s="200"/>
      <c r="BH377" s="200"/>
      <c r="BI377" s="200"/>
      <c r="BJ377" s="200"/>
      <c r="BK377" s="200"/>
      <c r="BL377" s="200"/>
      <c r="BM377" s="200"/>
      <c r="BN377" s="200"/>
      <c r="BO377" s="200"/>
      <c r="BP377" s="200"/>
      <c r="BQ377" s="200"/>
      <c r="BR377" s="200"/>
      <c r="BS377" s="200"/>
      <c r="BT377" s="200"/>
      <c r="BU377" s="200"/>
      <c r="BV377" s="200"/>
      <c r="BW377" s="200"/>
      <c r="BX377" s="200"/>
      <c r="BY377" s="200"/>
      <c r="BZ377" s="200"/>
      <c r="CA377" s="200"/>
      <c r="CB377" s="200"/>
      <c r="CC377" s="200"/>
      <c r="CD377" s="200"/>
      <c r="CE377" s="200"/>
      <c r="CF377" s="200"/>
      <c r="CG377" s="200"/>
      <c r="CH377" s="200"/>
      <c r="CI377" s="200"/>
      <c r="CJ377" s="200"/>
      <c r="CK377" s="200"/>
      <c r="CL377" s="200"/>
      <c r="CM377" s="200"/>
      <c r="CN377" s="200"/>
      <c r="CO377" s="200"/>
      <c r="CP377" s="200"/>
      <c r="CQ377" s="200"/>
      <c r="CR377" s="200"/>
      <c r="CS377" s="200"/>
      <c r="CT377" s="200"/>
      <c r="CU377" s="200"/>
      <c r="CV377" s="200"/>
      <c r="CW377" s="200"/>
      <c r="CX377" s="200"/>
      <c r="CY377" s="200"/>
      <c r="CZ377" s="200"/>
      <c r="DA377" s="200"/>
      <c r="DB377" s="200"/>
      <c r="DC377" s="200"/>
      <c r="DD377" s="200"/>
      <c r="DE377" s="200"/>
      <c r="DF377" s="200"/>
      <c r="DG377" s="200"/>
      <c r="DH377" s="200"/>
      <c r="DI377" s="200"/>
      <c r="DJ377" s="200"/>
      <c r="DK377" s="200"/>
      <c r="DL377" s="200"/>
      <c r="DM377" s="200"/>
      <c r="DN377" s="200"/>
      <c r="DO377" s="200"/>
      <c r="DP377" s="200"/>
      <c r="DQ377" s="200"/>
      <c r="DR377" s="200"/>
      <c r="DS377" s="200"/>
      <c r="DT377" s="200"/>
      <c r="DU377" s="200"/>
      <c r="DV377" s="200"/>
      <c r="DW377" s="200"/>
      <c r="DX377" s="200"/>
      <c r="DY377" s="200"/>
      <c r="DZ377" s="200"/>
      <c r="EA377" s="200"/>
      <c r="EB377" s="200"/>
      <c r="EC377" s="200"/>
      <c r="ED377" s="200"/>
      <c r="EE377" s="200"/>
      <c r="EF377" s="200"/>
      <c r="EG377" s="200"/>
      <c r="EH377" s="200"/>
      <c r="EI377" s="200"/>
      <c r="EJ377" s="200"/>
      <c r="EK377" s="200"/>
      <c r="EL377" s="200"/>
      <c r="EM377" s="200"/>
      <c r="EN377" s="200"/>
      <c r="EO377" s="200"/>
      <c r="EP377" s="200"/>
      <c r="EQ377" s="200"/>
      <c r="ER377" s="200"/>
      <c r="ES377" s="200"/>
      <c r="ET377" s="200"/>
      <c r="EU377" s="200"/>
      <c r="EV377" s="200"/>
      <c r="EW377" s="200"/>
      <c r="EX377" s="200"/>
      <c r="EY377" s="200"/>
      <c r="EZ377" s="200"/>
      <c r="FA377" s="200"/>
      <c r="FB377" s="200"/>
      <c r="FC377" s="200"/>
      <c r="FD377" s="200"/>
      <c r="FE377" s="200"/>
      <c r="FF377" s="200"/>
      <c r="FG377" s="200"/>
      <c r="FH377" s="200"/>
      <c r="FI377" s="200"/>
      <c r="FJ377" s="200"/>
      <c r="FK377" s="200"/>
      <c r="FL377" s="200"/>
      <c r="FM377" s="200"/>
      <c r="FN377" s="200"/>
      <c r="FO377" s="200"/>
      <c r="FP377" s="200"/>
      <c r="FQ377" s="200"/>
      <c r="FR377" s="200"/>
      <c r="FS377" s="200"/>
      <c r="FT377" s="200"/>
      <c r="FU377" s="200"/>
      <c r="FV377" s="200"/>
      <c r="FW377" s="200"/>
      <c r="FX377" s="200"/>
      <c r="FY377" s="200"/>
      <c r="FZ377" s="200"/>
      <c r="GA377" s="200"/>
      <c r="GB377" s="200"/>
      <c r="GC377" s="200"/>
      <c r="GD377" s="200"/>
      <c r="GE377" s="200"/>
      <c r="GF377" s="200"/>
      <c r="GG377" s="200"/>
      <c r="GH377" s="200"/>
      <c r="GI377" s="200"/>
      <c r="GJ377" s="200"/>
      <c r="GK377" s="200"/>
      <c r="GL377" s="200"/>
      <c r="GM377" s="200"/>
      <c r="GN377" s="200"/>
      <c r="GO377" s="200"/>
      <c r="GP377" s="200"/>
      <c r="GQ377" s="200"/>
      <c r="GR377" s="200"/>
      <c r="GS377" s="200"/>
      <c r="GT377" s="200"/>
      <c r="GU377" s="200"/>
      <c r="GV377" s="200"/>
      <c r="GW377" s="200"/>
      <c r="GX377" s="200"/>
      <c r="GY377" s="200"/>
      <c r="GZ377" s="200"/>
      <c r="HA377" s="200"/>
      <c r="HB377" s="200"/>
      <c r="HC377" s="200"/>
      <c r="HD377" s="200"/>
      <c r="HE377" s="200"/>
      <c r="HF377" s="200"/>
      <c r="HG377" s="200"/>
      <c r="HH377" s="200"/>
      <c r="HI377" s="200"/>
      <c r="HJ377" s="200"/>
      <c r="HK377" s="200"/>
      <c r="HL377" s="200"/>
      <c r="HM377" s="200"/>
      <c r="HN377" s="200"/>
      <c r="HO377" s="200"/>
      <c r="HP377" s="200"/>
      <c r="HQ377" s="200"/>
      <c r="HR377" s="200"/>
      <c r="HS377" s="200"/>
      <c r="HT377" s="200"/>
      <c r="HU377" s="200"/>
      <c r="HV377" s="200"/>
      <c r="HW377" s="200"/>
      <c r="HX377" s="200"/>
      <c r="HY377" s="200"/>
      <c r="HZ377" s="200"/>
      <c r="IA377" s="200"/>
      <c r="IB377" s="200"/>
      <c r="IC377" s="200"/>
      <c r="ID377" s="200"/>
      <c r="IE377" s="200"/>
      <c r="IF377" s="200"/>
      <c r="IG377" s="200"/>
      <c r="IH377" s="200"/>
      <c r="II377" s="200"/>
      <c r="IJ377" s="200"/>
      <c r="IK377" s="200"/>
      <c r="IL377" s="200"/>
      <c r="IM377" s="200"/>
      <c r="IN377" s="200"/>
      <c r="IO377" s="200"/>
      <c r="IP377" s="200"/>
      <c r="IQ377" s="200"/>
      <c r="IR377" s="200"/>
      <c r="IS377" s="200"/>
      <c r="IT377" s="200"/>
      <c r="IU377" s="201"/>
      <c r="IV377" s="201"/>
    </row>
    <row r="378" s="10" customFormat="1" ht="15.95" customHeight="1" spans="1:256">
      <c r="A378" s="199">
        <v>48</v>
      </c>
      <c r="B378" s="20" t="s">
        <v>2366</v>
      </c>
      <c r="C378" s="199" t="s">
        <v>2367</v>
      </c>
      <c r="D378" s="199">
        <v>8048</v>
      </c>
      <c r="E378" s="199">
        <f>'05版台时'!H626</f>
        <v>18.285672388399</v>
      </c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  <c r="AA378" s="200"/>
      <c r="AB378" s="200"/>
      <c r="AC378" s="200"/>
      <c r="AD378" s="200"/>
      <c r="AE378" s="200"/>
      <c r="AF378" s="200"/>
      <c r="AG378" s="200"/>
      <c r="AH378" s="200"/>
      <c r="AI378" s="200"/>
      <c r="AJ378" s="200"/>
      <c r="AK378" s="200"/>
      <c r="AL378" s="200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200"/>
      <c r="BB378" s="200"/>
      <c r="BC378" s="200"/>
      <c r="BD378" s="200"/>
      <c r="BE378" s="200"/>
      <c r="BF378" s="200"/>
      <c r="BG378" s="200"/>
      <c r="BH378" s="200"/>
      <c r="BI378" s="200"/>
      <c r="BJ378" s="200"/>
      <c r="BK378" s="200"/>
      <c r="BL378" s="200"/>
      <c r="BM378" s="200"/>
      <c r="BN378" s="200"/>
      <c r="BO378" s="200"/>
      <c r="BP378" s="200"/>
      <c r="BQ378" s="200"/>
      <c r="BR378" s="200"/>
      <c r="BS378" s="200"/>
      <c r="BT378" s="200"/>
      <c r="BU378" s="200"/>
      <c r="BV378" s="200"/>
      <c r="BW378" s="200"/>
      <c r="BX378" s="200"/>
      <c r="BY378" s="200"/>
      <c r="BZ378" s="200"/>
      <c r="CA378" s="200"/>
      <c r="CB378" s="200"/>
      <c r="CC378" s="200"/>
      <c r="CD378" s="200"/>
      <c r="CE378" s="200"/>
      <c r="CF378" s="200"/>
      <c r="CG378" s="200"/>
      <c r="CH378" s="200"/>
      <c r="CI378" s="200"/>
      <c r="CJ378" s="200"/>
      <c r="CK378" s="200"/>
      <c r="CL378" s="200"/>
      <c r="CM378" s="200"/>
      <c r="CN378" s="200"/>
      <c r="CO378" s="200"/>
      <c r="CP378" s="200"/>
      <c r="CQ378" s="200"/>
      <c r="CR378" s="200"/>
      <c r="CS378" s="200"/>
      <c r="CT378" s="200"/>
      <c r="CU378" s="200"/>
      <c r="CV378" s="200"/>
      <c r="CW378" s="200"/>
      <c r="CX378" s="200"/>
      <c r="CY378" s="200"/>
      <c r="CZ378" s="200"/>
      <c r="DA378" s="200"/>
      <c r="DB378" s="200"/>
      <c r="DC378" s="200"/>
      <c r="DD378" s="200"/>
      <c r="DE378" s="200"/>
      <c r="DF378" s="200"/>
      <c r="DG378" s="200"/>
      <c r="DH378" s="200"/>
      <c r="DI378" s="200"/>
      <c r="DJ378" s="200"/>
      <c r="DK378" s="200"/>
      <c r="DL378" s="200"/>
      <c r="DM378" s="200"/>
      <c r="DN378" s="200"/>
      <c r="DO378" s="200"/>
      <c r="DP378" s="200"/>
      <c r="DQ378" s="200"/>
      <c r="DR378" s="200"/>
      <c r="DS378" s="200"/>
      <c r="DT378" s="200"/>
      <c r="DU378" s="200"/>
      <c r="DV378" s="200"/>
      <c r="DW378" s="200"/>
      <c r="DX378" s="200"/>
      <c r="DY378" s="200"/>
      <c r="DZ378" s="200"/>
      <c r="EA378" s="200"/>
      <c r="EB378" s="200"/>
      <c r="EC378" s="200"/>
      <c r="ED378" s="200"/>
      <c r="EE378" s="200"/>
      <c r="EF378" s="200"/>
      <c r="EG378" s="200"/>
      <c r="EH378" s="200"/>
      <c r="EI378" s="200"/>
      <c r="EJ378" s="200"/>
      <c r="EK378" s="200"/>
      <c r="EL378" s="200"/>
      <c r="EM378" s="200"/>
      <c r="EN378" s="200"/>
      <c r="EO378" s="200"/>
      <c r="EP378" s="200"/>
      <c r="EQ378" s="200"/>
      <c r="ER378" s="200"/>
      <c r="ES378" s="200"/>
      <c r="ET378" s="200"/>
      <c r="EU378" s="200"/>
      <c r="EV378" s="200"/>
      <c r="EW378" s="200"/>
      <c r="EX378" s="200"/>
      <c r="EY378" s="200"/>
      <c r="EZ378" s="200"/>
      <c r="FA378" s="200"/>
      <c r="FB378" s="200"/>
      <c r="FC378" s="200"/>
      <c r="FD378" s="200"/>
      <c r="FE378" s="200"/>
      <c r="FF378" s="200"/>
      <c r="FG378" s="200"/>
      <c r="FH378" s="200"/>
      <c r="FI378" s="200"/>
      <c r="FJ378" s="200"/>
      <c r="FK378" s="200"/>
      <c r="FL378" s="200"/>
      <c r="FM378" s="200"/>
      <c r="FN378" s="200"/>
      <c r="FO378" s="200"/>
      <c r="FP378" s="200"/>
      <c r="FQ378" s="200"/>
      <c r="FR378" s="200"/>
      <c r="FS378" s="200"/>
      <c r="FT378" s="200"/>
      <c r="FU378" s="200"/>
      <c r="FV378" s="200"/>
      <c r="FW378" s="200"/>
      <c r="FX378" s="200"/>
      <c r="FY378" s="200"/>
      <c r="FZ378" s="200"/>
      <c r="GA378" s="200"/>
      <c r="GB378" s="200"/>
      <c r="GC378" s="200"/>
      <c r="GD378" s="200"/>
      <c r="GE378" s="200"/>
      <c r="GF378" s="200"/>
      <c r="GG378" s="200"/>
      <c r="GH378" s="200"/>
      <c r="GI378" s="200"/>
      <c r="GJ378" s="200"/>
      <c r="GK378" s="200"/>
      <c r="GL378" s="200"/>
      <c r="GM378" s="200"/>
      <c r="GN378" s="200"/>
      <c r="GO378" s="200"/>
      <c r="GP378" s="200"/>
      <c r="GQ378" s="200"/>
      <c r="GR378" s="200"/>
      <c r="GS378" s="200"/>
      <c r="GT378" s="200"/>
      <c r="GU378" s="200"/>
      <c r="GV378" s="200"/>
      <c r="GW378" s="200"/>
      <c r="GX378" s="200"/>
      <c r="GY378" s="200"/>
      <c r="GZ378" s="200"/>
      <c r="HA378" s="200"/>
      <c r="HB378" s="200"/>
      <c r="HC378" s="200"/>
      <c r="HD378" s="200"/>
      <c r="HE378" s="200"/>
      <c r="HF378" s="200"/>
      <c r="HG378" s="200"/>
      <c r="HH378" s="200"/>
      <c r="HI378" s="200"/>
      <c r="HJ378" s="200"/>
      <c r="HK378" s="200"/>
      <c r="HL378" s="200"/>
      <c r="HM378" s="200"/>
      <c r="HN378" s="200"/>
      <c r="HO378" s="200"/>
      <c r="HP378" s="200"/>
      <c r="HQ378" s="200"/>
      <c r="HR378" s="200"/>
      <c r="HS378" s="200"/>
      <c r="HT378" s="200"/>
      <c r="HU378" s="200"/>
      <c r="HV378" s="200"/>
      <c r="HW378" s="200"/>
      <c r="HX378" s="200"/>
      <c r="HY378" s="200"/>
      <c r="HZ378" s="200"/>
      <c r="IA378" s="200"/>
      <c r="IB378" s="200"/>
      <c r="IC378" s="200"/>
      <c r="ID378" s="200"/>
      <c r="IE378" s="200"/>
      <c r="IF378" s="200"/>
      <c r="IG378" s="200"/>
      <c r="IH378" s="200"/>
      <c r="II378" s="200"/>
      <c r="IJ378" s="200"/>
      <c r="IK378" s="200"/>
      <c r="IL378" s="200"/>
      <c r="IM378" s="200"/>
      <c r="IN378" s="200"/>
      <c r="IO378" s="200"/>
      <c r="IP378" s="200"/>
      <c r="IQ378" s="200"/>
      <c r="IR378" s="200"/>
      <c r="IS378" s="200"/>
      <c r="IT378" s="200"/>
      <c r="IU378" s="201"/>
      <c r="IV378" s="201"/>
    </row>
    <row r="379" s="10" customFormat="1" ht="15.95" customHeight="1" spans="1:256">
      <c r="A379" s="199">
        <v>49</v>
      </c>
      <c r="B379" s="20" t="s">
        <v>2368</v>
      </c>
      <c r="C379" s="199" t="s">
        <v>2369</v>
      </c>
      <c r="D379" s="199">
        <v>8049</v>
      </c>
      <c r="E379" s="199">
        <f>'05版台时'!I626</f>
        <v>23.6990821473778</v>
      </c>
      <c r="F379" s="200"/>
      <c r="G379" s="200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  <c r="AA379" s="200"/>
      <c r="AB379" s="200"/>
      <c r="AC379" s="200"/>
      <c r="AD379" s="200"/>
      <c r="AE379" s="200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/>
      <c r="BB379" s="200"/>
      <c r="BC379" s="200"/>
      <c r="BD379" s="200"/>
      <c r="BE379" s="200"/>
      <c r="BF379" s="200"/>
      <c r="BG379" s="200"/>
      <c r="BH379" s="200"/>
      <c r="BI379" s="200"/>
      <c r="BJ379" s="200"/>
      <c r="BK379" s="200"/>
      <c r="BL379" s="200"/>
      <c r="BM379" s="200"/>
      <c r="BN379" s="200"/>
      <c r="BO379" s="200"/>
      <c r="BP379" s="200"/>
      <c r="BQ379" s="200"/>
      <c r="BR379" s="200"/>
      <c r="BS379" s="200"/>
      <c r="BT379" s="200"/>
      <c r="BU379" s="200"/>
      <c r="BV379" s="200"/>
      <c r="BW379" s="200"/>
      <c r="BX379" s="200"/>
      <c r="BY379" s="200"/>
      <c r="BZ379" s="200"/>
      <c r="CA379" s="200"/>
      <c r="CB379" s="200"/>
      <c r="CC379" s="200"/>
      <c r="CD379" s="200"/>
      <c r="CE379" s="200"/>
      <c r="CF379" s="200"/>
      <c r="CG379" s="200"/>
      <c r="CH379" s="200"/>
      <c r="CI379" s="200"/>
      <c r="CJ379" s="200"/>
      <c r="CK379" s="200"/>
      <c r="CL379" s="200"/>
      <c r="CM379" s="200"/>
      <c r="CN379" s="200"/>
      <c r="CO379" s="200"/>
      <c r="CP379" s="200"/>
      <c r="CQ379" s="200"/>
      <c r="CR379" s="200"/>
      <c r="CS379" s="200"/>
      <c r="CT379" s="200"/>
      <c r="CU379" s="200"/>
      <c r="CV379" s="200"/>
      <c r="CW379" s="200"/>
      <c r="CX379" s="200"/>
      <c r="CY379" s="200"/>
      <c r="CZ379" s="200"/>
      <c r="DA379" s="200"/>
      <c r="DB379" s="200"/>
      <c r="DC379" s="200"/>
      <c r="DD379" s="200"/>
      <c r="DE379" s="200"/>
      <c r="DF379" s="200"/>
      <c r="DG379" s="200"/>
      <c r="DH379" s="200"/>
      <c r="DI379" s="200"/>
      <c r="DJ379" s="200"/>
      <c r="DK379" s="200"/>
      <c r="DL379" s="200"/>
      <c r="DM379" s="200"/>
      <c r="DN379" s="200"/>
      <c r="DO379" s="200"/>
      <c r="DP379" s="200"/>
      <c r="DQ379" s="200"/>
      <c r="DR379" s="200"/>
      <c r="DS379" s="200"/>
      <c r="DT379" s="200"/>
      <c r="DU379" s="200"/>
      <c r="DV379" s="200"/>
      <c r="DW379" s="200"/>
      <c r="DX379" s="200"/>
      <c r="DY379" s="200"/>
      <c r="DZ379" s="200"/>
      <c r="EA379" s="200"/>
      <c r="EB379" s="200"/>
      <c r="EC379" s="200"/>
      <c r="ED379" s="200"/>
      <c r="EE379" s="200"/>
      <c r="EF379" s="200"/>
      <c r="EG379" s="200"/>
      <c r="EH379" s="200"/>
      <c r="EI379" s="200"/>
      <c r="EJ379" s="200"/>
      <c r="EK379" s="200"/>
      <c r="EL379" s="200"/>
      <c r="EM379" s="200"/>
      <c r="EN379" s="200"/>
      <c r="EO379" s="200"/>
      <c r="EP379" s="200"/>
      <c r="EQ379" s="200"/>
      <c r="ER379" s="200"/>
      <c r="ES379" s="200"/>
      <c r="ET379" s="200"/>
      <c r="EU379" s="200"/>
      <c r="EV379" s="200"/>
      <c r="EW379" s="200"/>
      <c r="EX379" s="200"/>
      <c r="EY379" s="200"/>
      <c r="EZ379" s="200"/>
      <c r="FA379" s="200"/>
      <c r="FB379" s="200"/>
      <c r="FC379" s="200"/>
      <c r="FD379" s="200"/>
      <c r="FE379" s="200"/>
      <c r="FF379" s="200"/>
      <c r="FG379" s="200"/>
      <c r="FH379" s="200"/>
      <c r="FI379" s="200"/>
      <c r="FJ379" s="200"/>
      <c r="FK379" s="200"/>
      <c r="FL379" s="200"/>
      <c r="FM379" s="200"/>
      <c r="FN379" s="200"/>
      <c r="FO379" s="200"/>
      <c r="FP379" s="200"/>
      <c r="FQ379" s="200"/>
      <c r="FR379" s="200"/>
      <c r="FS379" s="200"/>
      <c r="FT379" s="200"/>
      <c r="FU379" s="200"/>
      <c r="FV379" s="200"/>
      <c r="FW379" s="200"/>
      <c r="FX379" s="200"/>
      <c r="FY379" s="200"/>
      <c r="FZ379" s="200"/>
      <c r="GA379" s="200"/>
      <c r="GB379" s="200"/>
      <c r="GC379" s="200"/>
      <c r="GD379" s="200"/>
      <c r="GE379" s="200"/>
      <c r="GF379" s="200"/>
      <c r="GG379" s="200"/>
      <c r="GH379" s="200"/>
      <c r="GI379" s="200"/>
      <c r="GJ379" s="200"/>
      <c r="GK379" s="200"/>
      <c r="GL379" s="200"/>
      <c r="GM379" s="200"/>
      <c r="GN379" s="200"/>
      <c r="GO379" s="200"/>
      <c r="GP379" s="200"/>
      <c r="GQ379" s="200"/>
      <c r="GR379" s="200"/>
      <c r="GS379" s="200"/>
      <c r="GT379" s="200"/>
      <c r="GU379" s="200"/>
      <c r="GV379" s="200"/>
      <c r="GW379" s="200"/>
      <c r="GX379" s="200"/>
      <c r="GY379" s="200"/>
      <c r="GZ379" s="200"/>
      <c r="HA379" s="200"/>
      <c r="HB379" s="200"/>
      <c r="HC379" s="200"/>
      <c r="HD379" s="200"/>
      <c r="HE379" s="200"/>
      <c r="HF379" s="200"/>
      <c r="HG379" s="200"/>
      <c r="HH379" s="200"/>
      <c r="HI379" s="200"/>
      <c r="HJ379" s="200"/>
      <c r="HK379" s="200"/>
      <c r="HL379" s="200"/>
      <c r="HM379" s="200"/>
      <c r="HN379" s="200"/>
      <c r="HO379" s="200"/>
      <c r="HP379" s="200"/>
      <c r="HQ379" s="200"/>
      <c r="HR379" s="200"/>
      <c r="HS379" s="200"/>
      <c r="HT379" s="200"/>
      <c r="HU379" s="200"/>
      <c r="HV379" s="200"/>
      <c r="HW379" s="200"/>
      <c r="HX379" s="200"/>
      <c r="HY379" s="200"/>
      <c r="HZ379" s="200"/>
      <c r="IA379" s="200"/>
      <c r="IB379" s="200"/>
      <c r="IC379" s="200"/>
      <c r="ID379" s="200"/>
      <c r="IE379" s="200"/>
      <c r="IF379" s="200"/>
      <c r="IG379" s="200"/>
      <c r="IH379" s="200"/>
      <c r="II379" s="200"/>
      <c r="IJ379" s="200"/>
      <c r="IK379" s="200"/>
      <c r="IL379" s="200"/>
      <c r="IM379" s="200"/>
      <c r="IN379" s="200"/>
      <c r="IO379" s="200"/>
      <c r="IP379" s="200"/>
      <c r="IQ379" s="200"/>
      <c r="IR379" s="200"/>
      <c r="IS379" s="200"/>
      <c r="IT379" s="200"/>
      <c r="IU379" s="201"/>
      <c r="IV379" s="201"/>
    </row>
    <row r="380" s="10" customFormat="1" ht="15.95" customHeight="1" spans="1:256">
      <c r="A380" s="199">
        <v>50</v>
      </c>
      <c r="B380" s="20" t="s">
        <v>2368</v>
      </c>
      <c r="C380" s="199" t="s">
        <v>2370</v>
      </c>
      <c r="D380" s="199">
        <v>8050</v>
      </c>
      <c r="E380" s="199">
        <f>'05版台时'!J626</f>
        <v>37.3687774006686</v>
      </c>
      <c r="F380" s="200"/>
      <c r="G380" s="200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  <c r="AA380" s="200"/>
      <c r="AB380" s="200"/>
      <c r="AC380" s="200"/>
      <c r="AD380" s="200"/>
      <c r="AE380" s="200"/>
      <c r="AF380" s="200"/>
      <c r="AG380" s="200"/>
      <c r="AH380" s="200"/>
      <c r="AI380" s="200"/>
      <c r="AJ380" s="200"/>
      <c r="AK380" s="200"/>
      <c r="AL380" s="200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200"/>
      <c r="BD380" s="200"/>
      <c r="BE380" s="200"/>
      <c r="BF380" s="200"/>
      <c r="BG380" s="200"/>
      <c r="BH380" s="200"/>
      <c r="BI380" s="200"/>
      <c r="BJ380" s="200"/>
      <c r="BK380" s="200"/>
      <c r="BL380" s="200"/>
      <c r="BM380" s="200"/>
      <c r="BN380" s="200"/>
      <c r="BO380" s="200"/>
      <c r="BP380" s="200"/>
      <c r="BQ380" s="200"/>
      <c r="BR380" s="200"/>
      <c r="BS380" s="200"/>
      <c r="BT380" s="200"/>
      <c r="BU380" s="200"/>
      <c r="BV380" s="200"/>
      <c r="BW380" s="200"/>
      <c r="BX380" s="200"/>
      <c r="BY380" s="200"/>
      <c r="BZ380" s="200"/>
      <c r="CA380" s="200"/>
      <c r="CB380" s="200"/>
      <c r="CC380" s="200"/>
      <c r="CD380" s="200"/>
      <c r="CE380" s="200"/>
      <c r="CF380" s="200"/>
      <c r="CG380" s="200"/>
      <c r="CH380" s="200"/>
      <c r="CI380" s="200"/>
      <c r="CJ380" s="200"/>
      <c r="CK380" s="200"/>
      <c r="CL380" s="200"/>
      <c r="CM380" s="200"/>
      <c r="CN380" s="200"/>
      <c r="CO380" s="200"/>
      <c r="CP380" s="200"/>
      <c r="CQ380" s="200"/>
      <c r="CR380" s="200"/>
      <c r="CS380" s="200"/>
      <c r="CT380" s="200"/>
      <c r="CU380" s="200"/>
      <c r="CV380" s="200"/>
      <c r="CW380" s="200"/>
      <c r="CX380" s="200"/>
      <c r="CY380" s="200"/>
      <c r="CZ380" s="200"/>
      <c r="DA380" s="200"/>
      <c r="DB380" s="200"/>
      <c r="DC380" s="200"/>
      <c r="DD380" s="200"/>
      <c r="DE380" s="200"/>
      <c r="DF380" s="200"/>
      <c r="DG380" s="200"/>
      <c r="DH380" s="200"/>
      <c r="DI380" s="200"/>
      <c r="DJ380" s="200"/>
      <c r="DK380" s="200"/>
      <c r="DL380" s="200"/>
      <c r="DM380" s="200"/>
      <c r="DN380" s="200"/>
      <c r="DO380" s="200"/>
      <c r="DP380" s="200"/>
      <c r="DQ380" s="200"/>
      <c r="DR380" s="200"/>
      <c r="DS380" s="200"/>
      <c r="DT380" s="200"/>
      <c r="DU380" s="200"/>
      <c r="DV380" s="200"/>
      <c r="DW380" s="200"/>
      <c r="DX380" s="200"/>
      <c r="DY380" s="200"/>
      <c r="DZ380" s="200"/>
      <c r="EA380" s="200"/>
      <c r="EB380" s="200"/>
      <c r="EC380" s="200"/>
      <c r="ED380" s="200"/>
      <c r="EE380" s="200"/>
      <c r="EF380" s="200"/>
      <c r="EG380" s="200"/>
      <c r="EH380" s="200"/>
      <c r="EI380" s="200"/>
      <c r="EJ380" s="200"/>
      <c r="EK380" s="200"/>
      <c r="EL380" s="200"/>
      <c r="EM380" s="200"/>
      <c r="EN380" s="200"/>
      <c r="EO380" s="200"/>
      <c r="EP380" s="200"/>
      <c r="EQ380" s="200"/>
      <c r="ER380" s="200"/>
      <c r="ES380" s="200"/>
      <c r="ET380" s="200"/>
      <c r="EU380" s="200"/>
      <c r="EV380" s="200"/>
      <c r="EW380" s="200"/>
      <c r="EX380" s="200"/>
      <c r="EY380" s="200"/>
      <c r="EZ380" s="200"/>
      <c r="FA380" s="200"/>
      <c r="FB380" s="200"/>
      <c r="FC380" s="200"/>
      <c r="FD380" s="200"/>
      <c r="FE380" s="200"/>
      <c r="FF380" s="200"/>
      <c r="FG380" s="200"/>
      <c r="FH380" s="200"/>
      <c r="FI380" s="200"/>
      <c r="FJ380" s="200"/>
      <c r="FK380" s="200"/>
      <c r="FL380" s="200"/>
      <c r="FM380" s="200"/>
      <c r="FN380" s="200"/>
      <c r="FO380" s="200"/>
      <c r="FP380" s="200"/>
      <c r="FQ380" s="200"/>
      <c r="FR380" s="200"/>
      <c r="FS380" s="200"/>
      <c r="FT380" s="200"/>
      <c r="FU380" s="200"/>
      <c r="FV380" s="200"/>
      <c r="FW380" s="200"/>
      <c r="FX380" s="200"/>
      <c r="FY380" s="200"/>
      <c r="FZ380" s="200"/>
      <c r="GA380" s="200"/>
      <c r="GB380" s="200"/>
      <c r="GC380" s="200"/>
      <c r="GD380" s="200"/>
      <c r="GE380" s="200"/>
      <c r="GF380" s="200"/>
      <c r="GG380" s="200"/>
      <c r="GH380" s="200"/>
      <c r="GI380" s="200"/>
      <c r="GJ380" s="200"/>
      <c r="GK380" s="200"/>
      <c r="GL380" s="200"/>
      <c r="GM380" s="200"/>
      <c r="GN380" s="200"/>
      <c r="GO380" s="200"/>
      <c r="GP380" s="200"/>
      <c r="GQ380" s="200"/>
      <c r="GR380" s="200"/>
      <c r="GS380" s="200"/>
      <c r="GT380" s="200"/>
      <c r="GU380" s="200"/>
      <c r="GV380" s="200"/>
      <c r="GW380" s="200"/>
      <c r="GX380" s="200"/>
      <c r="GY380" s="200"/>
      <c r="GZ380" s="200"/>
      <c r="HA380" s="200"/>
      <c r="HB380" s="200"/>
      <c r="HC380" s="200"/>
      <c r="HD380" s="200"/>
      <c r="HE380" s="200"/>
      <c r="HF380" s="200"/>
      <c r="HG380" s="200"/>
      <c r="HH380" s="200"/>
      <c r="HI380" s="200"/>
      <c r="HJ380" s="200"/>
      <c r="HK380" s="200"/>
      <c r="HL380" s="200"/>
      <c r="HM380" s="200"/>
      <c r="HN380" s="200"/>
      <c r="HO380" s="200"/>
      <c r="HP380" s="200"/>
      <c r="HQ380" s="200"/>
      <c r="HR380" s="200"/>
      <c r="HS380" s="200"/>
      <c r="HT380" s="200"/>
      <c r="HU380" s="200"/>
      <c r="HV380" s="200"/>
      <c r="HW380" s="200"/>
      <c r="HX380" s="200"/>
      <c r="HY380" s="200"/>
      <c r="HZ380" s="200"/>
      <c r="IA380" s="200"/>
      <c r="IB380" s="200"/>
      <c r="IC380" s="200"/>
      <c r="ID380" s="200"/>
      <c r="IE380" s="200"/>
      <c r="IF380" s="200"/>
      <c r="IG380" s="200"/>
      <c r="IH380" s="200"/>
      <c r="II380" s="200"/>
      <c r="IJ380" s="200"/>
      <c r="IK380" s="200"/>
      <c r="IL380" s="200"/>
      <c r="IM380" s="200"/>
      <c r="IN380" s="200"/>
      <c r="IO380" s="200"/>
      <c r="IP380" s="200"/>
      <c r="IQ380" s="200"/>
      <c r="IR380" s="200"/>
      <c r="IS380" s="200"/>
      <c r="IT380" s="200"/>
      <c r="IU380" s="201"/>
      <c r="IV380" s="201"/>
    </row>
    <row r="381" s="10" customFormat="1" ht="15.95" customHeight="1" spans="1:256">
      <c r="A381" s="199">
        <v>51</v>
      </c>
      <c r="B381" s="20" t="s">
        <v>2371</v>
      </c>
      <c r="C381" s="199" t="s">
        <v>2372</v>
      </c>
      <c r="D381" s="199">
        <v>8051</v>
      </c>
      <c r="E381" s="199">
        <f>'05版台时'!K626</f>
        <v>28.5652464872262</v>
      </c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  <c r="AA381" s="200"/>
      <c r="AB381" s="200"/>
      <c r="AC381" s="200"/>
      <c r="AD381" s="200"/>
      <c r="AE381" s="200"/>
      <c r="AF381" s="200"/>
      <c r="AG381" s="200"/>
      <c r="AH381" s="200"/>
      <c r="AI381" s="200"/>
      <c r="AJ381" s="200"/>
      <c r="AK381" s="200"/>
      <c r="AL381" s="200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200"/>
      <c r="BB381" s="200"/>
      <c r="BC381" s="200"/>
      <c r="BD381" s="200"/>
      <c r="BE381" s="200"/>
      <c r="BF381" s="200"/>
      <c r="BG381" s="200"/>
      <c r="BH381" s="200"/>
      <c r="BI381" s="200"/>
      <c r="BJ381" s="200"/>
      <c r="BK381" s="200"/>
      <c r="BL381" s="200"/>
      <c r="BM381" s="200"/>
      <c r="BN381" s="200"/>
      <c r="BO381" s="200"/>
      <c r="BP381" s="200"/>
      <c r="BQ381" s="200"/>
      <c r="BR381" s="200"/>
      <c r="BS381" s="200"/>
      <c r="BT381" s="200"/>
      <c r="BU381" s="200"/>
      <c r="BV381" s="200"/>
      <c r="BW381" s="200"/>
      <c r="BX381" s="200"/>
      <c r="BY381" s="200"/>
      <c r="BZ381" s="200"/>
      <c r="CA381" s="200"/>
      <c r="CB381" s="200"/>
      <c r="CC381" s="200"/>
      <c r="CD381" s="200"/>
      <c r="CE381" s="200"/>
      <c r="CF381" s="200"/>
      <c r="CG381" s="200"/>
      <c r="CH381" s="200"/>
      <c r="CI381" s="200"/>
      <c r="CJ381" s="200"/>
      <c r="CK381" s="200"/>
      <c r="CL381" s="200"/>
      <c r="CM381" s="200"/>
      <c r="CN381" s="200"/>
      <c r="CO381" s="200"/>
      <c r="CP381" s="200"/>
      <c r="CQ381" s="200"/>
      <c r="CR381" s="200"/>
      <c r="CS381" s="200"/>
      <c r="CT381" s="200"/>
      <c r="CU381" s="200"/>
      <c r="CV381" s="200"/>
      <c r="CW381" s="200"/>
      <c r="CX381" s="200"/>
      <c r="CY381" s="200"/>
      <c r="CZ381" s="200"/>
      <c r="DA381" s="200"/>
      <c r="DB381" s="200"/>
      <c r="DC381" s="200"/>
      <c r="DD381" s="200"/>
      <c r="DE381" s="200"/>
      <c r="DF381" s="200"/>
      <c r="DG381" s="200"/>
      <c r="DH381" s="200"/>
      <c r="DI381" s="200"/>
      <c r="DJ381" s="200"/>
      <c r="DK381" s="200"/>
      <c r="DL381" s="200"/>
      <c r="DM381" s="200"/>
      <c r="DN381" s="200"/>
      <c r="DO381" s="200"/>
      <c r="DP381" s="200"/>
      <c r="DQ381" s="200"/>
      <c r="DR381" s="200"/>
      <c r="DS381" s="200"/>
      <c r="DT381" s="200"/>
      <c r="DU381" s="200"/>
      <c r="DV381" s="200"/>
      <c r="DW381" s="200"/>
      <c r="DX381" s="200"/>
      <c r="DY381" s="200"/>
      <c r="DZ381" s="200"/>
      <c r="EA381" s="200"/>
      <c r="EB381" s="200"/>
      <c r="EC381" s="200"/>
      <c r="ED381" s="200"/>
      <c r="EE381" s="200"/>
      <c r="EF381" s="200"/>
      <c r="EG381" s="200"/>
      <c r="EH381" s="200"/>
      <c r="EI381" s="200"/>
      <c r="EJ381" s="200"/>
      <c r="EK381" s="200"/>
      <c r="EL381" s="200"/>
      <c r="EM381" s="200"/>
      <c r="EN381" s="200"/>
      <c r="EO381" s="200"/>
      <c r="EP381" s="200"/>
      <c r="EQ381" s="200"/>
      <c r="ER381" s="200"/>
      <c r="ES381" s="200"/>
      <c r="ET381" s="200"/>
      <c r="EU381" s="200"/>
      <c r="EV381" s="200"/>
      <c r="EW381" s="200"/>
      <c r="EX381" s="200"/>
      <c r="EY381" s="200"/>
      <c r="EZ381" s="200"/>
      <c r="FA381" s="200"/>
      <c r="FB381" s="200"/>
      <c r="FC381" s="200"/>
      <c r="FD381" s="200"/>
      <c r="FE381" s="200"/>
      <c r="FF381" s="200"/>
      <c r="FG381" s="200"/>
      <c r="FH381" s="200"/>
      <c r="FI381" s="200"/>
      <c r="FJ381" s="200"/>
      <c r="FK381" s="200"/>
      <c r="FL381" s="200"/>
      <c r="FM381" s="200"/>
      <c r="FN381" s="200"/>
      <c r="FO381" s="200"/>
      <c r="FP381" s="200"/>
      <c r="FQ381" s="200"/>
      <c r="FR381" s="200"/>
      <c r="FS381" s="200"/>
      <c r="FT381" s="200"/>
      <c r="FU381" s="200"/>
      <c r="FV381" s="200"/>
      <c r="FW381" s="200"/>
      <c r="FX381" s="200"/>
      <c r="FY381" s="200"/>
      <c r="FZ381" s="200"/>
      <c r="GA381" s="200"/>
      <c r="GB381" s="200"/>
      <c r="GC381" s="200"/>
      <c r="GD381" s="200"/>
      <c r="GE381" s="200"/>
      <c r="GF381" s="200"/>
      <c r="GG381" s="200"/>
      <c r="GH381" s="200"/>
      <c r="GI381" s="200"/>
      <c r="GJ381" s="200"/>
      <c r="GK381" s="200"/>
      <c r="GL381" s="200"/>
      <c r="GM381" s="200"/>
      <c r="GN381" s="200"/>
      <c r="GO381" s="200"/>
      <c r="GP381" s="200"/>
      <c r="GQ381" s="200"/>
      <c r="GR381" s="200"/>
      <c r="GS381" s="200"/>
      <c r="GT381" s="200"/>
      <c r="GU381" s="200"/>
      <c r="GV381" s="200"/>
      <c r="GW381" s="200"/>
      <c r="GX381" s="200"/>
      <c r="GY381" s="200"/>
      <c r="GZ381" s="200"/>
      <c r="HA381" s="200"/>
      <c r="HB381" s="200"/>
      <c r="HC381" s="200"/>
      <c r="HD381" s="200"/>
      <c r="HE381" s="200"/>
      <c r="HF381" s="200"/>
      <c r="HG381" s="200"/>
      <c r="HH381" s="200"/>
      <c r="HI381" s="200"/>
      <c r="HJ381" s="200"/>
      <c r="HK381" s="200"/>
      <c r="HL381" s="200"/>
      <c r="HM381" s="200"/>
      <c r="HN381" s="200"/>
      <c r="HO381" s="200"/>
      <c r="HP381" s="200"/>
      <c r="HQ381" s="200"/>
      <c r="HR381" s="200"/>
      <c r="HS381" s="200"/>
      <c r="HT381" s="200"/>
      <c r="HU381" s="200"/>
      <c r="HV381" s="200"/>
      <c r="HW381" s="200"/>
      <c r="HX381" s="200"/>
      <c r="HY381" s="200"/>
      <c r="HZ381" s="200"/>
      <c r="IA381" s="200"/>
      <c r="IB381" s="200"/>
      <c r="IC381" s="200"/>
      <c r="ID381" s="200"/>
      <c r="IE381" s="200"/>
      <c r="IF381" s="200"/>
      <c r="IG381" s="200"/>
      <c r="IH381" s="200"/>
      <c r="II381" s="200"/>
      <c r="IJ381" s="200"/>
      <c r="IK381" s="200"/>
      <c r="IL381" s="200"/>
      <c r="IM381" s="200"/>
      <c r="IN381" s="200"/>
      <c r="IO381" s="200"/>
      <c r="IP381" s="200"/>
      <c r="IQ381" s="200"/>
      <c r="IR381" s="200"/>
      <c r="IS381" s="200"/>
      <c r="IT381" s="200"/>
      <c r="IU381" s="201"/>
      <c r="IV381" s="201"/>
    </row>
    <row r="382" s="10" customFormat="1" ht="15.95" customHeight="1" spans="1:256">
      <c r="A382" s="199">
        <v>52</v>
      </c>
      <c r="B382" s="20" t="s">
        <v>2373</v>
      </c>
      <c r="C382" s="199" t="s">
        <v>2374</v>
      </c>
      <c r="D382" s="199">
        <v>8052</v>
      </c>
      <c r="E382" s="199">
        <f>'05版台时'!L626</f>
        <v>62.3011235252159</v>
      </c>
      <c r="F382" s="200"/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00"/>
      <c r="BJ382" s="200"/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00"/>
      <c r="CN382" s="200"/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00"/>
      <c r="DI382" s="200"/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00"/>
      <c r="EM382" s="200"/>
      <c r="EN382" s="200"/>
      <c r="EO382" s="200"/>
      <c r="EP382" s="200"/>
      <c r="EQ382" s="200"/>
      <c r="ER382" s="200"/>
      <c r="ES382" s="200"/>
      <c r="ET382" s="200"/>
      <c r="EU382" s="200"/>
      <c r="EV382" s="200"/>
      <c r="EW382" s="200"/>
      <c r="EX382" s="200"/>
      <c r="EY382" s="200"/>
      <c r="EZ382" s="200"/>
      <c r="FA382" s="200"/>
      <c r="FB382" s="200"/>
      <c r="FC382" s="200"/>
      <c r="FD382" s="200"/>
      <c r="FE382" s="200"/>
      <c r="FF382" s="200"/>
      <c r="FG382" s="200"/>
      <c r="FH382" s="200"/>
      <c r="FI382" s="200"/>
      <c r="FJ382" s="200"/>
      <c r="FK382" s="200"/>
      <c r="FL382" s="200"/>
      <c r="FM382" s="200"/>
      <c r="FN382" s="200"/>
      <c r="FO382" s="200"/>
      <c r="FP382" s="200"/>
      <c r="FQ382" s="200"/>
      <c r="FR382" s="200"/>
      <c r="FS382" s="200"/>
      <c r="FT382" s="200"/>
      <c r="FU382" s="200"/>
      <c r="FV382" s="200"/>
      <c r="FW382" s="200"/>
      <c r="FX382" s="200"/>
      <c r="FY382" s="200"/>
      <c r="FZ382" s="200"/>
      <c r="GA382" s="200"/>
      <c r="GB382" s="200"/>
      <c r="GC382" s="200"/>
      <c r="GD382" s="200"/>
      <c r="GE382" s="200"/>
      <c r="GF382" s="200"/>
      <c r="GG382" s="200"/>
      <c r="GH382" s="200"/>
      <c r="GI382" s="200"/>
      <c r="GJ382" s="200"/>
      <c r="GK382" s="200"/>
      <c r="GL382" s="200"/>
      <c r="GM382" s="200"/>
      <c r="GN382" s="200"/>
      <c r="GO382" s="200"/>
      <c r="GP382" s="200"/>
      <c r="GQ382" s="200"/>
      <c r="GR382" s="200"/>
      <c r="GS382" s="200"/>
      <c r="GT382" s="200"/>
      <c r="GU382" s="200"/>
      <c r="GV382" s="200"/>
      <c r="GW382" s="200"/>
      <c r="GX382" s="200"/>
      <c r="GY382" s="200"/>
      <c r="GZ382" s="200"/>
      <c r="HA382" s="200"/>
      <c r="HB382" s="200"/>
      <c r="HC382" s="200"/>
      <c r="HD382" s="200"/>
      <c r="HE382" s="200"/>
      <c r="HF382" s="200"/>
      <c r="HG382" s="200"/>
      <c r="HH382" s="200"/>
      <c r="HI382" s="200"/>
      <c r="HJ382" s="200"/>
      <c r="HK382" s="200"/>
      <c r="HL382" s="200"/>
      <c r="HM382" s="200"/>
      <c r="HN382" s="200"/>
      <c r="HO382" s="200"/>
      <c r="HP382" s="200"/>
      <c r="HQ382" s="200"/>
      <c r="HR382" s="200"/>
      <c r="HS382" s="200"/>
      <c r="HT382" s="200"/>
      <c r="HU382" s="200"/>
      <c r="HV382" s="200"/>
      <c r="HW382" s="200"/>
      <c r="HX382" s="200"/>
      <c r="HY382" s="200"/>
      <c r="HZ382" s="200"/>
      <c r="IA382" s="200"/>
      <c r="IB382" s="200"/>
      <c r="IC382" s="200"/>
      <c r="ID382" s="200"/>
      <c r="IE382" s="200"/>
      <c r="IF382" s="200"/>
      <c r="IG382" s="200"/>
      <c r="IH382" s="200"/>
      <c r="II382" s="200"/>
      <c r="IJ382" s="200"/>
      <c r="IK382" s="200"/>
      <c r="IL382" s="200"/>
      <c r="IM382" s="200"/>
      <c r="IN382" s="200"/>
      <c r="IO382" s="200"/>
      <c r="IP382" s="200"/>
      <c r="IQ382" s="200"/>
      <c r="IR382" s="200"/>
      <c r="IS382" s="200"/>
      <c r="IT382" s="200"/>
      <c r="IU382" s="201"/>
      <c r="IV382" s="201"/>
    </row>
    <row r="383" s="10" customFormat="1" ht="15.95" customHeight="1" spans="1:256">
      <c r="A383" s="199">
        <v>53</v>
      </c>
      <c r="B383" s="20" t="s">
        <v>2373</v>
      </c>
      <c r="C383" s="199" t="s">
        <v>2375</v>
      </c>
      <c r="D383" s="199">
        <v>8053</v>
      </c>
      <c r="E383" s="199">
        <f>'05版台时'!M626</f>
        <v>82.0964470194321</v>
      </c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  <c r="AA383" s="200"/>
      <c r="AB383" s="200"/>
      <c r="AC383" s="200"/>
      <c r="AD383" s="200"/>
      <c r="AE383" s="200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200"/>
      <c r="BD383" s="200"/>
      <c r="BE383" s="200"/>
      <c r="BF383" s="200"/>
      <c r="BG383" s="200"/>
      <c r="BH383" s="200"/>
      <c r="BI383" s="200"/>
      <c r="BJ383" s="200"/>
      <c r="BK383" s="200"/>
      <c r="BL383" s="200"/>
      <c r="BM383" s="200"/>
      <c r="BN383" s="200"/>
      <c r="BO383" s="200"/>
      <c r="BP383" s="200"/>
      <c r="BQ383" s="200"/>
      <c r="BR383" s="200"/>
      <c r="BS383" s="200"/>
      <c r="BT383" s="200"/>
      <c r="BU383" s="200"/>
      <c r="BV383" s="200"/>
      <c r="BW383" s="200"/>
      <c r="BX383" s="200"/>
      <c r="BY383" s="200"/>
      <c r="BZ383" s="200"/>
      <c r="CA383" s="200"/>
      <c r="CB383" s="200"/>
      <c r="CC383" s="200"/>
      <c r="CD383" s="200"/>
      <c r="CE383" s="200"/>
      <c r="CF383" s="200"/>
      <c r="CG383" s="200"/>
      <c r="CH383" s="200"/>
      <c r="CI383" s="200"/>
      <c r="CJ383" s="200"/>
      <c r="CK383" s="200"/>
      <c r="CL383" s="200"/>
      <c r="CM383" s="200"/>
      <c r="CN383" s="200"/>
      <c r="CO383" s="200"/>
      <c r="CP383" s="200"/>
      <c r="CQ383" s="200"/>
      <c r="CR383" s="200"/>
      <c r="CS383" s="200"/>
      <c r="CT383" s="200"/>
      <c r="CU383" s="200"/>
      <c r="CV383" s="200"/>
      <c r="CW383" s="200"/>
      <c r="CX383" s="200"/>
      <c r="CY383" s="200"/>
      <c r="CZ383" s="200"/>
      <c r="DA383" s="200"/>
      <c r="DB383" s="200"/>
      <c r="DC383" s="200"/>
      <c r="DD383" s="200"/>
      <c r="DE383" s="200"/>
      <c r="DF383" s="200"/>
      <c r="DG383" s="200"/>
      <c r="DH383" s="200"/>
      <c r="DI383" s="200"/>
      <c r="DJ383" s="200"/>
      <c r="DK383" s="200"/>
      <c r="DL383" s="200"/>
      <c r="DM383" s="200"/>
      <c r="DN383" s="200"/>
      <c r="DO383" s="200"/>
      <c r="DP383" s="200"/>
      <c r="DQ383" s="200"/>
      <c r="DR383" s="200"/>
      <c r="DS383" s="200"/>
      <c r="DT383" s="200"/>
      <c r="DU383" s="200"/>
      <c r="DV383" s="200"/>
      <c r="DW383" s="200"/>
      <c r="DX383" s="200"/>
      <c r="DY383" s="200"/>
      <c r="DZ383" s="200"/>
      <c r="EA383" s="200"/>
      <c r="EB383" s="200"/>
      <c r="EC383" s="200"/>
      <c r="ED383" s="200"/>
      <c r="EE383" s="200"/>
      <c r="EF383" s="200"/>
      <c r="EG383" s="200"/>
      <c r="EH383" s="200"/>
      <c r="EI383" s="200"/>
      <c r="EJ383" s="200"/>
      <c r="EK383" s="200"/>
      <c r="EL383" s="200"/>
      <c r="EM383" s="200"/>
      <c r="EN383" s="200"/>
      <c r="EO383" s="200"/>
      <c r="EP383" s="200"/>
      <c r="EQ383" s="200"/>
      <c r="ER383" s="200"/>
      <c r="ES383" s="200"/>
      <c r="ET383" s="200"/>
      <c r="EU383" s="200"/>
      <c r="EV383" s="200"/>
      <c r="EW383" s="200"/>
      <c r="EX383" s="200"/>
      <c r="EY383" s="200"/>
      <c r="EZ383" s="200"/>
      <c r="FA383" s="200"/>
      <c r="FB383" s="200"/>
      <c r="FC383" s="200"/>
      <c r="FD383" s="200"/>
      <c r="FE383" s="200"/>
      <c r="FF383" s="200"/>
      <c r="FG383" s="200"/>
      <c r="FH383" s="200"/>
      <c r="FI383" s="200"/>
      <c r="FJ383" s="200"/>
      <c r="FK383" s="200"/>
      <c r="FL383" s="200"/>
      <c r="FM383" s="200"/>
      <c r="FN383" s="200"/>
      <c r="FO383" s="200"/>
      <c r="FP383" s="200"/>
      <c r="FQ383" s="200"/>
      <c r="FR383" s="200"/>
      <c r="FS383" s="200"/>
      <c r="FT383" s="200"/>
      <c r="FU383" s="200"/>
      <c r="FV383" s="200"/>
      <c r="FW383" s="200"/>
      <c r="FX383" s="200"/>
      <c r="FY383" s="200"/>
      <c r="FZ383" s="200"/>
      <c r="GA383" s="200"/>
      <c r="GB383" s="200"/>
      <c r="GC383" s="200"/>
      <c r="GD383" s="200"/>
      <c r="GE383" s="200"/>
      <c r="GF383" s="200"/>
      <c r="GG383" s="200"/>
      <c r="GH383" s="200"/>
      <c r="GI383" s="200"/>
      <c r="GJ383" s="200"/>
      <c r="GK383" s="200"/>
      <c r="GL383" s="200"/>
      <c r="GM383" s="200"/>
      <c r="GN383" s="200"/>
      <c r="GO383" s="200"/>
      <c r="GP383" s="200"/>
      <c r="GQ383" s="200"/>
      <c r="GR383" s="200"/>
      <c r="GS383" s="200"/>
      <c r="GT383" s="200"/>
      <c r="GU383" s="200"/>
      <c r="GV383" s="200"/>
      <c r="GW383" s="200"/>
      <c r="GX383" s="200"/>
      <c r="GY383" s="200"/>
      <c r="GZ383" s="200"/>
      <c r="HA383" s="200"/>
      <c r="HB383" s="200"/>
      <c r="HC383" s="200"/>
      <c r="HD383" s="200"/>
      <c r="HE383" s="200"/>
      <c r="HF383" s="200"/>
      <c r="HG383" s="200"/>
      <c r="HH383" s="200"/>
      <c r="HI383" s="200"/>
      <c r="HJ383" s="200"/>
      <c r="HK383" s="200"/>
      <c r="HL383" s="200"/>
      <c r="HM383" s="200"/>
      <c r="HN383" s="200"/>
      <c r="HO383" s="200"/>
      <c r="HP383" s="200"/>
      <c r="HQ383" s="200"/>
      <c r="HR383" s="200"/>
      <c r="HS383" s="200"/>
      <c r="HT383" s="200"/>
      <c r="HU383" s="200"/>
      <c r="HV383" s="200"/>
      <c r="HW383" s="200"/>
      <c r="HX383" s="200"/>
      <c r="HY383" s="200"/>
      <c r="HZ383" s="200"/>
      <c r="IA383" s="200"/>
      <c r="IB383" s="200"/>
      <c r="IC383" s="200"/>
      <c r="ID383" s="200"/>
      <c r="IE383" s="200"/>
      <c r="IF383" s="200"/>
      <c r="IG383" s="200"/>
      <c r="IH383" s="200"/>
      <c r="II383" s="200"/>
      <c r="IJ383" s="200"/>
      <c r="IK383" s="200"/>
      <c r="IL383" s="200"/>
      <c r="IM383" s="200"/>
      <c r="IN383" s="200"/>
      <c r="IO383" s="200"/>
      <c r="IP383" s="200"/>
      <c r="IQ383" s="200"/>
      <c r="IR383" s="200"/>
      <c r="IS383" s="200"/>
      <c r="IT383" s="200"/>
      <c r="IU383" s="201"/>
      <c r="IV383" s="201"/>
    </row>
    <row r="384" s="10" customFormat="1" ht="15.95" customHeight="1" spans="1:256">
      <c r="A384" s="199">
        <v>54</v>
      </c>
      <c r="B384" s="20" t="s">
        <v>2376</v>
      </c>
      <c r="C384" s="199" t="s">
        <v>2377</v>
      </c>
      <c r="D384" s="199">
        <v>8054</v>
      </c>
      <c r="E384" s="199">
        <f>'05版台时'!N626</f>
        <v>21.2753205734808</v>
      </c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  <c r="AA384" s="200"/>
      <c r="AB384" s="200"/>
      <c r="AC384" s="200"/>
      <c r="AD384" s="200"/>
      <c r="AE384" s="200"/>
      <c r="AF384" s="200"/>
      <c r="AG384" s="200"/>
      <c r="AH384" s="200"/>
      <c r="AI384" s="200"/>
      <c r="AJ384" s="200"/>
      <c r="AK384" s="200"/>
      <c r="AL384" s="200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200"/>
      <c r="BD384" s="200"/>
      <c r="BE384" s="200"/>
      <c r="BF384" s="200"/>
      <c r="BG384" s="200"/>
      <c r="BH384" s="200"/>
      <c r="BI384" s="200"/>
      <c r="BJ384" s="200"/>
      <c r="BK384" s="200"/>
      <c r="BL384" s="200"/>
      <c r="BM384" s="200"/>
      <c r="BN384" s="200"/>
      <c r="BO384" s="200"/>
      <c r="BP384" s="200"/>
      <c r="BQ384" s="200"/>
      <c r="BR384" s="200"/>
      <c r="BS384" s="200"/>
      <c r="BT384" s="200"/>
      <c r="BU384" s="200"/>
      <c r="BV384" s="200"/>
      <c r="BW384" s="200"/>
      <c r="BX384" s="200"/>
      <c r="BY384" s="200"/>
      <c r="BZ384" s="200"/>
      <c r="CA384" s="200"/>
      <c r="CB384" s="200"/>
      <c r="CC384" s="200"/>
      <c r="CD384" s="200"/>
      <c r="CE384" s="200"/>
      <c r="CF384" s="200"/>
      <c r="CG384" s="200"/>
      <c r="CH384" s="200"/>
      <c r="CI384" s="200"/>
      <c r="CJ384" s="200"/>
      <c r="CK384" s="200"/>
      <c r="CL384" s="200"/>
      <c r="CM384" s="200"/>
      <c r="CN384" s="200"/>
      <c r="CO384" s="200"/>
      <c r="CP384" s="200"/>
      <c r="CQ384" s="200"/>
      <c r="CR384" s="200"/>
      <c r="CS384" s="200"/>
      <c r="CT384" s="200"/>
      <c r="CU384" s="200"/>
      <c r="CV384" s="200"/>
      <c r="CW384" s="200"/>
      <c r="CX384" s="200"/>
      <c r="CY384" s="200"/>
      <c r="CZ384" s="200"/>
      <c r="DA384" s="200"/>
      <c r="DB384" s="200"/>
      <c r="DC384" s="200"/>
      <c r="DD384" s="200"/>
      <c r="DE384" s="200"/>
      <c r="DF384" s="200"/>
      <c r="DG384" s="200"/>
      <c r="DH384" s="200"/>
      <c r="DI384" s="200"/>
      <c r="DJ384" s="200"/>
      <c r="DK384" s="200"/>
      <c r="DL384" s="200"/>
      <c r="DM384" s="200"/>
      <c r="DN384" s="200"/>
      <c r="DO384" s="200"/>
      <c r="DP384" s="200"/>
      <c r="DQ384" s="200"/>
      <c r="DR384" s="200"/>
      <c r="DS384" s="200"/>
      <c r="DT384" s="200"/>
      <c r="DU384" s="200"/>
      <c r="DV384" s="200"/>
      <c r="DW384" s="200"/>
      <c r="DX384" s="200"/>
      <c r="DY384" s="200"/>
      <c r="DZ384" s="200"/>
      <c r="EA384" s="200"/>
      <c r="EB384" s="200"/>
      <c r="EC384" s="200"/>
      <c r="ED384" s="200"/>
      <c r="EE384" s="200"/>
      <c r="EF384" s="200"/>
      <c r="EG384" s="200"/>
      <c r="EH384" s="200"/>
      <c r="EI384" s="200"/>
      <c r="EJ384" s="200"/>
      <c r="EK384" s="200"/>
      <c r="EL384" s="200"/>
      <c r="EM384" s="200"/>
      <c r="EN384" s="200"/>
      <c r="EO384" s="200"/>
      <c r="EP384" s="200"/>
      <c r="EQ384" s="200"/>
      <c r="ER384" s="200"/>
      <c r="ES384" s="200"/>
      <c r="ET384" s="200"/>
      <c r="EU384" s="200"/>
      <c r="EV384" s="200"/>
      <c r="EW384" s="200"/>
      <c r="EX384" s="200"/>
      <c r="EY384" s="200"/>
      <c r="EZ384" s="200"/>
      <c r="FA384" s="200"/>
      <c r="FB384" s="200"/>
      <c r="FC384" s="200"/>
      <c r="FD384" s="200"/>
      <c r="FE384" s="200"/>
      <c r="FF384" s="200"/>
      <c r="FG384" s="200"/>
      <c r="FH384" s="200"/>
      <c r="FI384" s="200"/>
      <c r="FJ384" s="200"/>
      <c r="FK384" s="200"/>
      <c r="FL384" s="200"/>
      <c r="FM384" s="200"/>
      <c r="FN384" s="200"/>
      <c r="FO384" s="200"/>
      <c r="FP384" s="200"/>
      <c r="FQ384" s="200"/>
      <c r="FR384" s="200"/>
      <c r="FS384" s="200"/>
      <c r="FT384" s="200"/>
      <c r="FU384" s="200"/>
      <c r="FV384" s="200"/>
      <c r="FW384" s="200"/>
      <c r="FX384" s="200"/>
      <c r="FY384" s="200"/>
      <c r="FZ384" s="200"/>
      <c r="GA384" s="200"/>
      <c r="GB384" s="200"/>
      <c r="GC384" s="200"/>
      <c r="GD384" s="200"/>
      <c r="GE384" s="200"/>
      <c r="GF384" s="200"/>
      <c r="GG384" s="200"/>
      <c r="GH384" s="200"/>
      <c r="GI384" s="200"/>
      <c r="GJ384" s="200"/>
      <c r="GK384" s="200"/>
      <c r="GL384" s="200"/>
      <c r="GM384" s="200"/>
      <c r="GN384" s="200"/>
      <c r="GO384" s="200"/>
      <c r="GP384" s="200"/>
      <c r="GQ384" s="200"/>
      <c r="GR384" s="200"/>
      <c r="GS384" s="200"/>
      <c r="GT384" s="200"/>
      <c r="GU384" s="200"/>
      <c r="GV384" s="200"/>
      <c r="GW384" s="200"/>
      <c r="GX384" s="200"/>
      <c r="GY384" s="200"/>
      <c r="GZ384" s="200"/>
      <c r="HA384" s="200"/>
      <c r="HB384" s="200"/>
      <c r="HC384" s="200"/>
      <c r="HD384" s="200"/>
      <c r="HE384" s="200"/>
      <c r="HF384" s="200"/>
      <c r="HG384" s="200"/>
      <c r="HH384" s="200"/>
      <c r="HI384" s="200"/>
      <c r="HJ384" s="200"/>
      <c r="HK384" s="200"/>
      <c r="HL384" s="200"/>
      <c r="HM384" s="200"/>
      <c r="HN384" s="200"/>
      <c r="HO384" s="200"/>
      <c r="HP384" s="200"/>
      <c r="HQ384" s="200"/>
      <c r="HR384" s="200"/>
      <c r="HS384" s="200"/>
      <c r="HT384" s="200"/>
      <c r="HU384" s="200"/>
      <c r="HV384" s="200"/>
      <c r="HW384" s="200"/>
      <c r="HX384" s="200"/>
      <c r="HY384" s="200"/>
      <c r="HZ384" s="200"/>
      <c r="IA384" s="200"/>
      <c r="IB384" s="200"/>
      <c r="IC384" s="200"/>
      <c r="ID384" s="200"/>
      <c r="IE384" s="200"/>
      <c r="IF384" s="200"/>
      <c r="IG384" s="200"/>
      <c r="IH384" s="200"/>
      <c r="II384" s="200"/>
      <c r="IJ384" s="200"/>
      <c r="IK384" s="200"/>
      <c r="IL384" s="200"/>
      <c r="IM384" s="200"/>
      <c r="IN384" s="200"/>
      <c r="IO384" s="200"/>
      <c r="IP384" s="200"/>
      <c r="IQ384" s="200"/>
      <c r="IR384" s="200"/>
      <c r="IS384" s="200"/>
      <c r="IT384" s="200"/>
      <c r="IU384" s="201"/>
      <c r="IV384" s="201"/>
    </row>
    <row r="385" s="10" customFormat="1" ht="15.95" customHeight="1" spans="1:256">
      <c r="A385" s="199">
        <v>55</v>
      </c>
      <c r="B385" s="20" t="s">
        <v>2376</v>
      </c>
      <c r="C385" s="199" t="s">
        <v>2378</v>
      </c>
      <c r="D385" s="199">
        <v>8055</v>
      </c>
      <c r="E385" s="199">
        <f>'05版台时'!O626</f>
        <v>24.0381087665402</v>
      </c>
      <c r="F385" s="200"/>
      <c r="G385" s="200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  <c r="AA385" s="200"/>
      <c r="AB385" s="200"/>
      <c r="AC385" s="200"/>
      <c r="AD385" s="200"/>
      <c r="AE385" s="200"/>
      <c r="AF385" s="200"/>
      <c r="AG385" s="200"/>
      <c r="AH385" s="200"/>
      <c r="AI385" s="200"/>
      <c r="AJ385" s="200"/>
      <c r="AK385" s="200"/>
      <c r="AL385" s="200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/>
      <c r="BB385" s="200"/>
      <c r="BC385" s="200"/>
      <c r="BD385" s="200"/>
      <c r="BE385" s="200"/>
      <c r="BF385" s="200"/>
      <c r="BG385" s="200"/>
      <c r="BH385" s="200"/>
      <c r="BI385" s="200"/>
      <c r="BJ385" s="200"/>
      <c r="BK385" s="200"/>
      <c r="BL385" s="200"/>
      <c r="BM385" s="200"/>
      <c r="BN385" s="200"/>
      <c r="BO385" s="200"/>
      <c r="BP385" s="200"/>
      <c r="BQ385" s="200"/>
      <c r="BR385" s="200"/>
      <c r="BS385" s="200"/>
      <c r="BT385" s="200"/>
      <c r="BU385" s="200"/>
      <c r="BV385" s="200"/>
      <c r="BW385" s="200"/>
      <c r="BX385" s="200"/>
      <c r="BY385" s="200"/>
      <c r="BZ385" s="200"/>
      <c r="CA385" s="200"/>
      <c r="CB385" s="200"/>
      <c r="CC385" s="200"/>
      <c r="CD385" s="200"/>
      <c r="CE385" s="200"/>
      <c r="CF385" s="200"/>
      <c r="CG385" s="200"/>
      <c r="CH385" s="200"/>
      <c r="CI385" s="200"/>
      <c r="CJ385" s="200"/>
      <c r="CK385" s="200"/>
      <c r="CL385" s="200"/>
      <c r="CM385" s="200"/>
      <c r="CN385" s="200"/>
      <c r="CO385" s="200"/>
      <c r="CP385" s="200"/>
      <c r="CQ385" s="200"/>
      <c r="CR385" s="200"/>
      <c r="CS385" s="200"/>
      <c r="CT385" s="200"/>
      <c r="CU385" s="200"/>
      <c r="CV385" s="200"/>
      <c r="CW385" s="200"/>
      <c r="CX385" s="200"/>
      <c r="CY385" s="200"/>
      <c r="CZ385" s="200"/>
      <c r="DA385" s="200"/>
      <c r="DB385" s="200"/>
      <c r="DC385" s="200"/>
      <c r="DD385" s="200"/>
      <c r="DE385" s="200"/>
      <c r="DF385" s="200"/>
      <c r="DG385" s="200"/>
      <c r="DH385" s="200"/>
      <c r="DI385" s="200"/>
      <c r="DJ385" s="200"/>
      <c r="DK385" s="200"/>
      <c r="DL385" s="200"/>
      <c r="DM385" s="200"/>
      <c r="DN385" s="200"/>
      <c r="DO385" s="200"/>
      <c r="DP385" s="200"/>
      <c r="DQ385" s="200"/>
      <c r="DR385" s="200"/>
      <c r="DS385" s="200"/>
      <c r="DT385" s="200"/>
      <c r="DU385" s="200"/>
      <c r="DV385" s="200"/>
      <c r="DW385" s="200"/>
      <c r="DX385" s="200"/>
      <c r="DY385" s="200"/>
      <c r="DZ385" s="200"/>
      <c r="EA385" s="200"/>
      <c r="EB385" s="200"/>
      <c r="EC385" s="200"/>
      <c r="ED385" s="200"/>
      <c r="EE385" s="200"/>
      <c r="EF385" s="200"/>
      <c r="EG385" s="200"/>
      <c r="EH385" s="200"/>
      <c r="EI385" s="200"/>
      <c r="EJ385" s="200"/>
      <c r="EK385" s="200"/>
      <c r="EL385" s="200"/>
      <c r="EM385" s="200"/>
      <c r="EN385" s="200"/>
      <c r="EO385" s="200"/>
      <c r="EP385" s="200"/>
      <c r="EQ385" s="200"/>
      <c r="ER385" s="200"/>
      <c r="ES385" s="200"/>
      <c r="ET385" s="200"/>
      <c r="EU385" s="200"/>
      <c r="EV385" s="200"/>
      <c r="EW385" s="200"/>
      <c r="EX385" s="200"/>
      <c r="EY385" s="200"/>
      <c r="EZ385" s="200"/>
      <c r="FA385" s="200"/>
      <c r="FB385" s="200"/>
      <c r="FC385" s="200"/>
      <c r="FD385" s="200"/>
      <c r="FE385" s="200"/>
      <c r="FF385" s="200"/>
      <c r="FG385" s="200"/>
      <c r="FH385" s="200"/>
      <c r="FI385" s="200"/>
      <c r="FJ385" s="200"/>
      <c r="FK385" s="200"/>
      <c r="FL385" s="200"/>
      <c r="FM385" s="200"/>
      <c r="FN385" s="200"/>
      <c r="FO385" s="200"/>
      <c r="FP385" s="200"/>
      <c r="FQ385" s="200"/>
      <c r="FR385" s="200"/>
      <c r="FS385" s="200"/>
      <c r="FT385" s="200"/>
      <c r="FU385" s="200"/>
      <c r="FV385" s="200"/>
      <c r="FW385" s="200"/>
      <c r="FX385" s="200"/>
      <c r="FY385" s="200"/>
      <c r="FZ385" s="200"/>
      <c r="GA385" s="200"/>
      <c r="GB385" s="200"/>
      <c r="GC385" s="200"/>
      <c r="GD385" s="200"/>
      <c r="GE385" s="200"/>
      <c r="GF385" s="200"/>
      <c r="GG385" s="200"/>
      <c r="GH385" s="200"/>
      <c r="GI385" s="200"/>
      <c r="GJ385" s="200"/>
      <c r="GK385" s="200"/>
      <c r="GL385" s="200"/>
      <c r="GM385" s="200"/>
      <c r="GN385" s="200"/>
      <c r="GO385" s="200"/>
      <c r="GP385" s="200"/>
      <c r="GQ385" s="200"/>
      <c r="GR385" s="200"/>
      <c r="GS385" s="200"/>
      <c r="GT385" s="200"/>
      <c r="GU385" s="200"/>
      <c r="GV385" s="200"/>
      <c r="GW385" s="200"/>
      <c r="GX385" s="200"/>
      <c r="GY385" s="200"/>
      <c r="GZ385" s="200"/>
      <c r="HA385" s="200"/>
      <c r="HB385" s="200"/>
      <c r="HC385" s="200"/>
      <c r="HD385" s="200"/>
      <c r="HE385" s="200"/>
      <c r="HF385" s="200"/>
      <c r="HG385" s="200"/>
      <c r="HH385" s="200"/>
      <c r="HI385" s="200"/>
      <c r="HJ385" s="200"/>
      <c r="HK385" s="200"/>
      <c r="HL385" s="200"/>
      <c r="HM385" s="200"/>
      <c r="HN385" s="200"/>
      <c r="HO385" s="200"/>
      <c r="HP385" s="200"/>
      <c r="HQ385" s="200"/>
      <c r="HR385" s="200"/>
      <c r="HS385" s="200"/>
      <c r="HT385" s="200"/>
      <c r="HU385" s="200"/>
      <c r="HV385" s="200"/>
      <c r="HW385" s="200"/>
      <c r="HX385" s="200"/>
      <c r="HY385" s="200"/>
      <c r="HZ385" s="200"/>
      <c r="IA385" s="200"/>
      <c r="IB385" s="200"/>
      <c r="IC385" s="200"/>
      <c r="ID385" s="200"/>
      <c r="IE385" s="200"/>
      <c r="IF385" s="200"/>
      <c r="IG385" s="200"/>
      <c r="IH385" s="200"/>
      <c r="II385" s="200"/>
      <c r="IJ385" s="200"/>
      <c r="IK385" s="200"/>
      <c r="IL385" s="200"/>
      <c r="IM385" s="200"/>
      <c r="IN385" s="200"/>
      <c r="IO385" s="200"/>
      <c r="IP385" s="200"/>
      <c r="IQ385" s="200"/>
      <c r="IR385" s="200"/>
      <c r="IS385" s="200"/>
      <c r="IT385" s="200"/>
      <c r="IU385" s="201"/>
      <c r="IV385" s="201"/>
    </row>
    <row r="386" s="10" customFormat="1" ht="15.95" customHeight="1" spans="1:256">
      <c r="A386" s="199">
        <v>56</v>
      </c>
      <c r="B386" s="20" t="s">
        <v>2379</v>
      </c>
      <c r="C386" s="199" t="s">
        <v>2380</v>
      </c>
      <c r="D386" s="199">
        <v>8056</v>
      </c>
      <c r="E386" s="199">
        <f>'05版台时'!P626</f>
        <v>16.3986408766319</v>
      </c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  <c r="AA386" s="200"/>
      <c r="AB386" s="200"/>
      <c r="AC386" s="200"/>
      <c r="AD386" s="200"/>
      <c r="AE386" s="200"/>
      <c r="AF386" s="200"/>
      <c r="AG386" s="200"/>
      <c r="AH386" s="200"/>
      <c r="AI386" s="200"/>
      <c r="AJ386" s="200"/>
      <c r="AK386" s="200"/>
      <c r="AL386" s="200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200"/>
      <c r="BD386" s="200"/>
      <c r="BE386" s="200"/>
      <c r="BF386" s="200"/>
      <c r="BG386" s="200"/>
      <c r="BH386" s="200"/>
      <c r="BI386" s="200"/>
      <c r="BJ386" s="200"/>
      <c r="BK386" s="200"/>
      <c r="BL386" s="200"/>
      <c r="BM386" s="200"/>
      <c r="BN386" s="200"/>
      <c r="BO386" s="200"/>
      <c r="BP386" s="200"/>
      <c r="BQ386" s="200"/>
      <c r="BR386" s="200"/>
      <c r="BS386" s="200"/>
      <c r="BT386" s="200"/>
      <c r="BU386" s="200"/>
      <c r="BV386" s="200"/>
      <c r="BW386" s="200"/>
      <c r="BX386" s="200"/>
      <c r="BY386" s="200"/>
      <c r="BZ386" s="200"/>
      <c r="CA386" s="200"/>
      <c r="CB386" s="200"/>
      <c r="CC386" s="200"/>
      <c r="CD386" s="200"/>
      <c r="CE386" s="200"/>
      <c r="CF386" s="200"/>
      <c r="CG386" s="200"/>
      <c r="CH386" s="200"/>
      <c r="CI386" s="200"/>
      <c r="CJ386" s="200"/>
      <c r="CK386" s="200"/>
      <c r="CL386" s="200"/>
      <c r="CM386" s="200"/>
      <c r="CN386" s="200"/>
      <c r="CO386" s="200"/>
      <c r="CP386" s="200"/>
      <c r="CQ386" s="200"/>
      <c r="CR386" s="200"/>
      <c r="CS386" s="200"/>
      <c r="CT386" s="200"/>
      <c r="CU386" s="200"/>
      <c r="CV386" s="200"/>
      <c r="CW386" s="200"/>
      <c r="CX386" s="200"/>
      <c r="CY386" s="200"/>
      <c r="CZ386" s="200"/>
      <c r="DA386" s="200"/>
      <c r="DB386" s="200"/>
      <c r="DC386" s="200"/>
      <c r="DD386" s="200"/>
      <c r="DE386" s="200"/>
      <c r="DF386" s="200"/>
      <c r="DG386" s="200"/>
      <c r="DH386" s="200"/>
      <c r="DI386" s="200"/>
      <c r="DJ386" s="200"/>
      <c r="DK386" s="200"/>
      <c r="DL386" s="200"/>
      <c r="DM386" s="200"/>
      <c r="DN386" s="200"/>
      <c r="DO386" s="200"/>
      <c r="DP386" s="200"/>
      <c r="DQ386" s="200"/>
      <c r="DR386" s="200"/>
      <c r="DS386" s="200"/>
      <c r="DT386" s="200"/>
      <c r="DU386" s="200"/>
      <c r="DV386" s="200"/>
      <c r="DW386" s="200"/>
      <c r="DX386" s="200"/>
      <c r="DY386" s="200"/>
      <c r="DZ386" s="200"/>
      <c r="EA386" s="200"/>
      <c r="EB386" s="200"/>
      <c r="EC386" s="200"/>
      <c r="ED386" s="200"/>
      <c r="EE386" s="200"/>
      <c r="EF386" s="200"/>
      <c r="EG386" s="200"/>
      <c r="EH386" s="200"/>
      <c r="EI386" s="200"/>
      <c r="EJ386" s="200"/>
      <c r="EK386" s="200"/>
      <c r="EL386" s="200"/>
      <c r="EM386" s="200"/>
      <c r="EN386" s="200"/>
      <c r="EO386" s="200"/>
      <c r="EP386" s="200"/>
      <c r="EQ386" s="200"/>
      <c r="ER386" s="200"/>
      <c r="ES386" s="200"/>
      <c r="ET386" s="200"/>
      <c r="EU386" s="200"/>
      <c r="EV386" s="200"/>
      <c r="EW386" s="200"/>
      <c r="EX386" s="200"/>
      <c r="EY386" s="200"/>
      <c r="EZ386" s="200"/>
      <c r="FA386" s="200"/>
      <c r="FB386" s="200"/>
      <c r="FC386" s="200"/>
      <c r="FD386" s="200"/>
      <c r="FE386" s="200"/>
      <c r="FF386" s="200"/>
      <c r="FG386" s="200"/>
      <c r="FH386" s="200"/>
      <c r="FI386" s="200"/>
      <c r="FJ386" s="200"/>
      <c r="FK386" s="200"/>
      <c r="FL386" s="200"/>
      <c r="FM386" s="200"/>
      <c r="FN386" s="200"/>
      <c r="FO386" s="200"/>
      <c r="FP386" s="200"/>
      <c r="FQ386" s="200"/>
      <c r="FR386" s="200"/>
      <c r="FS386" s="200"/>
      <c r="FT386" s="200"/>
      <c r="FU386" s="200"/>
      <c r="FV386" s="200"/>
      <c r="FW386" s="200"/>
      <c r="FX386" s="200"/>
      <c r="FY386" s="200"/>
      <c r="FZ386" s="200"/>
      <c r="GA386" s="200"/>
      <c r="GB386" s="200"/>
      <c r="GC386" s="200"/>
      <c r="GD386" s="200"/>
      <c r="GE386" s="200"/>
      <c r="GF386" s="200"/>
      <c r="GG386" s="200"/>
      <c r="GH386" s="200"/>
      <c r="GI386" s="200"/>
      <c r="GJ386" s="200"/>
      <c r="GK386" s="200"/>
      <c r="GL386" s="200"/>
      <c r="GM386" s="200"/>
      <c r="GN386" s="200"/>
      <c r="GO386" s="200"/>
      <c r="GP386" s="200"/>
      <c r="GQ386" s="200"/>
      <c r="GR386" s="200"/>
      <c r="GS386" s="200"/>
      <c r="GT386" s="200"/>
      <c r="GU386" s="200"/>
      <c r="GV386" s="200"/>
      <c r="GW386" s="200"/>
      <c r="GX386" s="200"/>
      <c r="GY386" s="200"/>
      <c r="GZ386" s="200"/>
      <c r="HA386" s="200"/>
      <c r="HB386" s="200"/>
      <c r="HC386" s="200"/>
      <c r="HD386" s="200"/>
      <c r="HE386" s="200"/>
      <c r="HF386" s="200"/>
      <c r="HG386" s="200"/>
      <c r="HH386" s="200"/>
      <c r="HI386" s="200"/>
      <c r="HJ386" s="200"/>
      <c r="HK386" s="200"/>
      <c r="HL386" s="200"/>
      <c r="HM386" s="200"/>
      <c r="HN386" s="200"/>
      <c r="HO386" s="200"/>
      <c r="HP386" s="200"/>
      <c r="HQ386" s="200"/>
      <c r="HR386" s="200"/>
      <c r="HS386" s="200"/>
      <c r="HT386" s="200"/>
      <c r="HU386" s="200"/>
      <c r="HV386" s="200"/>
      <c r="HW386" s="200"/>
      <c r="HX386" s="200"/>
      <c r="HY386" s="200"/>
      <c r="HZ386" s="200"/>
      <c r="IA386" s="200"/>
      <c r="IB386" s="200"/>
      <c r="IC386" s="200"/>
      <c r="ID386" s="200"/>
      <c r="IE386" s="200"/>
      <c r="IF386" s="200"/>
      <c r="IG386" s="200"/>
      <c r="IH386" s="200"/>
      <c r="II386" s="200"/>
      <c r="IJ386" s="200"/>
      <c r="IK386" s="200"/>
      <c r="IL386" s="200"/>
      <c r="IM386" s="200"/>
      <c r="IN386" s="200"/>
      <c r="IO386" s="200"/>
      <c r="IP386" s="200"/>
      <c r="IQ386" s="200"/>
      <c r="IR386" s="200"/>
      <c r="IS386" s="200"/>
      <c r="IT386" s="200"/>
      <c r="IU386" s="201"/>
      <c r="IV386" s="201"/>
    </row>
    <row r="387" s="10" customFormat="1" ht="15.95" customHeight="1" spans="1:256">
      <c r="A387" s="199">
        <v>57</v>
      </c>
      <c r="B387" s="20" t="s">
        <v>2379</v>
      </c>
      <c r="C387" s="199" t="s">
        <v>2381</v>
      </c>
      <c r="D387" s="199">
        <v>8057</v>
      </c>
      <c r="E387" s="199">
        <f>'05版台时'!Q626</f>
        <v>19.1722818818174</v>
      </c>
      <c r="F387" s="200"/>
      <c r="G387" s="200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  <c r="AA387" s="200"/>
      <c r="AB387" s="200"/>
      <c r="AC387" s="200"/>
      <c r="AD387" s="200"/>
      <c r="AE387" s="200"/>
      <c r="AF387" s="200"/>
      <c r="AG387" s="200"/>
      <c r="AH387" s="200"/>
      <c r="AI387" s="200"/>
      <c r="AJ387" s="200"/>
      <c r="AK387" s="200"/>
      <c r="AL387" s="200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200"/>
      <c r="BB387" s="200"/>
      <c r="BC387" s="200"/>
      <c r="BD387" s="200"/>
      <c r="BE387" s="200"/>
      <c r="BF387" s="200"/>
      <c r="BG387" s="200"/>
      <c r="BH387" s="200"/>
      <c r="BI387" s="200"/>
      <c r="BJ387" s="200"/>
      <c r="BK387" s="200"/>
      <c r="BL387" s="200"/>
      <c r="BM387" s="200"/>
      <c r="BN387" s="200"/>
      <c r="BO387" s="200"/>
      <c r="BP387" s="200"/>
      <c r="BQ387" s="200"/>
      <c r="BR387" s="200"/>
      <c r="BS387" s="200"/>
      <c r="BT387" s="200"/>
      <c r="BU387" s="200"/>
      <c r="BV387" s="200"/>
      <c r="BW387" s="200"/>
      <c r="BX387" s="200"/>
      <c r="BY387" s="200"/>
      <c r="BZ387" s="200"/>
      <c r="CA387" s="200"/>
      <c r="CB387" s="200"/>
      <c r="CC387" s="200"/>
      <c r="CD387" s="200"/>
      <c r="CE387" s="200"/>
      <c r="CF387" s="200"/>
      <c r="CG387" s="200"/>
      <c r="CH387" s="200"/>
      <c r="CI387" s="200"/>
      <c r="CJ387" s="200"/>
      <c r="CK387" s="200"/>
      <c r="CL387" s="200"/>
      <c r="CM387" s="200"/>
      <c r="CN387" s="200"/>
      <c r="CO387" s="200"/>
      <c r="CP387" s="200"/>
      <c r="CQ387" s="200"/>
      <c r="CR387" s="200"/>
      <c r="CS387" s="200"/>
      <c r="CT387" s="200"/>
      <c r="CU387" s="200"/>
      <c r="CV387" s="200"/>
      <c r="CW387" s="200"/>
      <c r="CX387" s="200"/>
      <c r="CY387" s="200"/>
      <c r="CZ387" s="200"/>
      <c r="DA387" s="200"/>
      <c r="DB387" s="200"/>
      <c r="DC387" s="200"/>
      <c r="DD387" s="200"/>
      <c r="DE387" s="200"/>
      <c r="DF387" s="200"/>
      <c r="DG387" s="200"/>
      <c r="DH387" s="200"/>
      <c r="DI387" s="200"/>
      <c r="DJ387" s="200"/>
      <c r="DK387" s="200"/>
      <c r="DL387" s="200"/>
      <c r="DM387" s="200"/>
      <c r="DN387" s="200"/>
      <c r="DO387" s="200"/>
      <c r="DP387" s="200"/>
      <c r="DQ387" s="200"/>
      <c r="DR387" s="200"/>
      <c r="DS387" s="200"/>
      <c r="DT387" s="200"/>
      <c r="DU387" s="200"/>
      <c r="DV387" s="200"/>
      <c r="DW387" s="200"/>
      <c r="DX387" s="200"/>
      <c r="DY387" s="200"/>
      <c r="DZ387" s="200"/>
      <c r="EA387" s="200"/>
      <c r="EB387" s="200"/>
      <c r="EC387" s="200"/>
      <c r="ED387" s="200"/>
      <c r="EE387" s="200"/>
      <c r="EF387" s="200"/>
      <c r="EG387" s="200"/>
      <c r="EH387" s="200"/>
      <c r="EI387" s="200"/>
      <c r="EJ387" s="200"/>
      <c r="EK387" s="200"/>
      <c r="EL387" s="200"/>
      <c r="EM387" s="200"/>
      <c r="EN387" s="200"/>
      <c r="EO387" s="200"/>
      <c r="EP387" s="200"/>
      <c r="EQ387" s="200"/>
      <c r="ER387" s="200"/>
      <c r="ES387" s="200"/>
      <c r="ET387" s="200"/>
      <c r="EU387" s="200"/>
      <c r="EV387" s="200"/>
      <c r="EW387" s="200"/>
      <c r="EX387" s="200"/>
      <c r="EY387" s="200"/>
      <c r="EZ387" s="200"/>
      <c r="FA387" s="200"/>
      <c r="FB387" s="200"/>
      <c r="FC387" s="200"/>
      <c r="FD387" s="200"/>
      <c r="FE387" s="200"/>
      <c r="FF387" s="200"/>
      <c r="FG387" s="200"/>
      <c r="FH387" s="200"/>
      <c r="FI387" s="200"/>
      <c r="FJ387" s="200"/>
      <c r="FK387" s="200"/>
      <c r="FL387" s="200"/>
      <c r="FM387" s="200"/>
      <c r="FN387" s="200"/>
      <c r="FO387" s="200"/>
      <c r="FP387" s="200"/>
      <c r="FQ387" s="200"/>
      <c r="FR387" s="200"/>
      <c r="FS387" s="200"/>
      <c r="FT387" s="200"/>
      <c r="FU387" s="200"/>
      <c r="FV387" s="200"/>
      <c r="FW387" s="200"/>
      <c r="FX387" s="200"/>
      <c r="FY387" s="200"/>
      <c r="FZ387" s="200"/>
      <c r="GA387" s="200"/>
      <c r="GB387" s="200"/>
      <c r="GC387" s="200"/>
      <c r="GD387" s="200"/>
      <c r="GE387" s="200"/>
      <c r="GF387" s="200"/>
      <c r="GG387" s="200"/>
      <c r="GH387" s="200"/>
      <c r="GI387" s="200"/>
      <c r="GJ387" s="200"/>
      <c r="GK387" s="200"/>
      <c r="GL387" s="200"/>
      <c r="GM387" s="200"/>
      <c r="GN387" s="200"/>
      <c r="GO387" s="200"/>
      <c r="GP387" s="200"/>
      <c r="GQ387" s="200"/>
      <c r="GR387" s="200"/>
      <c r="GS387" s="200"/>
      <c r="GT387" s="200"/>
      <c r="GU387" s="200"/>
      <c r="GV387" s="200"/>
      <c r="GW387" s="200"/>
      <c r="GX387" s="200"/>
      <c r="GY387" s="200"/>
      <c r="GZ387" s="200"/>
      <c r="HA387" s="200"/>
      <c r="HB387" s="200"/>
      <c r="HC387" s="200"/>
      <c r="HD387" s="200"/>
      <c r="HE387" s="200"/>
      <c r="HF387" s="200"/>
      <c r="HG387" s="200"/>
      <c r="HH387" s="200"/>
      <c r="HI387" s="200"/>
      <c r="HJ387" s="200"/>
      <c r="HK387" s="200"/>
      <c r="HL387" s="200"/>
      <c r="HM387" s="200"/>
      <c r="HN387" s="200"/>
      <c r="HO387" s="200"/>
      <c r="HP387" s="200"/>
      <c r="HQ387" s="200"/>
      <c r="HR387" s="200"/>
      <c r="HS387" s="200"/>
      <c r="HT387" s="200"/>
      <c r="HU387" s="200"/>
      <c r="HV387" s="200"/>
      <c r="HW387" s="200"/>
      <c r="HX387" s="200"/>
      <c r="HY387" s="200"/>
      <c r="HZ387" s="200"/>
      <c r="IA387" s="200"/>
      <c r="IB387" s="200"/>
      <c r="IC387" s="200"/>
      <c r="ID387" s="200"/>
      <c r="IE387" s="200"/>
      <c r="IF387" s="200"/>
      <c r="IG387" s="200"/>
      <c r="IH387" s="200"/>
      <c r="II387" s="200"/>
      <c r="IJ387" s="200"/>
      <c r="IK387" s="200"/>
      <c r="IL387" s="200"/>
      <c r="IM387" s="200"/>
      <c r="IN387" s="200"/>
      <c r="IO387" s="200"/>
      <c r="IP387" s="200"/>
      <c r="IQ387" s="200"/>
      <c r="IR387" s="200"/>
      <c r="IS387" s="200"/>
      <c r="IT387" s="200"/>
      <c r="IU387" s="201"/>
      <c r="IV387" s="201"/>
    </row>
    <row r="388" s="10" customFormat="1" ht="15.95" customHeight="1" spans="1:256">
      <c r="A388" s="199">
        <v>58</v>
      </c>
      <c r="B388" s="20" t="s">
        <v>2382</v>
      </c>
      <c r="C388" s="199" t="s">
        <v>2383</v>
      </c>
      <c r="D388" s="199">
        <v>8058</v>
      </c>
      <c r="E388" s="199">
        <f>'05版台时'!R626</f>
        <v>12.4698957629502</v>
      </c>
      <c r="F388" s="200"/>
      <c r="G388" s="200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  <c r="AA388" s="200"/>
      <c r="AB388" s="200"/>
      <c r="AC388" s="200"/>
      <c r="AD388" s="200"/>
      <c r="AE388" s="200"/>
      <c r="AF388" s="200"/>
      <c r="AG388" s="200"/>
      <c r="AH388" s="200"/>
      <c r="AI388" s="200"/>
      <c r="AJ388" s="200"/>
      <c r="AK388" s="200"/>
      <c r="AL388" s="200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200"/>
      <c r="BB388" s="200"/>
      <c r="BC388" s="200"/>
      <c r="BD388" s="200"/>
      <c r="BE388" s="200"/>
      <c r="BF388" s="200"/>
      <c r="BG388" s="200"/>
      <c r="BH388" s="200"/>
      <c r="BI388" s="200"/>
      <c r="BJ388" s="200"/>
      <c r="BK388" s="200"/>
      <c r="BL388" s="200"/>
      <c r="BM388" s="200"/>
      <c r="BN388" s="200"/>
      <c r="BO388" s="200"/>
      <c r="BP388" s="200"/>
      <c r="BQ388" s="200"/>
      <c r="BR388" s="200"/>
      <c r="BS388" s="200"/>
      <c r="BT388" s="200"/>
      <c r="BU388" s="200"/>
      <c r="BV388" s="200"/>
      <c r="BW388" s="200"/>
      <c r="BX388" s="200"/>
      <c r="BY388" s="200"/>
      <c r="BZ388" s="200"/>
      <c r="CA388" s="200"/>
      <c r="CB388" s="200"/>
      <c r="CC388" s="200"/>
      <c r="CD388" s="200"/>
      <c r="CE388" s="200"/>
      <c r="CF388" s="200"/>
      <c r="CG388" s="200"/>
      <c r="CH388" s="200"/>
      <c r="CI388" s="200"/>
      <c r="CJ388" s="200"/>
      <c r="CK388" s="200"/>
      <c r="CL388" s="200"/>
      <c r="CM388" s="200"/>
      <c r="CN388" s="200"/>
      <c r="CO388" s="200"/>
      <c r="CP388" s="200"/>
      <c r="CQ388" s="200"/>
      <c r="CR388" s="200"/>
      <c r="CS388" s="200"/>
      <c r="CT388" s="200"/>
      <c r="CU388" s="200"/>
      <c r="CV388" s="200"/>
      <c r="CW388" s="200"/>
      <c r="CX388" s="200"/>
      <c r="CY388" s="200"/>
      <c r="CZ388" s="200"/>
      <c r="DA388" s="200"/>
      <c r="DB388" s="200"/>
      <c r="DC388" s="200"/>
      <c r="DD388" s="200"/>
      <c r="DE388" s="200"/>
      <c r="DF388" s="200"/>
      <c r="DG388" s="200"/>
      <c r="DH388" s="200"/>
      <c r="DI388" s="200"/>
      <c r="DJ388" s="200"/>
      <c r="DK388" s="200"/>
      <c r="DL388" s="200"/>
      <c r="DM388" s="200"/>
      <c r="DN388" s="200"/>
      <c r="DO388" s="200"/>
      <c r="DP388" s="200"/>
      <c r="DQ388" s="200"/>
      <c r="DR388" s="200"/>
      <c r="DS388" s="200"/>
      <c r="DT388" s="200"/>
      <c r="DU388" s="200"/>
      <c r="DV388" s="200"/>
      <c r="DW388" s="200"/>
      <c r="DX388" s="200"/>
      <c r="DY388" s="200"/>
      <c r="DZ388" s="200"/>
      <c r="EA388" s="200"/>
      <c r="EB388" s="200"/>
      <c r="EC388" s="200"/>
      <c r="ED388" s="200"/>
      <c r="EE388" s="200"/>
      <c r="EF388" s="200"/>
      <c r="EG388" s="200"/>
      <c r="EH388" s="200"/>
      <c r="EI388" s="200"/>
      <c r="EJ388" s="200"/>
      <c r="EK388" s="200"/>
      <c r="EL388" s="200"/>
      <c r="EM388" s="200"/>
      <c r="EN388" s="200"/>
      <c r="EO388" s="200"/>
      <c r="EP388" s="200"/>
      <c r="EQ388" s="200"/>
      <c r="ER388" s="200"/>
      <c r="ES388" s="200"/>
      <c r="ET388" s="200"/>
      <c r="EU388" s="200"/>
      <c r="EV388" s="200"/>
      <c r="EW388" s="200"/>
      <c r="EX388" s="200"/>
      <c r="EY388" s="200"/>
      <c r="EZ388" s="200"/>
      <c r="FA388" s="200"/>
      <c r="FB388" s="200"/>
      <c r="FC388" s="200"/>
      <c r="FD388" s="200"/>
      <c r="FE388" s="200"/>
      <c r="FF388" s="200"/>
      <c r="FG388" s="200"/>
      <c r="FH388" s="200"/>
      <c r="FI388" s="200"/>
      <c r="FJ388" s="200"/>
      <c r="FK388" s="200"/>
      <c r="FL388" s="200"/>
      <c r="FM388" s="200"/>
      <c r="FN388" s="200"/>
      <c r="FO388" s="200"/>
      <c r="FP388" s="200"/>
      <c r="FQ388" s="200"/>
      <c r="FR388" s="200"/>
      <c r="FS388" s="200"/>
      <c r="FT388" s="200"/>
      <c r="FU388" s="200"/>
      <c r="FV388" s="200"/>
      <c r="FW388" s="200"/>
      <c r="FX388" s="200"/>
      <c r="FY388" s="200"/>
      <c r="FZ388" s="200"/>
      <c r="GA388" s="200"/>
      <c r="GB388" s="200"/>
      <c r="GC388" s="200"/>
      <c r="GD388" s="200"/>
      <c r="GE388" s="200"/>
      <c r="GF388" s="200"/>
      <c r="GG388" s="200"/>
      <c r="GH388" s="200"/>
      <c r="GI388" s="200"/>
      <c r="GJ388" s="200"/>
      <c r="GK388" s="200"/>
      <c r="GL388" s="200"/>
      <c r="GM388" s="200"/>
      <c r="GN388" s="200"/>
      <c r="GO388" s="200"/>
      <c r="GP388" s="200"/>
      <c r="GQ388" s="200"/>
      <c r="GR388" s="200"/>
      <c r="GS388" s="200"/>
      <c r="GT388" s="200"/>
      <c r="GU388" s="200"/>
      <c r="GV388" s="200"/>
      <c r="GW388" s="200"/>
      <c r="GX388" s="200"/>
      <c r="GY388" s="200"/>
      <c r="GZ388" s="200"/>
      <c r="HA388" s="200"/>
      <c r="HB388" s="200"/>
      <c r="HC388" s="200"/>
      <c r="HD388" s="200"/>
      <c r="HE388" s="200"/>
      <c r="HF388" s="200"/>
      <c r="HG388" s="200"/>
      <c r="HH388" s="200"/>
      <c r="HI388" s="200"/>
      <c r="HJ388" s="200"/>
      <c r="HK388" s="200"/>
      <c r="HL388" s="200"/>
      <c r="HM388" s="200"/>
      <c r="HN388" s="200"/>
      <c r="HO388" s="200"/>
      <c r="HP388" s="200"/>
      <c r="HQ388" s="200"/>
      <c r="HR388" s="200"/>
      <c r="HS388" s="200"/>
      <c r="HT388" s="200"/>
      <c r="HU388" s="200"/>
      <c r="HV388" s="200"/>
      <c r="HW388" s="200"/>
      <c r="HX388" s="200"/>
      <c r="HY388" s="200"/>
      <c r="HZ388" s="200"/>
      <c r="IA388" s="200"/>
      <c r="IB388" s="200"/>
      <c r="IC388" s="200"/>
      <c r="ID388" s="200"/>
      <c r="IE388" s="200"/>
      <c r="IF388" s="200"/>
      <c r="IG388" s="200"/>
      <c r="IH388" s="200"/>
      <c r="II388" s="200"/>
      <c r="IJ388" s="200"/>
      <c r="IK388" s="200"/>
      <c r="IL388" s="200"/>
      <c r="IM388" s="200"/>
      <c r="IN388" s="200"/>
      <c r="IO388" s="200"/>
      <c r="IP388" s="200"/>
      <c r="IQ388" s="200"/>
      <c r="IR388" s="200"/>
      <c r="IS388" s="200"/>
      <c r="IT388" s="200"/>
      <c r="IU388" s="201"/>
      <c r="IV388" s="201"/>
    </row>
    <row r="389" s="10" customFormat="1" ht="15.95" customHeight="1" spans="1:256">
      <c r="A389" s="199">
        <v>59</v>
      </c>
      <c r="B389" s="20" t="s">
        <v>2384</v>
      </c>
      <c r="C389" s="199" t="s">
        <v>2385</v>
      </c>
      <c r="D389" s="199">
        <v>8059</v>
      </c>
      <c r="E389" s="199">
        <f>'05版台时'!S626</f>
        <v>15.6671267162809</v>
      </c>
      <c r="F389" s="200"/>
      <c r="G389" s="200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  <c r="AA389" s="200"/>
      <c r="AB389" s="200"/>
      <c r="AC389" s="200"/>
      <c r="AD389" s="200"/>
      <c r="AE389" s="200"/>
      <c r="AF389" s="200"/>
      <c r="AG389" s="200"/>
      <c r="AH389" s="200"/>
      <c r="AI389" s="200"/>
      <c r="AJ389" s="200"/>
      <c r="AK389" s="200"/>
      <c r="AL389" s="200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200"/>
      <c r="BB389" s="200"/>
      <c r="BC389" s="200"/>
      <c r="BD389" s="200"/>
      <c r="BE389" s="200"/>
      <c r="BF389" s="200"/>
      <c r="BG389" s="200"/>
      <c r="BH389" s="200"/>
      <c r="BI389" s="200"/>
      <c r="BJ389" s="200"/>
      <c r="BK389" s="200"/>
      <c r="BL389" s="200"/>
      <c r="BM389" s="200"/>
      <c r="BN389" s="200"/>
      <c r="BO389" s="200"/>
      <c r="BP389" s="200"/>
      <c r="BQ389" s="200"/>
      <c r="BR389" s="200"/>
      <c r="BS389" s="200"/>
      <c r="BT389" s="200"/>
      <c r="BU389" s="200"/>
      <c r="BV389" s="200"/>
      <c r="BW389" s="200"/>
      <c r="BX389" s="200"/>
      <c r="BY389" s="200"/>
      <c r="BZ389" s="200"/>
      <c r="CA389" s="200"/>
      <c r="CB389" s="200"/>
      <c r="CC389" s="200"/>
      <c r="CD389" s="200"/>
      <c r="CE389" s="200"/>
      <c r="CF389" s="200"/>
      <c r="CG389" s="200"/>
      <c r="CH389" s="200"/>
      <c r="CI389" s="200"/>
      <c r="CJ389" s="200"/>
      <c r="CK389" s="200"/>
      <c r="CL389" s="200"/>
      <c r="CM389" s="200"/>
      <c r="CN389" s="200"/>
      <c r="CO389" s="200"/>
      <c r="CP389" s="200"/>
      <c r="CQ389" s="200"/>
      <c r="CR389" s="200"/>
      <c r="CS389" s="200"/>
      <c r="CT389" s="200"/>
      <c r="CU389" s="200"/>
      <c r="CV389" s="200"/>
      <c r="CW389" s="200"/>
      <c r="CX389" s="200"/>
      <c r="CY389" s="200"/>
      <c r="CZ389" s="200"/>
      <c r="DA389" s="200"/>
      <c r="DB389" s="200"/>
      <c r="DC389" s="200"/>
      <c r="DD389" s="200"/>
      <c r="DE389" s="200"/>
      <c r="DF389" s="200"/>
      <c r="DG389" s="200"/>
      <c r="DH389" s="200"/>
      <c r="DI389" s="200"/>
      <c r="DJ389" s="200"/>
      <c r="DK389" s="200"/>
      <c r="DL389" s="200"/>
      <c r="DM389" s="200"/>
      <c r="DN389" s="200"/>
      <c r="DO389" s="200"/>
      <c r="DP389" s="200"/>
      <c r="DQ389" s="200"/>
      <c r="DR389" s="200"/>
      <c r="DS389" s="200"/>
      <c r="DT389" s="200"/>
      <c r="DU389" s="200"/>
      <c r="DV389" s="200"/>
      <c r="DW389" s="200"/>
      <c r="DX389" s="200"/>
      <c r="DY389" s="200"/>
      <c r="DZ389" s="200"/>
      <c r="EA389" s="200"/>
      <c r="EB389" s="200"/>
      <c r="EC389" s="200"/>
      <c r="ED389" s="200"/>
      <c r="EE389" s="200"/>
      <c r="EF389" s="200"/>
      <c r="EG389" s="200"/>
      <c r="EH389" s="200"/>
      <c r="EI389" s="200"/>
      <c r="EJ389" s="200"/>
      <c r="EK389" s="200"/>
      <c r="EL389" s="200"/>
      <c r="EM389" s="200"/>
      <c r="EN389" s="200"/>
      <c r="EO389" s="200"/>
      <c r="EP389" s="200"/>
      <c r="EQ389" s="200"/>
      <c r="ER389" s="200"/>
      <c r="ES389" s="200"/>
      <c r="ET389" s="200"/>
      <c r="EU389" s="200"/>
      <c r="EV389" s="200"/>
      <c r="EW389" s="200"/>
      <c r="EX389" s="200"/>
      <c r="EY389" s="200"/>
      <c r="EZ389" s="200"/>
      <c r="FA389" s="200"/>
      <c r="FB389" s="200"/>
      <c r="FC389" s="200"/>
      <c r="FD389" s="200"/>
      <c r="FE389" s="200"/>
      <c r="FF389" s="200"/>
      <c r="FG389" s="200"/>
      <c r="FH389" s="200"/>
      <c r="FI389" s="200"/>
      <c r="FJ389" s="200"/>
      <c r="FK389" s="200"/>
      <c r="FL389" s="200"/>
      <c r="FM389" s="200"/>
      <c r="FN389" s="200"/>
      <c r="FO389" s="200"/>
      <c r="FP389" s="200"/>
      <c r="FQ389" s="200"/>
      <c r="FR389" s="200"/>
      <c r="FS389" s="200"/>
      <c r="FT389" s="200"/>
      <c r="FU389" s="200"/>
      <c r="FV389" s="200"/>
      <c r="FW389" s="200"/>
      <c r="FX389" s="200"/>
      <c r="FY389" s="200"/>
      <c r="FZ389" s="200"/>
      <c r="GA389" s="200"/>
      <c r="GB389" s="200"/>
      <c r="GC389" s="200"/>
      <c r="GD389" s="200"/>
      <c r="GE389" s="200"/>
      <c r="GF389" s="200"/>
      <c r="GG389" s="200"/>
      <c r="GH389" s="200"/>
      <c r="GI389" s="200"/>
      <c r="GJ389" s="200"/>
      <c r="GK389" s="200"/>
      <c r="GL389" s="200"/>
      <c r="GM389" s="200"/>
      <c r="GN389" s="200"/>
      <c r="GO389" s="200"/>
      <c r="GP389" s="200"/>
      <c r="GQ389" s="200"/>
      <c r="GR389" s="200"/>
      <c r="GS389" s="200"/>
      <c r="GT389" s="200"/>
      <c r="GU389" s="200"/>
      <c r="GV389" s="200"/>
      <c r="GW389" s="200"/>
      <c r="GX389" s="200"/>
      <c r="GY389" s="200"/>
      <c r="GZ389" s="200"/>
      <c r="HA389" s="200"/>
      <c r="HB389" s="200"/>
      <c r="HC389" s="200"/>
      <c r="HD389" s="200"/>
      <c r="HE389" s="200"/>
      <c r="HF389" s="200"/>
      <c r="HG389" s="200"/>
      <c r="HH389" s="200"/>
      <c r="HI389" s="200"/>
      <c r="HJ389" s="200"/>
      <c r="HK389" s="200"/>
      <c r="HL389" s="200"/>
      <c r="HM389" s="200"/>
      <c r="HN389" s="200"/>
      <c r="HO389" s="200"/>
      <c r="HP389" s="200"/>
      <c r="HQ389" s="200"/>
      <c r="HR389" s="200"/>
      <c r="HS389" s="200"/>
      <c r="HT389" s="200"/>
      <c r="HU389" s="200"/>
      <c r="HV389" s="200"/>
      <c r="HW389" s="200"/>
      <c r="HX389" s="200"/>
      <c r="HY389" s="200"/>
      <c r="HZ389" s="200"/>
      <c r="IA389" s="200"/>
      <c r="IB389" s="200"/>
      <c r="IC389" s="200"/>
      <c r="ID389" s="200"/>
      <c r="IE389" s="200"/>
      <c r="IF389" s="200"/>
      <c r="IG389" s="200"/>
      <c r="IH389" s="200"/>
      <c r="II389" s="200"/>
      <c r="IJ389" s="200"/>
      <c r="IK389" s="200"/>
      <c r="IL389" s="200"/>
      <c r="IM389" s="200"/>
      <c r="IN389" s="200"/>
      <c r="IO389" s="200"/>
      <c r="IP389" s="200"/>
      <c r="IQ389" s="200"/>
      <c r="IR389" s="200"/>
      <c r="IS389" s="200"/>
      <c r="IT389" s="200"/>
      <c r="IU389" s="201"/>
      <c r="IV389" s="201"/>
    </row>
    <row r="390" s="10" customFormat="1" ht="15.95" customHeight="1" spans="1:256">
      <c r="A390" s="199">
        <v>60</v>
      </c>
      <c r="B390" s="199" t="s">
        <v>2386</v>
      </c>
      <c r="C390" s="199" t="str">
        <f>'05版台时'!T599</f>
        <v>TX-2505</v>
      </c>
      <c r="D390" s="199">
        <v>8060</v>
      </c>
      <c r="E390" s="199">
        <f>'05版台时'!T626</f>
        <v>16.6009669165464</v>
      </c>
      <c r="F390" s="200"/>
      <c r="G390" s="200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  <c r="AA390" s="200"/>
      <c r="AB390" s="200"/>
      <c r="AC390" s="200"/>
      <c r="AD390" s="200"/>
      <c r="AE390" s="200"/>
      <c r="AF390" s="200"/>
      <c r="AG390" s="200"/>
      <c r="AH390" s="200"/>
      <c r="AI390" s="200"/>
      <c r="AJ390" s="200"/>
      <c r="AK390" s="200"/>
      <c r="AL390" s="200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200"/>
      <c r="BB390" s="200"/>
      <c r="BC390" s="200"/>
      <c r="BD390" s="200"/>
      <c r="BE390" s="200"/>
      <c r="BF390" s="200"/>
      <c r="BG390" s="200"/>
      <c r="BH390" s="200"/>
      <c r="BI390" s="200"/>
      <c r="BJ390" s="200"/>
      <c r="BK390" s="200"/>
      <c r="BL390" s="200"/>
      <c r="BM390" s="200"/>
      <c r="BN390" s="200"/>
      <c r="BO390" s="200"/>
      <c r="BP390" s="200"/>
      <c r="BQ390" s="200"/>
      <c r="BR390" s="200"/>
      <c r="BS390" s="200"/>
      <c r="BT390" s="200"/>
      <c r="BU390" s="200"/>
      <c r="BV390" s="200"/>
      <c r="BW390" s="200"/>
      <c r="BX390" s="200"/>
      <c r="BY390" s="200"/>
      <c r="BZ390" s="200"/>
      <c r="CA390" s="200"/>
      <c r="CB390" s="200"/>
      <c r="CC390" s="200"/>
      <c r="CD390" s="200"/>
      <c r="CE390" s="200"/>
      <c r="CF390" s="200"/>
      <c r="CG390" s="200"/>
      <c r="CH390" s="200"/>
      <c r="CI390" s="200"/>
      <c r="CJ390" s="200"/>
      <c r="CK390" s="200"/>
      <c r="CL390" s="200"/>
      <c r="CM390" s="200"/>
      <c r="CN390" s="200"/>
      <c r="CO390" s="200"/>
      <c r="CP390" s="200"/>
      <c r="CQ390" s="200"/>
      <c r="CR390" s="200"/>
      <c r="CS390" s="200"/>
      <c r="CT390" s="200"/>
      <c r="CU390" s="200"/>
      <c r="CV390" s="200"/>
      <c r="CW390" s="200"/>
      <c r="CX390" s="200"/>
      <c r="CY390" s="200"/>
      <c r="CZ390" s="200"/>
      <c r="DA390" s="200"/>
      <c r="DB390" s="200"/>
      <c r="DC390" s="200"/>
      <c r="DD390" s="200"/>
      <c r="DE390" s="200"/>
      <c r="DF390" s="200"/>
      <c r="DG390" s="200"/>
      <c r="DH390" s="200"/>
      <c r="DI390" s="200"/>
      <c r="DJ390" s="200"/>
      <c r="DK390" s="200"/>
      <c r="DL390" s="200"/>
      <c r="DM390" s="200"/>
      <c r="DN390" s="200"/>
      <c r="DO390" s="200"/>
      <c r="DP390" s="200"/>
      <c r="DQ390" s="200"/>
      <c r="DR390" s="200"/>
      <c r="DS390" s="200"/>
      <c r="DT390" s="200"/>
      <c r="DU390" s="200"/>
      <c r="DV390" s="200"/>
      <c r="DW390" s="200"/>
      <c r="DX390" s="200"/>
      <c r="DY390" s="200"/>
      <c r="DZ390" s="200"/>
      <c r="EA390" s="200"/>
      <c r="EB390" s="200"/>
      <c r="EC390" s="200"/>
      <c r="ED390" s="200"/>
      <c r="EE390" s="200"/>
      <c r="EF390" s="200"/>
      <c r="EG390" s="200"/>
      <c r="EH390" s="200"/>
      <c r="EI390" s="200"/>
      <c r="EJ390" s="200"/>
      <c r="EK390" s="200"/>
      <c r="EL390" s="200"/>
      <c r="EM390" s="200"/>
      <c r="EN390" s="200"/>
      <c r="EO390" s="200"/>
      <c r="EP390" s="200"/>
      <c r="EQ390" s="200"/>
      <c r="ER390" s="200"/>
      <c r="ES390" s="200"/>
      <c r="ET390" s="200"/>
      <c r="EU390" s="200"/>
      <c r="EV390" s="200"/>
      <c r="EW390" s="200"/>
      <c r="EX390" s="200"/>
      <c r="EY390" s="200"/>
      <c r="EZ390" s="200"/>
      <c r="FA390" s="200"/>
      <c r="FB390" s="200"/>
      <c r="FC390" s="200"/>
      <c r="FD390" s="200"/>
      <c r="FE390" s="200"/>
      <c r="FF390" s="200"/>
      <c r="FG390" s="200"/>
      <c r="FH390" s="200"/>
      <c r="FI390" s="200"/>
      <c r="FJ390" s="200"/>
      <c r="FK390" s="200"/>
      <c r="FL390" s="200"/>
      <c r="FM390" s="200"/>
      <c r="FN390" s="200"/>
      <c r="FO390" s="200"/>
      <c r="FP390" s="200"/>
      <c r="FQ390" s="200"/>
      <c r="FR390" s="200"/>
      <c r="FS390" s="200"/>
      <c r="FT390" s="200"/>
      <c r="FU390" s="200"/>
      <c r="FV390" s="200"/>
      <c r="FW390" s="200"/>
      <c r="FX390" s="200"/>
      <c r="FY390" s="200"/>
      <c r="FZ390" s="200"/>
      <c r="GA390" s="200"/>
      <c r="GB390" s="200"/>
      <c r="GC390" s="200"/>
      <c r="GD390" s="200"/>
      <c r="GE390" s="200"/>
      <c r="GF390" s="200"/>
      <c r="GG390" s="200"/>
      <c r="GH390" s="200"/>
      <c r="GI390" s="200"/>
      <c r="GJ390" s="200"/>
      <c r="GK390" s="200"/>
      <c r="GL390" s="200"/>
      <c r="GM390" s="200"/>
      <c r="GN390" s="200"/>
      <c r="GO390" s="200"/>
      <c r="GP390" s="200"/>
      <c r="GQ390" s="200"/>
      <c r="GR390" s="200"/>
      <c r="GS390" s="200"/>
      <c r="GT390" s="200"/>
      <c r="GU390" s="200"/>
      <c r="GV390" s="200"/>
      <c r="GW390" s="200"/>
      <c r="GX390" s="200"/>
      <c r="GY390" s="200"/>
      <c r="GZ390" s="200"/>
      <c r="HA390" s="200"/>
      <c r="HB390" s="200"/>
      <c r="HC390" s="200"/>
      <c r="HD390" s="200"/>
      <c r="HE390" s="200"/>
      <c r="HF390" s="200"/>
      <c r="HG390" s="200"/>
      <c r="HH390" s="200"/>
      <c r="HI390" s="200"/>
      <c r="HJ390" s="200"/>
      <c r="HK390" s="200"/>
      <c r="HL390" s="200"/>
      <c r="HM390" s="200"/>
      <c r="HN390" s="200"/>
      <c r="HO390" s="200"/>
      <c r="HP390" s="200"/>
      <c r="HQ390" s="200"/>
      <c r="HR390" s="200"/>
      <c r="HS390" s="200"/>
      <c r="HT390" s="200"/>
      <c r="HU390" s="200"/>
      <c r="HV390" s="200"/>
      <c r="HW390" s="200"/>
      <c r="HX390" s="200"/>
      <c r="HY390" s="200"/>
      <c r="HZ390" s="200"/>
      <c r="IA390" s="200"/>
      <c r="IB390" s="200"/>
      <c r="IC390" s="200"/>
      <c r="ID390" s="200"/>
      <c r="IE390" s="200"/>
      <c r="IF390" s="200"/>
      <c r="IG390" s="200"/>
      <c r="IH390" s="200"/>
      <c r="II390" s="200"/>
      <c r="IJ390" s="200"/>
      <c r="IK390" s="200"/>
      <c r="IL390" s="200"/>
      <c r="IM390" s="200"/>
      <c r="IN390" s="200"/>
      <c r="IO390" s="200"/>
      <c r="IP390" s="200"/>
      <c r="IQ390" s="200"/>
      <c r="IR390" s="200"/>
      <c r="IS390" s="200"/>
      <c r="IT390" s="200"/>
      <c r="IU390" s="201"/>
      <c r="IV390" s="201"/>
    </row>
    <row r="391" s="10" customFormat="1" ht="15.95" customHeight="1" spans="1:256">
      <c r="A391" s="199">
        <v>61</v>
      </c>
      <c r="B391" s="20" t="s">
        <v>2387</v>
      </c>
      <c r="C391" s="199" t="str">
        <f>'05版台时'!U599</f>
        <v>≤4m3/min</v>
      </c>
      <c r="D391" s="199">
        <v>8061</v>
      </c>
      <c r="E391" s="199">
        <f>'05版台时'!U626</f>
        <v>7.06676346230554</v>
      </c>
      <c r="F391" s="200"/>
      <c r="G391" s="200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  <c r="AA391" s="200"/>
      <c r="AB391" s="200"/>
      <c r="AC391" s="200"/>
      <c r="AD391" s="200"/>
      <c r="AE391" s="200"/>
      <c r="AF391" s="200"/>
      <c r="AG391" s="200"/>
      <c r="AH391" s="200"/>
      <c r="AI391" s="200"/>
      <c r="AJ391" s="200"/>
      <c r="AK391" s="200"/>
      <c r="AL391" s="200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200"/>
      <c r="BB391" s="200"/>
      <c r="BC391" s="200"/>
      <c r="BD391" s="200"/>
      <c r="BE391" s="200"/>
      <c r="BF391" s="200"/>
      <c r="BG391" s="200"/>
      <c r="BH391" s="200"/>
      <c r="BI391" s="200"/>
      <c r="BJ391" s="200"/>
      <c r="BK391" s="200"/>
      <c r="BL391" s="200"/>
      <c r="BM391" s="200"/>
      <c r="BN391" s="200"/>
      <c r="BO391" s="200"/>
      <c r="BP391" s="200"/>
      <c r="BQ391" s="200"/>
      <c r="BR391" s="200"/>
      <c r="BS391" s="200"/>
      <c r="BT391" s="200"/>
      <c r="BU391" s="200"/>
      <c r="BV391" s="200"/>
      <c r="BW391" s="200"/>
      <c r="BX391" s="200"/>
      <c r="BY391" s="200"/>
      <c r="BZ391" s="200"/>
      <c r="CA391" s="200"/>
      <c r="CB391" s="200"/>
      <c r="CC391" s="200"/>
      <c r="CD391" s="200"/>
      <c r="CE391" s="200"/>
      <c r="CF391" s="200"/>
      <c r="CG391" s="200"/>
      <c r="CH391" s="200"/>
      <c r="CI391" s="200"/>
      <c r="CJ391" s="200"/>
      <c r="CK391" s="200"/>
      <c r="CL391" s="200"/>
      <c r="CM391" s="200"/>
      <c r="CN391" s="200"/>
      <c r="CO391" s="200"/>
      <c r="CP391" s="200"/>
      <c r="CQ391" s="200"/>
      <c r="CR391" s="200"/>
      <c r="CS391" s="200"/>
      <c r="CT391" s="200"/>
      <c r="CU391" s="200"/>
      <c r="CV391" s="200"/>
      <c r="CW391" s="200"/>
      <c r="CX391" s="200"/>
      <c r="CY391" s="200"/>
      <c r="CZ391" s="200"/>
      <c r="DA391" s="200"/>
      <c r="DB391" s="200"/>
      <c r="DC391" s="200"/>
      <c r="DD391" s="200"/>
      <c r="DE391" s="200"/>
      <c r="DF391" s="200"/>
      <c r="DG391" s="200"/>
      <c r="DH391" s="200"/>
      <c r="DI391" s="200"/>
      <c r="DJ391" s="200"/>
      <c r="DK391" s="200"/>
      <c r="DL391" s="200"/>
      <c r="DM391" s="200"/>
      <c r="DN391" s="200"/>
      <c r="DO391" s="200"/>
      <c r="DP391" s="200"/>
      <c r="DQ391" s="200"/>
      <c r="DR391" s="200"/>
      <c r="DS391" s="200"/>
      <c r="DT391" s="200"/>
      <c r="DU391" s="200"/>
      <c r="DV391" s="200"/>
      <c r="DW391" s="200"/>
      <c r="DX391" s="200"/>
      <c r="DY391" s="200"/>
      <c r="DZ391" s="200"/>
      <c r="EA391" s="200"/>
      <c r="EB391" s="200"/>
      <c r="EC391" s="200"/>
      <c r="ED391" s="200"/>
      <c r="EE391" s="200"/>
      <c r="EF391" s="200"/>
      <c r="EG391" s="200"/>
      <c r="EH391" s="200"/>
      <c r="EI391" s="200"/>
      <c r="EJ391" s="200"/>
      <c r="EK391" s="200"/>
      <c r="EL391" s="200"/>
      <c r="EM391" s="200"/>
      <c r="EN391" s="200"/>
      <c r="EO391" s="200"/>
      <c r="EP391" s="200"/>
      <c r="EQ391" s="200"/>
      <c r="ER391" s="200"/>
      <c r="ES391" s="200"/>
      <c r="ET391" s="200"/>
      <c r="EU391" s="200"/>
      <c r="EV391" s="200"/>
      <c r="EW391" s="200"/>
      <c r="EX391" s="200"/>
      <c r="EY391" s="200"/>
      <c r="EZ391" s="200"/>
      <c r="FA391" s="200"/>
      <c r="FB391" s="200"/>
      <c r="FC391" s="200"/>
      <c r="FD391" s="200"/>
      <c r="FE391" s="200"/>
      <c r="FF391" s="200"/>
      <c r="FG391" s="200"/>
      <c r="FH391" s="200"/>
      <c r="FI391" s="200"/>
      <c r="FJ391" s="200"/>
      <c r="FK391" s="200"/>
      <c r="FL391" s="200"/>
      <c r="FM391" s="200"/>
      <c r="FN391" s="200"/>
      <c r="FO391" s="200"/>
      <c r="FP391" s="200"/>
      <c r="FQ391" s="200"/>
      <c r="FR391" s="200"/>
      <c r="FS391" s="200"/>
      <c r="FT391" s="200"/>
      <c r="FU391" s="200"/>
      <c r="FV391" s="200"/>
      <c r="FW391" s="200"/>
      <c r="FX391" s="200"/>
      <c r="FY391" s="200"/>
      <c r="FZ391" s="200"/>
      <c r="GA391" s="200"/>
      <c r="GB391" s="200"/>
      <c r="GC391" s="200"/>
      <c r="GD391" s="200"/>
      <c r="GE391" s="200"/>
      <c r="GF391" s="200"/>
      <c r="GG391" s="200"/>
      <c r="GH391" s="200"/>
      <c r="GI391" s="200"/>
      <c r="GJ391" s="200"/>
      <c r="GK391" s="200"/>
      <c r="GL391" s="200"/>
      <c r="GM391" s="200"/>
      <c r="GN391" s="200"/>
      <c r="GO391" s="200"/>
      <c r="GP391" s="200"/>
      <c r="GQ391" s="200"/>
      <c r="GR391" s="200"/>
      <c r="GS391" s="200"/>
      <c r="GT391" s="200"/>
      <c r="GU391" s="200"/>
      <c r="GV391" s="200"/>
      <c r="GW391" s="200"/>
      <c r="GX391" s="200"/>
      <c r="GY391" s="200"/>
      <c r="GZ391" s="200"/>
      <c r="HA391" s="200"/>
      <c r="HB391" s="200"/>
      <c r="HC391" s="200"/>
      <c r="HD391" s="200"/>
      <c r="HE391" s="200"/>
      <c r="HF391" s="200"/>
      <c r="HG391" s="200"/>
      <c r="HH391" s="200"/>
      <c r="HI391" s="200"/>
      <c r="HJ391" s="200"/>
      <c r="HK391" s="200"/>
      <c r="HL391" s="200"/>
      <c r="HM391" s="200"/>
      <c r="HN391" s="200"/>
      <c r="HO391" s="200"/>
      <c r="HP391" s="200"/>
      <c r="HQ391" s="200"/>
      <c r="HR391" s="200"/>
      <c r="HS391" s="200"/>
      <c r="HT391" s="200"/>
      <c r="HU391" s="200"/>
      <c r="HV391" s="200"/>
      <c r="HW391" s="200"/>
      <c r="HX391" s="200"/>
      <c r="HY391" s="200"/>
      <c r="HZ391" s="200"/>
      <c r="IA391" s="200"/>
      <c r="IB391" s="200"/>
      <c r="IC391" s="200"/>
      <c r="ID391" s="200"/>
      <c r="IE391" s="200"/>
      <c r="IF391" s="200"/>
      <c r="IG391" s="200"/>
      <c r="IH391" s="200"/>
      <c r="II391" s="200"/>
      <c r="IJ391" s="200"/>
      <c r="IK391" s="200"/>
      <c r="IL391" s="200"/>
      <c r="IM391" s="200"/>
      <c r="IN391" s="200"/>
      <c r="IO391" s="200"/>
      <c r="IP391" s="200"/>
      <c r="IQ391" s="200"/>
      <c r="IR391" s="200"/>
      <c r="IS391" s="200"/>
      <c r="IT391" s="200"/>
      <c r="IU391" s="201"/>
      <c r="IV391" s="201"/>
    </row>
  </sheetData>
  <mergeCells count="9">
    <mergeCell ref="A1:E1"/>
    <mergeCell ref="A3:B3"/>
    <mergeCell ref="A52:B52"/>
    <mergeCell ref="A75:B75"/>
    <mergeCell ref="A114:B114"/>
    <mergeCell ref="A200:B200"/>
    <mergeCell ref="A220:B220"/>
    <mergeCell ref="A306:B306"/>
    <mergeCell ref="A330:B330"/>
  </mergeCells>
  <pageMargins left="0.829861111111111" right="0.588888888888889" top="0.629166666666667" bottom="0.669444444444445" header="0.509027777777778" footer="0.509027777777778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27"/>
  <sheetViews>
    <sheetView topLeftCell="A133" workbookViewId="0">
      <selection activeCell="A1" sqref="A1:B1"/>
    </sheetView>
  </sheetViews>
  <sheetFormatPr defaultColWidth="9" defaultRowHeight="14.25"/>
  <cols>
    <col min="1" max="1" width="9" style="1"/>
    <col min="2" max="2" width="18.625" style="1" customWidth="1"/>
    <col min="3" max="3" width="9" style="1"/>
    <col min="4" max="24" width="12.625" style="1" customWidth="1"/>
    <col min="25" max="25" width="12.625" style="123" customWidth="1"/>
    <col min="26" max="26" width="23.75" style="1" customWidth="1"/>
    <col min="27" max="29" width="12.625" style="1" customWidth="1"/>
    <col min="30" max="16384" width="9" style="1"/>
  </cols>
  <sheetData>
    <row r="1" s="122" customFormat="1" ht="15" spans="1:25">
      <c r="A1" s="154" t="s">
        <v>2032</v>
      </c>
      <c r="B1" s="154"/>
      <c r="Y1" s="168"/>
    </row>
    <row r="2" spans="1:24">
      <c r="A2" s="3" t="s">
        <v>2388</v>
      </c>
      <c r="B2" s="3"/>
      <c r="C2" s="3" t="s">
        <v>55</v>
      </c>
      <c r="D2" s="3" t="s">
        <v>2389</v>
      </c>
      <c r="E2" s="3"/>
      <c r="F2" s="3"/>
      <c r="G2" s="3"/>
      <c r="H2" s="3"/>
      <c r="I2" s="3"/>
      <c r="J2" s="3" t="s">
        <v>2390</v>
      </c>
      <c r="K2" s="3"/>
      <c r="L2" s="3"/>
      <c r="M2" s="3" t="s">
        <v>2391</v>
      </c>
      <c r="N2" s="3"/>
      <c r="O2" s="3"/>
      <c r="P2" s="3"/>
      <c r="Q2" s="3" t="s">
        <v>2047</v>
      </c>
      <c r="R2" s="3"/>
      <c r="S2" s="3"/>
      <c r="T2" s="3"/>
      <c r="U2" s="3"/>
      <c r="V2" s="3"/>
      <c r="W2" s="3" t="s">
        <v>2392</v>
      </c>
      <c r="X2" s="3"/>
    </row>
    <row r="3" spans="1:24">
      <c r="A3" s="3"/>
      <c r="B3" s="3"/>
      <c r="C3" s="3"/>
      <c r="D3" s="3" t="s">
        <v>2393</v>
      </c>
      <c r="E3" s="3"/>
      <c r="F3" s="3" t="s">
        <v>2394</v>
      </c>
      <c r="G3" s="3"/>
      <c r="H3" s="3"/>
      <c r="I3" s="3"/>
      <c r="J3" s="3" t="s">
        <v>2395</v>
      </c>
      <c r="K3" s="3"/>
      <c r="L3" s="3"/>
      <c r="M3" s="3" t="s">
        <v>2396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ht="15" spans="1:24">
      <c r="A4" s="3"/>
      <c r="B4" s="3"/>
      <c r="C4" s="3"/>
      <c r="D4" s="3" t="s">
        <v>2397</v>
      </c>
      <c r="E4" s="3"/>
      <c r="F4" s="3"/>
      <c r="G4" s="3"/>
      <c r="H4" s="3"/>
      <c r="I4" s="3"/>
      <c r="J4" s="3" t="s">
        <v>2397</v>
      </c>
      <c r="K4" s="3"/>
      <c r="L4" s="3"/>
      <c r="M4" s="3" t="s">
        <v>2398</v>
      </c>
      <c r="N4" s="3"/>
      <c r="O4" s="3"/>
      <c r="P4" s="3"/>
      <c r="Q4" s="3" t="s">
        <v>2398</v>
      </c>
      <c r="R4" s="3"/>
      <c r="S4" s="3"/>
      <c r="T4" s="3"/>
      <c r="U4" s="3"/>
      <c r="V4" s="3"/>
      <c r="W4" s="3" t="s">
        <v>2398</v>
      </c>
      <c r="X4" s="3"/>
    </row>
    <row r="5" spans="1:27">
      <c r="A5" s="3"/>
      <c r="B5" s="3"/>
      <c r="C5" s="3"/>
      <c r="D5" s="20">
        <v>0.5</v>
      </c>
      <c r="E5" s="155">
        <v>1</v>
      </c>
      <c r="F5" s="20">
        <v>0.6</v>
      </c>
      <c r="G5" s="20">
        <v>1</v>
      </c>
      <c r="H5" s="20">
        <v>1.2</v>
      </c>
      <c r="I5" s="20">
        <v>2</v>
      </c>
      <c r="J5" s="20">
        <v>1</v>
      </c>
      <c r="K5" s="20">
        <v>1.5</v>
      </c>
      <c r="L5" s="20">
        <v>2</v>
      </c>
      <c r="M5" s="20">
        <v>59</v>
      </c>
      <c r="N5" s="20">
        <v>74</v>
      </c>
      <c r="O5" s="20">
        <v>88</v>
      </c>
      <c r="P5" s="20">
        <v>118</v>
      </c>
      <c r="Q5" s="20">
        <v>55</v>
      </c>
      <c r="R5" s="20">
        <v>59</v>
      </c>
      <c r="S5" s="20">
        <v>74</v>
      </c>
      <c r="T5" s="20">
        <v>88</v>
      </c>
      <c r="U5" s="20">
        <v>103</v>
      </c>
      <c r="V5" s="20">
        <v>118</v>
      </c>
      <c r="W5" s="20">
        <v>9</v>
      </c>
      <c r="X5" s="20">
        <v>11</v>
      </c>
      <c r="Z5" s="169" t="s">
        <v>2399</v>
      </c>
      <c r="AA5" s="170"/>
    </row>
    <row r="6" spans="1:27">
      <c r="A6" s="3" t="s">
        <v>2400</v>
      </c>
      <c r="B6" s="3" t="s">
        <v>2401</v>
      </c>
      <c r="C6" s="3" t="s">
        <v>114</v>
      </c>
      <c r="D6" s="20">
        <f>21.97/$AA$6</f>
        <v>19.104347826087</v>
      </c>
      <c r="E6" s="155">
        <f>28.77/$AA$6</f>
        <v>25.0173913043478</v>
      </c>
      <c r="F6" s="155">
        <f>32.74/$AA$6</f>
        <v>28.4695652173913</v>
      </c>
      <c r="G6" s="155">
        <f>35.63/$AA$6</f>
        <v>30.9826086956522</v>
      </c>
      <c r="H6" s="155">
        <f>41.08/$AA$6</f>
        <v>35.7217391304348</v>
      </c>
      <c r="I6" s="20">
        <f>89.06/$AA$6</f>
        <v>77.4434782608696</v>
      </c>
      <c r="J6" s="20">
        <f>13.15/$AA$6</f>
        <v>11.4347826086957</v>
      </c>
      <c r="K6" s="20">
        <f>16.81/$AA$6</f>
        <v>14.6173913043478</v>
      </c>
      <c r="L6" s="20">
        <f>32.15/$AA$6</f>
        <v>27.9565217391304</v>
      </c>
      <c r="M6" s="20">
        <f>5.7/$AA$6</f>
        <v>4.95652173913044</v>
      </c>
      <c r="N6" s="20">
        <f>9.65/$AA$6</f>
        <v>8.39130434782609</v>
      </c>
      <c r="O6" s="20">
        <f>15.2/$AA$6</f>
        <v>13.2173913043478</v>
      </c>
      <c r="P6" s="20">
        <f>16.08/$AA$6</f>
        <v>13.9826086956522</v>
      </c>
      <c r="Q6" s="20">
        <f>7.14/$AA$6</f>
        <v>6.20869565217391</v>
      </c>
      <c r="R6" s="20">
        <f>10.8/$AA$6</f>
        <v>9.39130434782609</v>
      </c>
      <c r="S6" s="20">
        <f>19/$AA$6</f>
        <v>16.5217391304348</v>
      </c>
      <c r="T6" s="20">
        <f>26.72/$AA$6</f>
        <v>23.2347826086957</v>
      </c>
      <c r="U6" s="20">
        <f>32.91/$AA$6</f>
        <v>28.6173913043478</v>
      </c>
      <c r="V6" s="20">
        <f>35.19/$AA$6</f>
        <v>30.6</v>
      </c>
      <c r="W6" s="20">
        <f>0.76/$AA$6</f>
        <v>0.660869565217391</v>
      </c>
      <c r="X6" s="20">
        <f>0.81/$AA$6</f>
        <v>0.704347826086957</v>
      </c>
      <c r="Z6" s="171" t="s">
        <v>2402</v>
      </c>
      <c r="AA6" s="172">
        <v>1.15</v>
      </c>
    </row>
    <row r="7" spans="1:27">
      <c r="A7" s="3"/>
      <c r="B7" s="3" t="s">
        <v>2403</v>
      </c>
      <c r="C7" s="3" t="s">
        <v>114</v>
      </c>
      <c r="D7" s="20">
        <f>20.47/$AA$7</f>
        <v>18.7798165137615</v>
      </c>
      <c r="E7" s="155">
        <f>29.63/$AA$7</f>
        <v>27.1834862385321</v>
      </c>
      <c r="F7" s="155">
        <f>20.21/$AA$7</f>
        <v>18.5412844036697</v>
      </c>
      <c r="G7" s="155">
        <f>25.46/$AA$7</f>
        <v>23.3577981651376</v>
      </c>
      <c r="H7" s="155">
        <f>29.35/$AA$7</f>
        <v>26.9266055045872</v>
      </c>
      <c r="I7" s="20">
        <f>54.68/$AA$7</f>
        <v>50.1651376146789</v>
      </c>
      <c r="J7" s="20">
        <f>8.54/$AA$7</f>
        <v>7.8348623853211</v>
      </c>
      <c r="K7" s="20">
        <f>10.92/$AA$7</f>
        <v>10.0183486238532</v>
      </c>
      <c r="L7" s="20">
        <f>24.2/$AA$7</f>
        <v>22.2018348623853</v>
      </c>
      <c r="M7" s="20">
        <f>6.84/$AA$7</f>
        <v>6.27522935779816</v>
      </c>
      <c r="N7" s="20">
        <f>11.38/$AA$7</f>
        <v>10.4403669724771</v>
      </c>
      <c r="O7" s="20">
        <f>17.02/$AA$7</f>
        <v>15.6146788990826</v>
      </c>
      <c r="P7" s="20">
        <f>17.53/$AA$7</f>
        <v>16.0825688073394</v>
      </c>
      <c r="Q7" s="20">
        <f>12.5/$AA$7</f>
        <v>11.4678899082569</v>
      </c>
      <c r="R7" s="20">
        <f>13.02/$AA$7</f>
        <v>11.9449541284404</v>
      </c>
      <c r="S7" s="20">
        <f>22.81/$AA$7</f>
        <v>20.9266055045872</v>
      </c>
      <c r="T7" s="20">
        <f>29.07/$AA$7</f>
        <v>26.6697247706422</v>
      </c>
      <c r="U7" s="20">
        <f>35.64/$AA$7</f>
        <v>32.697247706422</v>
      </c>
      <c r="V7" s="20">
        <f>38.11/$AA$7</f>
        <v>34.9633027522936</v>
      </c>
      <c r="W7" s="20">
        <f>1.97/$AA$7</f>
        <v>1.80733944954128</v>
      </c>
      <c r="X7" s="20">
        <f>2.12/$AA$7</f>
        <v>1.94495412844037</v>
      </c>
      <c r="Z7" s="171" t="s">
        <v>2404</v>
      </c>
      <c r="AA7" s="172">
        <v>1.09</v>
      </c>
    </row>
    <row r="8" ht="15" spans="1:27">
      <c r="A8" s="3"/>
      <c r="B8" s="3" t="s">
        <v>2405</v>
      </c>
      <c r="C8" s="3" t="s">
        <v>114</v>
      </c>
      <c r="D8" s="20">
        <f>1.48</f>
        <v>1.48</v>
      </c>
      <c r="E8" s="155">
        <f>2.42</f>
        <v>2.42</v>
      </c>
      <c r="F8" s="155">
        <f>1.6</f>
        <v>1.6</v>
      </c>
      <c r="G8" s="155">
        <f>2.18</f>
        <v>2.18</v>
      </c>
      <c r="H8" s="155">
        <f>2.51</f>
        <v>2.51</v>
      </c>
      <c r="I8" s="20">
        <f>3.56</f>
        <v>3.56</v>
      </c>
      <c r="J8" s="20"/>
      <c r="K8" s="20"/>
      <c r="L8" s="20"/>
      <c r="M8" s="20">
        <f>0.37</f>
        <v>0.37</v>
      </c>
      <c r="N8" s="20">
        <f>0.54</f>
        <v>0.54</v>
      </c>
      <c r="O8" s="20">
        <f>0.81</f>
        <v>0.81</v>
      </c>
      <c r="P8" s="20">
        <f>0.88</f>
        <v>0.88</v>
      </c>
      <c r="Q8" s="20">
        <f>0.44</f>
        <v>0.44</v>
      </c>
      <c r="R8" s="20">
        <f>0.49</f>
        <v>0.49</v>
      </c>
      <c r="S8" s="20">
        <f>0.86</f>
        <v>0.86</v>
      </c>
      <c r="T8" s="20">
        <f>1.06</f>
        <v>1.06</v>
      </c>
      <c r="U8" s="20">
        <f>1.3</f>
        <v>1.3</v>
      </c>
      <c r="V8" s="20">
        <f>1.39</f>
        <v>1.39</v>
      </c>
      <c r="W8" s="20">
        <f>0.08</f>
        <v>0.08</v>
      </c>
      <c r="X8" s="20">
        <f>0.08</f>
        <v>0.08</v>
      </c>
      <c r="Z8" s="173" t="s">
        <v>2406</v>
      </c>
      <c r="AA8" s="174" t="s">
        <v>2407</v>
      </c>
    </row>
    <row r="9" s="152" customFormat="1" ht="20.25" spans="1:25">
      <c r="A9" s="156"/>
      <c r="B9" s="156" t="s">
        <v>1321</v>
      </c>
      <c r="C9" s="156" t="s">
        <v>114</v>
      </c>
      <c r="D9" s="157">
        <f t="shared" ref="D9:X9" si="0">SUM(D6:D8)</f>
        <v>39.3641643398484</v>
      </c>
      <c r="E9" s="158">
        <f t="shared" si="0"/>
        <v>54.6208775428799</v>
      </c>
      <c r="F9" s="158">
        <f t="shared" si="0"/>
        <v>48.610849621061</v>
      </c>
      <c r="G9" s="158">
        <f t="shared" si="0"/>
        <v>56.5204068607898</v>
      </c>
      <c r="H9" s="158">
        <f t="shared" si="0"/>
        <v>65.1583446350219</v>
      </c>
      <c r="I9" s="157">
        <f t="shared" si="0"/>
        <v>131.168615875548</v>
      </c>
      <c r="J9" s="157">
        <f t="shared" si="0"/>
        <v>19.2696449940168</v>
      </c>
      <c r="K9" s="157">
        <f t="shared" si="0"/>
        <v>24.635739928201</v>
      </c>
      <c r="L9" s="157">
        <f t="shared" si="0"/>
        <v>50.1583566015158</v>
      </c>
      <c r="M9" s="157">
        <f t="shared" si="0"/>
        <v>11.6017510969286</v>
      </c>
      <c r="N9" s="157">
        <f t="shared" si="0"/>
        <v>19.3716713203032</v>
      </c>
      <c r="O9" s="157">
        <f t="shared" si="0"/>
        <v>29.6420702034304</v>
      </c>
      <c r="P9" s="157">
        <f t="shared" si="0"/>
        <v>30.9451775029916</v>
      </c>
      <c r="Q9" s="157">
        <f t="shared" si="0"/>
        <v>18.1165855604308</v>
      </c>
      <c r="R9" s="157">
        <f t="shared" si="0"/>
        <v>21.8262584762664</v>
      </c>
      <c r="S9" s="157">
        <f t="shared" si="0"/>
        <v>38.3083446350219</v>
      </c>
      <c r="T9" s="157">
        <f t="shared" si="0"/>
        <v>50.9645073793379</v>
      </c>
      <c r="U9" s="157">
        <f t="shared" si="0"/>
        <v>62.6146390107698</v>
      </c>
      <c r="V9" s="157">
        <f t="shared" si="0"/>
        <v>66.9533027522936</v>
      </c>
      <c r="W9" s="157">
        <f t="shared" si="0"/>
        <v>2.54820901475868</v>
      </c>
      <c r="X9" s="157">
        <f t="shared" si="0"/>
        <v>2.72930195452732</v>
      </c>
      <c r="Y9" s="175"/>
    </row>
    <row r="10" spans="1:24">
      <c r="A10" s="3" t="s">
        <v>2408</v>
      </c>
      <c r="B10" s="3" t="s">
        <v>600</v>
      </c>
      <c r="C10" s="3" t="s">
        <v>2409</v>
      </c>
      <c r="D10" s="20">
        <v>2.7</v>
      </c>
      <c r="E10" s="155">
        <v>2.7</v>
      </c>
      <c r="F10" s="155">
        <v>2.7</v>
      </c>
      <c r="G10" s="155">
        <v>2.7</v>
      </c>
      <c r="H10" s="155">
        <v>2.7</v>
      </c>
      <c r="I10" s="20">
        <v>2.7</v>
      </c>
      <c r="J10" s="20">
        <v>1.3</v>
      </c>
      <c r="K10" s="20">
        <v>1.3</v>
      </c>
      <c r="L10" s="20">
        <v>1.3</v>
      </c>
      <c r="M10" s="20">
        <v>2.4</v>
      </c>
      <c r="N10" s="20">
        <v>2.4</v>
      </c>
      <c r="O10" s="20">
        <v>2.4</v>
      </c>
      <c r="P10" s="20">
        <v>2.4</v>
      </c>
      <c r="Q10" s="20">
        <v>2.4</v>
      </c>
      <c r="R10" s="20">
        <v>2.4</v>
      </c>
      <c r="S10" s="20">
        <v>2.4</v>
      </c>
      <c r="T10" s="20">
        <v>2.4</v>
      </c>
      <c r="U10" s="20">
        <v>2.4</v>
      </c>
      <c r="V10" s="20">
        <v>2.4</v>
      </c>
      <c r="W10" s="20">
        <v>1</v>
      </c>
      <c r="X10" s="20">
        <v>1</v>
      </c>
    </row>
    <row r="11" spans="1:24">
      <c r="A11" s="3"/>
      <c r="B11" s="3"/>
      <c r="C11" s="3" t="s">
        <v>834</v>
      </c>
      <c r="D11" s="159">
        <f>人工工资!D34</f>
        <v>8.10036779408924</v>
      </c>
      <c r="E11" s="155">
        <f t="shared" ref="E11:X11" si="1">D11</f>
        <v>8.10036779408924</v>
      </c>
      <c r="F11" s="155">
        <f t="shared" si="1"/>
        <v>8.10036779408924</v>
      </c>
      <c r="G11" s="155">
        <f t="shared" si="1"/>
        <v>8.10036779408924</v>
      </c>
      <c r="H11" s="155">
        <f t="shared" si="1"/>
        <v>8.10036779408924</v>
      </c>
      <c r="I11" s="20">
        <f t="shared" si="1"/>
        <v>8.10036779408924</v>
      </c>
      <c r="J11" s="20">
        <f t="shared" si="1"/>
        <v>8.10036779408924</v>
      </c>
      <c r="K11" s="20">
        <f t="shared" si="1"/>
        <v>8.10036779408924</v>
      </c>
      <c r="L11" s="20">
        <f t="shared" si="1"/>
        <v>8.10036779408924</v>
      </c>
      <c r="M11" s="20">
        <f t="shared" si="1"/>
        <v>8.10036779408924</v>
      </c>
      <c r="N11" s="20">
        <f t="shared" si="1"/>
        <v>8.10036779408924</v>
      </c>
      <c r="O11" s="20">
        <f t="shared" si="1"/>
        <v>8.10036779408924</v>
      </c>
      <c r="P11" s="20">
        <f t="shared" si="1"/>
        <v>8.10036779408924</v>
      </c>
      <c r="Q11" s="20">
        <f t="shared" si="1"/>
        <v>8.10036779408924</v>
      </c>
      <c r="R11" s="20">
        <f t="shared" si="1"/>
        <v>8.10036779408924</v>
      </c>
      <c r="S11" s="20">
        <f t="shared" si="1"/>
        <v>8.10036779408924</v>
      </c>
      <c r="T11" s="20">
        <f t="shared" si="1"/>
        <v>8.10036779408924</v>
      </c>
      <c r="U11" s="20">
        <f t="shared" si="1"/>
        <v>8.10036779408924</v>
      </c>
      <c r="V11" s="20">
        <f t="shared" si="1"/>
        <v>8.10036779408924</v>
      </c>
      <c r="W11" s="20">
        <f t="shared" si="1"/>
        <v>8.10036779408924</v>
      </c>
      <c r="X11" s="20">
        <f t="shared" si="1"/>
        <v>8.10036779408924</v>
      </c>
    </row>
    <row r="12" spans="1:24">
      <c r="A12" s="3"/>
      <c r="B12" s="3"/>
      <c r="C12" s="3" t="s">
        <v>2410</v>
      </c>
      <c r="D12" s="20">
        <f t="shared" ref="D12:X12" si="2">D10*D11</f>
        <v>21.870993044041</v>
      </c>
      <c r="E12" s="155">
        <f t="shared" si="2"/>
        <v>21.870993044041</v>
      </c>
      <c r="F12" s="155">
        <f t="shared" si="2"/>
        <v>21.870993044041</v>
      </c>
      <c r="G12" s="155">
        <f t="shared" si="2"/>
        <v>21.870993044041</v>
      </c>
      <c r="H12" s="155">
        <f t="shared" si="2"/>
        <v>21.870993044041</v>
      </c>
      <c r="I12" s="20">
        <f t="shared" si="2"/>
        <v>21.870993044041</v>
      </c>
      <c r="J12" s="20">
        <f t="shared" si="2"/>
        <v>10.530478132316</v>
      </c>
      <c r="K12" s="20">
        <f t="shared" si="2"/>
        <v>10.530478132316</v>
      </c>
      <c r="L12" s="20">
        <f t="shared" si="2"/>
        <v>10.530478132316</v>
      </c>
      <c r="M12" s="20">
        <f t="shared" si="2"/>
        <v>19.4408827058142</v>
      </c>
      <c r="N12" s="20">
        <f t="shared" si="2"/>
        <v>19.4408827058142</v>
      </c>
      <c r="O12" s="20">
        <f t="shared" si="2"/>
        <v>19.4408827058142</v>
      </c>
      <c r="P12" s="20">
        <f t="shared" si="2"/>
        <v>19.4408827058142</v>
      </c>
      <c r="Q12" s="20">
        <f t="shared" si="2"/>
        <v>19.4408827058142</v>
      </c>
      <c r="R12" s="20">
        <f t="shared" si="2"/>
        <v>19.4408827058142</v>
      </c>
      <c r="S12" s="20">
        <f t="shared" si="2"/>
        <v>19.4408827058142</v>
      </c>
      <c r="T12" s="20">
        <f t="shared" si="2"/>
        <v>19.4408827058142</v>
      </c>
      <c r="U12" s="20">
        <f t="shared" si="2"/>
        <v>19.4408827058142</v>
      </c>
      <c r="V12" s="20">
        <f t="shared" si="2"/>
        <v>19.4408827058142</v>
      </c>
      <c r="W12" s="20">
        <f t="shared" si="2"/>
        <v>8.10036779408924</v>
      </c>
      <c r="X12" s="20">
        <f t="shared" si="2"/>
        <v>8.10036779408924</v>
      </c>
    </row>
    <row r="13" spans="1:24">
      <c r="A13" s="3"/>
      <c r="B13" s="3" t="s">
        <v>1825</v>
      </c>
      <c r="C13" s="3" t="s">
        <v>550</v>
      </c>
      <c r="D13" s="20"/>
      <c r="E13" s="155"/>
      <c r="F13" s="155"/>
      <c r="G13" s="155"/>
      <c r="H13" s="155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</row>
    <row r="14" spans="1:24">
      <c r="A14" s="3"/>
      <c r="B14" s="3"/>
      <c r="C14" s="3" t="s">
        <v>834</v>
      </c>
      <c r="D14" s="159">
        <f>材料预算价!M14</f>
        <v>3.075</v>
      </c>
      <c r="E14" s="155">
        <f t="shared" ref="E14:X14" si="3">D14</f>
        <v>3.075</v>
      </c>
      <c r="F14" s="155">
        <f t="shared" si="3"/>
        <v>3.075</v>
      </c>
      <c r="G14" s="155">
        <f t="shared" si="3"/>
        <v>3.075</v>
      </c>
      <c r="H14" s="155">
        <f t="shared" si="3"/>
        <v>3.075</v>
      </c>
      <c r="I14" s="20">
        <f t="shared" si="3"/>
        <v>3.075</v>
      </c>
      <c r="J14" s="20">
        <f t="shared" si="3"/>
        <v>3.075</v>
      </c>
      <c r="K14" s="20">
        <f t="shared" si="3"/>
        <v>3.075</v>
      </c>
      <c r="L14" s="20">
        <f t="shared" si="3"/>
        <v>3.075</v>
      </c>
      <c r="M14" s="20">
        <f t="shared" si="3"/>
        <v>3.075</v>
      </c>
      <c r="N14" s="20">
        <f t="shared" si="3"/>
        <v>3.075</v>
      </c>
      <c r="O14" s="20">
        <f t="shared" si="3"/>
        <v>3.075</v>
      </c>
      <c r="P14" s="20">
        <f t="shared" si="3"/>
        <v>3.075</v>
      </c>
      <c r="Q14" s="20">
        <f t="shared" si="3"/>
        <v>3.075</v>
      </c>
      <c r="R14" s="20">
        <f t="shared" si="3"/>
        <v>3.075</v>
      </c>
      <c r="S14" s="20">
        <f t="shared" si="3"/>
        <v>3.075</v>
      </c>
      <c r="T14" s="20">
        <f t="shared" si="3"/>
        <v>3.075</v>
      </c>
      <c r="U14" s="20">
        <f t="shared" si="3"/>
        <v>3.075</v>
      </c>
      <c r="V14" s="20">
        <f t="shared" si="3"/>
        <v>3.075</v>
      </c>
      <c r="W14" s="20">
        <f t="shared" si="3"/>
        <v>3.075</v>
      </c>
      <c r="X14" s="20">
        <f t="shared" si="3"/>
        <v>3.075</v>
      </c>
    </row>
    <row r="15" spans="1:24">
      <c r="A15" s="3"/>
      <c r="B15" s="3"/>
      <c r="C15" s="3" t="s">
        <v>2410</v>
      </c>
      <c r="D15" s="20">
        <f t="shared" ref="D15:X15" si="4">D13*D14</f>
        <v>0</v>
      </c>
      <c r="E15" s="155">
        <f t="shared" si="4"/>
        <v>0</v>
      </c>
      <c r="F15" s="155">
        <f t="shared" si="4"/>
        <v>0</v>
      </c>
      <c r="G15" s="155">
        <f t="shared" si="4"/>
        <v>0</v>
      </c>
      <c r="H15" s="155">
        <f t="shared" si="4"/>
        <v>0</v>
      </c>
      <c r="I15" s="20">
        <f t="shared" si="4"/>
        <v>0</v>
      </c>
      <c r="J15" s="20">
        <f t="shared" si="4"/>
        <v>0</v>
      </c>
      <c r="K15" s="20">
        <f t="shared" si="4"/>
        <v>0</v>
      </c>
      <c r="L15" s="20">
        <f t="shared" si="4"/>
        <v>0</v>
      </c>
      <c r="M15" s="20">
        <f t="shared" si="4"/>
        <v>0</v>
      </c>
      <c r="N15" s="20">
        <f t="shared" si="4"/>
        <v>0</v>
      </c>
      <c r="O15" s="20">
        <f t="shared" si="4"/>
        <v>0</v>
      </c>
      <c r="P15" s="20">
        <f t="shared" si="4"/>
        <v>0</v>
      </c>
      <c r="Q15" s="20">
        <f t="shared" si="4"/>
        <v>0</v>
      </c>
      <c r="R15" s="20">
        <f t="shared" si="4"/>
        <v>0</v>
      </c>
      <c r="S15" s="20">
        <f t="shared" si="4"/>
        <v>0</v>
      </c>
      <c r="T15" s="20">
        <f t="shared" si="4"/>
        <v>0</v>
      </c>
      <c r="U15" s="20">
        <f t="shared" si="4"/>
        <v>0</v>
      </c>
      <c r="V15" s="20">
        <f t="shared" si="4"/>
        <v>0</v>
      </c>
      <c r="W15" s="20">
        <f t="shared" si="4"/>
        <v>0</v>
      </c>
      <c r="X15" s="20">
        <f t="shared" si="4"/>
        <v>0</v>
      </c>
    </row>
    <row r="16" spans="1:24">
      <c r="A16" s="3"/>
      <c r="B16" s="3" t="s">
        <v>1822</v>
      </c>
      <c r="C16" s="3" t="s">
        <v>550</v>
      </c>
      <c r="D16" s="20">
        <v>10.7</v>
      </c>
      <c r="E16" s="155">
        <v>14.2</v>
      </c>
      <c r="F16" s="155">
        <f>9.5</f>
        <v>9.5</v>
      </c>
      <c r="G16" s="155">
        <f>14.9</f>
        <v>14.9</v>
      </c>
      <c r="H16" s="155">
        <v>17.2</v>
      </c>
      <c r="I16" s="20">
        <f>20.2</f>
        <v>20.2</v>
      </c>
      <c r="J16" s="20">
        <v>9.8</v>
      </c>
      <c r="K16" s="20">
        <v>9.8</v>
      </c>
      <c r="L16" s="20">
        <v>19.7</v>
      </c>
      <c r="M16" s="20">
        <v>7.9</v>
      </c>
      <c r="N16" s="20">
        <v>9.9</v>
      </c>
      <c r="O16" s="20">
        <v>11.8</v>
      </c>
      <c r="P16" s="20">
        <v>15.8</v>
      </c>
      <c r="Q16" s="20">
        <v>7.9</v>
      </c>
      <c r="R16" s="20">
        <f>8.4</f>
        <v>8.4</v>
      </c>
      <c r="S16" s="20">
        <f>10.6</f>
        <v>10.6</v>
      </c>
      <c r="T16" s="20">
        <v>12.6</v>
      </c>
      <c r="U16" s="20">
        <v>14.8</v>
      </c>
      <c r="V16" s="20">
        <v>15.9</v>
      </c>
      <c r="W16" s="20">
        <v>1.4</v>
      </c>
      <c r="X16" s="20">
        <v>1.7</v>
      </c>
    </row>
    <row r="17" spans="1:24">
      <c r="A17" s="3"/>
      <c r="B17" s="3"/>
      <c r="C17" s="3" t="s">
        <v>834</v>
      </c>
      <c r="D17" s="159">
        <f>材料预算价!M13</f>
        <v>2.99</v>
      </c>
      <c r="E17" s="155">
        <f t="shared" ref="E17:X17" si="5">D17</f>
        <v>2.99</v>
      </c>
      <c r="F17" s="155">
        <f t="shared" si="5"/>
        <v>2.99</v>
      </c>
      <c r="G17" s="155">
        <f t="shared" si="5"/>
        <v>2.99</v>
      </c>
      <c r="H17" s="155">
        <f t="shared" si="5"/>
        <v>2.99</v>
      </c>
      <c r="I17" s="20">
        <f t="shared" si="5"/>
        <v>2.99</v>
      </c>
      <c r="J17" s="20">
        <f t="shared" si="5"/>
        <v>2.99</v>
      </c>
      <c r="K17" s="20">
        <f t="shared" si="5"/>
        <v>2.99</v>
      </c>
      <c r="L17" s="20">
        <f t="shared" si="5"/>
        <v>2.99</v>
      </c>
      <c r="M17" s="20">
        <f t="shared" si="5"/>
        <v>2.99</v>
      </c>
      <c r="N17" s="20">
        <f t="shared" si="5"/>
        <v>2.99</v>
      </c>
      <c r="O17" s="20">
        <f t="shared" si="5"/>
        <v>2.99</v>
      </c>
      <c r="P17" s="20">
        <f t="shared" si="5"/>
        <v>2.99</v>
      </c>
      <c r="Q17" s="20">
        <f t="shared" si="5"/>
        <v>2.99</v>
      </c>
      <c r="R17" s="20">
        <f t="shared" si="5"/>
        <v>2.99</v>
      </c>
      <c r="S17" s="20">
        <f t="shared" si="5"/>
        <v>2.99</v>
      </c>
      <c r="T17" s="20">
        <f t="shared" si="5"/>
        <v>2.99</v>
      </c>
      <c r="U17" s="20">
        <f t="shared" si="5"/>
        <v>2.99</v>
      </c>
      <c r="V17" s="20">
        <f t="shared" si="5"/>
        <v>2.99</v>
      </c>
      <c r="W17" s="20">
        <f t="shared" si="5"/>
        <v>2.99</v>
      </c>
      <c r="X17" s="20">
        <f t="shared" si="5"/>
        <v>2.99</v>
      </c>
    </row>
    <row r="18" spans="1:24">
      <c r="A18" s="3"/>
      <c r="B18" s="3"/>
      <c r="C18" s="3" t="s">
        <v>2410</v>
      </c>
      <c r="D18" s="20">
        <f t="shared" ref="D18:X18" si="6">D16*D17</f>
        <v>31.993</v>
      </c>
      <c r="E18" s="155">
        <f t="shared" si="6"/>
        <v>42.458</v>
      </c>
      <c r="F18" s="155">
        <f t="shared" si="6"/>
        <v>28.405</v>
      </c>
      <c r="G18" s="155">
        <f t="shared" si="6"/>
        <v>44.551</v>
      </c>
      <c r="H18" s="155">
        <f t="shared" si="6"/>
        <v>51.428</v>
      </c>
      <c r="I18" s="20">
        <f t="shared" si="6"/>
        <v>60.398</v>
      </c>
      <c r="J18" s="20">
        <f t="shared" si="6"/>
        <v>29.302</v>
      </c>
      <c r="K18" s="20">
        <f t="shared" si="6"/>
        <v>29.302</v>
      </c>
      <c r="L18" s="20">
        <f t="shared" si="6"/>
        <v>58.903</v>
      </c>
      <c r="M18" s="20">
        <f t="shared" si="6"/>
        <v>23.621</v>
      </c>
      <c r="N18" s="20">
        <f t="shared" si="6"/>
        <v>29.601</v>
      </c>
      <c r="O18" s="20">
        <f t="shared" si="6"/>
        <v>35.282</v>
      </c>
      <c r="P18" s="20">
        <f t="shared" si="6"/>
        <v>47.242</v>
      </c>
      <c r="Q18" s="20">
        <f t="shared" si="6"/>
        <v>23.621</v>
      </c>
      <c r="R18" s="20">
        <f t="shared" si="6"/>
        <v>25.116</v>
      </c>
      <c r="S18" s="20">
        <f t="shared" si="6"/>
        <v>31.694</v>
      </c>
      <c r="T18" s="20">
        <f t="shared" si="6"/>
        <v>37.674</v>
      </c>
      <c r="U18" s="20">
        <f t="shared" si="6"/>
        <v>44.252</v>
      </c>
      <c r="V18" s="20">
        <f t="shared" si="6"/>
        <v>47.541</v>
      </c>
      <c r="W18" s="20">
        <f t="shared" si="6"/>
        <v>4.186</v>
      </c>
      <c r="X18" s="20">
        <f t="shared" si="6"/>
        <v>5.083</v>
      </c>
    </row>
    <row r="19" spans="1:24">
      <c r="A19" s="3"/>
      <c r="B19" s="3" t="s">
        <v>2411</v>
      </c>
      <c r="C19" s="3" t="s">
        <v>1834</v>
      </c>
      <c r="D19" s="20"/>
      <c r="E19" s="155"/>
      <c r="F19" s="155"/>
      <c r="G19" s="155"/>
      <c r="H19" s="155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>
      <c r="A20" s="3"/>
      <c r="B20" s="3"/>
      <c r="C20" s="3" t="s">
        <v>834</v>
      </c>
      <c r="D20" s="159">
        <f>材料预算价!L16</f>
        <v>0.48</v>
      </c>
      <c r="E20" s="155">
        <f t="shared" ref="E20:X20" si="7">D20</f>
        <v>0.48</v>
      </c>
      <c r="F20" s="155">
        <f t="shared" si="7"/>
        <v>0.48</v>
      </c>
      <c r="G20" s="155">
        <f t="shared" si="7"/>
        <v>0.48</v>
      </c>
      <c r="H20" s="155">
        <f t="shared" si="7"/>
        <v>0.48</v>
      </c>
      <c r="I20" s="20">
        <f t="shared" si="7"/>
        <v>0.48</v>
      </c>
      <c r="J20" s="20">
        <f t="shared" si="7"/>
        <v>0.48</v>
      </c>
      <c r="K20" s="20">
        <f t="shared" si="7"/>
        <v>0.48</v>
      </c>
      <c r="L20" s="20">
        <f t="shared" si="7"/>
        <v>0.48</v>
      </c>
      <c r="M20" s="20">
        <f t="shared" si="7"/>
        <v>0.48</v>
      </c>
      <c r="N20" s="20">
        <f t="shared" si="7"/>
        <v>0.48</v>
      </c>
      <c r="O20" s="20">
        <f t="shared" si="7"/>
        <v>0.48</v>
      </c>
      <c r="P20" s="20">
        <f t="shared" si="7"/>
        <v>0.48</v>
      </c>
      <c r="Q20" s="20">
        <f t="shared" si="7"/>
        <v>0.48</v>
      </c>
      <c r="R20" s="20">
        <f t="shared" si="7"/>
        <v>0.48</v>
      </c>
      <c r="S20" s="20">
        <f t="shared" si="7"/>
        <v>0.48</v>
      </c>
      <c r="T20" s="20">
        <f t="shared" si="7"/>
        <v>0.48</v>
      </c>
      <c r="U20" s="20">
        <f t="shared" si="7"/>
        <v>0.48</v>
      </c>
      <c r="V20" s="20">
        <f t="shared" si="7"/>
        <v>0.48</v>
      </c>
      <c r="W20" s="20">
        <f t="shared" si="7"/>
        <v>0.48</v>
      </c>
      <c r="X20" s="20">
        <f t="shared" si="7"/>
        <v>0.48</v>
      </c>
    </row>
    <row r="21" spans="1:24">
      <c r="A21" s="3"/>
      <c r="B21" s="3"/>
      <c r="C21" s="3" t="s">
        <v>2410</v>
      </c>
      <c r="D21" s="20">
        <f t="shared" ref="D21:X21" si="8">D19*D20</f>
        <v>0</v>
      </c>
      <c r="E21" s="155">
        <f t="shared" si="8"/>
        <v>0</v>
      </c>
      <c r="F21" s="155">
        <f t="shared" si="8"/>
        <v>0</v>
      </c>
      <c r="G21" s="155">
        <f t="shared" si="8"/>
        <v>0</v>
      </c>
      <c r="H21" s="155">
        <f t="shared" si="8"/>
        <v>0</v>
      </c>
      <c r="I21" s="20">
        <f t="shared" si="8"/>
        <v>0</v>
      </c>
      <c r="J21" s="20">
        <f t="shared" si="8"/>
        <v>0</v>
      </c>
      <c r="K21" s="20">
        <f t="shared" si="8"/>
        <v>0</v>
      </c>
      <c r="L21" s="20">
        <f t="shared" si="8"/>
        <v>0</v>
      </c>
      <c r="M21" s="20">
        <f>L21</f>
        <v>0</v>
      </c>
      <c r="N21" s="20">
        <f t="shared" si="8"/>
        <v>0</v>
      </c>
      <c r="O21" s="20">
        <f t="shared" si="8"/>
        <v>0</v>
      </c>
      <c r="P21" s="20">
        <f t="shared" si="8"/>
        <v>0</v>
      </c>
      <c r="Q21" s="20">
        <f t="shared" si="8"/>
        <v>0</v>
      </c>
      <c r="R21" s="20">
        <f t="shared" si="8"/>
        <v>0</v>
      </c>
      <c r="S21" s="20">
        <f t="shared" si="8"/>
        <v>0</v>
      </c>
      <c r="T21" s="20">
        <f t="shared" si="8"/>
        <v>0</v>
      </c>
      <c r="U21" s="20">
        <f t="shared" si="8"/>
        <v>0</v>
      </c>
      <c r="V21" s="20">
        <f t="shared" si="8"/>
        <v>0</v>
      </c>
      <c r="W21" s="20">
        <f t="shared" si="8"/>
        <v>0</v>
      </c>
      <c r="X21" s="20">
        <f t="shared" si="8"/>
        <v>0</v>
      </c>
    </row>
    <row r="22" spans="1:24">
      <c r="A22" s="3"/>
      <c r="B22" s="3" t="s">
        <v>2412</v>
      </c>
      <c r="C22" s="3" t="s">
        <v>632</v>
      </c>
      <c r="D22" s="20"/>
      <c r="E22" s="155"/>
      <c r="F22" s="155"/>
      <c r="G22" s="155"/>
      <c r="H22" s="155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>
      <c r="A23" s="3"/>
      <c r="B23" s="3"/>
      <c r="C23" s="3" t="s">
        <v>834</v>
      </c>
      <c r="D23" s="159">
        <v>0.12</v>
      </c>
      <c r="E23" s="155">
        <f>D23</f>
        <v>0.12</v>
      </c>
      <c r="F23" s="155">
        <f t="shared" ref="F23:X23" si="9">E23</f>
        <v>0.12</v>
      </c>
      <c r="G23" s="155">
        <f t="shared" si="9"/>
        <v>0.12</v>
      </c>
      <c r="H23" s="155">
        <f t="shared" si="9"/>
        <v>0.12</v>
      </c>
      <c r="I23" s="20">
        <f t="shared" si="9"/>
        <v>0.12</v>
      </c>
      <c r="J23" s="20">
        <f t="shared" si="9"/>
        <v>0.12</v>
      </c>
      <c r="K23" s="20">
        <f t="shared" si="9"/>
        <v>0.12</v>
      </c>
      <c r="L23" s="20">
        <f t="shared" si="9"/>
        <v>0.12</v>
      </c>
      <c r="M23" s="20">
        <f t="shared" si="9"/>
        <v>0.12</v>
      </c>
      <c r="N23" s="20">
        <f t="shared" si="9"/>
        <v>0.12</v>
      </c>
      <c r="O23" s="20">
        <f t="shared" si="9"/>
        <v>0.12</v>
      </c>
      <c r="P23" s="20">
        <f t="shared" si="9"/>
        <v>0.12</v>
      </c>
      <c r="Q23" s="20">
        <f t="shared" si="9"/>
        <v>0.12</v>
      </c>
      <c r="R23" s="20">
        <f t="shared" si="9"/>
        <v>0.12</v>
      </c>
      <c r="S23" s="20">
        <f t="shared" si="9"/>
        <v>0.12</v>
      </c>
      <c r="T23" s="20">
        <f t="shared" si="9"/>
        <v>0.12</v>
      </c>
      <c r="U23" s="20">
        <f t="shared" si="9"/>
        <v>0.12</v>
      </c>
      <c r="V23" s="20">
        <f t="shared" si="9"/>
        <v>0.12</v>
      </c>
      <c r="W23" s="20">
        <f t="shared" si="9"/>
        <v>0.12</v>
      </c>
      <c r="X23" s="20">
        <f t="shared" si="9"/>
        <v>0.12</v>
      </c>
    </row>
    <row r="24" spans="1:24">
      <c r="A24" s="3"/>
      <c r="B24" s="3"/>
      <c r="C24" s="3" t="s">
        <v>2410</v>
      </c>
      <c r="D24" s="20">
        <f t="shared" ref="D24:X24" si="10">D22*D23</f>
        <v>0</v>
      </c>
      <c r="E24" s="155">
        <f t="shared" si="10"/>
        <v>0</v>
      </c>
      <c r="F24" s="155">
        <f t="shared" si="10"/>
        <v>0</v>
      </c>
      <c r="G24" s="155">
        <f t="shared" si="10"/>
        <v>0</v>
      </c>
      <c r="H24" s="155">
        <f t="shared" si="10"/>
        <v>0</v>
      </c>
      <c r="I24" s="20">
        <f t="shared" si="10"/>
        <v>0</v>
      </c>
      <c r="J24" s="20">
        <f t="shared" si="10"/>
        <v>0</v>
      </c>
      <c r="K24" s="20">
        <f t="shared" si="10"/>
        <v>0</v>
      </c>
      <c r="L24" s="20">
        <f t="shared" si="10"/>
        <v>0</v>
      </c>
      <c r="M24" s="20">
        <f>L24</f>
        <v>0</v>
      </c>
      <c r="N24" s="20">
        <f t="shared" si="10"/>
        <v>0</v>
      </c>
      <c r="O24" s="20">
        <f t="shared" si="10"/>
        <v>0</v>
      </c>
      <c r="P24" s="20">
        <f t="shared" si="10"/>
        <v>0</v>
      </c>
      <c r="Q24" s="20">
        <f t="shared" si="10"/>
        <v>0</v>
      </c>
      <c r="R24" s="20">
        <f t="shared" si="10"/>
        <v>0</v>
      </c>
      <c r="S24" s="20">
        <f t="shared" si="10"/>
        <v>0</v>
      </c>
      <c r="T24" s="20">
        <f t="shared" si="10"/>
        <v>0</v>
      </c>
      <c r="U24" s="20">
        <f t="shared" si="10"/>
        <v>0</v>
      </c>
      <c r="V24" s="20">
        <f t="shared" si="10"/>
        <v>0</v>
      </c>
      <c r="W24" s="20">
        <f t="shared" si="10"/>
        <v>0</v>
      </c>
      <c r="X24" s="20">
        <f t="shared" si="10"/>
        <v>0</v>
      </c>
    </row>
    <row r="25" spans="1:24">
      <c r="A25" s="3"/>
      <c r="B25" s="3" t="s">
        <v>2413</v>
      </c>
      <c r="C25" s="3" t="s">
        <v>632</v>
      </c>
      <c r="D25" s="20"/>
      <c r="E25" s="155"/>
      <c r="F25" s="155"/>
      <c r="G25" s="155"/>
      <c r="H25" s="155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>
      <c r="A26" s="3"/>
      <c r="B26" s="3"/>
      <c r="C26" s="3" t="s">
        <v>834</v>
      </c>
      <c r="D26" s="159">
        <f>材料预算价!L15</f>
        <v>3.88349514563107</v>
      </c>
      <c r="E26" s="155">
        <f t="shared" ref="E26:X26" si="11">D26</f>
        <v>3.88349514563107</v>
      </c>
      <c r="F26" s="155">
        <f t="shared" si="11"/>
        <v>3.88349514563107</v>
      </c>
      <c r="G26" s="155">
        <f t="shared" si="11"/>
        <v>3.88349514563107</v>
      </c>
      <c r="H26" s="155">
        <f t="shared" si="11"/>
        <v>3.88349514563107</v>
      </c>
      <c r="I26" s="20">
        <f t="shared" si="11"/>
        <v>3.88349514563107</v>
      </c>
      <c r="J26" s="20">
        <f t="shared" si="11"/>
        <v>3.88349514563107</v>
      </c>
      <c r="K26" s="20">
        <f t="shared" si="11"/>
        <v>3.88349514563107</v>
      </c>
      <c r="L26" s="20">
        <f t="shared" si="11"/>
        <v>3.88349514563107</v>
      </c>
      <c r="M26" s="20">
        <f t="shared" si="11"/>
        <v>3.88349514563107</v>
      </c>
      <c r="N26" s="20">
        <f t="shared" si="11"/>
        <v>3.88349514563107</v>
      </c>
      <c r="O26" s="20">
        <f t="shared" si="11"/>
        <v>3.88349514563107</v>
      </c>
      <c r="P26" s="20">
        <f t="shared" si="11"/>
        <v>3.88349514563107</v>
      </c>
      <c r="Q26" s="20">
        <f t="shared" si="11"/>
        <v>3.88349514563107</v>
      </c>
      <c r="R26" s="20">
        <f t="shared" si="11"/>
        <v>3.88349514563107</v>
      </c>
      <c r="S26" s="20">
        <f t="shared" si="11"/>
        <v>3.88349514563107</v>
      </c>
      <c r="T26" s="20">
        <f t="shared" si="11"/>
        <v>3.88349514563107</v>
      </c>
      <c r="U26" s="20">
        <f t="shared" si="11"/>
        <v>3.88349514563107</v>
      </c>
      <c r="V26" s="20">
        <f t="shared" si="11"/>
        <v>3.88349514563107</v>
      </c>
      <c r="W26" s="20">
        <f t="shared" si="11"/>
        <v>3.88349514563107</v>
      </c>
      <c r="X26" s="20">
        <f t="shared" si="11"/>
        <v>3.88349514563107</v>
      </c>
    </row>
    <row r="27" spans="1:24">
      <c r="A27" s="3"/>
      <c r="B27" s="3"/>
      <c r="C27" s="3" t="s">
        <v>2410</v>
      </c>
      <c r="D27" s="20">
        <f t="shared" ref="D27:X27" si="12">D25*D26</f>
        <v>0</v>
      </c>
      <c r="E27" s="155">
        <f t="shared" si="12"/>
        <v>0</v>
      </c>
      <c r="F27" s="155">
        <f t="shared" si="12"/>
        <v>0</v>
      </c>
      <c r="G27" s="155">
        <f t="shared" si="12"/>
        <v>0</v>
      </c>
      <c r="H27" s="155">
        <f t="shared" si="12"/>
        <v>0</v>
      </c>
      <c r="I27" s="20">
        <f t="shared" si="12"/>
        <v>0</v>
      </c>
      <c r="J27" s="20">
        <f t="shared" si="12"/>
        <v>0</v>
      </c>
      <c r="K27" s="20">
        <f t="shared" si="12"/>
        <v>0</v>
      </c>
      <c r="L27" s="20">
        <f t="shared" si="12"/>
        <v>0</v>
      </c>
      <c r="M27" s="20">
        <f>L27</f>
        <v>0</v>
      </c>
      <c r="N27" s="20">
        <f t="shared" si="12"/>
        <v>0</v>
      </c>
      <c r="O27" s="20">
        <f t="shared" si="12"/>
        <v>0</v>
      </c>
      <c r="P27" s="20">
        <f t="shared" si="12"/>
        <v>0</v>
      </c>
      <c r="Q27" s="20">
        <f t="shared" si="12"/>
        <v>0</v>
      </c>
      <c r="R27" s="20">
        <f t="shared" si="12"/>
        <v>0</v>
      </c>
      <c r="S27" s="20">
        <f t="shared" si="12"/>
        <v>0</v>
      </c>
      <c r="T27" s="20">
        <f t="shared" si="12"/>
        <v>0</v>
      </c>
      <c r="U27" s="20">
        <f t="shared" si="12"/>
        <v>0</v>
      </c>
      <c r="V27" s="20">
        <f t="shared" si="12"/>
        <v>0</v>
      </c>
      <c r="W27" s="20">
        <f t="shared" si="12"/>
        <v>0</v>
      </c>
      <c r="X27" s="20">
        <f t="shared" si="12"/>
        <v>0</v>
      </c>
    </row>
    <row r="28" spans="1:24">
      <c r="A28" s="3"/>
      <c r="B28" s="3" t="s">
        <v>2414</v>
      </c>
      <c r="C28" s="3" t="s">
        <v>550</v>
      </c>
      <c r="D28" s="20"/>
      <c r="E28" s="155"/>
      <c r="F28" s="155"/>
      <c r="G28" s="155"/>
      <c r="H28" s="155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</row>
    <row r="29" spans="1:24">
      <c r="A29" s="3"/>
      <c r="B29" s="3"/>
      <c r="C29" s="3" t="s">
        <v>834</v>
      </c>
      <c r="D29" s="159"/>
      <c r="E29" s="155"/>
      <c r="F29" s="155"/>
      <c r="G29" s="155"/>
      <c r="H29" s="155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</row>
    <row r="30" spans="1:24">
      <c r="A30" s="3"/>
      <c r="B30" s="3"/>
      <c r="C30" s="3" t="s">
        <v>2410</v>
      </c>
      <c r="D30" s="20">
        <f t="shared" ref="D30:X30" si="13">D28*D29</f>
        <v>0</v>
      </c>
      <c r="E30" s="155">
        <f t="shared" si="13"/>
        <v>0</v>
      </c>
      <c r="F30" s="155">
        <f t="shared" si="13"/>
        <v>0</v>
      </c>
      <c r="G30" s="155">
        <f t="shared" si="13"/>
        <v>0</v>
      </c>
      <c r="H30" s="155">
        <f t="shared" si="13"/>
        <v>0</v>
      </c>
      <c r="I30" s="20">
        <f t="shared" si="13"/>
        <v>0</v>
      </c>
      <c r="J30" s="20">
        <f t="shared" si="13"/>
        <v>0</v>
      </c>
      <c r="K30" s="20">
        <f t="shared" si="13"/>
        <v>0</v>
      </c>
      <c r="L30" s="20">
        <f t="shared" si="13"/>
        <v>0</v>
      </c>
      <c r="M30" s="20">
        <f>L30</f>
        <v>0</v>
      </c>
      <c r="N30" s="20">
        <f t="shared" si="13"/>
        <v>0</v>
      </c>
      <c r="O30" s="20">
        <f t="shared" si="13"/>
        <v>0</v>
      </c>
      <c r="P30" s="20">
        <f t="shared" si="13"/>
        <v>0</v>
      </c>
      <c r="Q30" s="20">
        <f t="shared" si="13"/>
        <v>0</v>
      </c>
      <c r="R30" s="20">
        <f t="shared" si="13"/>
        <v>0</v>
      </c>
      <c r="S30" s="20">
        <f t="shared" si="13"/>
        <v>0</v>
      </c>
      <c r="T30" s="20">
        <f t="shared" si="13"/>
        <v>0</v>
      </c>
      <c r="U30" s="20">
        <f t="shared" si="13"/>
        <v>0</v>
      </c>
      <c r="V30" s="20">
        <f t="shared" si="13"/>
        <v>0</v>
      </c>
      <c r="W30" s="20">
        <f t="shared" si="13"/>
        <v>0</v>
      </c>
      <c r="X30" s="20">
        <f t="shared" si="13"/>
        <v>0</v>
      </c>
    </row>
    <row r="31" s="152" customFormat="1" ht="20.25" spans="1:25">
      <c r="A31" s="156"/>
      <c r="B31" s="156" t="s">
        <v>1321</v>
      </c>
      <c r="C31" s="156" t="s">
        <v>114</v>
      </c>
      <c r="D31" s="157">
        <f t="shared" ref="D31:X31" si="14">D12+D15+D18+D21+D24+D27+D30</f>
        <v>53.863993044041</v>
      </c>
      <c r="E31" s="158">
        <f t="shared" si="14"/>
        <v>64.328993044041</v>
      </c>
      <c r="F31" s="158">
        <f t="shared" si="14"/>
        <v>50.275993044041</v>
      </c>
      <c r="G31" s="158">
        <f t="shared" si="14"/>
        <v>66.421993044041</v>
      </c>
      <c r="H31" s="158">
        <f t="shared" si="14"/>
        <v>73.298993044041</v>
      </c>
      <c r="I31" s="157">
        <f t="shared" si="14"/>
        <v>82.268993044041</v>
      </c>
      <c r="J31" s="157">
        <f t="shared" si="14"/>
        <v>39.832478132316</v>
      </c>
      <c r="K31" s="157">
        <f t="shared" si="14"/>
        <v>39.832478132316</v>
      </c>
      <c r="L31" s="157">
        <f t="shared" si="14"/>
        <v>69.433478132316</v>
      </c>
      <c r="M31" s="157">
        <f t="shared" si="14"/>
        <v>43.0618827058142</v>
      </c>
      <c r="N31" s="157">
        <f t="shared" si="14"/>
        <v>49.0418827058142</v>
      </c>
      <c r="O31" s="157">
        <f t="shared" si="14"/>
        <v>54.7228827058142</v>
      </c>
      <c r="P31" s="157">
        <f t="shared" si="14"/>
        <v>66.6828827058142</v>
      </c>
      <c r="Q31" s="157">
        <f t="shared" si="14"/>
        <v>43.0618827058142</v>
      </c>
      <c r="R31" s="157">
        <f t="shared" si="14"/>
        <v>44.5568827058142</v>
      </c>
      <c r="S31" s="157">
        <f t="shared" si="14"/>
        <v>51.1348827058142</v>
      </c>
      <c r="T31" s="157">
        <f t="shared" si="14"/>
        <v>57.1148827058142</v>
      </c>
      <c r="U31" s="157">
        <f t="shared" si="14"/>
        <v>63.6928827058142</v>
      </c>
      <c r="V31" s="157">
        <f t="shared" si="14"/>
        <v>66.9818827058142</v>
      </c>
      <c r="W31" s="157">
        <f t="shared" si="14"/>
        <v>12.2863677940892</v>
      </c>
      <c r="X31" s="157">
        <f t="shared" si="14"/>
        <v>13.1833677940892</v>
      </c>
      <c r="Y31" s="175"/>
    </row>
    <row r="32" s="152" customFormat="1" ht="20.25" spans="1:25">
      <c r="A32" s="156" t="s">
        <v>463</v>
      </c>
      <c r="B32" s="156"/>
      <c r="C32" s="156" t="s">
        <v>114</v>
      </c>
      <c r="D32" s="157">
        <f t="shared" ref="D32:X32" si="15">D31+D9</f>
        <v>93.2281573838894</v>
      </c>
      <c r="E32" s="158">
        <f t="shared" si="15"/>
        <v>118.949870586921</v>
      </c>
      <c r="F32" s="158">
        <f t="shared" si="15"/>
        <v>98.886842665102</v>
      </c>
      <c r="G32" s="158">
        <f t="shared" si="15"/>
        <v>122.942399904831</v>
      </c>
      <c r="H32" s="158">
        <f t="shared" si="15"/>
        <v>138.457337679063</v>
      </c>
      <c r="I32" s="157">
        <f t="shared" si="15"/>
        <v>213.437608919589</v>
      </c>
      <c r="J32" s="157">
        <f t="shared" si="15"/>
        <v>59.1021231263328</v>
      </c>
      <c r="K32" s="157">
        <f t="shared" si="15"/>
        <v>64.4682180605171</v>
      </c>
      <c r="L32" s="157">
        <f t="shared" si="15"/>
        <v>119.591834733832</v>
      </c>
      <c r="M32" s="157">
        <f t="shared" si="15"/>
        <v>54.6636338027428</v>
      </c>
      <c r="N32" s="157">
        <f t="shared" si="15"/>
        <v>68.4135540261173</v>
      </c>
      <c r="O32" s="157">
        <f t="shared" si="15"/>
        <v>84.3649529092446</v>
      </c>
      <c r="P32" s="157">
        <f t="shared" si="15"/>
        <v>97.6280602088058</v>
      </c>
      <c r="Q32" s="157">
        <f t="shared" si="15"/>
        <v>61.178468266245</v>
      </c>
      <c r="R32" s="157">
        <f t="shared" si="15"/>
        <v>66.3831411820806</v>
      </c>
      <c r="S32" s="157">
        <f t="shared" si="15"/>
        <v>89.4432273408361</v>
      </c>
      <c r="T32" s="157">
        <f t="shared" si="15"/>
        <v>108.079390085152</v>
      </c>
      <c r="U32" s="157">
        <f t="shared" si="15"/>
        <v>126.307521716584</v>
      </c>
      <c r="V32" s="157">
        <f t="shared" si="15"/>
        <v>133.935185458108</v>
      </c>
      <c r="W32" s="157">
        <f t="shared" si="15"/>
        <v>14.8345768088479</v>
      </c>
      <c r="X32" s="157">
        <f t="shared" si="15"/>
        <v>15.9126697486166</v>
      </c>
      <c r="Y32" s="175"/>
    </row>
    <row r="33" s="152" customFormat="1" ht="20.25" spans="1:25">
      <c r="A33" s="156" t="s">
        <v>458</v>
      </c>
      <c r="B33" s="156"/>
      <c r="C33" s="156"/>
      <c r="D33" s="156">
        <v>1001</v>
      </c>
      <c r="E33" s="156">
        <v>1002</v>
      </c>
      <c r="F33" s="156">
        <v>1003</v>
      </c>
      <c r="G33" s="156">
        <v>1004</v>
      </c>
      <c r="H33" s="156">
        <v>1005</v>
      </c>
      <c r="I33" s="156">
        <v>1006</v>
      </c>
      <c r="J33" s="156">
        <v>1007</v>
      </c>
      <c r="K33" s="156">
        <v>1008</v>
      </c>
      <c r="L33" s="156">
        <v>1009</v>
      </c>
      <c r="M33" s="156">
        <v>1010</v>
      </c>
      <c r="N33" s="156">
        <v>1011</v>
      </c>
      <c r="O33" s="156">
        <v>1012</v>
      </c>
      <c r="P33" s="156">
        <v>1013</v>
      </c>
      <c r="Q33" s="156">
        <v>1014</v>
      </c>
      <c r="R33" s="156">
        <v>1015</v>
      </c>
      <c r="S33" s="156">
        <v>1016</v>
      </c>
      <c r="T33" s="156">
        <v>1017</v>
      </c>
      <c r="U33" s="156">
        <v>1018</v>
      </c>
      <c r="V33" s="156">
        <v>1019</v>
      </c>
      <c r="W33" s="156">
        <v>1020</v>
      </c>
      <c r="X33" s="156">
        <v>1021</v>
      </c>
      <c r="Y33" s="175"/>
    </row>
    <row r="34" s="153" customFormat="1" spans="25:25">
      <c r="Y34" s="176"/>
    </row>
    <row r="35" spans="1:24">
      <c r="A35" s="3" t="s">
        <v>2388</v>
      </c>
      <c r="B35" s="3"/>
      <c r="C35" s="3" t="s">
        <v>55</v>
      </c>
      <c r="D35" s="160" t="s">
        <v>2053</v>
      </c>
      <c r="E35" s="161"/>
      <c r="F35" s="162"/>
      <c r="G35" s="126" t="s">
        <v>2057</v>
      </c>
      <c r="H35" s="126" t="s">
        <v>2058</v>
      </c>
      <c r="I35" s="160" t="s">
        <v>2415</v>
      </c>
      <c r="J35" s="161"/>
      <c r="K35" s="162"/>
      <c r="L35" s="3" t="s">
        <v>2064</v>
      </c>
      <c r="M35" s="3"/>
      <c r="N35" s="3" t="s">
        <v>2416</v>
      </c>
      <c r="O35" s="3"/>
      <c r="P35" s="125" t="s">
        <v>2070</v>
      </c>
      <c r="Q35" s="3" t="s">
        <v>2072</v>
      </c>
      <c r="R35" s="3"/>
      <c r="S35" s="125" t="s">
        <v>2417</v>
      </c>
      <c r="T35" s="3" t="s">
        <v>2076</v>
      </c>
      <c r="U35" s="3"/>
      <c r="V35" s="3" t="s">
        <v>2079</v>
      </c>
      <c r="W35" s="3"/>
      <c r="X35" s="125" t="s">
        <v>2418</v>
      </c>
    </row>
    <row r="36" spans="1:24">
      <c r="A36" s="3"/>
      <c r="B36" s="3"/>
      <c r="C36" s="3"/>
      <c r="D36" s="163"/>
      <c r="E36" s="164"/>
      <c r="F36" s="165"/>
      <c r="G36" s="129"/>
      <c r="H36" s="129"/>
      <c r="I36" s="163" t="s">
        <v>2419</v>
      </c>
      <c r="J36" s="164"/>
      <c r="K36" s="165"/>
      <c r="L36" s="3"/>
      <c r="M36" s="3"/>
      <c r="N36" s="3" t="s">
        <v>2420</v>
      </c>
      <c r="O36" s="3"/>
      <c r="P36" s="125"/>
      <c r="Q36" s="3"/>
      <c r="R36" s="3"/>
      <c r="S36" s="125"/>
      <c r="T36" s="3"/>
      <c r="U36" s="3"/>
      <c r="V36" s="3" t="s">
        <v>2421</v>
      </c>
      <c r="W36" s="3"/>
      <c r="X36" s="125"/>
    </row>
    <row r="37" spans="1:24">
      <c r="A37" s="3"/>
      <c r="B37" s="3"/>
      <c r="C37" s="3"/>
      <c r="D37" s="137" t="s">
        <v>2397</v>
      </c>
      <c r="E37" s="166"/>
      <c r="F37" s="167"/>
      <c r="G37" s="3" t="s">
        <v>2397</v>
      </c>
      <c r="H37" s="3" t="s">
        <v>2422</v>
      </c>
      <c r="I37" s="3" t="s">
        <v>2422</v>
      </c>
      <c r="J37" s="3"/>
      <c r="K37" s="3"/>
      <c r="L37" s="3" t="s">
        <v>2422</v>
      </c>
      <c r="M37" s="3"/>
      <c r="N37" s="3" t="s">
        <v>2422</v>
      </c>
      <c r="O37" s="3"/>
      <c r="P37" s="3" t="s">
        <v>2398</v>
      </c>
      <c r="Q37" s="3"/>
      <c r="R37" s="3"/>
      <c r="S37" s="125"/>
      <c r="T37" s="3" t="s">
        <v>2423</v>
      </c>
      <c r="U37" s="3"/>
      <c r="V37" s="3" t="s">
        <v>2397</v>
      </c>
      <c r="W37" s="3"/>
      <c r="X37" s="3"/>
    </row>
    <row r="38" spans="1:24">
      <c r="A38" s="3"/>
      <c r="B38" s="3"/>
      <c r="C38" s="3"/>
      <c r="D38" s="20">
        <v>44</v>
      </c>
      <c r="E38" s="20">
        <v>66</v>
      </c>
      <c r="F38" s="20">
        <v>118</v>
      </c>
      <c r="G38" s="20">
        <v>0.5</v>
      </c>
      <c r="H38" s="20" t="s">
        <v>2424</v>
      </c>
      <c r="I38" s="20">
        <v>10</v>
      </c>
      <c r="J38" s="3" t="s">
        <v>2425</v>
      </c>
      <c r="K38" s="3">
        <v>16</v>
      </c>
      <c r="L38" s="3" t="s">
        <v>2426</v>
      </c>
      <c r="M38" s="3" t="s">
        <v>2427</v>
      </c>
      <c r="N38" s="3" t="s">
        <v>2428</v>
      </c>
      <c r="O38" s="3" t="s">
        <v>2429</v>
      </c>
      <c r="P38" s="3">
        <v>2.8</v>
      </c>
      <c r="Q38" s="3" t="s">
        <v>2073</v>
      </c>
      <c r="R38" s="3" t="s">
        <v>2074</v>
      </c>
      <c r="S38" s="3" t="s">
        <v>2073</v>
      </c>
      <c r="T38" s="3" t="s">
        <v>2430</v>
      </c>
      <c r="U38" s="3" t="s">
        <v>2196</v>
      </c>
      <c r="V38" s="3">
        <v>0.2</v>
      </c>
      <c r="W38" s="3">
        <v>0.6</v>
      </c>
      <c r="X38" s="3" t="s">
        <v>2431</v>
      </c>
    </row>
    <row r="39" spans="1:24">
      <c r="A39" s="3" t="s">
        <v>2400</v>
      </c>
      <c r="B39" s="3" t="s">
        <v>2401</v>
      </c>
      <c r="C39" s="3" t="s">
        <v>114</v>
      </c>
      <c r="D39" s="20">
        <f>10.36/$AA$6</f>
        <v>9.00869565217391</v>
      </c>
      <c r="E39" s="20">
        <f>30.23/$AA$6</f>
        <v>26.2869565217391</v>
      </c>
      <c r="F39" s="20">
        <f>38.54/$AA$6</f>
        <v>33.5130434782609</v>
      </c>
      <c r="G39" s="20">
        <f>178.13/$AA$6</f>
        <v>154.895652173913</v>
      </c>
      <c r="H39" s="20">
        <f>13.51/$AA$6</f>
        <v>11.7478260869565</v>
      </c>
      <c r="I39" s="20">
        <f>17.27/$AA$6</f>
        <v>15.0173913043478</v>
      </c>
      <c r="J39" s="20">
        <f>17.23/$AA$6</f>
        <v>14.9826086956522</v>
      </c>
      <c r="K39" s="20">
        <f>18.14/$AA$6</f>
        <v>15.7739130434783</v>
      </c>
      <c r="L39" s="20">
        <f>1.27/$AA$6</f>
        <v>1.10434782608696</v>
      </c>
      <c r="M39" s="20">
        <f>1.58/$AA$6</f>
        <v>1.37391304347826</v>
      </c>
      <c r="N39" s="20">
        <f>5.85/$AA$6</f>
        <v>5.08695652173913</v>
      </c>
      <c r="O39" s="20">
        <f>10.12/$AA$6</f>
        <v>8.8</v>
      </c>
      <c r="P39" s="20">
        <f>0.17/$AA$6</f>
        <v>0.147826086956522</v>
      </c>
      <c r="Q39" s="20">
        <f>0.54/$AA$6</f>
        <v>0.469565217391304</v>
      </c>
      <c r="R39" s="20">
        <f>0.82/$AA$6</f>
        <v>0.71304347826087</v>
      </c>
      <c r="S39" s="20">
        <f>0.48/$AA$6</f>
        <v>0.417391304347826</v>
      </c>
      <c r="T39" s="20">
        <f>15.11/$AA$6</f>
        <v>13.1391304347826</v>
      </c>
      <c r="U39" s="20">
        <f>16.84/$AA$6</f>
        <v>14.6434782608696</v>
      </c>
      <c r="V39" s="20">
        <f>4.13/$AA$6</f>
        <v>3.59130434782609</v>
      </c>
      <c r="W39" s="20">
        <f>7.06/$AA$6</f>
        <v>6.13913043478261</v>
      </c>
      <c r="X39" s="20">
        <f>0.41/$AA$6</f>
        <v>0.356521739130435</v>
      </c>
    </row>
    <row r="40" spans="1:24">
      <c r="A40" s="3"/>
      <c r="B40" s="3" t="s">
        <v>2403</v>
      </c>
      <c r="C40" s="3" t="s">
        <v>114</v>
      </c>
      <c r="D40" s="20">
        <f>13.54/$AA$7</f>
        <v>12.4220183486239</v>
      </c>
      <c r="E40" s="20">
        <f>33.73/$AA$7</f>
        <v>30.9449541284404</v>
      </c>
      <c r="F40" s="20">
        <f>41.15/$AA$7</f>
        <v>37.7522935779816</v>
      </c>
      <c r="G40" s="20">
        <f>71.25/$AA$7</f>
        <v>65.3669724770642</v>
      </c>
      <c r="H40" s="20">
        <f>15.76/$AA$7</f>
        <v>14.4587155963303</v>
      </c>
      <c r="I40" s="20">
        <f>6.91/$AA$7</f>
        <v>6.3394495412844</v>
      </c>
      <c r="J40" s="20">
        <f>7.1/$AA$7</f>
        <v>6.51376146788991</v>
      </c>
      <c r="K40" s="20">
        <f>7.39/$AA$7</f>
        <v>6.77981651376147</v>
      </c>
      <c r="L40" s="20">
        <f>1.06/$AA$7</f>
        <v>0.972477064220183</v>
      </c>
      <c r="M40" s="20">
        <f>1.34/$AA$7</f>
        <v>1.22935779816514</v>
      </c>
      <c r="N40" s="20">
        <f>10.18/$AA$7</f>
        <v>9.3394495412844</v>
      </c>
      <c r="O40" s="20">
        <f>17.28/$AA$7</f>
        <v>15.8532110091743</v>
      </c>
      <c r="P40" s="20">
        <f>1.01/$AA$7</f>
        <v>0.926605504587156</v>
      </c>
      <c r="Q40" s="20">
        <f>1.89/$AA$7</f>
        <v>1.73394495412844</v>
      </c>
      <c r="R40" s="20">
        <f>2.46/$AA$7</f>
        <v>2.25688073394495</v>
      </c>
      <c r="S40" s="20">
        <f>1.68/$AA$7</f>
        <v>1.54128440366972</v>
      </c>
      <c r="T40" s="20">
        <f>22.67/$AA$7</f>
        <v>20.7981651376147</v>
      </c>
      <c r="U40" s="20">
        <f>25.26/$AA$7</f>
        <v>23.1743119266055</v>
      </c>
      <c r="V40" s="20">
        <f>6.13/$AA$7</f>
        <v>5.62385321100917</v>
      </c>
      <c r="W40" s="20">
        <f>9.88/$AA$7</f>
        <v>9.06422018348624</v>
      </c>
      <c r="X40" s="20">
        <f>0.81/$AA$7</f>
        <v>0.743119266055046</v>
      </c>
    </row>
    <row r="41" spans="1:24">
      <c r="A41" s="3"/>
      <c r="B41" s="3" t="s">
        <v>2405</v>
      </c>
      <c r="C41" s="3" t="s">
        <v>114</v>
      </c>
      <c r="D41" s="20"/>
      <c r="E41" s="20"/>
      <c r="F41" s="20"/>
      <c r="G41" s="20">
        <f>10.69</f>
        <v>10.69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>
        <f>0.46</f>
        <v>0.46</v>
      </c>
      <c r="U41" s="20">
        <f>0.57</f>
        <v>0.57</v>
      </c>
      <c r="V41" s="20">
        <f>0.24</f>
        <v>0.24</v>
      </c>
      <c r="W41" s="20">
        <f>0.39</f>
        <v>0.39</v>
      </c>
      <c r="X41" s="20"/>
    </row>
    <row r="42" ht="20.25" spans="1:24">
      <c r="A42" s="156"/>
      <c r="B42" s="156" t="s">
        <v>1321</v>
      </c>
      <c r="C42" s="156" t="s">
        <v>114</v>
      </c>
      <c r="D42" s="157">
        <f t="shared" ref="D42:X42" si="16">SUM(D39:D41)</f>
        <v>21.4307140007978</v>
      </c>
      <c r="E42" s="157">
        <f t="shared" si="16"/>
        <v>57.2319106501795</v>
      </c>
      <c r="F42" s="157">
        <f t="shared" si="16"/>
        <v>71.2653370562425</v>
      </c>
      <c r="G42" s="157">
        <f t="shared" si="16"/>
        <v>230.952624650977</v>
      </c>
      <c r="H42" s="157">
        <f t="shared" si="16"/>
        <v>26.2065416832868</v>
      </c>
      <c r="I42" s="157">
        <f t="shared" si="16"/>
        <v>21.3568408456322</v>
      </c>
      <c r="J42" s="157">
        <f t="shared" si="16"/>
        <v>21.4963701635421</v>
      </c>
      <c r="K42" s="157">
        <f t="shared" si="16"/>
        <v>22.5537295572397</v>
      </c>
      <c r="L42" s="157">
        <f t="shared" si="16"/>
        <v>2.07682489030714</v>
      </c>
      <c r="M42" s="157">
        <f t="shared" si="16"/>
        <v>2.6032708416434</v>
      </c>
      <c r="N42" s="157">
        <f t="shared" si="16"/>
        <v>14.4264060630235</v>
      </c>
      <c r="O42" s="157">
        <f t="shared" si="16"/>
        <v>24.6532110091743</v>
      </c>
      <c r="P42" s="157">
        <f t="shared" si="16"/>
        <v>1.07443159154368</v>
      </c>
      <c r="Q42" s="157">
        <f t="shared" si="16"/>
        <v>2.20351017151974</v>
      </c>
      <c r="R42" s="157">
        <f t="shared" si="16"/>
        <v>2.96992421220582</v>
      </c>
      <c r="S42" s="157">
        <f t="shared" si="16"/>
        <v>1.95867570801755</v>
      </c>
      <c r="T42" s="157">
        <f t="shared" si="16"/>
        <v>34.3972955723973</v>
      </c>
      <c r="U42" s="157">
        <f t="shared" si="16"/>
        <v>38.3877901874751</v>
      </c>
      <c r="V42" s="157">
        <f t="shared" si="16"/>
        <v>9.45515755883526</v>
      </c>
      <c r="W42" s="157">
        <f t="shared" si="16"/>
        <v>15.5933506182688</v>
      </c>
      <c r="X42" s="157">
        <f t="shared" si="16"/>
        <v>1.09964100518548</v>
      </c>
    </row>
    <row r="43" spans="1:24">
      <c r="A43" s="3" t="s">
        <v>2408</v>
      </c>
      <c r="B43" s="3" t="s">
        <v>600</v>
      </c>
      <c r="C43" s="3" t="s">
        <v>2409</v>
      </c>
      <c r="D43" s="20">
        <v>2.4</v>
      </c>
      <c r="E43" s="20">
        <v>2.4</v>
      </c>
      <c r="F43" s="20">
        <v>2.4</v>
      </c>
      <c r="G43" s="20">
        <v>2.7</v>
      </c>
      <c r="H43" s="20"/>
      <c r="I43" s="20"/>
      <c r="J43" s="20"/>
      <c r="K43" s="20"/>
      <c r="L43" s="20"/>
      <c r="M43" s="20"/>
      <c r="N43" s="20">
        <v>2.4</v>
      </c>
      <c r="O43" s="20">
        <v>2.4</v>
      </c>
      <c r="P43" s="20">
        <v>2</v>
      </c>
      <c r="Q43" s="20"/>
      <c r="R43" s="20"/>
      <c r="S43" s="20"/>
      <c r="T43" s="20">
        <v>1.3</v>
      </c>
      <c r="U43" s="20">
        <v>1.3</v>
      </c>
      <c r="V43" s="20">
        <v>2.4</v>
      </c>
      <c r="W43" s="20">
        <v>2.4</v>
      </c>
      <c r="X43" s="20"/>
    </row>
    <row r="44" spans="1:24">
      <c r="A44" s="3"/>
      <c r="B44" s="3"/>
      <c r="C44" s="3" t="s">
        <v>834</v>
      </c>
      <c r="D44" s="20">
        <f>D11</f>
        <v>8.10036779408924</v>
      </c>
      <c r="E44" s="20">
        <f t="shared" ref="E44:X44" si="17">D44</f>
        <v>8.10036779408924</v>
      </c>
      <c r="F44" s="20">
        <f t="shared" si="17"/>
        <v>8.10036779408924</v>
      </c>
      <c r="G44" s="20">
        <f t="shared" si="17"/>
        <v>8.10036779408924</v>
      </c>
      <c r="H44" s="20">
        <f t="shared" si="17"/>
        <v>8.10036779408924</v>
      </c>
      <c r="I44" s="20">
        <f t="shared" si="17"/>
        <v>8.10036779408924</v>
      </c>
      <c r="J44" s="20">
        <f t="shared" si="17"/>
        <v>8.10036779408924</v>
      </c>
      <c r="K44" s="20">
        <f t="shared" si="17"/>
        <v>8.10036779408924</v>
      </c>
      <c r="L44" s="20">
        <f t="shared" si="17"/>
        <v>8.10036779408924</v>
      </c>
      <c r="M44" s="20">
        <f t="shared" si="17"/>
        <v>8.10036779408924</v>
      </c>
      <c r="N44" s="20">
        <f t="shared" si="17"/>
        <v>8.10036779408924</v>
      </c>
      <c r="O44" s="20">
        <f t="shared" si="17"/>
        <v>8.10036779408924</v>
      </c>
      <c r="P44" s="20">
        <f t="shared" si="17"/>
        <v>8.10036779408924</v>
      </c>
      <c r="Q44" s="20">
        <f t="shared" si="17"/>
        <v>8.10036779408924</v>
      </c>
      <c r="R44" s="20">
        <f t="shared" si="17"/>
        <v>8.10036779408924</v>
      </c>
      <c r="S44" s="20">
        <f t="shared" si="17"/>
        <v>8.10036779408924</v>
      </c>
      <c r="T44" s="20">
        <f t="shared" si="17"/>
        <v>8.10036779408924</v>
      </c>
      <c r="U44" s="20">
        <f t="shared" si="17"/>
        <v>8.10036779408924</v>
      </c>
      <c r="V44" s="20">
        <f t="shared" si="17"/>
        <v>8.10036779408924</v>
      </c>
      <c r="W44" s="20">
        <f t="shared" si="17"/>
        <v>8.10036779408924</v>
      </c>
      <c r="X44" s="20">
        <f t="shared" si="17"/>
        <v>8.10036779408924</v>
      </c>
    </row>
    <row r="45" spans="1:24">
      <c r="A45" s="3"/>
      <c r="B45" s="3"/>
      <c r="C45" s="3" t="s">
        <v>2410</v>
      </c>
      <c r="D45" s="20">
        <f t="shared" ref="D45:X45" si="18">D43*D44</f>
        <v>19.4408827058142</v>
      </c>
      <c r="E45" s="20">
        <f t="shared" si="18"/>
        <v>19.4408827058142</v>
      </c>
      <c r="F45" s="20">
        <f t="shared" si="18"/>
        <v>19.4408827058142</v>
      </c>
      <c r="G45" s="20">
        <f t="shared" si="18"/>
        <v>21.870993044041</v>
      </c>
      <c r="H45" s="20">
        <f t="shared" si="18"/>
        <v>0</v>
      </c>
      <c r="I45" s="20">
        <f t="shared" si="18"/>
        <v>0</v>
      </c>
      <c r="J45" s="20">
        <f t="shared" si="18"/>
        <v>0</v>
      </c>
      <c r="K45" s="20">
        <f t="shared" si="18"/>
        <v>0</v>
      </c>
      <c r="L45" s="20">
        <f t="shared" si="18"/>
        <v>0</v>
      </c>
      <c r="M45" s="20">
        <f t="shared" si="18"/>
        <v>0</v>
      </c>
      <c r="N45" s="20">
        <f t="shared" si="18"/>
        <v>19.4408827058142</v>
      </c>
      <c r="O45" s="20">
        <f t="shared" si="18"/>
        <v>19.4408827058142</v>
      </c>
      <c r="P45" s="20">
        <f t="shared" si="18"/>
        <v>16.2007355881785</v>
      </c>
      <c r="Q45" s="20">
        <f t="shared" si="18"/>
        <v>0</v>
      </c>
      <c r="R45" s="20">
        <f t="shared" si="18"/>
        <v>0</v>
      </c>
      <c r="S45" s="20">
        <f t="shared" si="18"/>
        <v>0</v>
      </c>
      <c r="T45" s="20">
        <f t="shared" si="18"/>
        <v>10.530478132316</v>
      </c>
      <c r="U45" s="20">
        <f t="shared" si="18"/>
        <v>10.530478132316</v>
      </c>
      <c r="V45" s="20">
        <f t="shared" si="18"/>
        <v>19.4408827058142</v>
      </c>
      <c r="W45" s="20">
        <f t="shared" si="18"/>
        <v>19.4408827058142</v>
      </c>
      <c r="X45" s="20">
        <f t="shared" si="18"/>
        <v>0</v>
      </c>
    </row>
    <row r="46" spans="1:24">
      <c r="A46" s="3"/>
      <c r="B46" s="3" t="s">
        <v>1825</v>
      </c>
      <c r="C46" s="3" t="s">
        <v>550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>
      <c r="A47" s="3"/>
      <c r="B47" s="3"/>
      <c r="C47" s="3" t="s">
        <v>834</v>
      </c>
      <c r="D47" s="20">
        <f>D14</f>
        <v>3.075</v>
      </c>
      <c r="E47" s="20">
        <f t="shared" ref="E47:X47" si="19">D47</f>
        <v>3.075</v>
      </c>
      <c r="F47" s="20">
        <f t="shared" si="19"/>
        <v>3.075</v>
      </c>
      <c r="G47" s="20">
        <f t="shared" si="19"/>
        <v>3.075</v>
      </c>
      <c r="H47" s="20">
        <f t="shared" si="19"/>
        <v>3.075</v>
      </c>
      <c r="I47" s="20">
        <f t="shared" si="19"/>
        <v>3.075</v>
      </c>
      <c r="J47" s="20">
        <f t="shared" si="19"/>
        <v>3.075</v>
      </c>
      <c r="K47" s="20">
        <f t="shared" si="19"/>
        <v>3.075</v>
      </c>
      <c r="L47" s="20">
        <f t="shared" si="19"/>
        <v>3.075</v>
      </c>
      <c r="M47" s="20">
        <f t="shared" si="19"/>
        <v>3.075</v>
      </c>
      <c r="N47" s="20">
        <f t="shared" si="19"/>
        <v>3.075</v>
      </c>
      <c r="O47" s="20">
        <f t="shared" si="19"/>
        <v>3.075</v>
      </c>
      <c r="P47" s="20">
        <f t="shared" si="19"/>
        <v>3.075</v>
      </c>
      <c r="Q47" s="20">
        <f t="shared" si="19"/>
        <v>3.075</v>
      </c>
      <c r="R47" s="20">
        <f t="shared" si="19"/>
        <v>3.075</v>
      </c>
      <c r="S47" s="20">
        <f t="shared" si="19"/>
        <v>3.075</v>
      </c>
      <c r="T47" s="20">
        <f t="shared" si="19"/>
        <v>3.075</v>
      </c>
      <c r="U47" s="20">
        <f t="shared" si="19"/>
        <v>3.075</v>
      </c>
      <c r="V47" s="20">
        <f t="shared" si="19"/>
        <v>3.075</v>
      </c>
      <c r="W47" s="20">
        <f t="shared" si="19"/>
        <v>3.075</v>
      </c>
      <c r="X47" s="20">
        <f t="shared" si="19"/>
        <v>3.075</v>
      </c>
    </row>
    <row r="48" spans="1:24">
      <c r="A48" s="3"/>
      <c r="B48" s="3"/>
      <c r="C48" s="3" t="s">
        <v>2410</v>
      </c>
      <c r="D48" s="20">
        <f t="shared" ref="D48:X48" si="20">D46*D47</f>
        <v>0</v>
      </c>
      <c r="E48" s="20">
        <f t="shared" si="20"/>
        <v>0</v>
      </c>
      <c r="F48" s="20">
        <f t="shared" si="20"/>
        <v>0</v>
      </c>
      <c r="G48" s="20">
        <f t="shared" si="20"/>
        <v>0</v>
      </c>
      <c r="H48" s="20">
        <f t="shared" si="20"/>
        <v>0</v>
      </c>
      <c r="I48" s="20">
        <f t="shared" si="20"/>
        <v>0</v>
      </c>
      <c r="J48" s="20">
        <f t="shared" si="20"/>
        <v>0</v>
      </c>
      <c r="K48" s="20">
        <f t="shared" si="20"/>
        <v>0</v>
      </c>
      <c r="L48" s="20">
        <f t="shared" si="20"/>
        <v>0</v>
      </c>
      <c r="M48" s="20">
        <f t="shared" si="20"/>
        <v>0</v>
      </c>
      <c r="N48" s="20">
        <f t="shared" si="20"/>
        <v>0</v>
      </c>
      <c r="O48" s="20">
        <f t="shared" si="20"/>
        <v>0</v>
      </c>
      <c r="P48" s="20">
        <f t="shared" si="20"/>
        <v>0</v>
      </c>
      <c r="Q48" s="20">
        <f t="shared" si="20"/>
        <v>0</v>
      </c>
      <c r="R48" s="20">
        <f t="shared" si="20"/>
        <v>0</v>
      </c>
      <c r="S48" s="20">
        <f t="shared" si="20"/>
        <v>0</v>
      </c>
      <c r="T48" s="20">
        <f t="shared" si="20"/>
        <v>0</v>
      </c>
      <c r="U48" s="20">
        <f t="shared" si="20"/>
        <v>0</v>
      </c>
      <c r="V48" s="20">
        <f t="shared" si="20"/>
        <v>0</v>
      </c>
      <c r="W48" s="20">
        <f t="shared" si="20"/>
        <v>0</v>
      </c>
      <c r="X48" s="20">
        <f t="shared" si="20"/>
        <v>0</v>
      </c>
    </row>
    <row r="49" spans="1:24">
      <c r="A49" s="3"/>
      <c r="B49" s="3" t="s">
        <v>1822</v>
      </c>
      <c r="C49" s="3" t="s">
        <v>550</v>
      </c>
      <c r="D49" s="20">
        <v>8.4</v>
      </c>
      <c r="E49" s="20">
        <v>12.7</v>
      </c>
      <c r="F49" s="20">
        <v>17.4</v>
      </c>
      <c r="G49" s="20">
        <v>9.7</v>
      </c>
      <c r="H49" s="20"/>
      <c r="I49" s="20">
        <v>8.5</v>
      </c>
      <c r="J49" s="20">
        <v>9.5</v>
      </c>
      <c r="K49" s="20">
        <v>9.5</v>
      </c>
      <c r="L49" s="20"/>
      <c r="M49" s="20"/>
      <c r="N49" s="20">
        <v>4.5</v>
      </c>
      <c r="O49" s="20">
        <f>6.5</f>
        <v>6.5</v>
      </c>
      <c r="P49" s="20"/>
      <c r="Q49" s="20"/>
      <c r="R49" s="20"/>
      <c r="S49" s="20"/>
      <c r="T49" s="20"/>
      <c r="U49" s="20"/>
      <c r="V49" s="20"/>
      <c r="W49" s="20"/>
      <c r="X49" s="20"/>
    </row>
    <row r="50" spans="1:24">
      <c r="A50" s="3"/>
      <c r="B50" s="3"/>
      <c r="C50" s="3" t="s">
        <v>834</v>
      </c>
      <c r="D50" s="20">
        <f>D17</f>
        <v>2.99</v>
      </c>
      <c r="E50" s="20">
        <f t="shared" ref="E50:X50" si="21">D50</f>
        <v>2.99</v>
      </c>
      <c r="F50" s="20">
        <f t="shared" si="21"/>
        <v>2.99</v>
      </c>
      <c r="G50" s="20">
        <f t="shared" si="21"/>
        <v>2.99</v>
      </c>
      <c r="H50" s="20">
        <f t="shared" si="21"/>
        <v>2.99</v>
      </c>
      <c r="I50" s="20">
        <f t="shared" si="21"/>
        <v>2.99</v>
      </c>
      <c r="J50" s="20">
        <f t="shared" si="21"/>
        <v>2.99</v>
      </c>
      <c r="K50" s="20">
        <f t="shared" si="21"/>
        <v>2.99</v>
      </c>
      <c r="L50" s="20">
        <f t="shared" si="21"/>
        <v>2.99</v>
      </c>
      <c r="M50" s="20">
        <f t="shared" si="21"/>
        <v>2.99</v>
      </c>
      <c r="N50" s="20">
        <f t="shared" si="21"/>
        <v>2.99</v>
      </c>
      <c r="O50" s="20">
        <f t="shared" si="21"/>
        <v>2.99</v>
      </c>
      <c r="P50" s="20">
        <f t="shared" si="21"/>
        <v>2.99</v>
      </c>
      <c r="Q50" s="20">
        <f t="shared" si="21"/>
        <v>2.99</v>
      </c>
      <c r="R50" s="20">
        <f t="shared" si="21"/>
        <v>2.99</v>
      </c>
      <c r="S50" s="20">
        <f t="shared" si="21"/>
        <v>2.99</v>
      </c>
      <c r="T50" s="20">
        <f t="shared" si="21"/>
        <v>2.99</v>
      </c>
      <c r="U50" s="20">
        <f t="shared" si="21"/>
        <v>2.99</v>
      </c>
      <c r="V50" s="20">
        <f t="shared" si="21"/>
        <v>2.99</v>
      </c>
      <c r="W50" s="20">
        <f t="shared" si="21"/>
        <v>2.99</v>
      </c>
      <c r="X50" s="20">
        <f t="shared" si="21"/>
        <v>2.99</v>
      </c>
    </row>
    <row r="51" spans="1:24">
      <c r="A51" s="3"/>
      <c r="B51" s="3"/>
      <c r="C51" s="3" t="s">
        <v>2410</v>
      </c>
      <c r="D51" s="20">
        <f t="shared" ref="D51:X51" si="22">D49*D50</f>
        <v>25.116</v>
      </c>
      <c r="E51" s="20">
        <f t="shared" si="22"/>
        <v>37.973</v>
      </c>
      <c r="F51" s="20">
        <f t="shared" si="22"/>
        <v>52.026</v>
      </c>
      <c r="G51" s="20">
        <f t="shared" si="22"/>
        <v>29.003</v>
      </c>
      <c r="H51" s="20">
        <f t="shared" si="22"/>
        <v>0</v>
      </c>
      <c r="I51" s="20">
        <f t="shared" si="22"/>
        <v>25.415</v>
      </c>
      <c r="J51" s="20">
        <f t="shared" si="22"/>
        <v>28.405</v>
      </c>
      <c r="K51" s="20">
        <f t="shared" si="22"/>
        <v>28.405</v>
      </c>
      <c r="L51" s="20">
        <f t="shared" si="22"/>
        <v>0</v>
      </c>
      <c r="M51" s="20">
        <f t="shared" si="22"/>
        <v>0</v>
      </c>
      <c r="N51" s="20">
        <f t="shared" si="22"/>
        <v>13.455</v>
      </c>
      <c r="O51" s="20">
        <f t="shared" si="22"/>
        <v>19.435</v>
      </c>
      <c r="P51" s="20">
        <f t="shared" si="22"/>
        <v>0</v>
      </c>
      <c r="Q51" s="20">
        <f t="shared" si="22"/>
        <v>0</v>
      </c>
      <c r="R51" s="20">
        <f t="shared" si="22"/>
        <v>0</v>
      </c>
      <c r="S51" s="20">
        <f t="shared" si="22"/>
        <v>0</v>
      </c>
      <c r="T51" s="20">
        <f t="shared" si="22"/>
        <v>0</v>
      </c>
      <c r="U51" s="20">
        <f t="shared" si="22"/>
        <v>0</v>
      </c>
      <c r="V51" s="20">
        <f t="shared" si="22"/>
        <v>0</v>
      </c>
      <c r="W51" s="20">
        <f t="shared" si="22"/>
        <v>0</v>
      </c>
      <c r="X51" s="20">
        <f t="shared" si="22"/>
        <v>0</v>
      </c>
    </row>
    <row r="52" spans="1:24">
      <c r="A52" s="3"/>
      <c r="B52" s="3" t="s">
        <v>2411</v>
      </c>
      <c r="C52" s="3" t="s">
        <v>1834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>
        <v>2.5</v>
      </c>
      <c r="Q52" s="20"/>
      <c r="R52" s="20"/>
      <c r="S52" s="20"/>
      <c r="T52" s="20">
        <v>25.7</v>
      </c>
      <c r="U52" s="20">
        <v>28</v>
      </c>
      <c r="V52" s="20">
        <v>14</v>
      </c>
      <c r="W52" s="20">
        <v>24.7</v>
      </c>
      <c r="X52" s="20"/>
    </row>
    <row r="53" spans="1:24">
      <c r="A53" s="3"/>
      <c r="B53" s="3"/>
      <c r="C53" s="3" t="s">
        <v>834</v>
      </c>
      <c r="D53" s="20">
        <f>D20</f>
        <v>0.48</v>
      </c>
      <c r="E53" s="20">
        <f t="shared" ref="E53:X53" si="23">D53</f>
        <v>0.48</v>
      </c>
      <c r="F53" s="20">
        <f t="shared" si="23"/>
        <v>0.48</v>
      </c>
      <c r="G53" s="20">
        <f t="shared" si="23"/>
        <v>0.48</v>
      </c>
      <c r="H53" s="20">
        <f t="shared" si="23"/>
        <v>0.48</v>
      </c>
      <c r="I53" s="20">
        <f t="shared" si="23"/>
        <v>0.48</v>
      </c>
      <c r="J53" s="20">
        <f t="shared" si="23"/>
        <v>0.48</v>
      </c>
      <c r="K53" s="20">
        <f t="shared" si="23"/>
        <v>0.48</v>
      </c>
      <c r="L53" s="20">
        <f t="shared" si="23"/>
        <v>0.48</v>
      </c>
      <c r="M53" s="20">
        <f t="shared" si="23"/>
        <v>0.48</v>
      </c>
      <c r="N53" s="20">
        <f t="shared" si="23"/>
        <v>0.48</v>
      </c>
      <c r="O53" s="20">
        <f t="shared" si="23"/>
        <v>0.48</v>
      </c>
      <c r="P53" s="20">
        <f t="shared" si="23"/>
        <v>0.48</v>
      </c>
      <c r="Q53" s="20">
        <f t="shared" si="23"/>
        <v>0.48</v>
      </c>
      <c r="R53" s="20">
        <f t="shared" si="23"/>
        <v>0.48</v>
      </c>
      <c r="S53" s="20">
        <f t="shared" si="23"/>
        <v>0.48</v>
      </c>
      <c r="T53" s="20">
        <f t="shared" si="23"/>
        <v>0.48</v>
      </c>
      <c r="U53" s="20">
        <f t="shared" si="23"/>
        <v>0.48</v>
      </c>
      <c r="V53" s="20">
        <f t="shared" si="23"/>
        <v>0.48</v>
      </c>
      <c r="W53" s="20">
        <f t="shared" si="23"/>
        <v>0.48</v>
      </c>
      <c r="X53" s="20">
        <f t="shared" si="23"/>
        <v>0.48</v>
      </c>
    </row>
    <row r="54" spans="1:24">
      <c r="A54" s="3"/>
      <c r="B54" s="3"/>
      <c r="C54" s="3" t="s">
        <v>2410</v>
      </c>
      <c r="D54" s="20">
        <f t="shared" ref="D54:X54" si="24">D52*D53</f>
        <v>0</v>
      </c>
      <c r="E54" s="20">
        <f t="shared" si="24"/>
        <v>0</v>
      </c>
      <c r="F54" s="20">
        <f t="shared" si="24"/>
        <v>0</v>
      </c>
      <c r="G54" s="20">
        <f t="shared" si="24"/>
        <v>0</v>
      </c>
      <c r="H54" s="20">
        <f t="shared" si="24"/>
        <v>0</v>
      </c>
      <c r="I54" s="20">
        <f t="shared" si="24"/>
        <v>0</v>
      </c>
      <c r="J54" s="20">
        <f t="shared" si="24"/>
        <v>0</v>
      </c>
      <c r="K54" s="20">
        <f t="shared" si="24"/>
        <v>0</v>
      </c>
      <c r="L54" s="20">
        <f t="shared" si="24"/>
        <v>0</v>
      </c>
      <c r="M54" s="20">
        <f t="shared" si="24"/>
        <v>0</v>
      </c>
      <c r="N54" s="20">
        <f t="shared" si="24"/>
        <v>0</v>
      </c>
      <c r="O54" s="20">
        <f t="shared" si="24"/>
        <v>0</v>
      </c>
      <c r="P54" s="20">
        <f t="shared" si="24"/>
        <v>1.2</v>
      </c>
      <c r="Q54" s="20">
        <f t="shared" si="24"/>
        <v>0</v>
      </c>
      <c r="R54" s="20">
        <f t="shared" si="24"/>
        <v>0</v>
      </c>
      <c r="S54" s="20">
        <f t="shared" si="24"/>
        <v>0</v>
      </c>
      <c r="T54" s="20">
        <f t="shared" si="24"/>
        <v>12.336</v>
      </c>
      <c r="U54" s="20">
        <f t="shared" si="24"/>
        <v>13.44</v>
      </c>
      <c r="V54" s="20">
        <f t="shared" si="24"/>
        <v>6.72</v>
      </c>
      <c r="W54" s="20">
        <f t="shared" si="24"/>
        <v>11.856</v>
      </c>
      <c r="X54" s="20">
        <f t="shared" si="24"/>
        <v>0</v>
      </c>
    </row>
    <row r="55" spans="1:24">
      <c r="A55" s="3"/>
      <c r="B55" s="3" t="s">
        <v>2412</v>
      </c>
      <c r="C55" s="3" t="s">
        <v>632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>
        <v>180.1</v>
      </c>
      <c r="R55" s="20">
        <v>248.4</v>
      </c>
      <c r="S55" s="20">
        <v>74.5</v>
      </c>
      <c r="T55" s="20">
        <v>372.6</v>
      </c>
      <c r="U55" s="20">
        <v>403.7</v>
      </c>
      <c r="V55" s="20"/>
      <c r="W55" s="20"/>
      <c r="X55" s="20"/>
    </row>
    <row r="56" spans="1:24">
      <c r="A56" s="3"/>
      <c r="B56" s="3"/>
      <c r="C56" s="3" t="s">
        <v>834</v>
      </c>
      <c r="D56" s="20">
        <f>D23</f>
        <v>0.12</v>
      </c>
      <c r="E56" s="20">
        <f>D56</f>
        <v>0.12</v>
      </c>
      <c r="F56" s="20">
        <f t="shared" ref="F56:X56" si="25">E56</f>
        <v>0.12</v>
      </c>
      <c r="G56" s="20">
        <f t="shared" si="25"/>
        <v>0.12</v>
      </c>
      <c r="H56" s="20">
        <f t="shared" si="25"/>
        <v>0.12</v>
      </c>
      <c r="I56" s="20">
        <f t="shared" si="25"/>
        <v>0.12</v>
      </c>
      <c r="J56" s="20">
        <f t="shared" si="25"/>
        <v>0.12</v>
      </c>
      <c r="K56" s="20">
        <f t="shared" si="25"/>
        <v>0.12</v>
      </c>
      <c r="L56" s="20">
        <f t="shared" si="25"/>
        <v>0.12</v>
      </c>
      <c r="M56" s="20">
        <f t="shared" si="25"/>
        <v>0.12</v>
      </c>
      <c r="N56" s="20">
        <f t="shared" si="25"/>
        <v>0.12</v>
      </c>
      <c r="O56" s="20">
        <f t="shared" si="25"/>
        <v>0.12</v>
      </c>
      <c r="P56" s="20">
        <f t="shared" si="25"/>
        <v>0.12</v>
      </c>
      <c r="Q56" s="20">
        <f t="shared" si="25"/>
        <v>0.12</v>
      </c>
      <c r="R56" s="20">
        <f t="shared" si="25"/>
        <v>0.12</v>
      </c>
      <c r="S56" s="20">
        <f t="shared" si="25"/>
        <v>0.12</v>
      </c>
      <c r="T56" s="20">
        <f t="shared" si="25"/>
        <v>0.12</v>
      </c>
      <c r="U56" s="20">
        <f t="shared" si="25"/>
        <v>0.12</v>
      </c>
      <c r="V56" s="20">
        <f t="shared" si="25"/>
        <v>0.12</v>
      </c>
      <c r="W56" s="20">
        <f t="shared" si="25"/>
        <v>0.12</v>
      </c>
      <c r="X56" s="20">
        <f t="shared" si="25"/>
        <v>0.12</v>
      </c>
    </row>
    <row r="57" spans="1:24">
      <c r="A57" s="3"/>
      <c r="B57" s="3"/>
      <c r="C57" s="3" t="s">
        <v>2410</v>
      </c>
      <c r="D57" s="20">
        <f t="shared" ref="D57:X57" si="26">D55*D56</f>
        <v>0</v>
      </c>
      <c r="E57" s="20">
        <f t="shared" si="26"/>
        <v>0</v>
      </c>
      <c r="F57" s="20">
        <f t="shared" si="26"/>
        <v>0</v>
      </c>
      <c r="G57" s="20">
        <f t="shared" si="26"/>
        <v>0</v>
      </c>
      <c r="H57" s="20">
        <f t="shared" si="26"/>
        <v>0</v>
      </c>
      <c r="I57" s="20">
        <f t="shared" si="26"/>
        <v>0</v>
      </c>
      <c r="J57" s="20">
        <f t="shared" si="26"/>
        <v>0</v>
      </c>
      <c r="K57" s="20">
        <f t="shared" si="26"/>
        <v>0</v>
      </c>
      <c r="L57" s="20">
        <f t="shared" si="26"/>
        <v>0</v>
      </c>
      <c r="M57" s="20">
        <f t="shared" si="26"/>
        <v>0</v>
      </c>
      <c r="N57" s="20">
        <f t="shared" si="26"/>
        <v>0</v>
      </c>
      <c r="O57" s="20">
        <f t="shared" si="26"/>
        <v>0</v>
      </c>
      <c r="P57" s="20">
        <f t="shared" si="26"/>
        <v>0</v>
      </c>
      <c r="Q57" s="20">
        <f t="shared" si="26"/>
        <v>21.612</v>
      </c>
      <c r="R57" s="20">
        <f t="shared" si="26"/>
        <v>29.808</v>
      </c>
      <c r="S57" s="20">
        <f t="shared" si="26"/>
        <v>8.94</v>
      </c>
      <c r="T57" s="20">
        <f t="shared" si="26"/>
        <v>44.712</v>
      </c>
      <c r="U57" s="20">
        <f t="shared" si="26"/>
        <v>48.444</v>
      </c>
      <c r="V57" s="20">
        <f t="shared" si="26"/>
        <v>0</v>
      </c>
      <c r="W57" s="20">
        <f t="shared" si="26"/>
        <v>0</v>
      </c>
      <c r="X57" s="20">
        <f t="shared" si="26"/>
        <v>0</v>
      </c>
    </row>
    <row r="58" spans="1:24">
      <c r="A58" s="3"/>
      <c r="B58" s="3" t="s">
        <v>2413</v>
      </c>
      <c r="C58" s="3" t="s">
        <v>632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>
        <v>0.3</v>
      </c>
      <c r="R58" s="20">
        <v>0.4</v>
      </c>
      <c r="S58" s="20"/>
      <c r="T58" s="20"/>
      <c r="U58" s="20"/>
      <c r="V58" s="20"/>
      <c r="W58" s="20"/>
      <c r="X58" s="20"/>
    </row>
    <row r="59" spans="1:24">
      <c r="A59" s="3"/>
      <c r="B59" s="3"/>
      <c r="C59" s="3" t="s">
        <v>834</v>
      </c>
      <c r="D59" s="20">
        <f>D26</f>
        <v>3.88349514563107</v>
      </c>
      <c r="E59" s="20">
        <f t="shared" ref="E59:X59" si="27">D59</f>
        <v>3.88349514563107</v>
      </c>
      <c r="F59" s="20">
        <f t="shared" si="27"/>
        <v>3.88349514563107</v>
      </c>
      <c r="G59" s="20">
        <f t="shared" si="27"/>
        <v>3.88349514563107</v>
      </c>
      <c r="H59" s="20">
        <f t="shared" si="27"/>
        <v>3.88349514563107</v>
      </c>
      <c r="I59" s="20">
        <f t="shared" si="27"/>
        <v>3.88349514563107</v>
      </c>
      <c r="J59" s="20">
        <f t="shared" si="27"/>
        <v>3.88349514563107</v>
      </c>
      <c r="K59" s="20">
        <f t="shared" si="27"/>
        <v>3.88349514563107</v>
      </c>
      <c r="L59" s="20">
        <f t="shared" si="27"/>
        <v>3.88349514563107</v>
      </c>
      <c r="M59" s="20">
        <f t="shared" si="27"/>
        <v>3.88349514563107</v>
      </c>
      <c r="N59" s="20">
        <f t="shared" si="27"/>
        <v>3.88349514563107</v>
      </c>
      <c r="O59" s="20">
        <f t="shared" si="27"/>
        <v>3.88349514563107</v>
      </c>
      <c r="P59" s="20">
        <f t="shared" si="27"/>
        <v>3.88349514563107</v>
      </c>
      <c r="Q59" s="20">
        <f t="shared" si="27"/>
        <v>3.88349514563107</v>
      </c>
      <c r="R59" s="20">
        <f t="shared" si="27"/>
        <v>3.88349514563107</v>
      </c>
      <c r="S59" s="20">
        <f t="shared" si="27"/>
        <v>3.88349514563107</v>
      </c>
      <c r="T59" s="20">
        <f t="shared" si="27"/>
        <v>3.88349514563107</v>
      </c>
      <c r="U59" s="20">
        <f t="shared" si="27"/>
        <v>3.88349514563107</v>
      </c>
      <c r="V59" s="20">
        <f t="shared" si="27"/>
        <v>3.88349514563107</v>
      </c>
      <c r="W59" s="20">
        <f t="shared" si="27"/>
        <v>3.88349514563107</v>
      </c>
      <c r="X59" s="20">
        <f t="shared" si="27"/>
        <v>3.88349514563107</v>
      </c>
    </row>
    <row r="60" spans="1:24">
      <c r="A60" s="3"/>
      <c r="B60" s="3"/>
      <c r="C60" s="3" t="s">
        <v>2410</v>
      </c>
      <c r="D60" s="20">
        <f t="shared" ref="D60:X60" si="28">D58*D59</f>
        <v>0</v>
      </c>
      <c r="E60" s="20">
        <f t="shared" si="28"/>
        <v>0</v>
      </c>
      <c r="F60" s="20">
        <f t="shared" si="28"/>
        <v>0</v>
      </c>
      <c r="G60" s="20">
        <f t="shared" si="28"/>
        <v>0</v>
      </c>
      <c r="H60" s="20">
        <f t="shared" si="28"/>
        <v>0</v>
      </c>
      <c r="I60" s="20">
        <f t="shared" si="28"/>
        <v>0</v>
      </c>
      <c r="J60" s="20">
        <f t="shared" si="28"/>
        <v>0</v>
      </c>
      <c r="K60" s="20">
        <f t="shared" si="28"/>
        <v>0</v>
      </c>
      <c r="L60" s="20">
        <f t="shared" si="28"/>
        <v>0</v>
      </c>
      <c r="M60" s="20">
        <f t="shared" si="28"/>
        <v>0</v>
      </c>
      <c r="N60" s="20">
        <f t="shared" si="28"/>
        <v>0</v>
      </c>
      <c r="O60" s="20">
        <f t="shared" si="28"/>
        <v>0</v>
      </c>
      <c r="P60" s="20">
        <f t="shared" si="28"/>
        <v>0</v>
      </c>
      <c r="Q60" s="20">
        <f t="shared" si="28"/>
        <v>1.16504854368932</v>
      </c>
      <c r="R60" s="20">
        <f t="shared" si="28"/>
        <v>1.55339805825243</v>
      </c>
      <c r="S60" s="20">
        <f t="shared" si="28"/>
        <v>0</v>
      </c>
      <c r="T60" s="20">
        <f t="shared" si="28"/>
        <v>0</v>
      </c>
      <c r="U60" s="20">
        <f t="shared" si="28"/>
        <v>0</v>
      </c>
      <c r="V60" s="20">
        <f t="shared" si="28"/>
        <v>0</v>
      </c>
      <c r="W60" s="20">
        <f t="shared" si="28"/>
        <v>0</v>
      </c>
      <c r="X60" s="20">
        <f t="shared" si="28"/>
        <v>0</v>
      </c>
    </row>
    <row r="61" spans="1:24">
      <c r="A61" s="3"/>
      <c r="B61" s="3" t="s">
        <v>2414</v>
      </c>
      <c r="C61" s="3" t="s">
        <v>550</v>
      </c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>
      <c r="A62" s="3"/>
      <c r="B62" s="3"/>
      <c r="C62" s="3" t="s">
        <v>834</v>
      </c>
      <c r="D62" s="20">
        <f>D29</f>
        <v>0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>
      <c r="A63" s="3"/>
      <c r="B63" s="3"/>
      <c r="C63" s="3" t="s">
        <v>2410</v>
      </c>
      <c r="D63" s="20">
        <f t="shared" ref="D63:X63" si="29">D61*D62</f>
        <v>0</v>
      </c>
      <c r="E63" s="20">
        <f t="shared" si="29"/>
        <v>0</v>
      </c>
      <c r="F63" s="20">
        <f t="shared" si="29"/>
        <v>0</v>
      </c>
      <c r="G63" s="20">
        <f t="shared" si="29"/>
        <v>0</v>
      </c>
      <c r="H63" s="20">
        <f t="shared" si="29"/>
        <v>0</v>
      </c>
      <c r="I63" s="20">
        <f t="shared" si="29"/>
        <v>0</v>
      </c>
      <c r="J63" s="20">
        <f t="shared" si="29"/>
        <v>0</v>
      </c>
      <c r="K63" s="20">
        <f t="shared" si="29"/>
        <v>0</v>
      </c>
      <c r="L63" s="20">
        <f t="shared" si="29"/>
        <v>0</v>
      </c>
      <c r="M63" s="20">
        <f t="shared" si="29"/>
        <v>0</v>
      </c>
      <c r="N63" s="20">
        <f t="shared" si="29"/>
        <v>0</v>
      </c>
      <c r="O63" s="20">
        <f t="shared" si="29"/>
        <v>0</v>
      </c>
      <c r="P63" s="20">
        <f t="shared" si="29"/>
        <v>0</v>
      </c>
      <c r="Q63" s="20">
        <f t="shared" si="29"/>
        <v>0</v>
      </c>
      <c r="R63" s="20">
        <f t="shared" si="29"/>
        <v>0</v>
      </c>
      <c r="S63" s="20">
        <f t="shared" si="29"/>
        <v>0</v>
      </c>
      <c r="T63" s="20">
        <f t="shared" si="29"/>
        <v>0</v>
      </c>
      <c r="U63" s="20">
        <f t="shared" si="29"/>
        <v>0</v>
      </c>
      <c r="V63" s="20">
        <f t="shared" si="29"/>
        <v>0</v>
      </c>
      <c r="W63" s="20">
        <f t="shared" si="29"/>
        <v>0</v>
      </c>
      <c r="X63" s="20">
        <f t="shared" si="29"/>
        <v>0</v>
      </c>
    </row>
    <row r="64" ht="20.25" spans="1:24">
      <c r="A64" s="156"/>
      <c r="B64" s="156" t="s">
        <v>1321</v>
      </c>
      <c r="C64" s="156" t="s">
        <v>114</v>
      </c>
      <c r="D64" s="157">
        <f t="shared" ref="D64:X64" si="30">D45+D48+D51+D54+D57+D60+D63</f>
        <v>44.5568827058142</v>
      </c>
      <c r="E64" s="157">
        <f t="shared" si="30"/>
        <v>57.4138827058142</v>
      </c>
      <c r="F64" s="157">
        <f t="shared" si="30"/>
        <v>71.4668827058142</v>
      </c>
      <c r="G64" s="157">
        <f t="shared" si="30"/>
        <v>50.873993044041</v>
      </c>
      <c r="H64" s="157">
        <f t="shared" si="30"/>
        <v>0</v>
      </c>
      <c r="I64" s="157">
        <f t="shared" si="30"/>
        <v>25.415</v>
      </c>
      <c r="J64" s="157">
        <f t="shared" si="30"/>
        <v>28.405</v>
      </c>
      <c r="K64" s="157">
        <f t="shared" si="30"/>
        <v>28.405</v>
      </c>
      <c r="L64" s="157">
        <f t="shared" si="30"/>
        <v>0</v>
      </c>
      <c r="M64" s="157">
        <f t="shared" si="30"/>
        <v>0</v>
      </c>
      <c r="N64" s="157">
        <f t="shared" si="30"/>
        <v>32.8958827058142</v>
      </c>
      <c r="O64" s="157">
        <f t="shared" si="30"/>
        <v>38.8758827058142</v>
      </c>
      <c r="P64" s="157">
        <f t="shared" si="30"/>
        <v>17.4007355881785</v>
      </c>
      <c r="Q64" s="157">
        <f t="shared" si="30"/>
        <v>22.7770485436893</v>
      </c>
      <c r="R64" s="157">
        <f t="shared" si="30"/>
        <v>31.3613980582524</v>
      </c>
      <c r="S64" s="157">
        <f t="shared" si="30"/>
        <v>8.94</v>
      </c>
      <c r="T64" s="157">
        <f t="shared" si="30"/>
        <v>67.578478132316</v>
      </c>
      <c r="U64" s="157">
        <f t="shared" si="30"/>
        <v>72.414478132316</v>
      </c>
      <c r="V64" s="157">
        <f t="shared" si="30"/>
        <v>26.1608827058142</v>
      </c>
      <c r="W64" s="157">
        <f t="shared" si="30"/>
        <v>31.2968827058142</v>
      </c>
      <c r="X64" s="157">
        <f t="shared" si="30"/>
        <v>0</v>
      </c>
    </row>
    <row r="65" ht="20.25" spans="1:24">
      <c r="A65" s="156" t="s">
        <v>463</v>
      </c>
      <c r="B65" s="156"/>
      <c r="C65" s="156" t="s">
        <v>114</v>
      </c>
      <c r="D65" s="157">
        <f t="shared" ref="D65:X65" si="31">D64+D42</f>
        <v>65.987596706612</v>
      </c>
      <c r="E65" s="157">
        <f t="shared" si="31"/>
        <v>114.645793355994</v>
      </c>
      <c r="F65" s="157">
        <f t="shared" si="31"/>
        <v>142.732219762057</v>
      </c>
      <c r="G65" s="157">
        <f t="shared" si="31"/>
        <v>281.826617695018</v>
      </c>
      <c r="H65" s="157">
        <f t="shared" si="31"/>
        <v>26.2065416832868</v>
      </c>
      <c r="I65" s="157">
        <f t="shared" si="31"/>
        <v>46.7718408456322</v>
      </c>
      <c r="J65" s="157">
        <f t="shared" si="31"/>
        <v>49.9013701635421</v>
      </c>
      <c r="K65" s="157">
        <f t="shared" si="31"/>
        <v>50.9587295572397</v>
      </c>
      <c r="L65" s="157">
        <f t="shared" si="31"/>
        <v>2.07682489030714</v>
      </c>
      <c r="M65" s="157">
        <f t="shared" si="31"/>
        <v>2.6032708416434</v>
      </c>
      <c r="N65" s="157">
        <f t="shared" si="31"/>
        <v>47.3222887688377</v>
      </c>
      <c r="O65" s="157">
        <f t="shared" si="31"/>
        <v>63.5290937149885</v>
      </c>
      <c r="P65" s="157">
        <f t="shared" si="31"/>
        <v>18.4751671797222</v>
      </c>
      <c r="Q65" s="157">
        <f t="shared" si="31"/>
        <v>24.9805587152091</v>
      </c>
      <c r="R65" s="157">
        <f t="shared" si="31"/>
        <v>34.3313222704583</v>
      </c>
      <c r="S65" s="157">
        <f t="shared" si="31"/>
        <v>10.8986757080175</v>
      </c>
      <c r="T65" s="157">
        <f t="shared" si="31"/>
        <v>101.975773704713</v>
      </c>
      <c r="U65" s="157">
        <f t="shared" si="31"/>
        <v>110.802268319791</v>
      </c>
      <c r="V65" s="157">
        <f t="shared" si="31"/>
        <v>35.6160402646494</v>
      </c>
      <c r="W65" s="157">
        <f t="shared" si="31"/>
        <v>46.890233324083</v>
      </c>
      <c r="X65" s="157">
        <f t="shared" si="31"/>
        <v>1.09964100518548</v>
      </c>
    </row>
    <row r="66" ht="20.25" spans="1:24">
      <c r="A66" s="156" t="s">
        <v>458</v>
      </c>
      <c r="B66" s="156"/>
      <c r="C66" s="156"/>
      <c r="D66" s="156">
        <v>1022</v>
      </c>
      <c r="E66" s="156">
        <v>1023</v>
      </c>
      <c r="F66" s="156">
        <v>1024</v>
      </c>
      <c r="G66" s="156">
        <v>1025</v>
      </c>
      <c r="H66" s="156">
        <v>1026</v>
      </c>
      <c r="I66" s="156">
        <v>1027</v>
      </c>
      <c r="J66" s="156">
        <v>1028</v>
      </c>
      <c r="K66" s="156">
        <v>1029</v>
      </c>
      <c r="L66" s="156">
        <v>1030</v>
      </c>
      <c r="M66" s="156">
        <v>1031</v>
      </c>
      <c r="N66" s="156">
        <v>1032</v>
      </c>
      <c r="O66" s="156">
        <v>1033</v>
      </c>
      <c r="P66" s="156">
        <v>1034</v>
      </c>
      <c r="Q66" s="156">
        <v>1035</v>
      </c>
      <c r="R66" s="156">
        <v>1036</v>
      </c>
      <c r="S66" s="156">
        <v>1037</v>
      </c>
      <c r="T66" s="156">
        <v>1038</v>
      </c>
      <c r="U66" s="156">
        <v>1039</v>
      </c>
      <c r="V66" s="156">
        <v>1040</v>
      </c>
      <c r="W66" s="156">
        <v>1041</v>
      </c>
      <c r="X66" s="156">
        <v>1042</v>
      </c>
    </row>
    <row r="67" s="153" customFormat="1" spans="25:25">
      <c r="Y67" s="176"/>
    </row>
    <row r="68" spans="1:9">
      <c r="A68" s="3" t="s">
        <v>2388</v>
      </c>
      <c r="B68" s="3"/>
      <c r="C68" s="3" t="s">
        <v>55</v>
      </c>
      <c r="D68" s="160" t="s">
        <v>2083</v>
      </c>
      <c r="E68" s="3" t="s">
        <v>2085</v>
      </c>
      <c r="F68" s="3"/>
      <c r="G68" s="3"/>
      <c r="H68" s="125" t="s">
        <v>2432</v>
      </c>
      <c r="I68" s="125" t="s">
        <v>2433</v>
      </c>
    </row>
    <row r="69" spans="1:9">
      <c r="A69" s="3"/>
      <c r="B69" s="3"/>
      <c r="C69" s="3"/>
      <c r="D69" s="140"/>
      <c r="E69" s="3"/>
      <c r="F69" s="3"/>
      <c r="G69" s="3"/>
      <c r="H69" s="125"/>
      <c r="I69" s="125"/>
    </row>
    <row r="70" spans="1:9">
      <c r="A70" s="3"/>
      <c r="B70" s="3"/>
      <c r="C70" s="3"/>
      <c r="D70" s="163"/>
      <c r="E70" s="3" t="s">
        <v>2434</v>
      </c>
      <c r="F70" s="3"/>
      <c r="G70" s="3"/>
      <c r="H70" s="125"/>
      <c r="I70" s="125"/>
    </row>
    <row r="71" spans="1:9">
      <c r="A71" s="3"/>
      <c r="B71" s="3"/>
      <c r="C71" s="3"/>
      <c r="D71" s="177" t="s">
        <v>2435</v>
      </c>
      <c r="E71" s="20">
        <v>120</v>
      </c>
      <c r="F71" s="20">
        <v>200</v>
      </c>
      <c r="G71" s="20">
        <v>300</v>
      </c>
      <c r="H71" s="125"/>
      <c r="I71" s="3" t="s">
        <v>2436</v>
      </c>
    </row>
    <row r="72" spans="1:9">
      <c r="A72" s="3" t="s">
        <v>2400</v>
      </c>
      <c r="B72" s="3" t="s">
        <v>2401</v>
      </c>
      <c r="C72" s="3" t="s">
        <v>114</v>
      </c>
      <c r="D72" s="20">
        <f>0.63/$AA$6</f>
        <v>0.547826086956522</v>
      </c>
      <c r="E72" s="20">
        <f>83.73/$AA$6</f>
        <v>72.8086956521739</v>
      </c>
      <c r="F72" s="20">
        <f>178.76/$AA$6</f>
        <v>155.44347826087</v>
      </c>
      <c r="G72" s="20">
        <f>191.11/$AA$6</f>
        <v>166.182608695652</v>
      </c>
      <c r="H72" s="20">
        <f>66.36/$AA$6</f>
        <v>57.704347826087</v>
      </c>
      <c r="I72" s="20">
        <f>124.69/$AA$6</f>
        <v>108.426086956522</v>
      </c>
    </row>
    <row r="73" spans="1:9">
      <c r="A73" s="3"/>
      <c r="B73" s="3" t="s">
        <v>2403</v>
      </c>
      <c r="C73" s="3" t="s">
        <v>114</v>
      </c>
      <c r="D73" s="20">
        <f>1.52/$AA$7</f>
        <v>1.39449541284404</v>
      </c>
      <c r="E73" s="20">
        <f>33.32/$AA$7</f>
        <v>30.5688073394495</v>
      </c>
      <c r="F73" s="20">
        <f>46.2/$AA$7</f>
        <v>42.3853211009174</v>
      </c>
      <c r="G73" s="20">
        <f>66.08/$AA$7</f>
        <v>60.6238532110092</v>
      </c>
      <c r="H73" s="20">
        <f>66.36/$AA$7</f>
        <v>60.8807339449541</v>
      </c>
      <c r="I73" s="20">
        <f>174.57/$AA$7</f>
        <v>160.155963302752</v>
      </c>
    </row>
    <row r="74" spans="1:9">
      <c r="A74" s="3"/>
      <c r="B74" s="3" t="s">
        <v>2405</v>
      </c>
      <c r="C74" s="3" t="s">
        <v>114</v>
      </c>
      <c r="D74" s="20"/>
      <c r="E74" s="20"/>
      <c r="F74" s="20"/>
      <c r="G74" s="20"/>
      <c r="H74" s="20">
        <f>9.29</f>
        <v>9.29</v>
      </c>
      <c r="I74" s="20">
        <f>49.88</f>
        <v>49.88</v>
      </c>
    </row>
    <row r="75" ht="20.25" spans="1:9">
      <c r="A75" s="156"/>
      <c r="B75" s="156" t="s">
        <v>1321</v>
      </c>
      <c r="C75" s="156" t="s">
        <v>114</v>
      </c>
      <c r="D75" s="157">
        <f t="shared" ref="D75:I75" si="32">SUM(D72:D74)</f>
        <v>1.94232149980056</v>
      </c>
      <c r="E75" s="157">
        <f t="shared" si="32"/>
        <v>103.377502991623</v>
      </c>
      <c r="F75" s="157">
        <f t="shared" si="32"/>
        <v>197.828799361787</v>
      </c>
      <c r="G75" s="157">
        <f t="shared" si="32"/>
        <v>226.806461906661</v>
      </c>
      <c r="H75" s="157">
        <f t="shared" si="32"/>
        <v>127.875081771041</v>
      </c>
      <c r="I75" s="157">
        <f t="shared" si="32"/>
        <v>318.462050259274</v>
      </c>
    </row>
    <row r="76" spans="1:9">
      <c r="A76" s="3" t="s">
        <v>2408</v>
      </c>
      <c r="B76" s="3" t="s">
        <v>600</v>
      </c>
      <c r="C76" s="3" t="s">
        <v>2409</v>
      </c>
      <c r="D76" s="20">
        <v>1</v>
      </c>
      <c r="E76" s="20">
        <v>3.7</v>
      </c>
      <c r="F76" s="20">
        <v>3.7</v>
      </c>
      <c r="G76" s="20">
        <v>3.7</v>
      </c>
      <c r="H76" s="20">
        <v>8.8</v>
      </c>
      <c r="I76" s="20">
        <v>5</v>
      </c>
    </row>
    <row r="77" spans="1:9">
      <c r="A77" s="3"/>
      <c r="B77" s="3"/>
      <c r="C77" s="3" t="s">
        <v>834</v>
      </c>
      <c r="D77" s="20">
        <f>D44</f>
        <v>8.10036779408924</v>
      </c>
      <c r="E77" s="20">
        <f>D77</f>
        <v>8.10036779408924</v>
      </c>
      <c r="F77" s="20">
        <f>E77</f>
        <v>8.10036779408924</v>
      </c>
      <c r="G77" s="20">
        <f>F77</f>
        <v>8.10036779408924</v>
      </c>
      <c r="H77" s="20">
        <f>G77</f>
        <v>8.10036779408924</v>
      </c>
      <c r="I77" s="20">
        <f>H77</f>
        <v>8.10036779408924</v>
      </c>
    </row>
    <row r="78" spans="1:9">
      <c r="A78" s="3"/>
      <c r="B78" s="3"/>
      <c r="C78" s="3" t="s">
        <v>2410</v>
      </c>
      <c r="D78" s="20">
        <f t="shared" ref="D78:I78" si="33">D76*D77</f>
        <v>8.10036779408924</v>
      </c>
      <c r="E78" s="20">
        <f t="shared" si="33"/>
        <v>29.9713608381302</v>
      </c>
      <c r="F78" s="20">
        <f t="shared" si="33"/>
        <v>29.9713608381302</v>
      </c>
      <c r="G78" s="20">
        <f t="shared" si="33"/>
        <v>29.9713608381302</v>
      </c>
      <c r="H78" s="20">
        <f t="shared" si="33"/>
        <v>71.2832365879854</v>
      </c>
      <c r="I78" s="20">
        <f t="shared" si="33"/>
        <v>40.5018389704462</v>
      </c>
    </row>
    <row r="79" spans="1:9">
      <c r="A79" s="3"/>
      <c r="B79" s="3" t="s">
        <v>1825</v>
      </c>
      <c r="C79" s="3" t="s">
        <v>550</v>
      </c>
      <c r="D79" s="20"/>
      <c r="E79" s="20"/>
      <c r="F79" s="20"/>
      <c r="G79" s="20"/>
      <c r="H79" s="20"/>
      <c r="I79" s="20"/>
    </row>
    <row r="80" spans="1:9">
      <c r="A80" s="3"/>
      <c r="B80" s="3"/>
      <c r="C80" s="3" t="s">
        <v>834</v>
      </c>
      <c r="D80" s="20">
        <f>D47</f>
        <v>3.075</v>
      </c>
      <c r="E80" s="20">
        <f>D80</f>
        <v>3.075</v>
      </c>
      <c r="F80" s="20">
        <f>E80</f>
        <v>3.075</v>
      </c>
      <c r="G80" s="20">
        <f>F80</f>
        <v>3.075</v>
      </c>
      <c r="H80" s="20">
        <f>G80</f>
        <v>3.075</v>
      </c>
      <c r="I80" s="20">
        <f>H80</f>
        <v>3.075</v>
      </c>
    </row>
    <row r="81" spans="1:9">
      <c r="A81" s="3"/>
      <c r="B81" s="3"/>
      <c r="C81" s="3" t="s">
        <v>2410</v>
      </c>
      <c r="D81" s="20">
        <f t="shared" ref="D81:I81" si="34">D79*D80</f>
        <v>0</v>
      </c>
      <c r="E81" s="20">
        <f t="shared" si="34"/>
        <v>0</v>
      </c>
      <c r="F81" s="20">
        <f t="shared" si="34"/>
        <v>0</v>
      </c>
      <c r="G81" s="20">
        <f t="shared" si="34"/>
        <v>0</v>
      </c>
      <c r="H81" s="20">
        <f t="shared" si="34"/>
        <v>0</v>
      </c>
      <c r="I81" s="20">
        <f t="shared" si="34"/>
        <v>0</v>
      </c>
    </row>
    <row r="82" spans="1:9">
      <c r="A82" s="3"/>
      <c r="B82" s="3" t="s">
        <v>1822</v>
      </c>
      <c r="C82" s="3" t="s">
        <v>550</v>
      </c>
      <c r="D82" s="20"/>
      <c r="E82" s="20">
        <v>6</v>
      </c>
      <c r="F82" s="20">
        <v>7.9</v>
      </c>
      <c r="G82" s="20">
        <v>10.2</v>
      </c>
      <c r="H82" s="20">
        <v>54.4</v>
      </c>
      <c r="I82" s="20">
        <v>36</v>
      </c>
    </row>
    <row r="83" spans="1:9">
      <c r="A83" s="3"/>
      <c r="B83" s="3"/>
      <c r="C83" s="3" t="s">
        <v>834</v>
      </c>
      <c r="D83" s="20">
        <f>D50</f>
        <v>2.99</v>
      </c>
      <c r="E83" s="20">
        <f>D83</f>
        <v>2.99</v>
      </c>
      <c r="F83" s="20">
        <f>E83</f>
        <v>2.99</v>
      </c>
      <c r="G83" s="20">
        <f>F83</f>
        <v>2.99</v>
      </c>
      <c r="H83" s="20">
        <f>G83</f>
        <v>2.99</v>
      </c>
      <c r="I83" s="20">
        <f>H83</f>
        <v>2.99</v>
      </c>
    </row>
    <row r="84" spans="1:9">
      <c r="A84" s="3"/>
      <c r="B84" s="3"/>
      <c r="C84" s="3" t="s">
        <v>2410</v>
      </c>
      <c r="D84" s="20">
        <f t="shared" ref="D84:I84" si="35">D82*D83</f>
        <v>0</v>
      </c>
      <c r="E84" s="20">
        <f t="shared" si="35"/>
        <v>17.94</v>
      </c>
      <c r="F84" s="20">
        <f t="shared" si="35"/>
        <v>23.621</v>
      </c>
      <c r="G84" s="20">
        <f t="shared" si="35"/>
        <v>30.498</v>
      </c>
      <c r="H84" s="20">
        <f t="shared" si="35"/>
        <v>162.656</v>
      </c>
      <c r="I84" s="20">
        <f t="shared" si="35"/>
        <v>107.64</v>
      </c>
    </row>
    <row r="85" spans="1:9">
      <c r="A85" s="3"/>
      <c r="B85" s="3" t="s">
        <v>2411</v>
      </c>
      <c r="C85" s="3" t="s">
        <v>1834</v>
      </c>
      <c r="D85" s="20"/>
      <c r="E85" s="20"/>
      <c r="F85" s="20"/>
      <c r="G85" s="20"/>
      <c r="H85" s="20"/>
      <c r="I85" s="20"/>
    </row>
    <row r="86" spans="1:9">
      <c r="A86" s="3"/>
      <c r="B86" s="3"/>
      <c r="C86" s="3" t="s">
        <v>834</v>
      </c>
      <c r="D86" s="20">
        <f>D53</f>
        <v>0.48</v>
      </c>
      <c r="E86" s="20">
        <f>D86</f>
        <v>0.48</v>
      </c>
      <c r="F86" s="20">
        <f>E86</f>
        <v>0.48</v>
      </c>
      <c r="G86" s="20">
        <f>F86</f>
        <v>0.48</v>
      </c>
      <c r="H86" s="20">
        <f>G86</f>
        <v>0.48</v>
      </c>
      <c r="I86" s="20">
        <f>H86</f>
        <v>0.48</v>
      </c>
    </row>
    <row r="87" spans="1:9">
      <c r="A87" s="3"/>
      <c r="B87" s="3"/>
      <c r="C87" s="3" t="s">
        <v>2410</v>
      </c>
      <c r="D87" s="20">
        <f t="shared" ref="D87:I87" si="36">D85*D86</f>
        <v>0</v>
      </c>
      <c r="E87" s="20">
        <f t="shared" si="36"/>
        <v>0</v>
      </c>
      <c r="F87" s="20">
        <f t="shared" si="36"/>
        <v>0</v>
      </c>
      <c r="G87" s="20">
        <f t="shared" si="36"/>
        <v>0</v>
      </c>
      <c r="H87" s="20">
        <f t="shared" si="36"/>
        <v>0</v>
      </c>
      <c r="I87" s="20">
        <f t="shared" si="36"/>
        <v>0</v>
      </c>
    </row>
    <row r="88" spans="1:9">
      <c r="A88" s="3"/>
      <c r="B88" s="3" t="s">
        <v>2412</v>
      </c>
      <c r="C88" s="3" t="s">
        <v>632</v>
      </c>
      <c r="D88" s="20"/>
      <c r="E88" s="20"/>
      <c r="F88" s="20"/>
      <c r="G88" s="20"/>
      <c r="H88" s="20"/>
      <c r="I88" s="20"/>
    </row>
    <row r="89" spans="1:9">
      <c r="A89" s="3"/>
      <c r="B89" s="3"/>
      <c r="C89" s="3" t="s">
        <v>834</v>
      </c>
      <c r="D89" s="20">
        <f>D56</f>
        <v>0.12</v>
      </c>
      <c r="E89" s="20">
        <f>D89</f>
        <v>0.12</v>
      </c>
      <c r="F89" s="20">
        <f>E89</f>
        <v>0.12</v>
      </c>
      <c r="G89" s="20">
        <f>F89</f>
        <v>0.12</v>
      </c>
      <c r="H89" s="20">
        <f>G89</f>
        <v>0.12</v>
      </c>
      <c r="I89" s="20">
        <f>H89</f>
        <v>0.12</v>
      </c>
    </row>
    <row r="90" spans="1:9">
      <c r="A90" s="3"/>
      <c r="B90" s="3"/>
      <c r="C90" s="3" t="s">
        <v>2410</v>
      </c>
      <c r="D90" s="20">
        <f t="shared" ref="D90:I90" si="37">D88*D89</f>
        <v>0</v>
      </c>
      <c r="E90" s="20">
        <f t="shared" si="37"/>
        <v>0</v>
      </c>
      <c r="F90" s="20">
        <f t="shared" si="37"/>
        <v>0</v>
      </c>
      <c r="G90" s="20">
        <f t="shared" si="37"/>
        <v>0</v>
      </c>
      <c r="H90" s="20">
        <f t="shared" si="37"/>
        <v>0</v>
      </c>
      <c r="I90" s="20">
        <f t="shared" si="37"/>
        <v>0</v>
      </c>
    </row>
    <row r="91" spans="1:9">
      <c r="A91" s="3"/>
      <c r="B91" s="3" t="s">
        <v>2413</v>
      </c>
      <c r="C91" s="3" t="s">
        <v>632</v>
      </c>
      <c r="D91" s="20"/>
      <c r="E91" s="20"/>
      <c r="F91" s="20"/>
      <c r="G91" s="20"/>
      <c r="H91" s="20">
        <v>110.3</v>
      </c>
      <c r="I91" s="20"/>
    </row>
    <row r="92" spans="1:9">
      <c r="A92" s="3"/>
      <c r="B92" s="3"/>
      <c r="C92" s="3" t="s">
        <v>834</v>
      </c>
      <c r="D92" s="20">
        <f>D59</f>
        <v>3.88349514563107</v>
      </c>
      <c r="E92" s="20">
        <f>D92</f>
        <v>3.88349514563107</v>
      </c>
      <c r="F92" s="20">
        <f>E92</f>
        <v>3.88349514563107</v>
      </c>
      <c r="G92" s="20">
        <f>F92</f>
        <v>3.88349514563107</v>
      </c>
      <c r="H92" s="20">
        <f>G92</f>
        <v>3.88349514563107</v>
      </c>
      <c r="I92" s="20">
        <f>H92</f>
        <v>3.88349514563107</v>
      </c>
    </row>
    <row r="93" spans="1:9">
      <c r="A93" s="3"/>
      <c r="B93" s="3"/>
      <c r="C93" s="3" t="s">
        <v>2410</v>
      </c>
      <c r="D93" s="20">
        <f t="shared" ref="D93:I93" si="38">D91*D92</f>
        <v>0</v>
      </c>
      <c r="E93" s="20">
        <f t="shared" si="38"/>
        <v>0</v>
      </c>
      <c r="F93" s="20">
        <f t="shared" si="38"/>
        <v>0</v>
      </c>
      <c r="G93" s="20">
        <f t="shared" si="38"/>
        <v>0</v>
      </c>
      <c r="H93" s="20">
        <f t="shared" si="38"/>
        <v>428.349514563107</v>
      </c>
      <c r="I93" s="20">
        <f t="shared" si="38"/>
        <v>0</v>
      </c>
    </row>
    <row r="94" spans="1:9">
      <c r="A94" s="3"/>
      <c r="B94" s="3" t="s">
        <v>2414</v>
      </c>
      <c r="C94" s="3" t="s">
        <v>550</v>
      </c>
      <c r="D94" s="20"/>
      <c r="E94" s="20"/>
      <c r="F94" s="20"/>
      <c r="G94" s="20"/>
      <c r="H94" s="20"/>
      <c r="I94" s="20"/>
    </row>
    <row r="95" spans="1:9">
      <c r="A95" s="3"/>
      <c r="B95" s="3"/>
      <c r="C95" s="3" t="s">
        <v>834</v>
      </c>
      <c r="D95" s="20">
        <f>D62</f>
        <v>0</v>
      </c>
      <c r="E95" s="20"/>
      <c r="F95" s="20"/>
      <c r="G95" s="20"/>
      <c r="H95" s="20"/>
      <c r="I95" s="20"/>
    </row>
    <row r="96" spans="1:9">
      <c r="A96" s="3"/>
      <c r="B96" s="3"/>
      <c r="C96" s="3" t="s">
        <v>2410</v>
      </c>
      <c r="D96" s="20">
        <f t="shared" ref="D96:I96" si="39">D94*D95</f>
        <v>0</v>
      </c>
      <c r="E96" s="20">
        <f t="shared" si="39"/>
        <v>0</v>
      </c>
      <c r="F96" s="20">
        <f t="shared" si="39"/>
        <v>0</v>
      </c>
      <c r="G96" s="20">
        <f t="shared" si="39"/>
        <v>0</v>
      </c>
      <c r="H96" s="20">
        <f t="shared" si="39"/>
        <v>0</v>
      </c>
      <c r="I96" s="20">
        <f t="shared" si="39"/>
        <v>0</v>
      </c>
    </row>
    <row r="97" ht="20.25" spans="1:9">
      <c r="A97" s="156"/>
      <c r="B97" s="156" t="s">
        <v>1321</v>
      </c>
      <c r="C97" s="156" t="s">
        <v>114</v>
      </c>
      <c r="D97" s="157">
        <f t="shared" ref="D97:I97" si="40">D78+D81+D84+D87+D90+D93+D96</f>
        <v>8.10036779408924</v>
      </c>
      <c r="E97" s="157">
        <f t="shared" si="40"/>
        <v>47.9113608381302</v>
      </c>
      <c r="F97" s="157">
        <f t="shared" si="40"/>
        <v>53.5923608381302</v>
      </c>
      <c r="G97" s="157">
        <f t="shared" si="40"/>
        <v>60.4693608381302</v>
      </c>
      <c r="H97" s="157">
        <f t="shared" si="40"/>
        <v>662.288751151092</v>
      </c>
      <c r="I97" s="157">
        <f t="shared" si="40"/>
        <v>148.141838970446</v>
      </c>
    </row>
    <row r="98" ht="20.25" spans="1:9">
      <c r="A98" s="156" t="s">
        <v>463</v>
      </c>
      <c r="B98" s="156"/>
      <c r="C98" s="156" t="s">
        <v>114</v>
      </c>
      <c r="D98" s="157">
        <f t="shared" ref="D98:I98" si="41">D97+D75</f>
        <v>10.0426892938898</v>
      </c>
      <c r="E98" s="157">
        <f t="shared" si="41"/>
        <v>151.288863829754</v>
      </c>
      <c r="F98" s="157">
        <f t="shared" si="41"/>
        <v>251.421160199917</v>
      </c>
      <c r="G98" s="157">
        <f t="shared" si="41"/>
        <v>287.275822744792</v>
      </c>
      <c r="H98" s="157">
        <f t="shared" si="41"/>
        <v>790.163832922133</v>
      </c>
      <c r="I98" s="157">
        <f t="shared" si="41"/>
        <v>466.60388922972</v>
      </c>
    </row>
    <row r="99" ht="20.25" spans="1:9">
      <c r="A99" s="156" t="s">
        <v>458</v>
      </c>
      <c r="B99" s="156"/>
      <c r="C99" s="156"/>
      <c r="D99" s="156">
        <v>1043</v>
      </c>
      <c r="E99" s="156">
        <v>1044</v>
      </c>
      <c r="F99" s="156">
        <v>1045</v>
      </c>
      <c r="G99" s="156">
        <v>1046</v>
      </c>
      <c r="H99" s="156">
        <v>1047</v>
      </c>
      <c r="I99" s="156">
        <v>1048</v>
      </c>
    </row>
    <row r="100" s="122" customFormat="1" ht="15" spans="1:25">
      <c r="A100" s="154" t="s">
        <v>2092</v>
      </c>
      <c r="B100" s="154"/>
      <c r="Y100" s="168"/>
    </row>
    <row r="101" spans="1:25">
      <c r="A101" s="3" t="s">
        <v>2388</v>
      </c>
      <c r="B101" s="3"/>
      <c r="C101" s="3" t="s">
        <v>55</v>
      </c>
      <c r="D101" s="3" t="s">
        <v>2093</v>
      </c>
      <c r="E101" s="3"/>
      <c r="F101" s="3"/>
      <c r="G101" s="3" t="s">
        <v>2437</v>
      </c>
      <c r="H101" s="3"/>
      <c r="I101" s="3"/>
      <c r="J101" s="125" t="s">
        <v>2099</v>
      </c>
      <c r="K101" s="3" t="s">
        <v>2101</v>
      </c>
      <c r="L101" s="3" t="s">
        <v>2438</v>
      </c>
      <c r="M101" s="3"/>
      <c r="N101" s="3"/>
      <c r="O101" s="3"/>
      <c r="P101" s="3" t="s">
        <v>2108</v>
      </c>
      <c r="Q101" s="130" t="s">
        <v>2110</v>
      </c>
      <c r="R101" s="3" t="s">
        <v>2439</v>
      </c>
      <c r="S101" s="3"/>
      <c r="T101" s="3"/>
      <c r="U101" s="3"/>
      <c r="V101" s="3"/>
      <c r="W101" s="3"/>
      <c r="X101" s="3" t="s">
        <v>2118</v>
      </c>
      <c r="Y101" s="125" t="s">
        <v>2119</v>
      </c>
    </row>
    <row r="102" spans="1:25">
      <c r="A102" s="3"/>
      <c r="B102" s="3"/>
      <c r="C102" s="3"/>
      <c r="D102" s="3"/>
      <c r="E102" s="3"/>
      <c r="F102" s="3"/>
      <c r="G102" s="3"/>
      <c r="H102" s="3"/>
      <c r="I102" s="3"/>
      <c r="J102" s="125"/>
      <c r="K102" s="3"/>
      <c r="L102" s="3" t="s">
        <v>2440</v>
      </c>
      <c r="M102" s="3"/>
      <c r="N102" s="3"/>
      <c r="O102" s="3" t="s">
        <v>2441</v>
      </c>
      <c r="P102" s="3"/>
      <c r="Q102" s="178"/>
      <c r="R102" s="125" t="s">
        <v>2442</v>
      </c>
      <c r="S102" s="125" t="s">
        <v>2443</v>
      </c>
      <c r="T102" s="125" t="s">
        <v>2444</v>
      </c>
      <c r="U102" s="3" t="s">
        <v>2445</v>
      </c>
      <c r="V102" s="3"/>
      <c r="W102" s="125" t="s">
        <v>2446</v>
      </c>
      <c r="X102" s="3"/>
      <c r="Y102" s="125" t="s">
        <v>2447</v>
      </c>
    </row>
    <row r="103" spans="1:25">
      <c r="A103" s="3"/>
      <c r="B103" s="3"/>
      <c r="C103" s="3"/>
      <c r="D103" s="3" t="s">
        <v>2448</v>
      </c>
      <c r="E103" s="3"/>
      <c r="F103" s="3"/>
      <c r="G103" s="3"/>
      <c r="H103" s="3"/>
      <c r="I103" s="3"/>
      <c r="J103" s="3" t="s">
        <v>2449</v>
      </c>
      <c r="K103" s="3"/>
      <c r="L103" s="3" t="s">
        <v>2398</v>
      </c>
      <c r="M103" s="3"/>
      <c r="N103" s="3"/>
      <c r="O103" s="3"/>
      <c r="P103" s="3" t="s">
        <v>2450</v>
      </c>
      <c r="Q103" s="131"/>
      <c r="R103" s="125"/>
      <c r="S103" s="125"/>
      <c r="T103" s="125"/>
      <c r="U103" s="3"/>
      <c r="V103" s="3"/>
      <c r="W103" s="125"/>
      <c r="X103" s="3" t="s">
        <v>2451</v>
      </c>
      <c r="Y103" s="125"/>
    </row>
    <row r="104" spans="1:25">
      <c r="A104" s="3"/>
      <c r="B104" s="3"/>
      <c r="C104" s="3"/>
      <c r="D104" s="20">
        <v>0.25</v>
      </c>
      <c r="E104" s="3">
        <v>0.4</v>
      </c>
      <c r="F104" s="3">
        <v>0.8</v>
      </c>
      <c r="G104" s="3">
        <v>0.25</v>
      </c>
      <c r="H104" s="3">
        <v>0.35</v>
      </c>
      <c r="I104" s="3">
        <v>0.5</v>
      </c>
      <c r="J104" s="3" t="s">
        <v>2452</v>
      </c>
      <c r="K104" s="3" t="s">
        <v>2102</v>
      </c>
      <c r="L104" s="3">
        <v>1.1</v>
      </c>
      <c r="M104" s="3">
        <v>1.5</v>
      </c>
      <c r="N104" s="3">
        <v>2.2</v>
      </c>
      <c r="O104" s="3">
        <v>2.2</v>
      </c>
      <c r="P104" s="3">
        <v>4.5</v>
      </c>
      <c r="Q104" s="3" t="s">
        <v>2453</v>
      </c>
      <c r="R104" s="3" t="s">
        <v>2454</v>
      </c>
      <c r="S104" s="3" t="s">
        <v>2455</v>
      </c>
      <c r="T104" s="3">
        <v>0.15</v>
      </c>
      <c r="U104" s="3" t="s">
        <v>2456</v>
      </c>
      <c r="V104" s="3" t="s">
        <v>2457</v>
      </c>
      <c r="W104" s="3">
        <v>1.5</v>
      </c>
      <c r="X104" s="3">
        <v>1</v>
      </c>
      <c r="Y104" s="125">
        <v>6</v>
      </c>
    </row>
    <row r="105" spans="1:25">
      <c r="A105" s="3" t="s">
        <v>2400</v>
      </c>
      <c r="B105" s="3" t="s">
        <v>2401</v>
      </c>
      <c r="C105" s="3" t="s">
        <v>114</v>
      </c>
      <c r="D105" s="20">
        <f>1.3/$AA$6</f>
        <v>1.1304347826087</v>
      </c>
      <c r="E105" s="20">
        <f>3.29/$AA$6</f>
        <v>2.86086956521739</v>
      </c>
      <c r="F105" s="20">
        <f>4.39/$AA$6</f>
        <v>3.81739130434783</v>
      </c>
      <c r="G105" s="20">
        <f>2.85/$AA$6</f>
        <v>2.47826086956522</v>
      </c>
      <c r="H105" s="20">
        <f>3.99/$AA$6</f>
        <v>3.4695652173913</v>
      </c>
      <c r="I105" s="20">
        <f>6.08/$AA$6</f>
        <v>5.28695652173913</v>
      </c>
      <c r="J105" s="20">
        <f>2.79/$AA$6</f>
        <v>2.42608695652174</v>
      </c>
      <c r="K105" s="20">
        <f>2.28/$AA$6</f>
        <v>1.98260869565217</v>
      </c>
      <c r="L105" s="20">
        <f>0.32/$AA$6</f>
        <v>0.278260869565217</v>
      </c>
      <c r="M105" s="20">
        <f>0.51/$AA$6</f>
        <v>0.443478260869565</v>
      </c>
      <c r="N105" s="20">
        <f>0.54/$AA$6</f>
        <v>0.469565217391304</v>
      </c>
      <c r="O105" s="20">
        <f>0.43/$AA$6</f>
        <v>0.373913043478261</v>
      </c>
      <c r="P105" s="20">
        <f>1.32/$AA$6</f>
        <v>1.14782608695652</v>
      </c>
      <c r="Q105" s="20">
        <f>4.02/$AA$6</f>
        <v>3.49565217391304</v>
      </c>
      <c r="R105" s="20">
        <f>15.19/$AA$6</f>
        <v>13.2086956521739</v>
      </c>
      <c r="S105" s="20">
        <f>66.28/$AA$6</f>
        <v>57.6347826086957</v>
      </c>
      <c r="T105" s="20">
        <f>3.61/$AA$6</f>
        <v>3.13913043478261</v>
      </c>
      <c r="U105" s="20">
        <f>26.52/$AA$6</f>
        <v>23.0608695652174</v>
      </c>
      <c r="V105" s="20">
        <f>6.11/$AA$6</f>
        <v>5.31304347826087</v>
      </c>
      <c r="W105" s="20">
        <f>3/$AA$6</f>
        <v>2.60869565217391</v>
      </c>
      <c r="X105" s="20">
        <f>0.61/$AA$6</f>
        <v>0.530434782608696</v>
      </c>
      <c r="Y105" s="179">
        <f>0.24/$AA$6</f>
        <v>0.208695652173913</v>
      </c>
    </row>
    <row r="106" spans="1:25">
      <c r="A106" s="3"/>
      <c r="B106" s="3" t="s">
        <v>2403</v>
      </c>
      <c r="C106" s="3" t="s">
        <v>114</v>
      </c>
      <c r="D106" s="20">
        <f>2.25/$AA$7</f>
        <v>2.06422018348624</v>
      </c>
      <c r="E106" s="20">
        <f>5.34/$AA$7</f>
        <v>4.89908256880734</v>
      </c>
      <c r="F106" s="20">
        <f>6.3/$AA$7</f>
        <v>5.77981651376147</v>
      </c>
      <c r="G106" s="20">
        <f>4.43/$AA$7</f>
        <v>4.06422018348624</v>
      </c>
      <c r="H106" s="20">
        <f>6.18/$AA$7</f>
        <v>5.6697247706422</v>
      </c>
      <c r="I106" s="20">
        <f>9.18/$AA$7</f>
        <v>8.42201834862385</v>
      </c>
      <c r="J106" s="20">
        <f>2.34/$AA$7</f>
        <v>2.14678899082569</v>
      </c>
      <c r="K106" s="20">
        <f>7.3/$AA$7</f>
        <v>6.69724770642202</v>
      </c>
      <c r="L106" s="20">
        <f>1.22/$AA$7</f>
        <v>1.11926605504587</v>
      </c>
      <c r="M106" s="20">
        <f>1.8/$AA$7</f>
        <v>1.65137614678899</v>
      </c>
      <c r="N106" s="20">
        <f>1.86/$AA$7</f>
        <v>1.70642201834862</v>
      </c>
      <c r="O106" s="20">
        <f>1.24/$AA$7</f>
        <v>1.13761467889908</v>
      </c>
      <c r="P106" s="20">
        <f>4.79/$AA$7</f>
        <v>4.39449541284404</v>
      </c>
      <c r="Q106" s="20">
        <f>3.2/$AA$7</f>
        <v>2.93577981651376</v>
      </c>
      <c r="R106" s="20">
        <f>6.23/$AA$7</f>
        <v>5.71559633027523</v>
      </c>
      <c r="S106" s="20">
        <f>26.83/$AA$7</f>
        <v>24.6146788990826</v>
      </c>
      <c r="T106" s="20">
        <f>1.55/$AA$7</f>
        <v>1.42201834862385</v>
      </c>
      <c r="U106" s="20">
        <f>9.61/$AA$7</f>
        <v>8.81651376146789</v>
      </c>
      <c r="V106" s="20">
        <f>2.25/$AA$7</f>
        <v>2.06422018348624</v>
      </c>
      <c r="W106" s="20">
        <f>1.88/$AA$7</f>
        <v>1.72477064220183</v>
      </c>
      <c r="X106" s="20">
        <f>1.92/$AA$7</f>
        <v>1.76146788990826</v>
      </c>
      <c r="Y106" s="179">
        <f>0.42/$AA$7</f>
        <v>0.385321100917431</v>
      </c>
    </row>
    <row r="107" spans="1:25">
      <c r="A107" s="3"/>
      <c r="B107" s="3" t="s">
        <v>2405</v>
      </c>
      <c r="C107" s="3" t="s">
        <v>114</v>
      </c>
      <c r="D107" s="20">
        <f>0.45</f>
        <v>0.45</v>
      </c>
      <c r="E107" s="20">
        <f>1.07</f>
        <v>1.07</v>
      </c>
      <c r="F107" s="20">
        <f>1.35</f>
        <v>1.35</v>
      </c>
      <c r="G107" s="20">
        <f>1.12</f>
        <v>1.12</v>
      </c>
      <c r="H107" s="20">
        <f>1.55</f>
        <v>1.55</v>
      </c>
      <c r="I107" s="20">
        <f>2.29</f>
        <v>2.29</v>
      </c>
      <c r="J107" s="20">
        <f>0.18</f>
        <v>0.18</v>
      </c>
      <c r="K107" s="20">
        <f>0.34</f>
        <v>0.34</v>
      </c>
      <c r="L107" s="20"/>
      <c r="M107" s="20"/>
      <c r="N107" s="20"/>
      <c r="O107" s="20"/>
      <c r="P107" s="20"/>
      <c r="Q107" s="20"/>
      <c r="R107" s="20">
        <f>1.55</f>
        <v>1.55</v>
      </c>
      <c r="S107" s="20">
        <f>6.39</f>
        <v>6.39</v>
      </c>
      <c r="T107" s="20">
        <f>0.38</f>
        <v>0.38</v>
      </c>
      <c r="U107" s="20">
        <f>2.32</f>
        <v>2.32</v>
      </c>
      <c r="V107" s="20">
        <f>0.67</f>
        <v>0.67</v>
      </c>
      <c r="W107" s="20"/>
      <c r="X107" s="20"/>
      <c r="Y107" s="179"/>
    </row>
    <row r="108" ht="20.25" spans="1:25">
      <c r="A108" s="156"/>
      <c r="B108" s="156" t="s">
        <v>1321</v>
      </c>
      <c r="C108" s="156" t="s">
        <v>114</v>
      </c>
      <c r="D108" s="157">
        <f t="shared" ref="D108:Y108" si="42">SUM(D105:D107)</f>
        <v>3.64465496609493</v>
      </c>
      <c r="E108" s="157">
        <f t="shared" si="42"/>
        <v>8.82995213402473</v>
      </c>
      <c r="F108" s="157">
        <f t="shared" si="42"/>
        <v>10.9472078181093</v>
      </c>
      <c r="G108" s="157">
        <f t="shared" si="42"/>
        <v>7.66248105305146</v>
      </c>
      <c r="H108" s="157">
        <f t="shared" si="42"/>
        <v>10.6892899880335</v>
      </c>
      <c r="I108" s="157">
        <f t="shared" si="42"/>
        <v>15.998974870363</v>
      </c>
      <c r="J108" s="157">
        <f t="shared" si="42"/>
        <v>4.75287594734743</v>
      </c>
      <c r="K108" s="157">
        <f t="shared" si="42"/>
        <v>9.01985640207419</v>
      </c>
      <c r="L108" s="157">
        <f t="shared" si="42"/>
        <v>1.39752692461109</v>
      </c>
      <c r="M108" s="157">
        <f t="shared" si="42"/>
        <v>2.09485440765856</v>
      </c>
      <c r="N108" s="157">
        <f t="shared" si="42"/>
        <v>2.17598723573993</v>
      </c>
      <c r="O108" s="157">
        <f t="shared" si="42"/>
        <v>1.51152772237734</v>
      </c>
      <c r="P108" s="157">
        <f t="shared" si="42"/>
        <v>5.54232149980056</v>
      </c>
      <c r="Q108" s="157">
        <f t="shared" si="42"/>
        <v>6.43143199042681</v>
      </c>
      <c r="R108" s="157">
        <f t="shared" si="42"/>
        <v>20.4742919824491</v>
      </c>
      <c r="S108" s="157">
        <f t="shared" si="42"/>
        <v>88.6394615077782</v>
      </c>
      <c r="T108" s="157">
        <f t="shared" si="42"/>
        <v>4.94114878340646</v>
      </c>
      <c r="U108" s="157">
        <f t="shared" si="42"/>
        <v>34.1973833266853</v>
      </c>
      <c r="V108" s="157">
        <f t="shared" si="42"/>
        <v>8.04726366174711</v>
      </c>
      <c r="W108" s="157">
        <f t="shared" si="42"/>
        <v>4.33346629437575</v>
      </c>
      <c r="X108" s="157">
        <f t="shared" si="42"/>
        <v>2.29190267251695</v>
      </c>
      <c r="Y108" s="180">
        <f t="shared" si="42"/>
        <v>0.594016753091344</v>
      </c>
    </row>
    <row r="109" spans="1:25">
      <c r="A109" s="3" t="s">
        <v>2408</v>
      </c>
      <c r="B109" s="3" t="s">
        <v>600</v>
      </c>
      <c r="C109" s="3" t="s">
        <v>2409</v>
      </c>
      <c r="D109" s="20">
        <v>1.3</v>
      </c>
      <c r="E109" s="20">
        <v>1.3</v>
      </c>
      <c r="F109" s="20">
        <v>1.3</v>
      </c>
      <c r="G109" s="20">
        <v>1.3</v>
      </c>
      <c r="H109" s="20">
        <v>1.3</v>
      </c>
      <c r="I109" s="20">
        <v>1.3</v>
      </c>
      <c r="J109" s="20">
        <v>2.4</v>
      </c>
      <c r="K109" s="20">
        <v>1.3</v>
      </c>
      <c r="L109" s="20"/>
      <c r="M109" s="20"/>
      <c r="N109" s="20"/>
      <c r="O109" s="20"/>
      <c r="P109" s="20"/>
      <c r="Q109" s="20">
        <v>1.3</v>
      </c>
      <c r="R109" s="20">
        <v>1.3</v>
      </c>
      <c r="S109" s="20">
        <v>6.3</v>
      </c>
      <c r="T109" s="20">
        <v>1.3</v>
      </c>
      <c r="U109" s="20">
        <v>1.3</v>
      </c>
      <c r="V109" s="20">
        <v>1.3</v>
      </c>
      <c r="W109" s="20">
        <v>1.3</v>
      </c>
      <c r="X109" s="20"/>
      <c r="Y109" s="179"/>
    </row>
    <row r="110" spans="1:25">
      <c r="A110" s="3"/>
      <c r="B110" s="3"/>
      <c r="C110" s="3" t="s">
        <v>834</v>
      </c>
      <c r="D110" s="20">
        <f>D77</f>
        <v>8.10036779408924</v>
      </c>
      <c r="E110" s="20">
        <f>D110</f>
        <v>8.10036779408924</v>
      </c>
      <c r="F110" s="20">
        <f t="shared" ref="F110:Y110" si="43">E110</f>
        <v>8.10036779408924</v>
      </c>
      <c r="G110" s="20">
        <f t="shared" si="43"/>
        <v>8.10036779408924</v>
      </c>
      <c r="H110" s="20">
        <f t="shared" si="43"/>
        <v>8.10036779408924</v>
      </c>
      <c r="I110" s="20">
        <f t="shared" si="43"/>
        <v>8.10036779408924</v>
      </c>
      <c r="J110" s="20">
        <f t="shared" si="43"/>
        <v>8.10036779408924</v>
      </c>
      <c r="K110" s="20">
        <f t="shared" si="43"/>
        <v>8.10036779408924</v>
      </c>
      <c r="L110" s="20">
        <f t="shared" si="43"/>
        <v>8.10036779408924</v>
      </c>
      <c r="M110" s="20">
        <f t="shared" si="43"/>
        <v>8.10036779408924</v>
      </c>
      <c r="N110" s="20">
        <f t="shared" si="43"/>
        <v>8.10036779408924</v>
      </c>
      <c r="O110" s="20">
        <f t="shared" si="43"/>
        <v>8.10036779408924</v>
      </c>
      <c r="P110" s="20">
        <f t="shared" si="43"/>
        <v>8.10036779408924</v>
      </c>
      <c r="Q110" s="20">
        <f t="shared" si="43"/>
        <v>8.10036779408924</v>
      </c>
      <c r="R110" s="20">
        <f t="shared" si="43"/>
        <v>8.10036779408924</v>
      </c>
      <c r="S110" s="20">
        <f t="shared" si="43"/>
        <v>8.10036779408924</v>
      </c>
      <c r="T110" s="20">
        <f t="shared" si="43"/>
        <v>8.10036779408924</v>
      </c>
      <c r="U110" s="20">
        <f t="shared" si="43"/>
        <v>8.10036779408924</v>
      </c>
      <c r="V110" s="20">
        <f t="shared" si="43"/>
        <v>8.10036779408924</v>
      </c>
      <c r="W110" s="20">
        <f t="shared" si="43"/>
        <v>8.10036779408924</v>
      </c>
      <c r="X110" s="20">
        <f t="shared" si="43"/>
        <v>8.10036779408924</v>
      </c>
      <c r="Y110" s="179">
        <f t="shared" si="43"/>
        <v>8.10036779408924</v>
      </c>
    </row>
    <row r="111" spans="1:25">
      <c r="A111" s="3"/>
      <c r="B111" s="3"/>
      <c r="C111" s="3" t="s">
        <v>2410</v>
      </c>
      <c r="D111" s="20">
        <f t="shared" ref="D111:Y111" si="44">D109*D110</f>
        <v>10.530478132316</v>
      </c>
      <c r="E111" s="20">
        <f t="shared" si="44"/>
        <v>10.530478132316</v>
      </c>
      <c r="F111" s="20">
        <f t="shared" si="44"/>
        <v>10.530478132316</v>
      </c>
      <c r="G111" s="20">
        <f t="shared" si="44"/>
        <v>10.530478132316</v>
      </c>
      <c r="H111" s="20">
        <f t="shared" si="44"/>
        <v>10.530478132316</v>
      </c>
      <c r="I111" s="20">
        <f t="shared" si="44"/>
        <v>10.530478132316</v>
      </c>
      <c r="J111" s="20">
        <f t="shared" si="44"/>
        <v>19.4408827058142</v>
      </c>
      <c r="K111" s="20">
        <f t="shared" si="44"/>
        <v>10.530478132316</v>
      </c>
      <c r="L111" s="20">
        <f t="shared" si="44"/>
        <v>0</v>
      </c>
      <c r="M111" s="20">
        <f t="shared" si="44"/>
        <v>0</v>
      </c>
      <c r="N111" s="20">
        <f t="shared" si="44"/>
        <v>0</v>
      </c>
      <c r="O111" s="20">
        <f t="shared" si="44"/>
        <v>0</v>
      </c>
      <c r="P111" s="20">
        <f t="shared" si="44"/>
        <v>0</v>
      </c>
      <c r="Q111" s="20">
        <f t="shared" si="44"/>
        <v>10.530478132316</v>
      </c>
      <c r="R111" s="20">
        <f t="shared" si="44"/>
        <v>10.530478132316</v>
      </c>
      <c r="S111" s="20">
        <f t="shared" si="44"/>
        <v>51.0323171027622</v>
      </c>
      <c r="T111" s="20">
        <f t="shared" si="44"/>
        <v>10.530478132316</v>
      </c>
      <c r="U111" s="20">
        <f t="shared" si="44"/>
        <v>10.530478132316</v>
      </c>
      <c r="V111" s="20">
        <f t="shared" si="44"/>
        <v>10.530478132316</v>
      </c>
      <c r="W111" s="20">
        <f t="shared" si="44"/>
        <v>10.530478132316</v>
      </c>
      <c r="X111" s="20">
        <f t="shared" si="44"/>
        <v>0</v>
      </c>
      <c r="Y111" s="179">
        <f t="shared" si="44"/>
        <v>0</v>
      </c>
    </row>
    <row r="112" spans="1:25">
      <c r="A112" s="3"/>
      <c r="B112" s="3" t="s">
        <v>1825</v>
      </c>
      <c r="C112" s="3" t="s">
        <v>550</v>
      </c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179"/>
    </row>
    <row r="113" spans="1:25">
      <c r="A113" s="3"/>
      <c r="B113" s="3"/>
      <c r="C113" s="3" t="s">
        <v>834</v>
      </c>
      <c r="D113" s="20">
        <f>D80</f>
        <v>3.075</v>
      </c>
      <c r="E113" s="20">
        <f>D113</f>
        <v>3.075</v>
      </c>
      <c r="F113" s="20">
        <f t="shared" ref="F113:Y113" si="45">E113</f>
        <v>3.075</v>
      </c>
      <c r="G113" s="20">
        <f t="shared" si="45"/>
        <v>3.075</v>
      </c>
      <c r="H113" s="20">
        <f t="shared" si="45"/>
        <v>3.075</v>
      </c>
      <c r="I113" s="20">
        <f t="shared" si="45"/>
        <v>3.075</v>
      </c>
      <c r="J113" s="20">
        <f t="shared" si="45"/>
        <v>3.075</v>
      </c>
      <c r="K113" s="20">
        <f t="shared" si="45"/>
        <v>3.075</v>
      </c>
      <c r="L113" s="20">
        <f t="shared" si="45"/>
        <v>3.075</v>
      </c>
      <c r="M113" s="20">
        <f t="shared" si="45"/>
        <v>3.075</v>
      </c>
      <c r="N113" s="20">
        <f t="shared" si="45"/>
        <v>3.075</v>
      </c>
      <c r="O113" s="20">
        <f t="shared" si="45"/>
        <v>3.075</v>
      </c>
      <c r="P113" s="20">
        <f t="shared" si="45"/>
        <v>3.075</v>
      </c>
      <c r="Q113" s="20">
        <f t="shared" si="45"/>
        <v>3.075</v>
      </c>
      <c r="R113" s="20">
        <f t="shared" si="45"/>
        <v>3.075</v>
      </c>
      <c r="S113" s="20">
        <f t="shared" si="45"/>
        <v>3.075</v>
      </c>
      <c r="T113" s="20">
        <f t="shared" si="45"/>
        <v>3.075</v>
      </c>
      <c r="U113" s="20">
        <f t="shared" si="45"/>
        <v>3.075</v>
      </c>
      <c r="V113" s="20">
        <f t="shared" si="45"/>
        <v>3.075</v>
      </c>
      <c r="W113" s="20">
        <f t="shared" si="45"/>
        <v>3.075</v>
      </c>
      <c r="X113" s="20">
        <f t="shared" si="45"/>
        <v>3.075</v>
      </c>
      <c r="Y113" s="179">
        <f t="shared" si="45"/>
        <v>3.075</v>
      </c>
    </row>
    <row r="114" spans="1:25">
      <c r="A114" s="3"/>
      <c r="B114" s="3"/>
      <c r="C114" s="3" t="s">
        <v>2410</v>
      </c>
      <c r="D114" s="20">
        <f t="shared" ref="D114:Y114" si="46">D112*D113</f>
        <v>0</v>
      </c>
      <c r="E114" s="20">
        <f t="shared" si="46"/>
        <v>0</v>
      </c>
      <c r="F114" s="20">
        <f t="shared" si="46"/>
        <v>0</v>
      </c>
      <c r="G114" s="20">
        <f t="shared" si="46"/>
        <v>0</v>
      </c>
      <c r="H114" s="20">
        <f t="shared" si="46"/>
        <v>0</v>
      </c>
      <c r="I114" s="20">
        <f t="shared" si="46"/>
        <v>0</v>
      </c>
      <c r="J114" s="20">
        <f t="shared" si="46"/>
        <v>0</v>
      </c>
      <c r="K114" s="20">
        <f t="shared" si="46"/>
        <v>0</v>
      </c>
      <c r="L114" s="20">
        <f t="shared" si="46"/>
        <v>0</v>
      </c>
      <c r="M114" s="20">
        <f t="shared" si="46"/>
        <v>0</v>
      </c>
      <c r="N114" s="20">
        <f t="shared" si="46"/>
        <v>0</v>
      </c>
      <c r="O114" s="20">
        <f t="shared" si="46"/>
        <v>0</v>
      </c>
      <c r="P114" s="20">
        <f t="shared" si="46"/>
        <v>0</v>
      </c>
      <c r="Q114" s="20">
        <f t="shared" si="46"/>
        <v>0</v>
      </c>
      <c r="R114" s="20">
        <f t="shared" si="46"/>
        <v>0</v>
      </c>
      <c r="S114" s="20">
        <f t="shared" si="46"/>
        <v>0</v>
      </c>
      <c r="T114" s="20">
        <f t="shared" si="46"/>
        <v>0</v>
      </c>
      <c r="U114" s="20">
        <f t="shared" si="46"/>
        <v>0</v>
      </c>
      <c r="V114" s="20">
        <f t="shared" si="46"/>
        <v>0</v>
      </c>
      <c r="W114" s="20">
        <f t="shared" si="46"/>
        <v>0</v>
      </c>
      <c r="X114" s="20">
        <f t="shared" si="46"/>
        <v>0</v>
      </c>
      <c r="Y114" s="179">
        <f t="shared" si="46"/>
        <v>0</v>
      </c>
    </row>
    <row r="115" spans="1:25">
      <c r="A115" s="3"/>
      <c r="B115" s="3" t="s">
        <v>1822</v>
      </c>
      <c r="C115" s="3" t="s">
        <v>550</v>
      </c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>
        <v>1.3</v>
      </c>
      <c r="R115" s="20"/>
      <c r="S115" s="20">
        <v>138.8</v>
      </c>
      <c r="T115" s="20"/>
      <c r="U115" s="20">
        <v>6.2</v>
      </c>
      <c r="V115" s="20">
        <v>3</v>
      </c>
      <c r="W115" s="20"/>
      <c r="X115" s="20"/>
      <c r="Y115" s="179"/>
    </row>
    <row r="116" spans="1:25">
      <c r="A116" s="3"/>
      <c r="B116" s="3"/>
      <c r="C116" s="3" t="s">
        <v>834</v>
      </c>
      <c r="D116" s="20">
        <f>D83</f>
        <v>2.99</v>
      </c>
      <c r="E116" s="20">
        <f>D116</f>
        <v>2.99</v>
      </c>
      <c r="F116" s="20">
        <f t="shared" ref="F116:Y116" si="47">E116</f>
        <v>2.99</v>
      </c>
      <c r="G116" s="20">
        <f t="shared" si="47"/>
        <v>2.99</v>
      </c>
      <c r="H116" s="20">
        <f t="shared" si="47"/>
        <v>2.99</v>
      </c>
      <c r="I116" s="20">
        <f t="shared" si="47"/>
        <v>2.99</v>
      </c>
      <c r="J116" s="20">
        <f t="shared" si="47"/>
        <v>2.99</v>
      </c>
      <c r="K116" s="20">
        <f t="shared" si="47"/>
        <v>2.99</v>
      </c>
      <c r="L116" s="20">
        <f t="shared" si="47"/>
        <v>2.99</v>
      </c>
      <c r="M116" s="20">
        <f t="shared" si="47"/>
        <v>2.99</v>
      </c>
      <c r="N116" s="20">
        <f t="shared" si="47"/>
        <v>2.99</v>
      </c>
      <c r="O116" s="20">
        <f t="shared" si="47"/>
        <v>2.99</v>
      </c>
      <c r="P116" s="20">
        <f t="shared" si="47"/>
        <v>2.99</v>
      </c>
      <c r="Q116" s="20">
        <f t="shared" si="47"/>
        <v>2.99</v>
      </c>
      <c r="R116" s="20">
        <f t="shared" si="47"/>
        <v>2.99</v>
      </c>
      <c r="S116" s="20">
        <f t="shared" si="47"/>
        <v>2.99</v>
      </c>
      <c r="T116" s="20">
        <f t="shared" si="47"/>
        <v>2.99</v>
      </c>
      <c r="U116" s="20">
        <f t="shared" si="47"/>
        <v>2.99</v>
      </c>
      <c r="V116" s="20">
        <f t="shared" si="47"/>
        <v>2.99</v>
      </c>
      <c r="W116" s="20">
        <f t="shared" si="47"/>
        <v>2.99</v>
      </c>
      <c r="X116" s="20">
        <f t="shared" si="47"/>
        <v>2.99</v>
      </c>
      <c r="Y116" s="179">
        <f t="shared" si="47"/>
        <v>2.99</v>
      </c>
    </row>
    <row r="117" spans="1:25">
      <c r="A117" s="3"/>
      <c r="B117" s="3"/>
      <c r="C117" s="3" t="s">
        <v>2410</v>
      </c>
      <c r="D117" s="20">
        <f t="shared" ref="D117:Y117" si="48">D115*D116</f>
        <v>0</v>
      </c>
      <c r="E117" s="20">
        <f t="shared" si="48"/>
        <v>0</v>
      </c>
      <c r="F117" s="20">
        <f t="shared" si="48"/>
        <v>0</v>
      </c>
      <c r="G117" s="20">
        <f t="shared" si="48"/>
        <v>0</v>
      </c>
      <c r="H117" s="20">
        <f t="shared" si="48"/>
        <v>0</v>
      </c>
      <c r="I117" s="20">
        <f t="shared" si="48"/>
        <v>0</v>
      </c>
      <c r="J117" s="20">
        <f t="shared" si="48"/>
        <v>0</v>
      </c>
      <c r="K117" s="20">
        <f t="shared" si="48"/>
        <v>0</v>
      </c>
      <c r="L117" s="20">
        <f t="shared" si="48"/>
        <v>0</v>
      </c>
      <c r="M117" s="20">
        <f t="shared" si="48"/>
        <v>0</v>
      </c>
      <c r="N117" s="20">
        <f t="shared" si="48"/>
        <v>0</v>
      </c>
      <c r="O117" s="20">
        <f t="shared" si="48"/>
        <v>0</v>
      </c>
      <c r="P117" s="20">
        <f t="shared" si="48"/>
        <v>0</v>
      </c>
      <c r="Q117" s="20">
        <f t="shared" si="48"/>
        <v>3.887</v>
      </c>
      <c r="R117" s="20">
        <f t="shared" si="48"/>
        <v>0</v>
      </c>
      <c r="S117" s="20">
        <f t="shared" si="48"/>
        <v>415.012</v>
      </c>
      <c r="T117" s="20">
        <f t="shared" si="48"/>
        <v>0</v>
      </c>
      <c r="U117" s="20">
        <f t="shared" si="48"/>
        <v>18.538</v>
      </c>
      <c r="V117" s="20">
        <f t="shared" si="48"/>
        <v>8.97</v>
      </c>
      <c r="W117" s="20">
        <f t="shared" si="48"/>
        <v>0</v>
      </c>
      <c r="X117" s="20">
        <f t="shared" si="48"/>
        <v>0</v>
      </c>
      <c r="Y117" s="179">
        <f t="shared" si="48"/>
        <v>0</v>
      </c>
    </row>
    <row r="118" spans="1:25">
      <c r="A118" s="3"/>
      <c r="B118" s="3" t="s">
        <v>2411</v>
      </c>
      <c r="C118" s="3" t="s">
        <v>1834</v>
      </c>
      <c r="D118" s="20">
        <v>4.3</v>
      </c>
      <c r="E118" s="20">
        <v>8.6</v>
      </c>
      <c r="F118" s="20">
        <v>18</v>
      </c>
      <c r="G118" s="20">
        <v>10.1</v>
      </c>
      <c r="H118" s="20">
        <v>20.8</v>
      </c>
      <c r="I118" s="20">
        <v>37.9</v>
      </c>
      <c r="J118" s="20">
        <v>2.7</v>
      </c>
      <c r="K118" s="20">
        <v>2</v>
      </c>
      <c r="L118" s="20">
        <v>0.8</v>
      </c>
      <c r="M118" s="20">
        <v>1.1</v>
      </c>
      <c r="N118" s="20">
        <v>1.7</v>
      </c>
      <c r="O118" s="20">
        <v>1.7</v>
      </c>
      <c r="P118" s="20">
        <v>4.2</v>
      </c>
      <c r="Q118" s="20"/>
      <c r="R118" s="20">
        <v>27.7</v>
      </c>
      <c r="S118" s="20">
        <v>93.7</v>
      </c>
      <c r="T118" s="20">
        <v>6.6</v>
      </c>
      <c r="U118" s="20"/>
      <c r="V118" s="20"/>
      <c r="W118" s="20">
        <v>14</v>
      </c>
      <c r="X118" s="20"/>
      <c r="Y118" s="179"/>
    </row>
    <row r="119" spans="1:25">
      <c r="A119" s="3"/>
      <c r="B119" s="3"/>
      <c r="C119" s="3" t="s">
        <v>834</v>
      </c>
      <c r="D119" s="20">
        <f>D86</f>
        <v>0.48</v>
      </c>
      <c r="E119" s="20">
        <f>D119</f>
        <v>0.48</v>
      </c>
      <c r="F119" s="20">
        <f t="shared" ref="F119:Y119" si="49">E119</f>
        <v>0.48</v>
      </c>
      <c r="G119" s="20">
        <f t="shared" si="49"/>
        <v>0.48</v>
      </c>
      <c r="H119" s="20">
        <f t="shared" si="49"/>
        <v>0.48</v>
      </c>
      <c r="I119" s="20">
        <f t="shared" si="49"/>
        <v>0.48</v>
      </c>
      <c r="J119" s="20">
        <f t="shared" si="49"/>
        <v>0.48</v>
      </c>
      <c r="K119" s="20">
        <f t="shared" si="49"/>
        <v>0.48</v>
      </c>
      <c r="L119" s="20">
        <f t="shared" si="49"/>
        <v>0.48</v>
      </c>
      <c r="M119" s="20">
        <f t="shared" si="49"/>
        <v>0.48</v>
      </c>
      <c r="N119" s="20">
        <f t="shared" si="49"/>
        <v>0.48</v>
      </c>
      <c r="O119" s="20">
        <f t="shared" si="49"/>
        <v>0.48</v>
      </c>
      <c r="P119" s="20">
        <f t="shared" si="49"/>
        <v>0.48</v>
      </c>
      <c r="Q119" s="20">
        <f t="shared" si="49"/>
        <v>0.48</v>
      </c>
      <c r="R119" s="20">
        <f t="shared" si="49"/>
        <v>0.48</v>
      </c>
      <c r="S119" s="20">
        <f t="shared" si="49"/>
        <v>0.48</v>
      </c>
      <c r="T119" s="20">
        <f t="shared" si="49"/>
        <v>0.48</v>
      </c>
      <c r="U119" s="20">
        <f t="shared" si="49"/>
        <v>0.48</v>
      </c>
      <c r="V119" s="20">
        <f t="shared" si="49"/>
        <v>0.48</v>
      </c>
      <c r="W119" s="20">
        <f t="shared" si="49"/>
        <v>0.48</v>
      </c>
      <c r="X119" s="20">
        <f t="shared" si="49"/>
        <v>0.48</v>
      </c>
      <c r="Y119" s="179">
        <f t="shared" si="49"/>
        <v>0.48</v>
      </c>
    </row>
    <row r="120" spans="1:25">
      <c r="A120" s="3"/>
      <c r="B120" s="3"/>
      <c r="C120" s="3" t="s">
        <v>2410</v>
      </c>
      <c r="D120" s="20">
        <f t="shared" ref="D120:Y120" si="50">D118*D119</f>
        <v>2.064</v>
      </c>
      <c r="E120" s="20">
        <f t="shared" si="50"/>
        <v>4.128</v>
      </c>
      <c r="F120" s="20">
        <f t="shared" si="50"/>
        <v>8.64</v>
      </c>
      <c r="G120" s="20">
        <f t="shared" si="50"/>
        <v>4.848</v>
      </c>
      <c r="H120" s="20">
        <f t="shared" si="50"/>
        <v>9.984</v>
      </c>
      <c r="I120" s="20">
        <f t="shared" si="50"/>
        <v>18.192</v>
      </c>
      <c r="J120" s="20">
        <f t="shared" si="50"/>
        <v>1.296</v>
      </c>
      <c r="K120" s="20">
        <f t="shared" si="50"/>
        <v>0.96</v>
      </c>
      <c r="L120" s="20">
        <f t="shared" si="50"/>
        <v>0.384</v>
      </c>
      <c r="M120" s="20">
        <f t="shared" si="50"/>
        <v>0.528</v>
      </c>
      <c r="N120" s="20">
        <f t="shared" si="50"/>
        <v>0.816</v>
      </c>
      <c r="O120" s="20">
        <f t="shared" si="50"/>
        <v>0.816</v>
      </c>
      <c r="P120" s="20">
        <f t="shared" si="50"/>
        <v>2.016</v>
      </c>
      <c r="Q120" s="20">
        <f t="shared" si="50"/>
        <v>0</v>
      </c>
      <c r="R120" s="20">
        <f t="shared" si="50"/>
        <v>13.296</v>
      </c>
      <c r="S120" s="20">
        <f t="shared" si="50"/>
        <v>44.976</v>
      </c>
      <c r="T120" s="20">
        <f t="shared" si="50"/>
        <v>3.168</v>
      </c>
      <c r="U120" s="20">
        <f t="shared" si="50"/>
        <v>0</v>
      </c>
      <c r="V120" s="20">
        <f t="shared" si="50"/>
        <v>0</v>
      </c>
      <c r="W120" s="20">
        <f t="shared" si="50"/>
        <v>6.72</v>
      </c>
      <c r="X120" s="20">
        <f t="shared" si="50"/>
        <v>0</v>
      </c>
      <c r="Y120" s="179">
        <f t="shared" si="50"/>
        <v>0</v>
      </c>
    </row>
    <row r="121" spans="1:25">
      <c r="A121" s="3"/>
      <c r="B121" s="3" t="s">
        <v>2412</v>
      </c>
      <c r="C121" s="3" t="s">
        <v>632</v>
      </c>
      <c r="D121" s="20"/>
      <c r="E121" s="20"/>
      <c r="F121" s="20"/>
      <c r="G121" s="20"/>
      <c r="H121" s="20"/>
      <c r="I121" s="20"/>
      <c r="J121" s="20">
        <v>526.6</v>
      </c>
      <c r="K121" s="20">
        <v>111.8</v>
      </c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179">
        <v>202.5</v>
      </c>
    </row>
    <row r="122" spans="1:25">
      <c r="A122" s="3"/>
      <c r="B122" s="3"/>
      <c r="C122" s="3" t="s">
        <v>834</v>
      </c>
      <c r="D122" s="20">
        <f>D89</f>
        <v>0.12</v>
      </c>
      <c r="E122" s="20">
        <f>D122</f>
        <v>0.12</v>
      </c>
      <c r="F122" s="20">
        <f t="shared" ref="F122:Y122" si="51">E122</f>
        <v>0.12</v>
      </c>
      <c r="G122" s="20">
        <f t="shared" si="51"/>
        <v>0.12</v>
      </c>
      <c r="H122" s="20">
        <f t="shared" si="51"/>
        <v>0.12</v>
      </c>
      <c r="I122" s="20">
        <f t="shared" si="51"/>
        <v>0.12</v>
      </c>
      <c r="J122" s="20">
        <f t="shared" si="51"/>
        <v>0.12</v>
      </c>
      <c r="K122" s="20">
        <f t="shared" si="51"/>
        <v>0.12</v>
      </c>
      <c r="L122" s="20">
        <f t="shared" si="51"/>
        <v>0.12</v>
      </c>
      <c r="M122" s="20">
        <f t="shared" si="51"/>
        <v>0.12</v>
      </c>
      <c r="N122" s="20">
        <f t="shared" si="51"/>
        <v>0.12</v>
      </c>
      <c r="O122" s="20">
        <f t="shared" si="51"/>
        <v>0.12</v>
      </c>
      <c r="P122" s="20">
        <f t="shared" si="51"/>
        <v>0.12</v>
      </c>
      <c r="Q122" s="20">
        <f t="shared" si="51"/>
        <v>0.12</v>
      </c>
      <c r="R122" s="20">
        <f t="shared" si="51"/>
        <v>0.12</v>
      </c>
      <c r="S122" s="20">
        <f t="shared" si="51"/>
        <v>0.12</v>
      </c>
      <c r="T122" s="20">
        <f t="shared" si="51"/>
        <v>0.12</v>
      </c>
      <c r="U122" s="20">
        <f t="shared" si="51"/>
        <v>0.12</v>
      </c>
      <c r="V122" s="20">
        <f t="shared" si="51"/>
        <v>0.12</v>
      </c>
      <c r="W122" s="20">
        <f t="shared" si="51"/>
        <v>0.12</v>
      </c>
      <c r="X122" s="20">
        <f t="shared" si="51"/>
        <v>0.12</v>
      </c>
      <c r="Y122" s="179">
        <f t="shared" si="51"/>
        <v>0.12</v>
      </c>
    </row>
    <row r="123" spans="1:25">
      <c r="A123" s="3"/>
      <c r="B123" s="3"/>
      <c r="C123" s="3" t="s">
        <v>2410</v>
      </c>
      <c r="D123" s="20">
        <f t="shared" ref="D123:Y123" si="52">D121*D122</f>
        <v>0</v>
      </c>
      <c r="E123" s="20">
        <f t="shared" si="52"/>
        <v>0</v>
      </c>
      <c r="F123" s="20">
        <f t="shared" si="52"/>
        <v>0</v>
      </c>
      <c r="G123" s="20">
        <f t="shared" si="52"/>
        <v>0</v>
      </c>
      <c r="H123" s="20">
        <f t="shared" si="52"/>
        <v>0</v>
      </c>
      <c r="I123" s="20">
        <f t="shared" si="52"/>
        <v>0</v>
      </c>
      <c r="J123" s="20">
        <f t="shared" si="52"/>
        <v>63.192</v>
      </c>
      <c r="K123" s="20">
        <f t="shared" si="52"/>
        <v>13.416</v>
      </c>
      <c r="L123" s="20">
        <f t="shared" si="52"/>
        <v>0</v>
      </c>
      <c r="M123" s="20">
        <f t="shared" si="52"/>
        <v>0</v>
      </c>
      <c r="N123" s="20">
        <f t="shared" si="52"/>
        <v>0</v>
      </c>
      <c r="O123" s="20">
        <f t="shared" si="52"/>
        <v>0</v>
      </c>
      <c r="P123" s="20">
        <f t="shared" si="52"/>
        <v>0</v>
      </c>
      <c r="Q123" s="20">
        <f t="shared" si="52"/>
        <v>0</v>
      </c>
      <c r="R123" s="20">
        <f t="shared" si="52"/>
        <v>0</v>
      </c>
      <c r="S123" s="20">
        <f t="shared" si="52"/>
        <v>0</v>
      </c>
      <c r="T123" s="20">
        <f t="shared" si="52"/>
        <v>0</v>
      </c>
      <c r="U123" s="20">
        <f t="shared" si="52"/>
        <v>0</v>
      </c>
      <c r="V123" s="20">
        <f t="shared" si="52"/>
        <v>0</v>
      </c>
      <c r="W123" s="20">
        <f t="shared" si="52"/>
        <v>0</v>
      </c>
      <c r="X123" s="20">
        <f t="shared" si="52"/>
        <v>0</v>
      </c>
      <c r="Y123" s="179">
        <f t="shared" si="52"/>
        <v>24.3</v>
      </c>
    </row>
    <row r="124" spans="1:25">
      <c r="A124" s="3"/>
      <c r="B124" s="3" t="s">
        <v>2413</v>
      </c>
      <c r="C124" s="3" t="s">
        <v>632</v>
      </c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179">
        <v>4.1</v>
      </c>
    </row>
    <row r="125" spans="1:25">
      <c r="A125" s="3"/>
      <c r="B125" s="3"/>
      <c r="C125" s="3" t="s">
        <v>834</v>
      </c>
      <c r="D125" s="20">
        <f>D92</f>
        <v>3.88349514563107</v>
      </c>
      <c r="E125" s="20">
        <f>D125</f>
        <v>3.88349514563107</v>
      </c>
      <c r="F125" s="20">
        <f t="shared" ref="F125:Y125" si="53">E125</f>
        <v>3.88349514563107</v>
      </c>
      <c r="G125" s="20">
        <f t="shared" si="53"/>
        <v>3.88349514563107</v>
      </c>
      <c r="H125" s="20">
        <f t="shared" si="53"/>
        <v>3.88349514563107</v>
      </c>
      <c r="I125" s="20">
        <f t="shared" si="53"/>
        <v>3.88349514563107</v>
      </c>
      <c r="J125" s="20">
        <f t="shared" si="53"/>
        <v>3.88349514563107</v>
      </c>
      <c r="K125" s="20">
        <f t="shared" si="53"/>
        <v>3.88349514563107</v>
      </c>
      <c r="L125" s="20">
        <f t="shared" si="53"/>
        <v>3.88349514563107</v>
      </c>
      <c r="M125" s="20">
        <f t="shared" si="53"/>
        <v>3.88349514563107</v>
      </c>
      <c r="N125" s="20">
        <f t="shared" si="53"/>
        <v>3.88349514563107</v>
      </c>
      <c r="O125" s="20">
        <f t="shared" si="53"/>
        <v>3.88349514563107</v>
      </c>
      <c r="P125" s="20">
        <f t="shared" si="53"/>
        <v>3.88349514563107</v>
      </c>
      <c r="Q125" s="20">
        <f t="shared" si="53"/>
        <v>3.88349514563107</v>
      </c>
      <c r="R125" s="20">
        <f t="shared" si="53"/>
        <v>3.88349514563107</v>
      </c>
      <c r="S125" s="20">
        <f t="shared" si="53"/>
        <v>3.88349514563107</v>
      </c>
      <c r="T125" s="20">
        <f t="shared" si="53"/>
        <v>3.88349514563107</v>
      </c>
      <c r="U125" s="20">
        <f t="shared" si="53"/>
        <v>3.88349514563107</v>
      </c>
      <c r="V125" s="20">
        <f t="shared" si="53"/>
        <v>3.88349514563107</v>
      </c>
      <c r="W125" s="20">
        <f t="shared" si="53"/>
        <v>3.88349514563107</v>
      </c>
      <c r="X125" s="20">
        <f t="shared" si="53"/>
        <v>3.88349514563107</v>
      </c>
      <c r="Y125" s="179">
        <f t="shared" si="53"/>
        <v>3.88349514563107</v>
      </c>
    </row>
    <row r="126" spans="1:25">
      <c r="A126" s="3"/>
      <c r="B126" s="3"/>
      <c r="C126" s="3" t="s">
        <v>2410</v>
      </c>
      <c r="D126" s="20">
        <f t="shared" ref="D126:Y126" si="54">D124*D125</f>
        <v>0</v>
      </c>
      <c r="E126" s="20">
        <f t="shared" si="54"/>
        <v>0</v>
      </c>
      <c r="F126" s="20">
        <f t="shared" si="54"/>
        <v>0</v>
      </c>
      <c r="G126" s="20">
        <f t="shared" si="54"/>
        <v>0</v>
      </c>
      <c r="H126" s="20">
        <f t="shared" si="54"/>
        <v>0</v>
      </c>
      <c r="I126" s="20">
        <f t="shared" si="54"/>
        <v>0</v>
      </c>
      <c r="J126" s="20">
        <f t="shared" si="54"/>
        <v>0</v>
      </c>
      <c r="K126" s="20">
        <f t="shared" si="54"/>
        <v>0</v>
      </c>
      <c r="L126" s="20">
        <f t="shared" si="54"/>
        <v>0</v>
      </c>
      <c r="M126" s="20">
        <f t="shared" si="54"/>
        <v>0</v>
      </c>
      <c r="N126" s="20">
        <f t="shared" si="54"/>
        <v>0</v>
      </c>
      <c r="O126" s="20">
        <f t="shared" si="54"/>
        <v>0</v>
      </c>
      <c r="P126" s="20">
        <f t="shared" si="54"/>
        <v>0</v>
      </c>
      <c r="Q126" s="20">
        <f t="shared" si="54"/>
        <v>0</v>
      </c>
      <c r="R126" s="20">
        <f t="shared" si="54"/>
        <v>0</v>
      </c>
      <c r="S126" s="20">
        <f t="shared" si="54"/>
        <v>0</v>
      </c>
      <c r="T126" s="20">
        <f t="shared" si="54"/>
        <v>0</v>
      </c>
      <c r="U126" s="20">
        <f t="shared" si="54"/>
        <v>0</v>
      </c>
      <c r="V126" s="20">
        <f t="shared" si="54"/>
        <v>0</v>
      </c>
      <c r="W126" s="20">
        <f t="shared" si="54"/>
        <v>0</v>
      </c>
      <c r="X126" s="20">
        <f t="shared" si="54"/>
        <v>0</v>
      </c>
      <c r="Y126" s="179">
        <f t="shared" si="54"/>
        <v>15.9223300970874</v>
      </c>
    </row>
    <row r="127" spans="1:25">
      <c r="A127" s="3"/>
      <c r="B127" s="3" t="s">
        <v>2414</v>
      </c>
      <c r="C127" s="3" t="s">
        <v>550</v>
      </c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179"/>
    </row>
    <row r="128" spans="1:25">
      <c r="A128" s="3"/>
      <c r="B128" s="3"/>
      <c r="C128" s="3" t="s">
        <v>834</v>
      </c>
      <c r="D128" s="20">
        <f>D95</f>
        <v>0</v>
      </c>
      <c r="E128" s="20">
        <f>D128</f>
        <v>0</v>
      </c>
      <c r="F128" s="20">
        <f t="shared" ref="F128:Y128" si="55">E128</f>
        <v>0</v>
      </c>
      <c r="G128" s="20">
        <f t="shared" si="55"/>
        <v>0</v>
      </c>
      <c r="H128" s="20">
        <f t="shared" si="55"/>
        <v>0</v>
      </c>
      <c r="I128" s="20">
        <f t="shared" si="55"/>
        <v>0</v>
      </c>
      <c r="J128" s="20">
        <f t="shared" si="55"/>
        <v>0</v>
      </c>
      <c r="K128" s="20">
        <f t="shared" si="55"/>
        <v>0</v>
      </c>
      <c r="L128" s="20">
        <f t="shared" si="55"/>
        <v>0</v>
      </c>
      <c r="M128" s="20">
        <f t="shared" si="55"/>
        <v>0</v>
      </c>
      <c r="N128" s="20">
        <f t="shared" si="55"/>
        <v>0</v>
      </c>
      <c r="O128" s="20">
        <f t="shared" si="55"/>
        <v>0</v>
      </c>
      <c r="P128" s="20">
        <f t="shared" si="55"/>
        <v>0</v>
      </c>
      <c r="Q128" s="20">
        <f t="shared" si="55"/>
        <v>0</v>
      </c>
      <c r="R128" s="20">
        <f t="shared" si="55"/>
        <v>0</v>
      </c>
      <c r="S128" s="20">
        <f t="shared" si="55"/>
        <v>0</v>
      </c>
      <c r="T128" s="20">
        <f t="shared" si="55"/>
        <v>0</v>
      </c>
      <c r="U128" s="20">
        <f t="shared" si="55"/>
        <v>0</v>
      </c>
      <c r="V128" s="20">
        <f t="shared" si="55"/>
        <v>0</v>
      </c>
      <c r="W128" s="20">
        <f t="shared" si="55"/>
        <v>0</v>
      </c>
      <c r="X128" s="20">
        <f t="shared" si="55"/>
        <v>0</v>
      </c>
      <c r="Y128" s="179">
        <f t="shared" si="55"/>
        <v>0</v>
      </c>
    </row>
    <row r="129" spans="1:25">
      <c r="A129" s="3"/>
      <c r="B129" s="3"/>
      <c r="C129" s="3" t="s">
        <v>2410</v>
      </c>
      <c r="D129" s="20">
        <f t="shared" ref="D129:Y129" si="56">D127*D128</f>
        <v>0</v>
      </c>
      <c r="E129" s="20">
        <f t="shared" si="56"/>
        <v>0</v>
      </c>
      <c r="F129" s="20">
        <f t="shared" si="56"/>
        <v>0</v>
      </c>
      <c r="G129" s="20">
        <f t="shared" si="56"/>
        <v>0</v>
      </c>
      <c r="H129" s="20">
        <f t="shared" si="56"/>
        <v>0</v>
      </c>
      <c r="I129" s="20">
        <f t="shared" si="56"/>
        <v>0</v>
      </c>
      <c r="J129" s="20">
        <f t="shared" si="56"/>
        <v>0</v>
      </c>
      <c r="K129" s="20">
        <f t="shared" si="56"/>
        <v>0</v>
      </c>
      <c r="L129" s="20">
        <f t="shared" si="56"/>
        <v>0</v>
      </c>
      <c r="M129" s="20">
        <f t="shared" si="56"/>
        <v>0</v>
      </c>
      <c r="N129" s="20">
        <f t="shared" si="56"/>
        <v>0</v>
      </c>
      <c r="O129" s="20">
        <f t="shared" si="56"/>
        <v>0</v>
      </c>
      <c r="P129" s="20">
        <f t="shared" si="56"/>
        <v>0</v>
      </c>
      <c r="Q129" s="20">
        <f t="shared" si="56"/>
        <v>0</v>
      </c>
      <c r="R129" s="20">
        <f t="shared" si="56"/>
        <v>0</v>
      </c>
      <c r="S129" s="20">
        <f t="shared" si="56"/>
        <v>0</v>
      </c>
      <c r="T129" s="20">
        <f t="shared" si="56"/>
        <v>0</v>
      </c>
      <c r="U129" s="20">
        <f t="shared" si="56"/>
        <v>0</v>
      </c>
      <c r="V129" s="20">
        <f t="shared" si="56"/>
        <v>0</v>
      </c>
      <c r="W129" s="20">
        <f t="shared" si="56"/>
        <v>0</v>
      </c>
      <c r="X129" s="20">
        <f t="shared" si="56"/>
        <v>0</v>
      </c>
      <c r="Y129" s="179">
        <f t="shared" si="56"/>
        <v>0</v>
      </c>
    </row>
    <row r="130" ht="20.25" spans="1:25">
      <c r="A130" s="156"/>
      <c r="B130" s="156" t="s">
        <v>1321</v>
      </c>
      <c r="C130" s="156" t="s">
        <v>114</v>
      </c>
      <c r="D130" s="157">
        <f t="shared" ref="D130:Y130" si="57">D111+D114+D117+D120+D123+D126+D129</f>
        <v>12.594478132316</v>
      </c>
      <c r="E130" s="157">
        <f t="shared" si="57"/>
        <v>14.658478132316</v>
      </c>
      <c r="F130" s="157">
        <f t="shared" si="57"/>
        <v>19.170478132316</v>
      </c>
      <c r="G130" s="157">
        <f t="shared" si="57"/>
        <v>15.378478132316</v>
      </c>
      <c r="H130" s="157">
        <f t="shared" si="57"/>
        <v>20.514478132316</v>
      </c>
      <c r="I130" s="157">
        <f t="shared" si="57"/>
        <v>28.722478132316</v>
      </c>
      <c r="J130" s="157">
        <f t="shared" si="57"/>
        <v>83.9288827058142</v>
      </c>
      <c r="K130" s="157">
        <f t="shared" si="57"/>
        <v>24.906478132316</v>
      </c>
      <c r="L130" s="157">
        <f t="shared" si="57"/>
        <v>0.384</v>
      </c>
      <c r="M130" s="157">
        <f t="shared" si="57"/>
        <v>0.528</v>
      </c>
      <c r="N130" s="157">
        <f t="shared" si="57"/>
        <v>0.816</v>
      </c>
      <c r="O130" s="157">
        <f t="shared" si="57"/>
        <v>0.816</v>
      </c>
      <c r="P130" s="157">
        <f t="shared" si="57"/>
        <v>2.016</v>
      </c>
      <c r="Q130" s="157">
        <f t="shared" si="57"/>
        <v>14.417478132316</v>
      </c>
      <c r="R130" s="157">
        <f t="shared" si="57"/>
        <v>23.826478132316</v>
      </c>
      <c r="S130" s="157">
        <f t="shared" si="57"/>
        <v>511.020317102762</v>
      </c>
      <c r="T130" s="157">
        <f t="shared" si="57"/>
        <v>13.698478132316</v>
      </c>
      <c r="U130" s="157">
        <f t="shared" si="57"/>
        <v>29.068478132316</v>
      </c>
      <c r="V130" s="157">
        <f t="shared" si="57"/>
        <v>19.500478132316</v>
      </c>
      <c r="W130" s="157">
        <f t="shared" si="57"/>
        <v>17.250478132316</v>
      </c>
      <c r="X130" s="157">
        <f t="shared" si="57"/>
        <v>0</v>
      </c>
      <c r="Y130" s="180">
        <f t="shared" si="57"/>
        <v>40.2223300970874</v>
      </c>
    </row>
    <row r="131" ht="20.25" spans="1:25">
      <c r="A131" s="156" t="s">
        <v>463</v>
      </c>
      <c r="B131" s="156"/>
      <c r="C131" s="156" t="s">
        <v>114</v>
      </c>
      <c r="D131" s="157">
        <f t="shared" ref="D131:Y131" si="58">D130+D108</f>
        <v>16.239133098411</v>
      </c>
      <c r="E131" s="157">
        <f t="shared" si="58"/>
        <v>23.4884302663407</v>
      </c>
      <c r="F131" s="157">
        <f t="shared" si="58"/>
        <v>30.1176859504253</v>
      </c>
      <c r="G131" s="157">
        <f t="shared" si="58"/>
        <v>23.0409591853675</v>
      </c>
      <c r="H131" s="157">
        <f t="shared" si="58"/>
        <v>31.2037681203495</v>
      </c>
      <c r="I131" s="157">
        <f t="shared" si="58"/>
        <v>44.721453002679</v>
      </c>
      <c r="J131" s="157">
        <f t="shared" si="58"/>
        <v>88.6817586531616</v>
      </c>
      <c r="K131" s="157">
        <f t="shared" si="58"/>
        <v>33.9263345343902</v>
      </c>
      <c r="L131" s="157">
        <f t="shared" si="58"/>
        <v>1.78152692461109</v>
      </c>
      <c r="M131" s="157">
        <f t="shared" si="58"/>
        <v>2.62285440765856</v>
      </c>
      <c r="N131" s="157">
        <f t="shared" si="58"/>
        <v>2.99198723573993</v>
      </c>
      <c r="O131" s="157">
        <f t="shared" si="58"/>
        <v>2.32752772237734</v>
      </c>
      <c r="P131" s="157">
        <f t="shared" si="58"/>
        <v>7.55832149980056</v>
      </c>
      <c r="Q131" s="157">
        <f t="shared" si="58"/>
        <v>20.8489101227428</v>
      </c>
      <c r="R131" s="157">
        <f t="shared" si="58"/>
        <v>44.3007701147652</v>
      </c>
      <c r="S131" s="157">
        <f t="shared" si="58"/>
        <v>599.659778610541</v>
      </c>
      <c r="T131" s="157">
        <f t="shared" si="58"/>
        <v>18.6396269157225</v>
      </c>
      <c r="U131" s="157">
        <f t="shared" si="58"/>
        <v>63.2658614590013</v>
      </c>
      <c r="V131" s="157">
        <f t="shared" si="58"/>
        <v>27.5477417940631</v>
      </c>
      <c r="W131" s="157">
        <f t="shared" si="58"/>
        <v>21.5839444266918</v>
      </c>
      <c r="X131" s="157">
        <f t="shared" si="58"/>
        <v>2.29190267251695</v>
      </c>
      <c r="Y131" s="180">
        <f t="shared" si="58"/>
        <v>40.8163468501787</v>
      </c>
    </row>
    <row r="132" ht="20.25" spans="1:25">
      <c r="A132" s="156" t="s">
        <v>458</v>
      </c>
      <c r="B132" s="156"/>
      <c r="C132" s="156"/>
      <c r="D132" s="156">
        <v>2001</v>
      </c>
      <c r="E132" s="156">
        <v>2002</v>
      </c>
      <c r="F132" s="156">
        <v>2003</v>
      </c>
      <c r="G132" s="156">
        <v>2004</v>
      </c>
      <c r="H132" s="156">
        <v>2005</v>
      </c>
      <c r="I132" s="156">
        <v>2006</v>
      </c>
      <c r="J132" s="156">
        <v>2007</v>
      </c>
      <c r="K132" s="156">
        <v>2008</v>
      </c>
      <c r="L132" s="156">
        <v>2009</v>
      </c>
      <c r="M132" s="156">
        <v>2010</v>
      </c>
      <c r="N132" s="156">
        <v>2011</v>
      </c>
      <c r="O132" s="156">
        <v>2012</v>
      </c>
      <c r="P132" s="156">
        <v>2013</v>
      </c>
      <c r="Q132" s="156">
        <v>2014</v>
      </c>
      <c r="R132" s="156">
        <v>2015</v>
      </c>
      <c r="S132" s="156">
        <v>2016</v>
      </c>
      <c r="T132" s="156">
        <v>2017</v>
      </c>
      <c r="U132" s="156">
        <v>2018</v>
      </c>
      <c r="V132" s="156">
        <v>2019</v>
      </c>
      <c r="W132" s="156">
        <v>2020</v>
      </c>
      <c r="X132" s="156">
        <v>2021</v>
      </c>
      <c r="Y132" s="181">
        <v>2022</v>
      </c>
    </row>
    <row r="133" s="122" customFormat="1" ht="15" spans="1:25">
      <c r="A133" s="154" t="s">
        <v>2121</v>
      </c>
      <c r="B133" s="154"/>
      <c r="Y133" s="168"/>
    </row>
    <row r="134" spans="1:26">
      <c r="A134" s="3" t="s">
        <v>2388</v>
      </c>
      <c r="B134" s="3"/>
      <c r="C134" s="3" t="s">
        <v>55</v>
      </c>
      <c r="D134" s="3" t="s">
        <v>2122</v>
      </c>
      <c r="E134" s="3"/>
      <c r="F134" s="3"/>
      <c r="G134" s="3" t="s">
        <v>2125</v>
      </c>
      <c r="H134" s="3"/>
      <c r="I134" s="3"/>
      <c r="J134" s="3"/>
      <c r="K134" s="3"/>
      <c r="L134" s="3"/>
      <c r="M134" s="3"/>
      <c r="N134" s="3"/>
      <c r="O134" s="3" t="s">
        <v>2132</v>
      </c>
      <c r="P134" s="3"/>
      <c r="Q134" s="3"/>
      <c r="R134" s="3"/>
      <c r="S134" s="3"/>
      <c r="T134" s="3"/>
      <c r="U134" s="3" t="s">
        <v>2458</v>
      </c>
      <c r="V134" s="3"/>
      <c r="W134" s="3"/>
      <c r="X134" s="3"/>
      <c r="Y134" s="3"/>
      <c r="Z134" s="3"/>
    </row>
    <row r="135" spans="1:2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3"/>
      <c r="D136" s="3" t="s">
        <v>2459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 t="s">
        <v>2460</v>
      </c>
      <c r="V136" s="3"/>
      <c r="W136" s="3"/>
      <c r="X136" s="3"/>
      <c r="Y136" s="3"/>
      <c r="Z136" s="3"/>
    </row>
    <row r="137" spans="1:26">
      <c r="A137" s="3"/>
      <c r="B137" s="3"/>
      <c r="C137" s="3"/>
      <c r="D137" s="20">
        <v>4</v>
      </c>
      <c r="E137" s="3">
        <v>5</v>
      </c>
      <c r="F137" s="3">
        <v>10</v>
      </c>
      <c r="G137" s="3">
        <v>3.5</v>
      </c>
      <c r="H137" s="3">
        <v>5</v>
      </c>
      <c r="I137" s="3">
        <v>8</v>
      </c>
      <c r="J137" s="3">
        <v>10</v>
      </c>
      <c r="K137" s="3">
        <v>12</v>
      </c>
      <c r="L137" s="3">
        <v>15</v>
      </c>
      <c r="M137" s="3">
        <v>18</v>
      </c>
      <c r="N137" s="3">
        <v>20</v>
      </c>
      <c r="O137" s="3">
        <v>10</v>
      </c>
      <c r="P137" s="3">
        <v>20</v>
      </c>
      <c r="Q137" s="3">
        <v>30</v>
      </c>
      <c r="R137" s="3">
        <v>40</v>
      </c>
      <c r="S137" s="3">
        <v>60</v>
      </c>
      <c r="T137" s="3">
        <v>80</v>
      </c>
      <c r="U137" s="3">
        <v>10</v>
      </c>
      <c r="V137" s="3">
        <v>20</v>
      </c>
      <c r="W137" s="3">
        <v>30</v>
      </c>
      <c r="X137" s="3">
        <v>40</v>
      </c>
      <c r="Y137" s="125">
        <v>60</v>
      </c>
      <c r="Z137" s="3">
        <v>80</v>
      </c>
    </row>
    <row r="138" spans="1:26">
      <c r="A138" s="3" t="s">
        <v>2400</v>
      </c>
      <c r="B138" s="3" t="s">
        <v>2401</v>
      </c>
      <c r="C138" s="3" t="s">
        <v>114</v>
      </c>
      <c r="D138" s="20">
        <f>7.04/$AA$6</f>
        <v>6.12173913043478</v>
      </c>
      <c r="E138" s="20">
        <f>7.77/$AA$6</f>
        <v>6.75652173913044</v>
      </c>
      <c r="F138" s="20">
        <f>20.95/$AA$6</f>
        <v>18.2173913043478</v>
      </c>
      <c r="G138" s="20">
        <f>7.91/$AA$6</f>
        <v>6.87826086956522</v>
      </c>
      <c r="H138" s="20">
        <f>10.73/$AA$6</f>
        <v>9.3304347826087</v>
      </c>
      <c r="I138" s="20">
        <f>22.59/$AA$6</f>
        <v>19.6434782608696</v>
      </c>
      <c r="J138" s="20">
        <f>30.49/$AA$6</f>
        <v>26.5130434782609</v>
      </c>
      <c r="K138" s="20">
        <f>34.13/$AA$6</f>
        <v>29.6782608695652</v>
      </c>
      <c r="L138" s="20">
        <f>42.67/$AA$6</f>
        <v>37.104347826087</v>
      </c>
      <c r="M138" s="20">
        <f>48/$AA$6</f>
        <v>41.7391304347826</v>
      </c>
      <c r="N138" s="20">
        <f>50.53/$AA$6</f>
        <v>43.9391304347826</v>
      </c>
      <c r="O138" s="20">
        <f>5.5/$AA$6</f>
        <v>4.78260869565217</v>
      </c>
      <c r="P138" s="20">
        <f>7.93/$AA$6</f>
        <v>6.89565217391304</v>
      </c>
      <c r="Q138" s="20">
        <f>11.94/$AA$6</f>
        <v>10.3826086956522</v>
      </c>
      <c r="R138" s="20">
        <f>19.2/$AA$6</f>
        <v>16.695652173913</v>
      </c>
      <c r="S138" s="20">
        <f>29.6/$AA$6</f>
        <v>25.7391304347826</v>
      </c>
      <c r="T138" s="20">
        <f>48/$AA$6</f>
        <v>41.7391304347826</v>
      </c>
      <c r="U138" s="20">
        <f>10.91/$AA$6</f>
        <v>9.48695652173913</v>
      </c>
      <c r="V138" s="20">
        <f>21.38/$AA$6</f>
        <v>18.5913043478261</v>
      </c>
      <c r="W138" s="20">
        <f>30.55/$AA$6</f>
        <v>26.5652173913044</v>
      </c>
      <c r="X138" s="20">
        <f>40.23/$AA$6</f>
        <v>34.9826086956522</v>
      </c>
      <c r="Y138" s="20">
        <f>82.92/$AA$6</f>
        <v>72.104347826087</v>
      </c>
      <c r="Z138" s="20">
        <f>106.02/$AA$6</f>
        <v>92.1913043478261</v>
      </c>
    </row>
    <row r="139" spans="1:26">
      <c r="A139" s="3"/>
      <c r="B139" s="3" t="s">
        <v>2403</v>
      </c>
      <c r="C139" s="3" t="s">
        <v>114</v>
      </c>
      <c r="D139" s="20">
        <f>9.84/$AA$7</f>
        <v>9.02752293577982</v>
      </c>
      <c r="E139" s="20">
        <f>10.86/$AA$7</f>
        <v>9.96330275229358</v>
      </c>
      <c r="F139" s="20">
        <f>20.82/$AA$7</f>
        <v>19.1009174311927</v>
      </c>
      <c r="G139" s="20">
        <f>3.95/$AA$7</f>
        <v>3.62385321100917</v>
      </c>
      <c r="H139" s="20">
        <f>5.37/$AA$7</f>
        <v>4.92660550458716</v>
      </c>
      <c r="I139" s="20">
        <f>13.55/$AA$7</f>
        <v>12.4311926605505</v>
      </c>
      <c r="J139" s="20">
        <f>18.3/$AA$7</f>
        <v>16.7889908256881</v>
      </c>
      <c r="K139" s="20">
        <f>23.89/$AA$7</f>
        <v>21.9174311926605</v>
      </c>
      <c r="L139" s="20">
        <f>29.89/$AA$7</f>
        <v>27.4220183486239</v>
      </c>
      <c r="M139" s="20">
        <f>31.2/$AA$7</f>
        <v>28.6238532110092</v>
      </c>
      <c r="N139" s="20">
        <f>32.84/$AA$7</f>
        <v>30.1284403669725</v>
      </c>
      <c r="O139" s="20">
        <f>4.75/$AA$7</f>
        <v>4.35779816513761</v>
      </c>
      <c r="P139" s="20">
        <f>6.85/$AA$7</f>
        <v>6.28440366972477</v>
      </c>
      <c r="Q139" s="20">
        <f>7.93/$AA$7</f>
        <v>7.27522935779816</v>
      </c>
      <c r="R139" s="20">
        <f>13.31/$AA$7</f>
        <v>12.2110091743119</v>
      </c>
      <c r="S139" s="20">
        <f>20.52/$AA$7</f>
        <v>18.8256880733945</v>
      </c>
      <c r="T139" s="20">
        <f>31.62/$AA$7</f>
        <v>29.0091743119266</v>
      </c>
      <c r="U139" s="20">
        <f>11.44/$AA$7</f>
        <v>10.4954128440367</v>
      </c>
      <c r="V139" s="20">
        <f>14.11/$AA$7</f>
        <v>12.9449541284404</v>
      </c>
      <c r="W139" s="20">
        <f>19.15/$AA$7</f>
        <v>17.5688073394495</v>
      </c>
      <c r="X139" s="20">
        <f>24.35/$AA$7</f>
        <v>22.3394495412844</v>
      </c>
      <c r="Y139" s="20">
        <f>52.35/$AA$7</f>
        <v>48.0275229357798</v>
      </c>
      <c r="Z139" s="20">
        <f>60.49/$AA$7</f>
        <v>55.4954128440367</v>
      </c>
    </row>
    <row r="140" spans="1:26">
      <c r="A140" s="3"/>
      <c r="B140" s="3" t="s">
        <v>2405</v>
      </c>
      <c r="C140" s="3" t="s">
        <v>114</v>
      </c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ht="20.25" spans="1:26">
      <c r="A141" s="156"/>
      <c r="B141" s="156" t="s">
        <v>1321</v>
      </c>
      <c r="C141" s="156" t="s">
        <v>114</v>
      </c>
      <c r="D141" s="157">
        <f t="shared" ref="D141:Z141" si="59">SUM(D138:D140)</f>
        <v>15.1492620662146</v>
      </c>
      <c r="E141" s="157">
        <f t="shared" si="59"/>
        <v>16.719824491424</v>
      </c>
      <c r="F141" s="157">
        <f t="shared" si="59"/>
        <v>37.3183087355405</v>
      </c>
      <c r="G141" s="157">
        <f t="shared" si="59"/>
        <v>10.5021140805744</v>
      </c>
      <c r="H141" s="157">
        <f t="shared" si="59"/>
        <v>14.2570402871959</v>
      </c>
      <c r="I141" s="157">
        <f t="shared" si="59"/>
        <v>32.07467092142</v>
      </c>
      <c r="J141" s="157">
        <f t="shared" si="59"/>
        <v>43.3020343039489</v>
      </c>
      <c r="K141" s="157">
        <f t="shared" si="59"/>
        <v>51.5956920622258</v>
      </c>
      <c r="L141" s="157">
        <f t="shared" si="59"/>
        <v>64.5263661747108</v>
      </c>
      <c r="M141" s="157">
        <f t="shared" si="59"/>
        <v>70.3629836457918</v>
      </c>
      <c r="N141" s="157">
        <f t="shared" si="59"/>
        <v>74.0675708017551</v>
      </c>
      <c r="O141" s="157">
        <f t="shared" si="59"/>
        <v>9.14040686078979</v>
      </c>
      <c r="P141" s="157">
        <f t="shared" si="59"/>
        <v>13.1800558436378</v>
      </c>
      <c r="Q141" s="157">
        <f t="shared" si="59"/>
        <v>17.6578380534503</v>
      </c>
      <c r="R141" s="157">
        <f t="shared" si="59"/>
        <v>28.906661348225</v>
      </c>
      <c r="S141" s="157">
        <f t="shared" si="59"/>
        <v>44.5648185081771</v>
      </c>
      <c r="T141" s="157">
        <f t="shared" si="59"/>
        <v>70.7483047467092</v>
      </c>
      <c r="U141" s="157">
        <f t="shared" si="59"/>
        <v>19.9823693657758</v>
      </c>
      <c r="V141" s="157">
        <f t="shared" si="59"/>
        <v>31.5362584762665</v>
      </c>
      <c r="W141" s="157">
        <f t="shared" si="59"/>
        <v>44.1340247307539</v>
      </c>
      <c r="X141" s="157">
        <f t="shared" si="59"/>
        <v>57.3220582369366</v>
      </c>
      <c r="Y141" s="157">
        <f t="shared" si="59"/>
        <v>120.131870761867</v>
      </c>
      <c r="Z141" s="157">
        <f t="shared" si="59"/>
        <v>147.686717191863</v>
      </c>
    </row>
    <row r="142" spans="1:26">
      <c r="A142" s="3" t="s">
        <v>2408</v>
      </c>
      <c r="B142" s="3" t="s">
        <v>600</v>
      </c>
      <c r="C142" s="3" t="s">
        <v>2409</v>
      </c>
      <c r="D142" s="20">
        <v>1.3</v>
      </c>
      <c r="E142" s="20">
        <v>1.3</v>
      </c>
      <c r="F142" s="20">
        <v>1.3</v>
      </c>
      <c r="G142" s="20">
        <v>1.3</v>
      </c>
      <c r="H142" s="20">
        <v>1.3</v>
      </c>
      <c r="I142" s="20">
        <v>1.3</v>
      </c>
      <c r="J142" s="20">
        <v>1.3</v>
      </c>
      <c r="K142" s="20">
        <v>1.3</v>
      </c>
      <c r="L142" s="20">
        <v>1.3</v>
      </c>
      <c r="M142" s="20">
        <v>1.3</v>
      </c>
      <c r="N142" s="20">
        <v>1.3</v>
      </c>
      <c r="O142" s="20"/>
      <c r="P142" s="20"/>
      <c r="Q142" s="20"/>
      <c r="R142" s="20"/>
      <c r="S142" s="20"/>
      <c r="T142" s="20"/>
      <c r="U142" s="20">
        <v>1.3</v>
      </c>
      <c r="V142" s="20">
        <v>1.3</v>
      </c>
      <c r="W142" s="20">
        <v>2.7</v>
      </c>
      <c r="X142" s="20">
        <v>2.7</v>
      </c>
      <c r="Y142" s="20">
        <v>2.7</v>
      </c>
      <c r="Z142" s="20">
        <v>2.7</v>
      </c>
    </row>
    <row r="143" spans="1:26">
      <c r="A143" s="3"/>
      <c r="B143" s="3"/>
      <c r="C143" s="3" t="s">
        <v>834</v>
      </c>
      <c r="D143" s="20">
        <f>D110</f>
        <v>8.10036779408924</v>
      </c>
      <c r="E143" s="20">
        <f>D143</f>
        <v>8.10036779408924</v>
      </c>
      <c r="F143" s="20">
        <f>E143</f>
        <v>8.10036779408924</v>
      </c>
      <c r="G143" s="20">
        <f t="shared" ref="G143:Z143" si="60">F143</f>
        <v>8.10036779408924</v>
      </c>
      <c r="H143" s="20">
        <f t="shared" si="60"/>
        <v>8.10036779408924</v>
      </c>
      <c r="I143" s="20">
        <f t="shared" si="60"/>
        <v>8.10036779408924</v>
      </c>
      <c r="J143" s="20">
        <f t="shared" si="60"/>
        <v>8.10036779408924</v>
      </c>
      <c r="K143" s="20">
        <f t="shared" si="60"/>
        <v>8.10036779408924</v>
      </c>
      <c r="L143" s="20">
        <f t="shared" si="60"/>
        <v>8.10036779408924</v>
      </c>
      <c r="M143" s="20">
        <f t="shared" si="60"/>
        <v>8.10036779408924</v>
      </c>
      <c r="N143" s="20">
        <f t="shared" si="60"/>
        <v>8.10036779408924</v>
      </c>
      <c r="O143" s="20">
        <f t="shared" si="60"/>
        <v>8.10036779408924</v>
      </c>
      <c r="P143" s="20">
        <f t="shared" si="60"/>
        <v>8.10036779408924</v>
      </c>
      <c r="Q143" s="20">
        <f t="shared" si="60"/>
        <v>8.10036779408924</v>
      </c>
      <c r="R143" s="20">
        <f t="shared" si="60"/>
        <v>8.10036779408924</v>
      </c>
      <c r="S143" s="20">
        <f t="shared" si="60"/>
        <v>8.10036779408924</v>
      </c>
      <c r="T143" s="20">
        <f t="shared" si="60"/>
        <v>8.10036779408924</v>
      </c>
      <c r="U143" s="20">
        <f t="shared" si="60"/>
        <v>8.10036779408924</v>
      </c>
      <c r="V143" s="20">
        <f t="shared" si="60"/>
        <v>8.10036779408924</v>
      </c>
      <c r="W143" s="20">
        <f t="shared" si="60"/>
        <v>8.10036779408924</v>
      </c>
      <c r="X143" s="20">
        <f t="shared" si="60"/>
        <v>8.10036779408924</v>
      </c>
      <c r="Y143" s="20">
        <f t="shared" si="60"/>
        <v>8.10036779408924</v>
      </c>
      <c r="Z143" s="20">
        <f t="shared" si="60"/>
        <v>8.10036779408924</v>
      </c>
    </row>
    <row r="144" spans="1:26">
      <c r="A144" s="3"/>
      <c r="B144" s="3"/>
      <c r="C144" s="3" t="s">
        <v>2410</v>
      </c>
      <c r="D144" s="20">
        <f t="shared" ref="D144:Z144" si="61">D142*D143</f>
        <v>10.530478132316</v>
      </c>
      <c r="E144" s="20">
        <f t="shared" si="61"/>
        <v>10.530478132316</v>
      </c>
      <c r="F144" s="20">
        <f t="shared" si="61"/>
        <v>10.530478132316</v>
      </c>
      <c r="G144" s="20">
        <f t="shared" si="61"/>
        <v>10.530478132316</v>
      </c>
      <c r="H144" s="20">
        <f t="shared" si="61"/>
        <v>10.530478132316</v>
      </c>
      <c r="I144" s="20">
        <f t="shared" si="61"/>
        <v>10.530478132316</v>
      </c>
      <c r="J144" s="20">
        <f t="shared" si="61"/>
        <v>10.530478132316</v>
      </c>
      <c r="K144" s="20">
        <f t="shared" si="61"/>
        <v>10.530478132316</v>
      </c>
      <c r="L144" s="20">
        <f t="shared" si="61"/>
        <v>10.530478132316</v>
      </c>
      <c r="M144" s="20">
        <f t="shared" si="61"/>
        <v>10.530478132316</v>
      </c>
      <c r="N144" s="20">
        <f t="shared" si="61"/>
        <v>10.530478132316</v>
      </c>
      <c r="O144" s="20">
        <f t="shared" si="61"/>
        <v>0</v>
      </c>
      <c r="P144" s="20">
        <f t="shared" si="61"/>
        <v>0</v>
      </c>
      <c r="Q144" s="20">
        <f t="shared" si="61"/>
        <v>0</v>
      </c>
      <c r="R144" s="20">
        <f t="shared" si="61"/>
        <v>0</v>
      </c>
      <c r="S144" s="20">
        <f t="shared" si="61"/>
        <v>0</v>
      </c>
      <c r="T144" s="20">
        <f t="shared" si="61"/>
        <v>0</v>
      </c>
      <c r="U144" s="20">
        <f t="shared" si="61"/>
        <v>10.530478132316</v>
      </c>
      <c r="V144" s="20">
        <f t="shared" si="61"/>
        <v>10.530478132316</v>
      </c>
      <c r="W144" s="20">
        <f t="shared" si="61"/>
        <v>21.870993044041</v>
      </c>
      <c r="X144" s="20">
        <f t="shared" si="61"/>
        <v>21.870993044041</v>
      </c>
      <c r="Y144" s="20">
        <f t="shared" si="61"/>
        <v>21.870993044041</v>
      </c>
      <c r="Z144" s="20">
        <f t="shared" si="61"/>
        <v>21.870993044041</v>
      </c>
    </row>
    <row r="145" spans="1:26">
      <c r="A145" s="3"/>
      <c r="B145" s="3" t="s">
        <v>1825</v>
      </c>
      <c r="C145" s="3" t="s">
        <v>550</v>
      </c>
      <c r="D145" s="20">
        <v>7.2</v>
      </c>
      <c r="E145" s="20">
        <v>7.2</v>
      </c>
      <c r="F145" s="20"/>
      <c r="G145" s="20">
        <v>7.7</v>
      </c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>
        <v>7.1</v>
      </c>
      <c r="V145" s="20"/>
      <c r="W145" s="20"/>
      <c r="X145" s="20"/>
      <c r="Y145" s="20"/>
      <c r="Z145" s="20"/>
    </row>
    <row r="146" spans="1:26">
      <c r="A146" s="3"/>
      <c r="B146" s="3"/>
      <c r="C146" s="3" t="s">
        <v>834</v>
      </c>
      <c r="D146" s="20">
        <f>D113</f>
        <v>3.075</v>
      </c>
      <c r="E146" s="20">
        <f>D146</f>
        <v>3.075</v>
      </c>
      <c r="F146" s="20">
        <f>E146</f>
        <v>3.075</v>
      </c>
      <c r="G146" s="20">
        <f t="shared" ref="G146:Z146" si="62">F146</f>
        <v>3.075</v>
      </c>
      <c r="H146" s="20">
        <f t="shared" si="62"/>
        <v>3.075</v>
      </c>
      <c r="I146" s="20">
        <f t="shared" si="62"/>
        <v>3.075</v>
      </c>
      <c r="J146" s="20">
        <f t="shared" si="62"/>
        <v>3.075</v>
      </c>
      <c r="K146" s="20">
        <f t="shared" si="62"/>
        <v>3.075</v>
      </c>
      <c r="L146" s="20">
        <f t="shared" si="62"/>
        <v>3.075</v>
      </c>
      <c r="M146" s="20">
        <f t="shared" si="62"/>
        <v>3.075</v>
      </c>
      <c r="N146" s="20">
        <f t="shared" si="62"/>
        <v>3.075</v>
      </c>
      <c r="O146" s="20">
        <f t="shared" si="62"/>
        <v>3.075</v>
      </c>
      <c r="P146" s="20">
        <f t="shared" si="62"/>
        <v>3.075</v>
      </c>
      <c r="Q146" s="20">
        <f t="shared" si="62"/>
        <v>3.075</v>
      </c>
      <c r="R146" s="20">
        <f t="shared" si="62"/>
        <v>3.075</v>
      </c>
      <c r="S146" s="20">
        <f t="shared" si="62"/>
        <v>3.075</v>
      </c>
      <c r="T146" s="20">
        <f t="shared" si="62"/>
        <v>3.075</v>
      </c>
      <c r="U146" s="20">
        <f t="shared" si="62"/>
        <v>3.075</v>
      </c>
      <c r="V146" s="20">
        <f t="shared" si="62"/>
        <v>3.075</v>
      </c>
      <c r="W146" s="20">
        <f t="shared" si="62"/>
        <v>3.075</v>
      </c>
      <c r="X146" s="20">
        <f t="shared" si="62"/>
        <v>3.075</v>
      </c>
      <c r="Y146" s="20">
        <f t="shared" si="62"/>
        <v>3.075</v>
      </c>
      <c r="Z146" s="20">
        <f t="shared" si="62"/>
        <v>3.075</v>
      </c>
    </row>
    <row r="147" spans="1:26">
      <c r="A147" s="3"/>
      <c r="B147" s="3"/>
      <c r="C147" s="3" t="s">
        <v>2410</v>
      </c>
      <c r="D147" s="20">
        <f t="shared" ref="D147:Z147" si="63">D145*D146</f>
        <v>22.14</v>
      </c>
      <c r="E147" s="20">
        <f t="shared" si="63"/>
        <v>22.14</v>
      </c>
      <c r="F147" s="20">
        <f t="shared" si="63"/>
        <v>0</v>
      </c>
      <c r="G147" s="20">
        <f t="shared" si="63"/>
        <v>23.6775</v>
      </c>
      <c r="H147" s="20">
        <f t="shared" si="63"/>
        <v>0</v>
      </c>
      <c r="I147" s="20">
        <f t="shared" si="63"/>
        <v>0</v>
      </c>
      <c r="J147" s="20">
        <f t="shared" si="63"/>
        <v>0</v>
      </c>
      <c r="K147" s="20">
        <f t="shared" si="63"/>
        <v>0</v>
      </c>
      <c r="L147" s="20">
        <f t="shared" si="63"/>
        <v>0</v>
      </c>
      <c r="M147" s="20">
        <f t="shared" si="63"/>
        <v>0</v>
      </c>
      <c r="N147" s="20">
        <f t="shared" si="63"/>
        <v>0</v>
      </c>
      <c r="O147" s="20">
        <f t="shared" si="63"/>
        <v>0</v>
      </c>
      <c r="P147" s="20">
        <f t="shared" si="63"/>
        <v>0</v>
      </c>
      <c r="Q147" s="20">
        <f t="shared" si="63"/>
        <v>0</v>
      </c>
      <c r="R147" s="20">
        <f t="shared" si="63"/>
        <v>0</v>
      </c>
      <c r="S147" s="20">
        <f t="shared" si="63"/>
        <v>0</v>
      </c>
      <c r="T147" s="20">
        <f t="shared" si="63"/>
        <v>0</v>
      </c>
      <c r="U147" s="20">
        <f t="shared" si="63"/>
        <v>21.8325</v>
      </c>
      <c r="V147" s="20">
        <f t="shared" si="63"/>
        <v>0</v>
      </c>
      <c r="W147" s="20">
        <f t="shared" si="63"/>
        <v>0</v>
      </c>
      <c r="X147" s="20">
        <f t="shared" si="63"/>
        <v>0</v>
      </c>
      <c r="Y147" s="20">
        <f t="shared" si="63"/>
        <v>0</v>
      </c>
      <c r="Z147" s="20">
        <f t="shared" si="63"/>
        <v>0</v>
      </c>
    </row>
    <row r="148" spans="1:26">
      <c r="A148" s="3"/>
      <c r="B148" s="3" t="s">
        <v>1822</v>
      </c>
      <c r="C148" s="3" t="s">
        <v>550</v>
      </c>
      <c r="D148" s="20"/>
      <c r="E148" s="20"/>
      <c r="F148" s="20">
        <v>8.9</v>
      </c>
      <c r="G148" s="20"/>
      <c r="H148" s="20">
        <v>9.1</v>
      </c>
      <c r="I148" s="20">
        <v>10.2</v>
      </c>
      <c r="J148" s="20">
        <v>10.8</v>
      </c>
      <c r="K148" s="20">
        <v>12.4</v>
      </c>
      <c r="L148" s="20">
        <v>13.1</v>
      </c>
      <c r="M148" s="20">
        <v>14.9</v>
      </c>
      <c r="N148" s="20">
        <v>16.2</v>
      </c>
      <c r="O148" s="20"/>
      <c r="P148" s="20"/>
      <c r="Q148" s="20"/>
      <c r="R148" s="20"/>
      <c r="S148" s="20"/>
      <c r="T148" s="20"/>
      <c r="U148" s="20"/>
      <c r="V148" s="20">
        <v>8.3</v>
      </c>
      <c r="W148" s="20">
        <v>10.2</v>
      </c>
      <c r="X148" s="20">
        <v>10.9</v>
      </c>
      <c r="Y148" s="20">
        <v>14.8</v>
      </c>
      <c r="Z148" s="20">
        <v>17</v>
      </c>
    </row>
    <row r="149" spans="1:26">
      <c r="A149" s="3"/>
      <c r="B149" s="3"/>
      <c r="C149" s="3" t="s">
        <v>834</v>
      </c>
      <c r="D149" s="20">
        <f>D116</f>
        <v>2.99</v>
      </c>
      <c r="E149" s="20">
        <f>D149</f>
        <v>2.99</v>
      </c>
      <c r="F149" s="20">
        <f>E149</f>
        <v>2.99</v>
      </c>
      <c r="G149" s="20">
        <f t="shared" ref="G149:Z149" si="64">F149</f>
        <v>2.99</v>
      </c>
      <c r="H149" s="20">
        <f t="shared" si="64"/>
        <v>2.99</v>
      </c>
      <c r="I149" s="20">
        <f t="shared" si="64"/>
        <v>2.99</v>
      </c>
      <c r="J149" s="20">
        <f t="shared" si="64"/>
        <v>2.99</v>
      </c>
      <c r="K149" s="20">
        <f t="shared" si="64"/>
        <v>2.99</v>
      </c>
      <c r="L149" s="20">
        <f t="shared" si="64"/>
        <v>2.99</v>
      </c>
      <c r="M149" s="20">
        <f t="shared" si="64"/>
        <v>2.99</v>
      </c>
      <c r="N149" s="20">
        <f t="shared" si="64"/>
        <v>2.99</v>
      </c>
      <c r="O149" s="20">
        <f t="shared" si="64"/>
        <v>2.99</v>
      </c>
      <c r="P149" s="20">
        <f t="shared" si="64"/>
        <v>2.99</v>
      </c>
      <c r="Q149" s="20">
        <f t="shared" si="64"/>
        <v>2.99</v>
      </c>
      <c r="R149" s="20">
        <f t="shared" si="64"/>
        <v>2.99</v>
      </c>
      <c r="S149" s="20">
        <f t="shared" si="64"/>
        <v>2.99</v>
      </c>
      <c r="T149" s="20">
        <f t="shared" si="64"/>
        <v>2.99</v>
      </c>
      <c r="U149" s="20">
        <f t="shared" si="64"/>
        <v>2.99</v>
      </c>
      <c r="V149" s="20">
        <f t="shared" si="64"/>
        <v>2.99</v>
      </c>
      <c r="W149" s="20">
        <f t="shared" si="64"/>
        <v>2.99</v>
      </c>
      <c r="X149" s="20">
        <f t="shared" si="64"/>
        <v>2.99</v>
      </c>
      <c r="Y149" s="20">
        <f t="shared" si="64"/>
        <v>2.99</v>
      </c>
      <c r="Z149" s="20">
        <f t="shared" si="64"/>
        <v>2.99</v>
      </c>
    </row>
    <row r="150" spans="1:26">
      <c r="A150" s="3"/>
      <c r="B150" s="3"/>
      <c r="C150" s="3" t="s">
        <v>2410</v>
      </c>
      <c r="D150" s="20">
        <f t="shared" ref="D150:Z150" si="65">D148*D149</f>
        <v>0</v>
      </c>
      <c r="E150" s="20">
        <f t="shared" si="65"/>
        <v>0</v>
      </c>
      <c r="F150" s="20">
        <f t="shared" si="65"/>
        <v>26.611</v>
      </c>
      <c r="G150" s="20">
        <f t="shared" si="65"/>
        <v>0</v>
      </c>
      <c r="H150" s="20">
        <f t="shared" si="65"/>
        <v>27.209</v>
      </c>
      <c r="I150" s="20">
        <f t="shared" si="65"/>
        <v>30.498</v>
      </c>
      <c r="J150" s="20">
        <f t="shared" si="65"/>
        <v>32.292</v>
      </c>
      <c r="K150" s="20">
        <f t="shared" si="65"/>
        <v>37.076</v>
      </c>
      <c r="L150" s="20">
        <f t="shared" si="65"/>
        <v>39.169</v>
      </c>
      <c r="M150" s="20">
        <f t="shared" si="65"/>
        <v>44.551</v>
      </c>
      <c r="N150" s="20">
        <f t="shared" si="65"/>
        <v>48.438</v>
      </c>
      <c r="O150" s="20">
        <f t="shared" si="65"/>
        <v>0</v>
      </c>
      <c r="P150" s="20">
        <f t="shared" si="65"/>
        <v>0</v>
      </c>
      <c r="Q150" s="20">
        <f t="shared" si="65"/>
        <v>0</v>
      </c>
      <c r="R150" s="20">
        <f t="shared" si="65"/>
        <v>0</v>
      </c>
      <c r="S150" s="20">
        <f t="shared" si="65"/>
        <v>0</v>
      </c>
      <c r="T150" s="20">
        <f t="shared" si="65"/>
        <v>0</v>
      </c>
      <c r="U150" s="20">
        <f t="shared" si="65"/>
        <v>0</v>
      </c>
      <c r="V150" s="20">
        <f t="shared" si="65"/>
        <v>24.817</v>
      </c>
      <c r="W150" s="20">
        <f t="shared" si="65"/>
        <v>30.498</v>
      </c>
      <c r="X150" s="20">
        <f t="shared" si="65"/>
        <v>32.591</v>
      </c>
      <c r="Y150" s="20">
        <f t="shared" si="65"/>
        <v>44.252</v>
      </c>
      <c r="Z150" s="20">
        <f t="shared" si="65"/>
        <v>50.83</v>
      </c>
    </row>
    <row r="151" spans="1:26">
      <c r="A151" s="3"/>
      <c r="B151" s="3" t="s">
        <v>2411</v>
      </c>
      <c r="C151" s="3" t="s">
        <v>1834</v>
      </c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>
      <c r="A152" s="3"/>
      <c r="B152" s="3"/>
      <c r="C152" s="3" t="s">
        <v>834</v>
      </c>
      <c r="D152" s="20">
        <f>D119</f>
        <v>0.48</v>
      </c>
      <c r="E152" s="20">
        <f>D152</f>
        <v>0.48</v>
      </c>
      <c r="F152" s="20">
        <f>E152</f>
        <v>0.48</v>
      </c>
      <c r="G152" s="20">
        <f t="shared" ref="G152:Z152" si="66">F152</f>
        <v>0.48</v>
      </c>
      <c r="H152" s="20">
        <f t="shared" si="66"/>
        <v>0.48</v>
      </c>
      <c r="I152" s="20">
        <f t="shared" si="66"/>
        <v>0.48</v>
      </c>
      <c r="J152" s="20">
        <f t="shared" si="66"/>
        <v>0.48</v>
      </c>
      <c r="K152" s="20">
        <f t="shared" si="66"/>
        <v>0.48</v>
      </c>
      <c r="L152" s="20">
        <f t="shared" si="66"/>
        <v>0.48</v>
      </c>
      <c r="M152" s="20">
        <f t="shared" si="66"/>
        <v>0.48</v>
      </c>
      <c r="N152" s="20">
        <f t="shared" si="66"/>
        <v>0.48</v>
      </c>
      <c r="O152" s="20">
        <f t="shared" si="66"/>
        <v>0.48</v>
      </c>
      <c r="P152" s="20">
        <f t="shared" si="66"/>
        <v>0.48</v>
      </c>
      <c r="Q152" s="20">
        <f t="shared" si="66"/>
        <v>0.48</v>
      </c>
      <c r="R152" s="20">
        <f t="shared" si="66"/>
        <v>0.48</v>
      </c>
      <c r="S152" s="20">
        <f t="shared" si="66"/>
        <v>0.48</v>
      </c>
      <c r="T152" s="20">
        <f t="shared" si="66"/>
        <v>0.48</v>
      </c>
      <c r="U152" s="20">
        <f t="shared" si="66"/>
        <v>0.48</v>
      </c>
      <c r="V152" s="20">
        <f t="shared" si="66"/>
        <v>0.48</v>
      </c>
      <c r="W152" s="20">
        <f t="shared" si="66"/>
        <v>0.48</v>
      </c>
      <c r="X152" s="20">
        <f t="shared" si="66"/>
        <v>0.48</v>
      </c>
      <c r="Y152" s="20">
        <f t="shared" si="66"/>
        <v>0.48</v>
      </c>
      <c r="Z152" s="20">
        <f t="shared" si="66"/>
        <v>0.48</v>
      </c>
    </row>
    <row r="153" spans="1:26">
      <c r="A153" s="3"/>
      <c r="B153" s="3"/>
      <c r="C153" s="3" t="s">
        <v>2410</v>
      </c>
      <c r="D153" s="20">
        <f t="shared" ref="D153:Z153" si="67">D151*D152</f>
        <v>0</v>
      </c>
      <c r="E153" s="20">
        <f t="shared" si="67"/>
        <v>0</v>
      </c>
      <c r="F153" s="20">
        <f t="shared" si="67"/>
        <v>0</v>
      </c>
      <c r="G153" s="20">
        <f t="shared" si="67"/>
        <v>0</v>
      </c>
      <c r="H153" s="20">
        <f t="shared" si="67"/>
        <v>0</v>
      </c>
      <c r="I153" s="20">
        <f t="shared" si="67"/>
        <v>0</v>
      </c>
      <c r="J153" s="20">
        <f t="shared" si="67"/>
        <v>0</v>
      </c>
      <c r="K153" s="20">
        <f t="shared" si="67"/>
        <v>0</v>
      </c>
      <c r="L153" s="20">
        <f t="shared" si="67"/>
        <v>0</v>
      </c>
      <c r="M153" s="20">
        <f t="shared" si="67"/>
        <v>0</v>
      </c>
      <c r="N153" s="20">
        <f t="shared" si="67"/>
        <v>0</v>
      </c>
      <c r="O153" s="20">
        <f t="shared" si="67"/>
        <v>0</v>
      </c>
      <c r="P153" s="20">
        <f t="shared" si="67"/>
        <v>0</v>
      </c>
      <c r="Q153" s="20">
        <f t="shared" si="67"/>
        <v>0</v>
      </c>
      <c r="R153" s="20">
        <f t="shared" si="67"/>
        <v>0</v>
      </c>
      <c r="S153" s="20">
        <f t="shared" si="67"/>
        <v>0</v>
      </c>
      <c r="T153" s="20">
        <f t="shared" si="67"/>
        <v>0</v>
      </c>
      <c r="U153" s="20">
        <f t="shared" si="67"/>
        <v>0</v>
      </c>
      <c r="V153" s="20">
        <f t="shared" si="67"/>
        <v>0</v>
      </c>
      <c r="W153" s="20">
        <f t="shared" si="67"/>
        <v>0</v>
      </c>
      <c r="X153" s="20">
        <f t="shared" si="67"/>
        <v>0</v>
      </c>
      <c r="Y153" s="20">
        <f t="shared" si="67"/>
        <v>0</v>
      </c>
      <c r="Z153" s="20">
        <f t="shared" si="67"/>
        <v>0</v>
      </c>
    </row>
    <row r="154" spans="1:26">
      <c r="A154" s="3"/>
      <c r="B154" s="3" t="s">
        <v>2412</v>
      </c>
      <c r="C154" s="3" t="s">
        <v>632</v>
      </c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>
      <c r="A155" s="3"/>
      <c r="B155" s="3"/>
      <c r="C155" s="3" t="s">
        <v>834</v>
      </c>
      <c r="D155" s="20">
        <f>D122</f>
        <v>0.12</v>
      </c>
      <c r="E155" s="20">
        <f>D155</f>
        <v>0.12</v>
      </c>
      <c r="F155" s="20">
        <f>E155</f>
        <v>0.12</v>
      </c>
      <c r="G155" s="20">
        <f t="shared" ref="G155:Z155" si="68">F155</f>
        <v>0.12</v>
      </c>
      <c r="H155" s="20">
        <f t="shared" si="68"/>
        <v>0.12</v>
      </c>
      <c r="I155" s="20">
        <f t="shared" si="68"/>
        <v>0.12</v>
      </c>
      <c r="J155" s="20">
        <f t="shared" si="68"/>
        <v>0.12</v>
      </c>
      <c r="K155" s="20">
        <f t="shared" si="68"/>
        <v>0.12</v>
      </c>
      <c r="L155" s="20">
        <f t="shared" si="68"/>
        <v>0.12</v>
      </c>
      <c r="M155" s="20">
        <f t="shared" si="68"/>
        <v>0.12</v>
      </c>
      <c r="N155" s="20">
        <f t="shared" si="68"/>
        <v>0.12</v>
      </c>
      <c r="O155" s="20">
        <f t="shared" si="68"/>
        <v>0.12</v>
      </c>
      <c r="P155" s="20">
        <f t="shared" si="68"/>
        <v>0.12</v>
      </c>
      <c r="Q155" s="20">
        <f t="shared" si="68"/>
        <v>0.12</v>
      </c>
      <c r="R155" s="20">
        <f t="shared" si="68"/>
        <v>0.12</v>
      </c>
      <c r="S155" s="20">
        <f t="shared" si="68"/>
        <v>0.12</v>
      </c>
      <c r="T155" s="20">
        <f t="shared" si="68"/>
        <v>0.12</v>
      </c>
      <c r="U155" s="20">
        <f t="shared" si="68"/>
        <v>0.12</v>
      </c>
      <c r="V155" s="20">
        <f t="shared" si="68"/>
        <v>0.12</v>
      </c>
      <c r="W155" s="20">
        <f t="shared" si="68"/>
        <v>0.12</v>
      </c>
      <c r="X155" s="20">
        <f t="shared" si="68"/>
        <v>0.12</v>
      </c>
      <c r="Y155" s="20">
        <f t="shared" si="68"/>
        <v>0.12</v>
      </c>
      <c r="Z155" s="20">
        <f t="shared" si="68"/>
        <v>0.12</v>
      </c>
    </row>
    <row r="156" spans="1:26">
      <c r="A156" s="3"/>
      <c r="B156" s="3"/>
      <c r="C156" s="3" t="s">
        <v>2410</v>
      </c>
      <c r="D156" s="20">
        <f t="shared" ref="D156:Z156" si="69">D154*D155</f>
        <v>0</v>
      </c>
      <c r="E156" s="20">
        <f t="shared" si="69"/>
        <v>0</v>
      </c>
      <c r="F156" s="20">
        <f t="shared" si="69"/>
        <v>0</v>
      </c>
      <c r="G156" s="20">
        <f t="shared" si="69"/>
        <v>0</v>
      </c>
      <c r="H156" s="20">
        <f t="shared" si="69"/>
        <v>0</v>
      </c>
      <c r="I156" s="20">
        <f t="shared" si="69"/>
        <v>0</v>
      </c>
      <c r="J156" s="20">
        <f t="shared" si="69"/>
        <v>0</v>
      </c>
      <c r="K156" s="20">
        <f t="shared" si="69"/>
        <v>0</v>
      </c>
      <c r="L156" s="20">
        <f t="shared" si="69"/>
        <v>0</v>
      </c>
      <c r="M156" s="20">
        <f t="shared" si="69"/>
        <v>0</v>
      </c>
      <c r="N156" s="20">
        <f t="shared" si="69"/>
        <v>0</v>
      </c>
      <c r="O156" s="20">
        <f t="shared" si="69"/>
        <v>0</v>
      </c>
      <c r="P156" s="20">
        <f t="shared" si="69"/>
        <v>0</v>
      </c>
      <c r="Q156" s="20">
        <f t="shared" si="69"/>
        <v>0</v>
      </c>
      <c r="R156" s="20">
        <f t="shared" si="69"/>
        <v>0</v>
      </c>
      <c r="S156" s="20">
        <f t="shared" si="69"/>
        <v>0</v>
      </c>
      <c r="T156" s="20">
        <f t="shared" si="69"/>
        <v>0</v>
      </c>
      <c r="U156" s="20">
        <f t="shared" si="69"/>
        <v>0</v>
      </c>
      <c r="V156" s="20">
        <f t="shared" si="69"/>
        <v>0</v>
      </c>
      <c r="W156" s="20">
        <f t="shared" si="69"/>
        <v>0</v>
      </c>
      <c r="X156" s="20">
        <f t="shared" si="69"/>
        <v>0</v>
      </c>
      <c r="Y156" s="20">
        <f t="shared" si="69"/>
        <v>0</v>
      </c>
      <c r="Z156" s="20">
        <f t="shared" si="69"/>
        <v>0</v>
      </c>
    </row>
    <row r="157" spans="1:26">
      <c r="A157" s="3"/>
      <c r="B157" s="3" t="s">
        <v>2413</v>
      </c>
      <c r="C157" s="3" t="s">
        <v>632</v>
      </c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>
      <c r="A158" s="3"/>
      <c r="B158" s="3"/>
      <c r="C158" s="3" t="s">
        <v>834</v>
      </c>
      <c r="D158" s="20">
        <f>D125</f>
        <v>3.88349514563107</v>
      </c>
      <c r="E158" s="20">
        <f>D158</f>
        <v>3.88349514563107</v>
      </c>
      <c r="F158" s="20">
        <f>E158</f>
        <v>3.88349514563107</v>
      </c>
      <c r="G158" s="20">
        <f t="shared" ref="G158:Z158" si="70">F158</f>
        <v>3.88349514563107</v>
      </c>
      <c r="H158" s="20">
        <f t="shared" si="70"/>
        <v>3.88349514563107</v>
      </c>
      <c r="I158" s="20">
        <f t="shared" si="70"/>
        <v>3.88349514563107</v>
      </c>
      <c r="J158" s="20">
        <f t="shared" si="70"/>
        <v>3.88349514563107</v>
      </c>
      <c r="K158" s="20">
        <f t="shared" si="70"/>
        <v>3.88349514563107</v>
      </c>
      <c r="L158" s="20">
        <f t="shared" si="70"/>
        <v>3.88349514563107</v>
      </c>
      <c r="M158" s="20">
        <f t="shared" si="70"/>
        <v>3.88349514563107</v>
      </c>
      <c r="N158" s="20">
        <f t="shared" si="70"/>
        <v>3.88349514563107</v>
      </c>
      <c r="O158" s="20">
        <f t="shared" si="70"/>
        <v>3.88349514563107</v>
      </c>
      <c r="P158" s="20">
        <f t="shared" si="70"/>
        <v>3.88349514563107</v>
      </c>
      <c r="Q158" s="20">
        <f t="shared" si="70"/>
        <v>3.88349514563107</v>
      </c>
      <c r="R158" s="20">
        <f t="shared" si="70"/>
        <v>3.88349514563107</v>
      </c>
      <c r="S158" s="20">
        <f t="shared" si="70"/>
        <v>3.88349514563107</v>
      </c>
      <c r="T158" s="20">
        <f t="shared" si="70"/>
        <v>3.88349514563107</v>
      </c>
      <c r="U158" s="20">
        <f t="shared" si="70"/>
        <v>3.88349514563107</v>
      </c>
      <c r="V158" s="20">
        <f t="shared" si="70"/>
        <v>3.88349514563107</v>
      </c>
      <c r="W158" s="20">
        <f t="shared" si="70"/>
        <v>3.88349514563107</v>
      </c>
      <c r="X158" s="20">
        <f t="shared" si="70"/>
        <v>3.88349514563107</v>
      </c>
      <c r="Y158" s="20">
        <f t="shared" si="70"/>
        <v>3.88349514563107</v>
      </c>
      <c r="Z158" s="20">
        <f t="shared" si="70"/>
        <v>3.88349514563107</v>
      </c>
    </row>
    <row r="159" spans="1:26">
      <c r="A159" s="3"/>
      <c r="B159" s="3"/>
      <c r="C159" s="3" t="s">
        <v>2410</v>
      </c>
      <c r="D159" s="20">
        <f t="shared" ref="D159:Z159" si="71">D157*D158</f>
        <v>0</v>
      </c>
      <c r="E159" s="20">
        <f t="shared" si="71"/>
        <v>0</v>
      </c>
      <c r="F159" s="20">
        <f t="shared" si="71"/>
        <v>0</v>
      </c>
      <c r="G159" s="20">
        <f t="shared" si="71"/>
        <v>0</v>
      </c>
      <c r="H159" s="20">
        <f t="shared" si="71"/>
        <v>0</v>
      </c>
      <c r="I159" s="20">
        <f t="shared" si="71"/>
        <v>0</v>
      </c>
      <c r="J159" s="20">
        <f t="shared" si="71"/>
        <v>0</v>
      </c>
      <c r="K159" s="20">
        <f t="shared" si="71"/>
        <v>0</v>
      </c>
      <c r="L159" s="20">
        <f t="shared" si="71"/>
        <v>0</v>
      </c>
      <c r="M159" s="20">
        <f t="shared" si="71"/>
        <v>0</v>
      </c>
      <c r="N159" s="20">
        <f t="shared" si="71"/>
        <v>0</v>
      </c>
      <c r="O159" s="20">
        <f t="shared" si="71"/>
        <v>0</v>
      </c>
      <c r="P159" s="20">
        <f t="shared" si="71"/>
        <v>0</v>
      </c>
      <c r="Q159" s="20">
        <f t="shared" si="71"/>
        <v>0</v>
      </c>
      <c r="R159" s="20">
        <f t="shared" si="71"/>
        <v>0</v>
      </c>
      <c r="S159" s="20">
        <f t="shared" si="71"/>
        <v>0</v>
      </c>
      <c r="T159" s="20">
        <f t="shared" si="71"/>
        <v>0</v>
      </c>
      <c r="U159" s="20">
        <f t="shared" si="71"/>
        <v>0</v>
      </c>
      <c r="V159" s="20">
        <f t="shared" si="71"/>
        <v>0</v>
      </c>
      <c r="W159" s="20">
        <f t="shared" si="71"/>
        <v>0</v>
      </c>
      <c r="X159" s="20">
        <f t="shared" si="71"/>
        <v>0</v>
      </c>
      <c r="Y159" s="20">
        <f t="shared" si="71"/>
        <v>0</v>
      </c>
      <c r="Z159" s="20">
        <f t="shared" si="71"/>
        <v>0</v>
      </c>
    </row>
    <row r="160" spans="1:26">
      <c r="A160" s="3"/>
      <c r="B160" s="3" t="s">
        <v>2414</v>
      </c>
      <c r="C160" s="3" t="s">
        <v>550</v>
      </c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>
      <c r="A161" s="3"/>
      <c r="B161" s="3"/>
      <c r="C161" s="3" t="s">
        <v>834</v>
      </c>
      <c r="D161" s="20">
        <f>D128</f>
        <v>0</v>
      </c>
      <c r="E161" s="20">
        <f>E128</f>
        <v>0</v>
      </c>
      <c r="F161" s="20">
        <f>F128</f>
        <v>0</v>
      </c>
      <c r="G161" s="20">
        <f t="shared" ref="G161:Z161" si="72">F161</f>
        <v>0</v>
      </c>
      <c r="H161" s="20">
        <f t="shared" si="72"/>
        <v>0</v>
      </c>
      <c r="I161" s="20">
        <f t="shared" si="72"/>
        <v>0</v>
      </c>
      <c r="J161" s="20">
        <f t="shared" si="72"/>
        <v>0</v>
      </c>
      <c r="K161" s="20">
        <f t="shared" si="72"/>
        <v>0</v>
      </c>
      <c r="L161" s="20">
        <f t="shared" si="72"/>
        <v>0</v>
      </c>
      <c r="M161" s="20">
        <f t="shared" si="72"/>
        <v>0</v>
      </c>
      <c r="N161" s="20">
        <f t="shared" si="72"/>
        <v>0</v>
      </c>
      <c r="O161" s="20">
        <f t="shared" si="72"/>
        <v>0</v>
      </c>
      <c r="P161" s="20">
        <f t="shared" si="72"/>
        <v>0</v>
      </c>
      <c r="Q161" s="20">
        <f t="shared" si="72"/>
        <v>0</v>
      </c>
      <c r="R161" s="20">
        <f t="shared" si="72"/>
        <v>0</v>
      </c>
      <c r="S161" s="20">
        <f t="shared" si="72"/>
        <v>0</v>
      </c>
      <c r="T161" s="20">
        <f t="shared" si="72"/>
        <v>0</v>
      </c>
      <c r="U161" s="20">
        <f t="shared" si="72"/>
        <v>0</v>
      </c>
      <c r="V161" s="20">
        <f t="shared" si="72"/>
        <v>0</v>
      </c>
      <c r="W161" s="20">
        <f t="shared" si="72"/>
        <v>0</v>
      </c>
      <c r="X161" s="20">
        <f t="shared" si="72"/>
        <v>0</v>
      </c>
      <c r="Y161" s="20">
        <f t="shared" si="72"/>
        <v>0</v>
      </c>
      <c r="Z161" s="20">
        <f t="shared" si="72"/>
        <v>0</v>
      </c>
    </row>
    <row r="162" spans="1:26">
      <c r="A162" s="3"/>
      <c r="B162" s="3"/>
      <c r="C162" s="3" t="s">
        <v>2410</v>
      </c>
      <c r="D162" s="20">
        <f t="shared" ref="D162:Z162" si="73">D160*D161</f>
        <v>0</v>
      </c>
      <c r="E162" s="20">
        <f t="shared" si="73"/>
        <v>0</v>
      </c>
      <c r="F162" s="20">
        <f t="shared" si="73"/>
        <v>0</v>
      </c>
      <c r="G162" s="20">
        <f t="shared" si="73"/>
        <v>0</v>
      </c>
      <c r="H162" s="20">
        <f t="shared" si="73"/>
        <v>0</v>
      </c>
      <c r="I162" s="20">
        <f t="shared" si="73"/>
        <v>0</v>
      </c>
      <c r="J162" s="20">
        <f t="shared" si="73"/>
        <v>0</v>
      </c>
      <c r="K162" s="20">
        <f t="shared" si="73"/>
        <v>0</v>
      </c>
      <c r="L162" s="20">
        <f t="shared" si="73"/>
        <v>0</v>
      </c>
      <c r="M162" s="20">
        <f t="shared" si="73"/>
        <v>0</v>
      </c>
      <c r="N162" s="20">
        <f t="shared" si="73"/>
        <v>0</v>
      </c>
      <c r="O162" s="20">
        <f t="shared" si="73"/>
        <v>0</v>
      </c>
      <c r="P162" s="20">
        <f t="shared" si="73"/>
        <v>0</v>
      </c>
      <c r="Q162" s="20">
        <f t="shared" si="73"/>
        <v>0</v>
      </c>
      <c r="R162" s="20">
        <f t="shared" si="73"/>
        <v>0</v>
      </c>
      <c r="S162" s="20">
        <f t="shared" si="73"/>
        <v>0</v>
      </c>
      <c r="T162" s="20">
        <f t="shared" si="73"/>
        <v>0</v>
      </c>
      <c r="U162" s="20">
        <f t="shared" si="73"/>
        <v>0</v>
      </c>
      <c r="V162" s="20">
        <f t="shared" si="73"/>
        <v>0</v>
      </c>
      <c r="W162" s="20">
        <f t="shared" si="73"/>
        <v>0</v>
      </c>
      <c r="X162" s="20">
        <f t="shared" si="73"/>
        <v>0</v>
      </c>
      <c r="Y162" s="20">
        <f t="shared" si="73"/>
        <v>0</v>
      </c>
      <c r="Z162" s="20">
        <f t="shared" si="73"/>
        <v>0</v>
      </c>
    </row>
    <row r="163" ht="20.25" spans="1:26">
      <c r="A163" s="156"/>
      <c r="B163" s="156" t="s">
        <v>1321</v>
      </c>
      <c r="C163" s="156" t="s">
        <v>114</v>
      </c>
      <c r="D163" s="157">
        <f t="shared" ref="D163:Z163" si="74">D144+D147+D150+D153+D156+D159+D162</f>
        <v>32.670478132316</v>
      </c>
      <c r="E163" s="157">
        <f t="shared" si="74"/>
        <v>32.670478132316</v>
      </c>
      <c r="F163" s="157">
        <f t="shared" si="74"/>
        <v>37.141478132316</v>
      </c>
      <c r="G163" s="157">
        <f t="shared" si="74"/>
        <v>34.207978132316</v>
      </c>
      <c r="H163" s="157">
        <f t="shared" si="74"/>
        <v>37.739478132316</v>
      </c>
      <c r="I163" s="157">
        <f t="shared" si="74"/>
        <v>41.028478132316</v>
      </c>
      <c r="J163" s="157">
        <f t="shared" si="74"/>
        <v>42.822478132316</v>
      </c>
      <c r="K163" s="157">
        <f t="shared" si="74"/>
        <v>47.606478132316</v>
      </c>
      <c r="L163" s="157">
        <f t="shared" si="74"/>
        <v>49.699478132316</v>
      </c>
      <c r="M163" s="157">
        <f t="shared" si="74"/>
        <v>55.081478132316</v>
      </c>
      <c r="N163" s="157">
        <f t="shared" si="74"/>
        <v>58.968478132316</v>
      </c>
      <c r="O163" s="157">
        <f t="shared" si="74"/>
        <v>0</v>
      </c>
      <c r="P163" s="157">
        <f t="shared" si="74"/>
        <v>0</v>
      </c>
      <c r="Q163" s="157">
        <f t="shared" si="74"/>
        <v>0</v>
      </c>
      <c r="R163" s="157">
        <f t="shared" si="74"/>
        <v>0</v>
      </c>
      <c r="S163" s="157">
        <f t="shared" si="74"/>
        <v>0</v>
      </c>
      <c r="T163" s="157">
        <f t="shared" si="74"/>
        <v>0</v>
      </c>
      <c r="U163" s="157">
        <f t="shared" si="74"/>
        <v>32.362978132316</v>
      </c>
      <c r="V163" s="157">
        <f t="shared" si="74"/>
        <v>35.347478132316</v>
      </c>
      <c r="W163" s="157">
        <f t="shared" si="74"/>
        <v>52.368993044041</v>
      </c>
      <c r="X163" s="157">
        <f t="shared" si="74"/>
        <v>54.461993044041</v>
      </c>
      <c r="Y163" s="157">
        <f t="shared" si="74"/>
        <v>66.122993044041</v>
      </c>
      <c r="Z163" s="157">
        <f t="shared" si="74"/>
        <v>72.700993044041</v>
      </c>
    </row>
    <row r="164" ht="20.25" spans="1:26">
      <c r="A164" s="156" t="s">
        <v>463</v>
      </c>
      <c r="B164" s="156"/>
      <c r="C164" s="156" t="s">
        <v>114</v>
      </c>
      <c r="D164" s="157">
        <f t="shared" ref="D164:Z164" si="75">D163+D141</f>
        <v>47.8197401985306</v>
      </c>
      <c r="E164" s="157">
        <f t="shared" si="75"/>
        <v>49.39030262374</v>
      </c>
      <c r="F164" s="157">
        <f t="shared" si="75"/>
        <v>74.4597868678565</v>
      </c>
      <c r="G164" s="157">
        <f t="shared" si="75"/>
        <v>44.7100922128904</v>
      </c>
      <c r="H164" s="157">
        <f t="shared" si="75"/>
        <v>51.9965184195119</v>
      </c>
      <c r="I164" s="157">
        <f t="shared" si="75"/>
        <v>73.103149053736</v>
      </c>
      <c r="J164" s="157">
        <f t="shared" si="75"/>
        <v>86.124512436265</v>
      </c>
      <c r="K164" s="157">
        <f t="shared" si="75"/>
        <v>99.2021701945418</v>
      </c>
      <c r="L164" s="157">
        <f t="shared" si="75"/>
        <v>114.225844307027</v>
      </c>
      <c r="M164" s="157">
        <f t="shared" si="75"/>
        <v>125.444461778108</v>
      </c>
      <c r="N164" s="157">
        <f t="shared" si="75"/>
        <v>133.036048934071</v>
      </c>
      <c r="O164" s="157">
        <f t="shared" si="75"/>
        <v>9.14040686078979</v>
      </c>
      <c r="P164" s="157">
        <f t="shared" si="75"/>
        <v>13.1800558436378</v>
      </c>
      <c r="Q164" s="157">
        <f t="shared" si="75"/>
        <v>17.6578380534503</v>
      </c>
      <c r="R164" s="157">
        <f t="shared" si="75"/>
        <v>28.906661348225</v>
      </c>
      <c r="S164" s="157">
        <f t="shared" si="75"/>
        <v>44.5648185081771</v>
      </c>
      <c r="T164" s="157">
        <f t="shared" si="75"/>
        <v>70.7483047467092</v>
      </c>
      <c r="U164" s="157">
        <f t="shared" si="75"/>
        <v>52.3453474980918</v>
      </c>
      <c r="V164" s="157">
        <f t="shared" si="75"/>
        <v>66.8837366085825</v>
      </c>
      <c r="W164" s="157">
        <f t="shared" si="75"/>
        <v>96.5030177747949</v>
      </c>
      <c r="X164" s="157">
        <f t="shared" si="75"/>
        <v>111.784051280978</v>
      </c>
      <c r="Y164" s="157">
        <f t="shared" si="75"/>
        <v>186.254863805908</v>
      </c>
      <c r="Z164" s="157">
        <f t="shared" si="75"/>
        <v>220.387710235904</v>
      </c>
    </row>
    <row r="165" ht="20.25" spans="1:26">
      <c r="A165" s="156" t="s">
        <v>458</v>
      </c>
      <c r="B165" s="156"/>
      <c r="C165" s="156"/>
      <c r="D165" s="156">
        <v>3001</v>
      </c>
      <c r="E165" s="156">
        <v>3002</v>
      </c>
      <c r="F165" s="156">
        <v>3003</v>
      </c>
      <c r="G165" s="156">
        <v>3004</v>
      </c>
      <c r="H165" s="156">
        <v>3005</v>
      </c>
      <c r="I165" s="156">
        <v>3006</v>
      </c>
      <c r="J165" s="156">
        <v>3007</v>
      </c>
      <c r="K165" s="156">
        <v>3008</v>
      </c>
      <c r="L165" s="156">
        <v>3009</v>
      </c>
      <c r="M165" s="156">
        <v>3010</v>
      </c>
      <c r="N165" s="156">
        <v>3011</v>
      </c>
      <c r="O165" s="156">
        <v>3012</v>
      </c>
      <c r="P165" s="156">
        <v>3013</v>
      </c>
      <c r="Q165" s="156">
        <v>3014</v>
      </c>
      <c r="R165" s="156">
        <v>3015</v>
      </c>
      <c r="S165" s="156">
        <v>3016</v>
      </c>
      <c r="T165" s="156">
        <v>3017</v>
      </c>
      <c r="U165" s="156">
        <v>3018</v>
      </c>
      <c r="V165" s="156">
        <v>3019</v>
      </c>
      <c r="W165" s="156">
        <v>3020</v>
      </c>
      <c r="X165" s="156">
        <v>3021</v>
      </c>
      <c r="Y165" s="156">
        <v>3022</v>
      </c>
      <c r="Z165" s="156">
        <v>3023</v>
      </c>
    </row>
    <row r="166" s="153" customFormat="1" spans="25:25">
      <c r="Y166" s="176"/>
    </row>
    <row r="167" spans="1:18">
      <c r="A167" s="3" t="s">
        <v>2388</v>
      </c>
      <c r="B167" s="3"/>
      <c r="C167" s="3" t="s">
        <v>55</v>
      </c>
      <c r="D167" s="3" t="s">
        <v>2138</v>
      </c>
      <c r="E167" s="3"/>
      <c r="F167" s="3"/>
      <c r="G167" s="160" t="s">
        <v>2142</v>
      </c>
      <c r="H167" s="162"/>
      <c r="I167" s="126" t="s">
        <v>2143</v>
      </c>
      <c r="J167" s="126" t="s">
        <v>2145</v>
      </c>
      <c r="K167" s="126" t="s">
        <v>2147</v>
      </c>
      <c r="L167" s="126" t="s">
        <v>2148</v>
      </c>
      <c r="M167" s="160" t="s">
        <v>2149</v>
      </c>
      <c r="N167" s="162"/>
      <c r="O167" s="137" t="s">
        <v>2461</v>
      </c>
      <c r="P167" s="167"/>
      <c r="Q167" s="137" t="s">
        <v>2462</v>
      </c>
      <c r="R167" s="167"/>
    </row>
    <row r="168" spans="1:18">
      <c r="A168" s="3"/>
      <c r="B168" s="3"/>
      <c r="C168" s="3"/>
      <c r="D168" s="3"/>
      <c r="E168" s="3"/>
      <c r="F168" s="3"/>
      <c r="G168" s="163"/>
      <c r="H168" s="165"/>
      <c r="I168" s="129"/>
      <c r="J168" s="129"/>
      <c r="K168" s="128"/>
      <c r="L168" s="128"/>
      <c r="M168" s="163"/>
      <c r="N168" s="165"/>
      <c r="O168" s="137" t="s">
        <v>2463</v>
      </c>
      <c r="P168" s="166"/>
      <c r="Q168" s="166"/>
      <c r="R168" s="167"/>
    </row>
    <row r="169" spans="1:18">
      <c r="A169" s="3"/>
      <c r="B169" s="3"/>
      <c r="C169" s="3"/>
      <c r="D169" s="137" t="s">
        <v>2464</v>
      </c>
      <c r="E169" s="166"/>
      <c r="F169" s="166"/>
      <c r="G169" s="166"/>
      <c r="H169" s="166"/>
      <c r="I169" s="167"/>
      <c r="J169" s="3" t="s">
        <v>2459</v>
      </c>
      <c r="K169" s="128"/>
      <c r="L169" s="128"/>
      <c r="M169" s="137" t="s">
        <v>2465</v>
      </c>
      <c r="N169" s="167"/>
      <c r="O169" s="137" t="s">
        <v>2459</v>
      </c>
      <c r="P169" s="167"/>
      <c r="Q169" s="137" t="s">
        <v>2451</v>
      </c>
      <c r="R169" s="167"/>
    </row>
    <row r="170" spans="1:18">
      <c r="A170" s="3"/>
      <c r="B170" s="3"/>
      <c r="C170" s="3"/>
      <c r="D170" s="3">
        <v>2.5</v>
      </c>
      <c r="E170" s="3">
        <v>4</v>
      </c>
      <c r="F170" s="3">
        <v>4.8</v>
      </c>
      <c r="G170" s="3">
        <v>4</v>
      </c>
      <c r="H170" s="3">
        <v>4.8</v>
      </c>
      <c r="I170" s="3">
        <v>3.5</v>
      </c>
      <c r="J170" s="3">
        <v>1</v>
      </c>
      <c r="K170" s="129"/>
      <c r="L170" s="129"/>
      <c r="M170" s="3">
        <v>5</v>
      </c>
      <c r="N170" s="3">
        <v>8</v>
      </c>
      <c r="O170" s="3">
        <v>2</v>
      </c>
      <c r="P170" s="3">
        <v>5</v>
      </c>
      <c r="Q170" s="3">
        <v>0.6</v>
      </c>
      <c r="R170" s="3">
        <v>1</v>
      </c>
    </row>
    <row r="171" spans="1:18">
      <c r="A171" s="3" t="s">
        <v>2400</v>
      </c>
      <c r="B171" s="3" t="s">
        <v>2401</v>
      </c>
      <c r="C171" s="3" t="s">
        <v>114</v>
      </c>
      <c r="D171" s="20">
        <f>6.44/$AA$6</f>
        <v>5.6</v>
      </c>
      <c r="E171" s="20">
        <f>11.29/$AA$6</f>
        <v>9.81739130434783</v>
      </c>
      <c r="F171" s="20">
        <f>11.86/$AA$6</f>
        <v>10.3130434782609</v>
      </c>
      <c r="G171" s="20">
        <f>12/$AA$6</f>
        <v>10.4347826086957</v>
      </c>
      <c r="H171" s="20">
        <f>13.44/$AA$6</f>
        <v>11.6869565217391</v>
      </c>
      <c r="I171" s="20">
        <f>13.44/$AA$6</f>
        <v>11.6869565217391</v>
      </c>
      <c r="J171" s="20">
        <f>1.22/$AA$6</f>
        <v>1.06086956521739</v>
      </c>
      <c r="K171" s="20">
        <f>0.26/$AA$6</f>
        <v>0.226086956521739</v>
      </c>
      <c r="L171" s="20">
        <f>0.96/$AA$6</f>
        <v>0.834782608695652</v>
      </c>
      <c r="M171" s="20">
        <f>5.14/$AA$6</f>
        <v>4.4695652173913</v>
      </c>
      <c r="N171" s="20">
        <f>7.54/$AA$6</f>
        <v>6.55652173913044</v>
      </c>
      <c r="O171" s="20">
        <f>0.93/$AA$6</f>
        <v>0.808695652173913</v>
      </c>
      <c r="P171" s="20">
        <f>1.34/$AA$6</f>
        <v>1.16521739130435</v>
      </c>
      <c r="Q171" s="20">
        <f>0.43/$AA$6</f>
        <v>0.373913043478261</v>
      </c>
      <c r="R171" s="20">
        <f>0.68/$AA$6</f>
        <v>0.591304347826087</v>
      </c>
    </row>
    <row r="172" spans="1:18">
      <c r="A172" s="3"/>
      <c r="B172" s="3" t="s">
        <v>2403</v>
      </c>
      <c r="C172" s="3" t="s">
        <v>114</v>
      </c>
      <c r="D172" s="20">
        <f>7.66/$AA$7</f>
        <v>7.02752293577982</v>
      </c>
      <c r="E172" s="20">
        <f>12.48/$AA$7</f>
        <v>11.4495412844037</v>
      </c>
      <c r="F172" s="20">
        <f>14.11/$AA$7</f>
        <v>12.9449541284404</v>
      </c>
      <c r="G172" s="20">
        <f>9.37/$AA$7</f>
        <v>8.59633027522936</v>
      </c>
      <c r="H172" s="20">
        <f>10.5/$AA$7</f>
        <v>9.63302752293578</v>
      </c>
      <c r="I172" s="20">
        <f>15.53/$AA$7</f>
        <v>14.2477064220183</v>
      </c>
      <c r="J172" s="20">
        <f>1.22/$AA$7</f>
        <v>1.11926605504587</v>
      </c>
      <c r="K172" s="20">
        <f>0.64/$AA$7</f>
        <v>0.587155963302752</v>
      </c>
      <c r="L172" s="20">
        <f>0.98/$AA$7</f>
        <v>0.899082568807339</v>
      </c>
      <c r="M172" s="20">
        <f>4.11/$AA$7</f>
        <v>3.77064220183486</v>
      </c>
      <c r="N172" s="20">
        <f>5.08/$AA$7</f>
        <v>4.6605504587156</v>
      </c>
      <c r="O172" s="20">
        <f>0.32/$AA$7</f>
        <v>0.293577981651376</v>
      </c>
      <c r="P172" s="20">
        <f>0.47/$AA$7</f>
        <v>0.431192660550459</v>
      </c>
      <c r="Q172" s="20">
        <f>0.11/$AA$7</f>
        <v>0.100917431192661</v>
      </c>
      <c r="R172" s="20">
        <f>0.18/$AA$7</f>
        <v>0.165137614678899</v>
      </c>
    </row>
    <row r="173" spans="1:18">
      <c r="A173" s="3"/>
      <c r="B173" s="3" t="s">
        <v>2405</v>
      </c>
      <c r="C173" s="3" t="s">
        <v>114</v>
      </c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</row>
    <row r="174" ht="20.25" spans="1:18">
      <c r="A174" s="156"/>
      <c r="B174" s="156" t="s">
        <v>1321</v>
      </c>
      <c r="C174" s="156" t="s">
        <v>114</v>
      </c>
      <c r="D174" s="157">
        <f t="shared" ref="D174:R174" si="76">SUM(D171:D173)</f>
        <v>12.6275229357798</v>
      </c>
      <c r="E174" s="157">
        <f t="shared" si="76"/>
        <v>21.2669325887515</v>
      </c>
      <c r="F174" s="157">
        <f t="shared" si="76"/>
        <v>23.2579976067012</v>
      </c>
      <c r="G174" s="157">
        <f t="shared" si="76"/>
        <v>19.031112883925</v>
      </c>
      <c r="H174" s="157">
        <f t="shared" si="76"/>
        <v>21.3199840446749</v>
      </c>
      <c r="I174" s="157">
        <f t="shared" si="76"/>
        <v>25.9346629437575</v>
      </c>
      <c r="J174" s="157">
        <f t="shared" si="76"/>
        <v>2.18013562026326</v>
      </c>
      <c r="K174" s="157">
        <f t="shared" si="76"/>
        <v>0.813242919824491</v>
      </c>
      <c r="L174" s="157">
        <f t="shared" si="76"/>
        <v>1.73386517750299</v>
      </c>
      <c r="M174" s="157">
        <f t="shared" si="76"/>
        <v>8.24020741922617</v>
      </c>
      <c r="N174" s="157">
        <f t="shared" si="76"/>
        <v>11.217072197846</v>
      </c>
      <c r="O174" s="157">
        <f t="shared" si="76"/>
        <v>1.10227363382529</v>
      </c>
      <c r="P174" s="157">
        <f t="shared" si="76"/>
        <v>1.59641005185481</v>
      </c>
      <c r="Q174" s="157">
        <f t="shared" si="76"/>
        <v>0.474830474670921</v>
      </c>
      <c r="R174" s="157">
        <f t="shared" si="76"/>
        <v>0.756441962504986</v>
      </c>
    </row>
    <row r="175" spans="1:18">
      <c r="A175" s="3" t="s">
        <v>2408</v>
      </c>
      <c r="B175" s="3" t="s">
        <v>600</v>
      </c>
      <c r="C175" s="3" t="s">
        <v>2409</v>
      </c>
      <c r="D175" s="20">
        <v>1.3</v>
      </c>
      <c r="E175" s="20">
        <v>1.3</v>
      </c>
      <c r="F175" s="20">
        <v>1.3</v>
      </c>
      <c r="G175" s="20">
        <v>1.3</v>
      </c>
      <c r="H175" s="20">
        <v>1.3</v>
      </c>
      <c r="I175" s="20">
        <v>1.3</v>
      </c>
      <c r="J175" s="20">
        <v>1.3</v>
      </c>
      <c r="K175" s="20"/>
      <c r="L175" s="20">
        <v>1.3</v>
      </c>
      <c r="M175" s="20">
        <v>1.3</v>
      </c>
      <c r="N175" s="20">
        <v>1.3</v>
      </c>
      <c r="O175" s="20"/>
      <c r="P175" s="20"/>
      <c r="Q175" s="20"/>
      <c r="R175" s="20"/>
    </row>
    <row r="176" spans="1:18">
      <c r="A176" s="3"/>
      <c r="B176" s="3"/>
      <c r="C176" s="3" t="s">
        <v>834</v>
      </c>
      <c r="D176" s="20">
        <f>D143</f>
        <v>8.10036779408924</v>
      </c>
      <c r="E176" s="20">
        <f t="shared" ref="E176:R176" si="77">D176</f>
        <v>8.10036779408924</v>
      </c>
      <c r="F176" s="20">
        <f t="shared" si="77"/>
        <v>8.10036779408924</v>
      </c>
      <c r="G176" s="20">
        <f t="shared" si="77"/>
        <v>8.10036779408924</v>
      </c>
      <c r="H176" s="20">
        <f t="shared" si="77"/>
        <v>8.10036779408924</v>
      </c>
      <c r="I176" s="20">
        <f t="shared" si="77"/>
        <v>8.10036779408924</v>
      </c>
      <c r="J176" s="20">
        <f t="shared" si="77"/>
        <v>8.10036779408924</v>
      </c>
      <c r="K176" s="20">
        <f t="shared" si="77"/>
        <v>8.10036779408924</v>
      </c>
      <c r="L176" s="20">
        <f t="shared" si="77"/>
        <v>8.10036779408924</v>
      </c>
      <c r="M176" s="20">
        <f t="shared" si="77"/>
        <v>8.10036779408924</v>
      </c>
      <c r="N176" s="20">
        <f t="shared" si="77"/>
        <v>8.10036779408924</v>
      </c>
      <c r="O176" s="20">
        <f t="shared" si="77"/>
        <v>8.10036779408924</v>
      </c>
      <c r="P176" s="20">
        <f t="shared" si="77"/>
        <v>8.10036779408924</v>
      </c>
      <c r="Q176" s="20">
        <f t="shared" si="77"/>
        <v>8.10036779408924</v>
      </c>
      <c r="R176" s="20">
        <f t="shared" si="77"/>
        <v>8.10036779408924</v>
      </c>
    </row>
    <row r="177" spans="1:18">
      <c r="A177" s="3"/>
      <c r="B177" s="3"/>
      <c r="C177" s="3" t="s">
        <v>2410</v>
      </c>
      <c r="D177" s="20">
        <f t="shared" ref="D177:R177" si="78">D175*D176</f>
        <v>10.530478132316</v>
      </c>
      <c r="E177" s="20">
        <f t="shared" si="78"/>
        <v>10.530478132316</v>
      </c>
      <c r="F177" s="20">
        <f t="shared" si="78"/>
        <v>10.530478132316</v>
      </c>
      <c r="G177" s="20">
        <f t="shared" si="78"/>
        <v>10.530478132316</v>
      </c>
      <c r="H177" s="20">
        <f t="shared" si="78"/>
        <v>10.530478132316</v>
      </c>
      <c r="I177" s="20">
        <f t="shared" si="78"/>
        <v>10.530478132316</v>
      </c>
      <c r="J177" s="20">
        <f t="shared" si="78"/>
        <v>10.530478132316</v>
      </c>
      <c r="K177" s="20">
        <f t="shared" si="78"/>
        <v>0</v>
      </c>
      <c r="L177" s="20">
        <f t="shared" si="78"/>
        <v>10.530478132316</v>
      </c>
      <c r="M177" s="20">
        <f t="shared" si="78"/>
        <v>10.530478132316</v>
      </c>
      <c r="N177" s="20">
        <f t="shared" si="78"/>
        <v>10.530478132316</v>
      </c>
      <c r="O177" s="20">
        <f t="shared" si="78"/>
        <v>0</v>
      </c>
      <c r="P177" s="20">
        <f t="shared" si="78"/>
        <v>0</v>
      </c>
      <c r="Q177" s="20">
        <f t="shared" si="78"/>
        <v>0</v>
      </c>
      <c r="R177" s="20">
        <f t="shared" si="78"/>
        <v>0</v>
      </c>
    </row>
    <row r="178" spans="1:18">
      <c r="A178" s="3"/>
      <c r="B178" s="3" t="s">
        <v>1825</v>
      </c>
      <c r="C178" s="3" t="s">
        <v>550</v>
      </c>
      <c r="D178" s="20">
        <v>5</v>
      </c>
      <c r="E178" s="20">
        <v>6.8</v>
      </c>
      <c r="F178" s="20">
        <v>8</v>
      </c>
      <c r="G178" s="20">
        <v>6.8</v>
      </c>
      <c r="H178" s="20">
        <v>7.2</v>
      </c>
      <c r="I178" s="20">
        <v>6.1</v>
      </c>
      <c r="J178" s="20"/>
      <c r="K178" s="20"/>
      <c r="L178" s="20"/>
      <c r="M178" s="20"/>
      <c r="N178" s="20"/>
      <c r="O178" s="20"/>
      <c r="P178" s="20"/>
      <c r="Q178" s="20"/>
      <c r="R178" s="20"/>
    </row>
    <row r="179" spans="1:18">
      <c r="A179" s="3"/>
      <c r="B179" s="3"/>
      <c r="C179" s="3" t="s">
        <v>834</v>
      </c>
      <c r="D179" s="20">
        <f>D146</f>
        <v>3.075</v>
      </c>
      <c r="E179" s="20">
        <f t="shared" ref="E179:R179" si="79">D179</f>
        <v>3.075</v>
      </c>
      <c r="F179" s="20">
        <f t="shared" si="79"/>
        <v>3.075</v>
      </c>
      <c r="G179" s="20">
        <f t="shared" si="79"/>
        <v>3.075</v>
      </c>
      <c r="H179" s="20">
        <f t="shared" si="79"/>
        <v>3.075</v>
      </c>
      <c r="I179" s="20">
        <f t="shared" si="79"/>
        <v>3.075</v>
      </c>
      <c r="J179" s="20">
        <f t="shared" si="79"/>
        <v>3.075</v>
      </c>
      <c r="K179" s="20">
        <f t="shared" si="79"/>
        <v>3.075</v>
      </c>
      <c r="L179" s="20">
        <f t="shared" si="79"/>
        <v>3.075</v>
      </c>
      <c r="M179" s="20">
        <f t="shared" si="79"/>
        <v>3.075</v>
      </c>
      <c r="N179" s="20">
        <f t="shared" si="79"/>
        <v>3.075</v>
      </c>
      <c r="O179" s="20">
        <f t="shared" si="79"/>
        <v>3.075</v>
      </c>
      <c r="P179" s="20">
        <f t="shared" si="79"/>
        <v>3.075</v>
      </c>
      <c r="Q179" s="20">
        <f t="shared" si="79"/>
        <v>3.075</v>
      </c>
      <c r="R179" s="20">
        <f t="shared" si="79"/>
        <v>3.075</v>
      </c>
    </row>
    <row r="180" spans="1:18">
      <c r="A180" s="3"/>
      <c r="B180" s="3"/>
      <c r="C180" s="3" t="s">
        <v>2410</v>
      </c>
      <c r="D180" s="20">
        <f t="shared" ref="D180:R180" si="80">D178*D179</f>
        <v>15.375</v>
      </c>
      <c r="E180" s="20">
        <f t="shared" si="80"/>
        <v>20.91</v>
      </c>
      <c r="F180" s="20">
        <f t="shared" si="80"/>
        <v>24.6</v>
      </c>
      <c r="G180" s="20">
        <f t="shared" si="80"/>
        <v>20.91</v>
      </c>
      <c r="H180" s="20">
        <f t="shared" si="80"/>
        <v>22.14</v>
      </c>
      <c r="I180" s="20">
        <f t="shared" si="80"/>
        <v>18.7575</v>
      </c>
      <c r="J180" s="20">
        <f t="shared" si="80"/>
        <v>0</v>
      </c>
      <c r="K180" s="20">
        <f t="shared" si="80"/>
        <v>0</v>
      </c>
      <c r="L180" s="20">
        <f t="shared" si="80"/>
        <v>0</v>
      </c>
      <c r="M180" s="20">
        <f t="shared" si="80"/>
        <v>0</v>
      </c>
      <c r="N180" s="20">
        <f t="shared" si="80"/>
        <v>0</v>
      </c>
      <c r="O180" s="20">
        <f t="shared" si="80"/>
        <v>0</v>
      </c>
      <c r="P180" s="20">
        <f t="shared" si="80"/>
        <v>0</v>
      </c>
      <c r="Q180" s="20">
        <f t="shared" si="80"/>
        <v>0</v>
      </c>
      <c r="R180" s="20">
        <f t="shared" si="80"/>
        <v>0</v>
      </c>
    </row>
    <row r="181" spans="1:18">
      <c r="A181" s="3"/>
      <c r="B181" s="3" t="s">
        <v>1822</v>
      </c>
      <c r="C181" s="3" t="s">
        <v>550</v>
      </c>
      <c r="D181" s="20"/>
      <c r="E181" s="20"/>
      <c r="F181" s="20"/>
      <c r="G181" s="20"/>
      <c r="H181" s="20"/>
      <c r="I181" s="20"/>
      <c r="J181" s="20">
        <v>1.5</v>
      </c>
      <c r="K181" s="20"/>
      <c r="L181" s="20"/>
      <c r="M181" s="20"/>
      <c r="N181" s="20"/>
      <c r="O181" s="20"/>
      <c r="P181" s="20"/>
      <c r="Q181" s="20"/>
      <c r="R181" s="20"/>
    </row>
    <row r="182" spans="1:18">
      <c r="A182" s="3"/>
      <c r="B182" s="3"/>
      <c r="C182" s="3" t="s">
        <v>834</v>
      </c>
      <c r="D182" s="20">
        <f>D149</f>
        <v>2.99</v>
      </c>
      <c r="E182" s="20">
        <f t="shared" ref="E182:R182" si="81">D182</f>
        <v>2.99</v>
      </c>
      <c r="F182" s="20">
        <f t="shared" si="81"/>
        <v>2.99</v>
      </c>
      <c r="G182" s="20">
        <f t="shared" si="81"/>
        <v>2.99</v>
      </c>
      <c r="H182" s="20">
        <f t="shared" si="81"/>
        <v>2.99</v>
      </c>
      <c r="I182" s="20">
        <f t="shared" si="81"/>
        <v>2.99</v>
      </c>
      <c r="J182" s="20">
        <f t="shared" si="81"/>
        <v>2.99</v>
      </c>
      <c r="K182" s="20">
        <f t="shared" si="81"/>
        <v>2.99</v>
      </c>
      <c r="L182" s="20">
        <f t="shared" si="81"/>
        <v>2.99</v>
      </c>
      <c r="M182" s="20">
        <f t="shared" si="81"/>
        <v>2.99</v>
      </c>
      <c r="N182" s="20">
        <f t="shared" si="81"/>
        <v>2.99</v>
      </c>
      <c r="O182" s="20">
        <f t="shared" si="81"/>
        <v>2.99</v>
      </c>
      <c r="P182" s="20">
        <f t="shared" si="81"/>
        <v>2.99</v>
      </c>
      <c r="Q182" s="20">
        <f t="shared" si="81"/>
        <v>2.99</v>
      </c>
      <c r="R182" s="20">
        <f t="shared" si="81"/>
        <v>2.99</v>
      </c>
    </row>
    <row r="183" spans="1:18">
      <c r="A183" s="3"/>
      <c r="B183" s="3"/>
      <c r="C183" s="3" t="s">
        <v>2410</v>
      </c>
      <c r="D183" s="20">
        <f t="shared" ref="D183:R183" si="82">D181*D182</f>
        <v>0</v>
      </c>
      <c r="E183" s="20">
        <f t="shared" si="82"/>
        <v>0</v>
      </c>
      <c r="F183" s="20">
        <f t="shared" si="82"/>
        <v>0</v>
      </c>
      <c r="G183" s="20">
        <f t="shared" si="82"/>
        <v>0</v>
      </c>
      <c r="H183" s="20">
        <f t="shared" si="82"/>
        <v>0</v>
      </c>
      <c r="I183" s="20">
        <f t="shared" si="82"/>
        <v>0</v>
      </c>
      <c r="J183" s="20">
        <f t="shared" si="82"/>
        <v>4.485</v>
      </c>
      <c r="K183" s="20">
        <f t="shared" si="82"/>
        <v>0</v>
      </c>
      <c r="L183" s="20">
        <f t="shared" si="82"/>
        <v>0</v>
      </c>
      <c r="M183" s="20">
        <f t="shared" si="82"/>
        <v>0</v>
      </c>
      <c r="N183" s="20">
        <f t="shared" si="82"/>
        <v>0</v>
      </c>
      <c r="O183" s="20">
        <f t="shared" si="82"/>
        <v>0</v>
      </c>
      <c r="P183" s="20">
        <f t="shared" si="82"/>
        <v>0</v>
      </c>
      <c r="Q183" s="20">
        <f t="shared" si="82"/>
        <v>0</v>
      </c>
      <c r="R183" s="20">
        <f t="shared" si="82"/>
        <v>0</v>
      </c>
    </row>
    <row r="184" spans="1:18">
      <c r="A184" s="3"/>
      <c r="B184" s="3" t="s">
        <v>2411</v>
      </c>
      <c r="C184" s="3" t="s">
        <v>1834</v>
      </c>
      <c r="D184" s="20"/>
      <c r="E184" s="20"/>
      <c r="F184" s="20"/>
      <c r="G184" s="20"/>
      <c r="H184" s="20"/>
      <c r="I184" s="20"/>
      <c r="J184" s="20"/>
      <c r="K184" s="20"/>
      <c r="L184" s="20">
        <v>4</v>
      </c>
      <c r="M184" s="20">
        <v>5.4</v>
      </c>
      <c r="N184" s="20">
        <v>7.9</v>
      </c>
      <c r="O184" s="20"/>
      <c r="P184" s="20"/>
      <c r="Q184" s="20"/>
      <c r="R184" s="20"/>
    </row>
    <row r="185" spans="1:18">
      <c r="A185" s="3"/>
      <c r="B185" s="3"/>
      <c r="C185" s="3" t="s">
        <v>834</v>
      </c>
      <c r="D185" s="20">
        <f>D152</f>
        <v>0.48</v>
      </c>
      <c r="E185" s="20">
        <f t="shared" ref="E185:R185" si="83">D185</f>
        <v>0.48</v>
      </c>
      <c r="F185" s="20">
        <f t="shared" si="83"/>
        <v>0.48</v>
      </c>
      <c r="G185" s="20">
        <f t="shared" si="83"/>
        <v>0.48</v>
      </c>
      <c r="H185" s="20">
        <f t="shared" si="83"/>
        <v>0.48</v>
      </c>
      <c r="I185" s="20">
        <f t="shared" si="83"/>
        <v>0.48</v>
      </c>
      <c r="J185" s="20">
        <f t="shared" si="83"/>
        <v>0.48</v>
      </c>
      <c r="K185" s="20">
        <f t="shared" si="83"/>
        <v>0.48</v>
      </c>
      <c r="L185" s="20">
        <f t="shared" si="83"/>
        <v>0.48</v>
      </c>
      <c r="M185" s="20">
        <f t="shared" si="83"/>
        <v>0.48</v>
      </c>
      <c r="N185" s="20">
        <f t="shared" si="83"/>
        <v>0.48</v>
      </c>
      <c r="O185" s="20">
        <f t="shared" si="83"/>
        <v>0.48</v>
      </c>
      <c r="P185" s="20">
        <f t="shared" si="83"/>
        <v>0.48</v>
      </c>
      <c r="Q185" s="20">
        <f t="shared" si="83"/>
        <v>0.48</v>
      </c>
      <c r="R185" s="20">
        <f t="shared" si="83"/>
        <v>0.48</v>
      </c>
    </row>
    <row r="186" spans="1:18">
      <c r="A186" s="3"/>
      <c r="B186" s="3"/>
      <c r="C186" s="3" t="s">
        <v>2410</v>
      </c>
      <c r="D186" s="20">
        <f t="shared" ref="D186:R186" si="84">D184*D185</f>
        <v>0</v>
      </c>
      <c r="E186" s="20">
        <f t="shared" si="84"/>
        <v>0</v>
      </c>
      <c r="F186" s="20">
        <f t="shared" si="84"/>
        <v>0</v>
      </c>
      <c r="G186" s="20">
        <f t="shared" si="84"/>
        <v>0</v>
      </c>
      <c r="H186" s="20">
        <f t="shared" si="84"/>
        <v>0</v>
      </c>
      <c r="I186" s="20">
        <f t="shared" si="84"/>
        <v>0</v>
      </c>
      <c r="J186" s="20">
        <f t="shared" si="84"/>
        <v>0</v>
      </c>
      <c r="K186" s="20">
        <f t="shared" si="84"/>
        <v>0</v>
      </c>
      <c r="L186" s="20">
        <f t="shared" si="84"/>
        <v>1.92</v>
      </c>
      <c r="M186" s="20">
        <f t="shared" si="84"/>
        <v>2.592</v>
      </c>
      <c r="N186" s="20">
        <f t="shared" si="84"/>
        <v>3.792</v>
      </c>
      <c r="O186" s="20">
        <f t="shared" si="84"/>
        <v>0</v>
      </c>
      <c r="P186" s="20">
        <f t="shared" si="84"/>
        <v>0</v>
      </c>
      <c r="Q186" s="20">
        <f t="shared" si="84"/>
        <v>0</v>
      </c>
      <c r="R186" s="20">
        <f t="shared" si="84"/>
        <v>0</v>
      </c>
    </row>
    <row r="187" spans="1:18">
      <c r="A187" s="3"/>
      <c r="B187" s="3" t="s">
        <v>2412</v>
      </c>
      <c r="C187" s="3" t="s">
        <v>632</v>
      </c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</row>
    <row r="188" spans="1:18">
      <c r="A188" s="3"/>
      <c r="B188" s="3"/>
      <c r="C188" s="3" t="s">
        <v>834</v>
      </c>
      <c r="D188" s="20">
        <f>D155</f>
        <v>0.12</v>
      </c>
      <c r="E188" s="20">
        <f t="shared" ref="E188:R188" si="85">D188</f>
        <v>0.12</v>
      </c>
      <c r="F188" s="20">
        <f t="shared" si="85"/>
        <v>0.12</v>
      </c>
      <c r="G188" s="20">
        <f t="shared" si="85"/>
        <v>0.12</v>
      </c>
      <c r="H188" s="20">
        <f t="shared" si="85"/>
        <v>0.12</v>
      </c>
      <c r="I188" s="20">
        <f t="shared" si="85"/>
        <v>0.12</v>
      </c>
      <c r="J188" s="20">
        <f t="shared" si="85"/>
        <v>0.12</v>
      </c>
      <c r="K188" s="20">
        <f t="shared" si="85"/>
        <v>0.12</v>
      </c>
      <c r="L188" s="20">
        <f t="shared" si="85"/>
        <v>0.12</v>
      </c>
      <c r="M188" s="20">
        <f t="shared" si="85"/>
        <v>0.12</v>
      </c>
      <c r="N188" s="20">
        <f t="shared" si="85"/>
        <v>0.12</v>
      </c>
      <c r="O188" s="20">
        <f t="shared" si="85"/>
        <v>0.12</v>
      </c>
      <c r="P188" s="20">
        <f t="shared" si="85"/>
        <v>0.12</v>
      </c>
      <c r="Q188" s="20">
        <f t="shared" si="85"/>
        <v>0.12</v>
      </c>
      <c r="R188" s="20">
        <f t="shared" si="85"/>
        <v>0.12</v>
      </c>
    </row>
    <row r="189" spans="1:18">
      <c r="A189" s="3"/>
      <c r="B189" s="3"/>
      <c r="C189" s="3" t="s">
        <v>2410</v>
      </c>
      <c r="D189" s="20">
        <f t="shared" ref="D189:R189" si="86">D187*D188</f>
        <v>0</v>
      </c>
      <c r="E189" s="20">
        <f t="shared" si="86"/>
        <v>0</v>
      </c>
      <c r="F189" s="20">
        <f t="shared" si="86"/>
        <v>0</v>
      </c>
      <c r="G189" s="20">
        <f t="shared" si="86"/>
        <v>0</v>
      </c>
      <c r="H189" s="20">
        <f t="shared" si="86"/>
        <v>0</v>
      </c>
      <c r="I189" s="20">
        <f t="shared" si="86"/>
        <v>0</v>
      </c>
      <c r="J189" s="20">
        <f t="shared" si="86"/>
        <v>0</v>
      </c>
      <c r="K189" s="20">
        <f t="shared" si="86"/>
        <v>0</v>
      </c>
      <c r="L189" s="20">
        <f t="shared" si="86"/>
        <v>0</v>
      </c>
      <c r="M189" s="20">
        <f t="shared" si="86"/>
        <v>0</v>
      </c>
      <c r="N189" s="20">
        <f t="shared" si="86"/>
        <v>0</v>
      </c>
      <c r="O189" s="20">
        <f t="shared" si="86"/>
        <v>0</v>
      </c>
      <c r="P189" s="20">
        <f t="shared" si="86"/>
        <v>0</v>
      </c>
      <c r="Q189" s="20">
        <f t="shared" si="86"/>
        <v>0</v>
      </c>
      <c r="R189" s="20">
        <f t="shared" si="86"/>
        <v>0</v>
      </c>
    </row>
    <row r="190" spans="1:18">
      <c r="A190" s="3"/>
      <c r="B190" s="3" t="s">
        <v>2413</v>
      </c>
      <c r="C190" s="3" t="s">
        <v>632</v>
      </c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</row>
    <row r="191" spans="1:18">
      <c r="A191" s="3"/>
      <c r="B191" s="3"/>
      <c r="C191" s="3" t="s">
        <v>834</v>
      </c>
      <c r="D191" s="20">
        <f>D158</f>
        <v>3.88349514563107</v>
      </c>
      <c r="E191" s="20">
        <f t="shared" ref="E191:R191" si="87">D191</f>
        <v>3.88349514563107</v>
      </c>
      <c r="F191" s="20">
        <f t="shared" si="87"/>
        <v>3.88349514563107</v>
      </c>
      <c r="G191" s="20">
        <f t="shared" si="87"/>
        <v>3.88349514563107</v>
      </c>
      <c r="H191" s="20">
        <f t="shared" si="87"/>
        <v>3.88349514563107</v>
      </c>
      <c r="I191" s="20">
        <f t="shared" si="87"/>
        <v>3.88349514563107</v>
      </c>
      <c r="J191" s="20">
        <f t="shared" si="87"/>
        <v>3.88349514563107</v>
      </c>
      <c r="K191" s="20">
        <f t="shared" si="87"/>
        <v>3.88349514563107</v>
      </c>
      <c r="L191" s="20">
        <f t="shared" si="87"/>
        <v>3.88349514563107</v>
      </c>
      <c r="M191" s="20">
        <f t="shared" si="87"/>
        <v>3.88349514563107</v>
      </c>
      <c r="N191" s="20">
        <f t="shared" si="87"/>
        <v>3.88349514563107</v>
      </c>
      <c r="O191" s="20">
        <f t="shared" si="87"/>
        <v>3.88349514563107</v>
      </c>
      <c r="P191" s="20">
        <f t="shared" si="87"/>
        <v>3.88349514563107</v>
      </c>
      <c r="Q191" s="20">
        <f t="shared" si="87"/>
        <v>3.88349514563107</v>
      </c>
      <c r="R191" s="20">
        <f t="shared" si="87"/>
        <v>3.88349514563107</v>
      </c>
    </row>
    <row r="192" spans="1:18">
      <c r="A192" s="3"/>
      <c r="B192" s="3"/>
      <c r="C192" s="3" t="s">
        <v>2410</v>
      </c>
      <c r="D192" s="20">
        <f t="shared" ref="D192:R192" si="88">D190*D191</f>
        <v>0</v>
      </c>
      <c r="E192" s="20">
        <f t="shared" si="88"/>
        <v>0</v>
      </c>
      <c r="F192" s="20">
        <f t="shared" si="88"/>
        <v>0</v>
      </c>
      <c r="G192" s="20">
        <f t="shared" si="88"/>
        <v>0</v>
      </c>
      <c r="H192" s="20">
        <f t="shared" si="88"/>
        <v>0</v>
      </c>
      <c r="I192" s="20">
        <f t="shared" si="88"/>
        <v>0</v>
      </c>
      <c r="J192" s="20">
        <f t="shared" si="88"/>
        <v>0</v>
      </c>
      <c r="K192" s="20">
        <f t="shared" si="88"/>
        <v>0</v>
      </c>
      <c r="L192" s="20">
        <f t="shared" si="88"/>
        <v>0</v>
      </c>
      <c r="M192" s="20">
        <f t="shared" si="88"/>
        <v>0</v>
      </c>
      <c r="N192" s="20">
        <f t="shared" si="88"/>
        <v>0</v>
      </c>
      <c r="O192" s="20">
        <f t="shared" si="88"/>
        <v>0</v>
      </c>
      <c r="P192" s="20">
        <f t="shared" si="88"/>
        <v>0</v>
      </c>
      <c r="Q192" s="20">
        <f t="shared" si="88"/>
        <v>0</v>
      </c>
      <c r="R192" s="20">
        <f t="shared" si="88"/>
        <v>0</v>
      </c>
    </row>
    <row r="193" spans="1:18">
      <c r="A193" s="3"/>
      <c r="B193" s="3" t="s">
        <v>2414</v>
      </c>
      <c r="C193" s="3" t="s">
        <v>550</v>
      </c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</row>
    <row r="194" spans="1:18">
      <c r="A194" s="3"/>
      <c r="B194" s="3"/>
      <c r="C194" s="3" t="s">
        <v>834</v>
      </c>
      <c r="D194" s="20">
        <f>D161</f>
        <v>0</v>
      </c>
      <c r="E194" s="20">
        <f>E161</f>
        <v>0</v>
      </c>
      <c r="F194" s="20">
        <f>F161</f>
        <v>0</v>
      </c>
      <c r="G194" s="20">
        <f t="shared" ref="G194:R194" si="89">F194</f>
        <v>0</v>
      </c>
      <c r="H194" s="20">
        <f t="shared" si="89"/>
        <v>0</v>
      </c>
      <c r="I194" s="20">
        <f t="shared" si="89"/>
        <v>0</v>
      </c>
      <c r="J194" s="20">
        <f t="shared" si="89"/>
        <v>0</v>
      </c>
      <c r="K194" s="20">
        <f t="shared" si="89"/>
        <v>0</v>
      </c>
      <c r="L194" s="20">
        <f t="shared" si="89"/>
        <v>0</v>
      </c>
      <c r="M194" s="20">
        <f t="shared" si="89"/>
        <v>0</v>
      </c>
      <c r="N194" s="20">
        <f t="shared" si="89"/>
        <v>0</v>
      </c>
      <c r="O194" s="20">
        <f t="shared" si="89"/>
        <v>0</v>
      </c>
      <c r="P194" s="20">
        <f t="shared" si="89"/>
        <v>0</v>
      </c>
      <c r="Q194" s="20">
        <f t="shared" si="89"/>
        <v>0</v>
      </c>
      <c r="R194" s="20">
        <f t="shared" si="89"/>
        <v>0</v>
      </c>
    </row>
    <row r="195" spans="1:18">
      <c r="A195" s="3"/>
      <c r="B195" s="3"/>
      <c r="C195" s="3" t="s">
        <v>2410</v>
      </c>
      <c r="D195" s="20">
        <f t="shared" ref="D195:R195" si="90">D193*D194</f>
        <v>0</v>
      </c>
      <c r="E195" s="20">
        <f t="shared" si="90"/>
        <v>0</v>
      </c>
      <c r="F195" s="20">
        <f t="shared" si="90"/>
        <v>0</v>
      </c>
      <c r="G195" s="20">
        <f t="shared" si="90"/>
        <v>0</v>
      </c>
      <c r="H195" s="20">
        <f t="shared" si="90"/>
        <v>0</v>
      </c>
      <c r="I195" s="20">
        <f t="shared" si="90"/>
        <v>0</v>
      </c>
      <c r="J195" s="20">
        <f t="shared" si="90"/>
        <v>0</v>
      </c>
      <c r="K195" s="20">
        <f t="shared" si="90"/>
        <v>0</v>
      </c>
      <c r="L195" s="20">
        <f t="shared" si="90"/>
        <v>0</v>
      </c>
      <c r="M195" s="20">
        <f t="shared" si="90"/>
        <v>0</v>
      </c>
      <c r="N195" s="20">
        <f t="shared" si="90"/>
        <v>0</v>
      </c>
      <c r="O195" s="20">
        <f t="shared" si="90"/>
        <v>0</v>
      </c>
      <c r="P195" s="20">
        <f t="shared" si="90"/>
        <v>0</v>
      </c>
      <c r="Q195" s="20">
        <f t="shared" si="90"/>
        <v>0</v>
      </c>
      <c r="R195" s="20">
        <f t="shared" si="90"/>
        <v>0</v>
      </c>
    </row>
    <row r="196" ht="20.25" spans="1:18">
      <c r="A196" s="156"/>
      <c r="B196" s="156" t="s">
        <v>1321</v>
      </c>
      <c r="C196" s="156" t="s">
        <v>114</v>
      </c>
      <c r="D196" s="157">
        <f t="shared" ref="D196:R196" si="91">D177+D180+D183+D186+D189+D192+D195</f>
        <v>25.905478132316</v>
      </c>
      <c r="E196" s="157">
        <f t="shared" si="91"/>
        <v>31.440478132316</v>
      </c>
      <c r="F196" s="157">
        <f t="shared" si="91"/>
        <v>35.130478132316</v>
      </c>
      <c r="G196" s="157">
        <f t="shared" si="91"/>
        <v>31.440478132316</v>
      </c>
      <c r="H196" s="157">
        <f t="shared" si="91"/>
        <v>32.670478132316</v>
      </c>
      <c r="I196" s="157">
        <f t="shared" si="91"/>
        <v>29.287978132316</v>
      </c>
      <c r="J196" s="157">
        <f t="shared" si="91"/>
        <v>15.015478132316</v>
      </c>
      <c r="K196" s="157">
        <f t="shared" si="91"/>
        <v>0</v>
      </c>
      <c r="L196" s="157">
        <f t="shared" si="91"/>
        <v>12.450478132316</v>
      </c>
      <c r="M196" s="157">
        <f t="shared" si="91"/>
        <v>13.122478132316</v>
      </c>
      <c r="N196" s="157">
        <f t="shared" si="91"/>
        <v>14.322478132316</v>
      </c>
      <c r="O196" s="157">
        <f t="shared" si="91"/>
        <v>0</v>
      </c>
      <c r="P196" s="157">
        <f t="shared" si="91"/>
        <v>0</v>
      </c>
      <c r="Q196" s="157">
        <f t="shared" si="91"/>
        <v>0</v>
      </c>
      <c r="R196" s="157">
        <f t="shared" si="91"/>
        <v>0</v>
      </c>
    </row>
    <row r="197" ht="20.25" spans="1:18">
      <c r="A197" s="156" t="s">
        <v>463</v>
      </c>
      <c r="B197" s="156"/>
      <c r="C197" s="156" t="s">
        <v>114</v>
      </c>
      <c r="D197" s="157">
        <f t="shared" ref="D197:R197" si="92">D196+D174</f>
        <v>38.5330010680958</v>
      </c>
      <c r="E197" s="157">
        <f t="shared" si="92"/>
        <v>52.7074107210675</v>
      </c>
      <c r="F197" s="157">
        <f t="shared" si="92"/>
        <v>58.3884757390173</v>
      </c>
      <c r="G197" s="157">
        <f t="shared" si="92"/>
        <v>50.471591016241</v>
      </c>
      <c r="H197" s="157">
        <f t="shared" si="92"/>
        <v>53.9904621769909</v>
      </c>
      <c r="I197" s="157">
        <f t="shared" si="92"/>
        <v>55.2226410760735</v>
      </c>
      <c r="J197" s="157">
        <f t="shared" si="92"/>
        <v>17.1956137525793</v>
      </c>
      <c r="K197" s="157">
        <f t="shared" si="92"/>
        <v>0.813242919824491</v>
      </c>
      <c r="L197" s="157">
        <f t="shared" si="92"/>
        <v>14.184343309819</v>
      </c>
      <c r="M197" s="157">
        <f t="shared" si="92"/>
        <v>21.3626855515422</v>
      </c>
      <c r="N197" s="157">
        <f t="shared" si="92"/>
        <v>25.5395503301621</v>
      </c>
      <c r="O197" s="157">
        <f t="shared" si="92"/>
        <v>1.10227363382529</v>
      </c>
      <c r="P197" s="157">
        <f t="shared" si="92"/>
        <v>1.59641005185481</v>
      </c>
      <c r="Q197" s="157">
        <f t="shared" si="92"/>
        <v>0.474830474670921</v>
      </c>
      <c r="R197" s="157">
        <f t="shared" si="92"/>
        <v>0.756441962504986</v>
      </c>
    </row>
    <row r="198" ht="20.25" spans="1:18">
      <c r="A198" s="156" t="s">
        <v>458</v>
      </c>
      <c r="B198" s="156"/>
      <c r="C198" s="156"/>
      <c r="D198" s="156">
        <v>3024</v>
      </c>
      <c r="E198" s="156">
        <v>3025</v>
      </c>
      <c r="F198" s="156">
        <v>3026</v>
      </c>
      <c r="G198" s="156">
        <v>3027</v>
      </c>
      <c r="H198" s="156">
        <v>3028</v>
      </c>
      <c r="I198" s="156">
        <v>3029</v>
      </c>
      <c r="J198" s="156">
        <v>3030</v>
      </c>
      <c r="K198" s="156">
        <v>3031</v>
      </c>
      <c r="L198" s="156">
        <v>3032</v>
      </c>
      <c r="M198" s="156">
        <v>3033</v>
      </c>
      <c r="N198" s="156">
        <v>3034</v>
      </c>
      <c r="O198" s="156">
        <v>3035</v>
      </c>
      <c r="P198" s="156">
        <v>3036</v>
      </c>
      <c r="Q198" s="156">
        <v>3037</v>
      </c>
      <c r="R198" s="156">
        <v>3038</v>
      </c>
    </row>
    <row r="199" s="122" customFormat="1" ht="15" spans="1:25">
      <c r="A199" s="154" t="s">
        <v>2156</v>
      </c>
      <c r="B199" s="154"/>
      <c r="Y199" s="168"/>
    </row>
    <row r="200" spans="1:29">
      <c r="A200" s="3" t="s">
        <v>2388</v>
      </c>
      <c r="B200" s="3"/>
      <c r="C200" s="3" t="s">
        <v>55</v>
      </c>
      <c r="D200" s="3" t="s">
        <v>2157</v>
      </c>
      <c r="E200" s="3"/>
      <c r="F200" s="3"/>
      <c r="G200" s="3"/>
      <c r="H200" s="3"/>
      <c r="I200" s="3"/>
      <c r="J200" s="3" t="s">
        <v>2161</v>
      </c>
      <c r="K200" s="3" t="s">
        <v>2163</v>
      </c>
      <c r="L200" s="3"/>
      <c r="M200" s="3"/>
      <c r="N200" s="125" t="s">
        <v>2164</v>
      </c>
      <c r="O200" s="3" t="s">
        <v>2466</v>
      </c>
      <c r="P200" s="3"/>
      <c r="Q200" s="3"/>
      <c r="R200" s="3"/>
      <c r="S200" s="3"/>
      <c r="T200" s="3" t="s">
        <v>2467</v>
      </c>
      <c r="U200" s="3"/>
      <c r="V200" s="3"/>
      <c r="W200" s="3"/>
      <c r="X200" s="3"/>
      <c r="Y200" s="3"/>
      <c r="Z200" s="3"/>
      <c r="AA200" s="3"/>
      <c r="AB200" s="3"/>
      <c r="AC200" s="3"/>
    </row>
    <row r="201" spans="1:29">
      <c r="A201" s="3"/>
      <c r="B201" s="3"/>
      <c r="C201" s="3"/>
      <c r="D201" s="3"/>
      <c r="E201" s="3"/>
      <c r="F201" s="3"/>
      <c r="G201" s="3"/>
      <c r="H201" s="3"/>
      <c r="I201" s="3"/>
      <c r="J201" s="3" t="s">
        <v>2468</v>
      </c>
      <c r="K201" s="3"/>
      <c r="L201" s="3"/>
      <c r="M201" s="3"/>
      <c r="N201" s="125"/>
      <c r="O201" s="3" t="s">
        <v>2469</v>
      </c>
      <c r="P201" s="3"/>
      <c r="Q201" s="3"/>
      <c r="R201" s="3"/>
      <c r="S201" s="3"/>
      <c r="T201" s="3" t="s">
        <v>2393</v>
      </c>
      <c r="U201" s="3"/>
      <c r="V201" s="3"/>
      <c r="W201" s="3"/>
      <c r="X201" s="3"/>
      <c r="Y201" s="3"/>
      <c r="Z201" s="3"/>
      <c r="AA201" s="3"/>
      <c r="AB201" s="3"/>
      <c r="AC201" s="3"/>
    </row>
    <row r="202" spans="1:29">
      <c r="A202" s="3"/>
      <c r="B202" s="3"/>
      <c r="C202" s="3"/>
      <c r="D202" s="3" t="s">
        <v>2470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>
      <c r="A203" s="3"/>
      <c r="B203" s="3"/>
      <c r="C203" s="3"/>
      <c r="D203" s="3">
        <v>2</v>
      </c>
      <c r="E203" s="3">
        <v>6</v>
      </c>
      <c r="F203" s="3">
        <v>8</v>
      </c>
      <c r="G203" s="3">
        <v>10</v>
      </c>
      <c r="H203" s="3">
        <v>15</v>
      </c>
      <c r="I203" s="3">
        <v>25</v>
      </c>
      <c r="J203" s="3" t="s">
        <v>2471</v>
      </c>
      <c r="K203" s="3">
        <v>5</v>
      </c>
      <c r="L203" s="3">
        <v>10</v>
      </c>
      <c r="M203" s="3">
        <v>15</v>
      </c>
      <c r="N203" s="3">
        <v>40</v>
      </c>
      <c r="O203" s="3">
        <v>5</v>
      </c>
      <c r="P203" s="3">
        <v>10</v>
      </c>
      <c r="Q203" s="3">
        <v>5</v>
      </c>
      <c r="R203" s="3">
        <v>4</v>
      </c>
      <c r="S203" s="3">
        <v>6</v>
      </c>
      <c r="T203" s="3">
        <v>5</v>
      </c>
      <c r="U203" s="3">
        <v>10</v>
      </c>
      <c r="V203" s="3">
        <v>15</v>
      </c>
      <c r="W203" s="3">
        <v>20</v>
      </c>
      <c r="X203" s="3">
        <v>25</v>
      </c>
      <c r="Y203" s="125">
        <v>30</v>
      </c>
      <c r="Z203" s="3">
        <v>40</v>
      </c>
      <c r="AA203" s="3">
        <v>50</v>
      </c>
      <c r="AB203" s="3">
        <v>90</v>
      </c>
      <c r="AC203" s="3">
        <v>100</v>
      </c>
    </row>
    <row r="204" spans="1:29">
      <c r="A204" s="3" t="s">
        <v>2400</v>
      </c>
      <c r="B204" s="3" t="s">
        <v>2401</v>
      </c>
      <c r="C204" s="3" t="s">
        <v>114</v>
      </c>
      <c r="D204" s="20">
        <f>8.94/$AA$6</f>
        <v>7.77391304347826</v>
      </c>
      <c r="E204" s="20">
        <f>24.94/$AA$6</f>
        <v>21.6869565217391</v>
      </c>
      <c r="F204" s="20">
        <f>36.66/$AA$6</f>
        <v>31.8782608695652</v>
      </c>
      <c r="G204" s="20">
        <f>41.37/$AA$6</f>
        <v>35.9739130434783</v>
      </c>
      <c r="H204" s="20">
        <f>52.28/$AA$6</f>
        <v>45.4608695652174</v>
      </c>
      <c r="I204" s="20">
        <f>70.3/$AA$6</f>
        <v>61.1304347826087</v>
      </c>
      <c r="J204" s="20">
        <f>102.67/$AA$6</f>
        <v>89.2782608695652</v>
      </c>
      <c r="K204" s="20">
        <f>12.72/$AA$6</f>
        <v>11.0608695652174</v>
      </c>
      <c r="L204" s="20">
        <f>20.42/$AA$6</f>
        <v>17.7565217391304</v>
      </c>
      <c r="M204" s="20">
        <f>28.28/$AA$6</f>
        <v>24.5913043478261</v>
      </c>
      <c r="N204" s="20">
        <f>17.69/$AA$6</f>
        <v>15.3826086956522</v>
      </c>
      <c r="O204" s="20">
        <f>8.44/$AA$6</f>
        <v>7.33913043478261</v>
      </c>
      <c r="P204" s="20">
        <f>9.76/$AA$6</f>
        <v>8.48695652173913</v>
      </c>
      <c r="Q204" s="20">
        <f>15.02/$AA$6</f>
        <v>13.0608695652174</v>
      </c>
      <c r="R204" s="20">
        <f>24.94/$AA$6</f>
        <v>21.6869565217391</v>
      </c>
      <c r="S204" s="20">
        <f>32.3/$AA$6</f>
        <v>28.0869565217391</v>
      </c>
      <c r="T204" s="20">
        <f>16.23/$AA$6</f>
        <v>14.1130434782609</v>
      </c>
      <c r="U204" s="20">
        <f>31.79/$AA$6</f>
        <v>27.6434782608696</v>
      </c>
      <c r="V204" s="20">
        <f>37.88/$AA$6</f>
        <v>32.9391304347826</v>
      </c>
      <c r="W204" s="20">
        <f>45.92/$AA$6</f>
        <v>39.9304347826087</v>
      </c>
      <c r="X204" s="20">
        <f>48.69/$AA$6</f>
        <v>42.3391304347826</v>
      </c>
      <c r="Y204" s="20">
        <f>69.83/$AA$6</f>
        <v>60.7217391304348</v>
      </c>
      <c r="Z204" s="20">
        <f>87.78/$AA$6</f>
        <v>76.3304347826087</v>
      </c>
      <c r="AA204" s="20">
        <f>107.59/$AA$6</f>
        <v>93.5565217391304</v>
      </c>
      <c r="AB204" s="20">
        <f>320.62/$AA$6</f>
        <v>278.8</v>
      </c>
      <c r="AC204" s="20">
        <f>472.26/$AA$6</f>
        <v>410.660869565217</v>
      </c>
    </row>
    <row r="205" spans="1:29">
      <c r="A205" s="3"/>
      <c r="B205" s="3" t="s">
        <v>2403</v>
      </c>
      <c r="C205" s="3" t="s">
        <v>114</v>
      </c>
      <c r="D205" s="20">
        <f>3.12/$AA$7</f>
        <v>2.86238532110092</v>
      </c>
      <c r="E205" s="20">
        <f>9.17/$AA$7</f>
        <v>8.41284403669725</v>
      </c>
      <c r="F205" s="20">
        <f>12.81/$AA$7</f>
        <v>11.7522935779817</v>
      </c>
      <c r="G205" s="20">
        <f>16.89/$AA$7</f>
        <v>15.4954128440367</v>
      </c>
      <c r="H205" s="20">
        <f>19.81/$AA$7</f>
        <v>18.1743119266055</v>
      </c>
      <c r="I205" s="20">
        <f>26.66/$AA$7</f>
        <v>24.4587155963303</v>
      </c>
      <c r="J205" s="20">
        <f>33.87/$AA$7</f>
        <v>31.0733944954128</v>
      </c>
      <c r="K205" s="20">
        <f>4.68/$AA$7</f>
        <v>4.29357798165138</v>
      </c>
      <c r="L205" s="20">
        <f>5.96/$AA$7</f>
        <v>5.46788990825688</v>
      </c>
      <c r="M205" s="20">
        <f>8.05/$AA$7</f>
        <v>7.38532110091743</v>
      </c>
      <c r="N205" s="20">
        <f>5.07/$AA$7</f>
        <v>4.65137614678899</v>
      </c>
      <c r="O205" s="20">
        <f>3.26/$AA$7</f>
        <v>2.99082568807339</v>
      </c>
      <c r="P205" s="20">
        <f>3.78/$AA$7</f>
        <v>3.46788990825688</v>
      </c>
      <c r="Q205" s="20">
        <f>5.82/$AA$7</f>
        <v>5.3394495412844</v>
      </c>
      <c r="R205" s="20">
        <f>9.17/$AA$7</f>
        <v>8.41284403669725</v>
      </c>
      <c r="S205" s="20">
        <f>11.87/$AA$7</f>
        <v>10.8899082568807</v>
      </c>
      <c r="T205" s="20">
        <f>9.55/$AA$7</f>
        <v>8.76146788990826</v>
      </c>
      <c r="U205" s="20">
        <f>18.69/$AA$7</f>
        <v>17.1467889908257</v>
      </c>
      <c r="V205" s="20">
        <f>22.29/$AA$7</f>
        <v>20.4495412844037</v>
      </c>
      <c r="W205" s="20">
        <f>22.9/$AA$7</f>
        <v>21.0091743119266</v>
      </c>
      <c r="X205" s="20">
        <f>23.25/$AA$7</f>
        <v>21.3302752293578</v>
      </c>
      <c r="Y205" s="20">
        <f>32.99/$AA$7</f>
        <v>30.2660550458716</v>
      </c>
      <c r="Z205" s="20">
        <f>41.47/$AA$7</f>
        <v>38.045871559633</v>
      </c>
      <c r="AA205" s="20">
        <f>42.9/$AA$7</f>
        <v>39.3577981651376</v>
      </c>
      <c r="AB205" s="20">
        <f>75.21/$AA$7</f>
        <v>69</v>
      </c>
      <c r="AC205" s="20">
        <f>110.98/$AA$7</f>
        <v>101.816513761468</v>
      </c>
    </row>
    <row r="206" spans="1:29">
      <c r="A206" s="3"/>
      <c r="B206" s="3" t="s">
        <v>2405</v>
      </c>
      <c r="C206" s="3" t="s">
        <v>114</v>
      </c>
      <c r="D206" s="20">
        <f>0.75</f>
        <v>0.75</v>
      </c>
      <c r="E206" s="20">
        <f>2.29</f>
        <v>2.29</v>
      </c>
      <c r="F206" s="20">
        <f>3.06</f>
        <v>3.06</v>
      </c>
      <c r="G206" s="20">
        <f>3.1</f>
        <v>3.1</v>
      </c>
      <c r="H206" s="20">
        <f>3.77</f>
        <v>3.77</v>
      </c>
      <c r="I206" s="20">
        <f>2.29</f>
        <v>2.29</v>
      </c>
      <c r="J206" s="20"/>
      <c r="K206" s="20">
        <f>0.71</f>
        <v>0.71</v>
      </c>
      <c r="L206" s="20">
        <f>0.99</f>
        <v>0.99</v>
      </c>
      <c r="M206" s="20">
        <f>1.18</f>
        <v>1.18</v>
      </c>
      <c r="N206" s="20">
        <f>1.56</f>
        <v>1.56</v>
      </c>
      <c r="O206" s="20">
        <f>0.39</f>
        <v>0.39</v>
      </c>
      <c r="P206" s="20">
        <f>0.45</f>
        <v>0.45</v>
      </c>
      <c r="Q206" s="20">
        <f>0.66</f>
        <v>0.66</v>
      </c>
      <c r="R206" s="20">
        <f>1</f>
        <v>1</v>
      </c>
      <c r="S206" s="20">
        <v>1.29</v>
      </c>
      <c r="T206" s="20">
        <f>0.6</f>
        <v>0.6</v>
      </c>
      <c r="U206" s="20">
        <f>1.18</f>
        <v>1.18</v>
      </c>
      <c r="V206" s="20">
        <f>1.46</f>
        <v>1.46</v>
      </c>
      <c r="W206" s="20">
        <f>1.46</f>
        <v>1.46</v>
      </c>
      <c r="X206" s="20">
        <f>1.55</f>
        <v>1.55</v>
      </c>
      <c r="Y206" s="20">
        <f>2.21</f>
        <v>2.21</v>
      </c>
      <c r="Z206" s="20">
        <f>2.33</f>
        <v>2.33</v>
      </c>
      <c r="AA206" s="20">
        <f>2.85</f>
        <v>2.85</v>
      </c>
      <c r="AB206" s="20">
        <f>2.9</f>
        <v>2.9</v>
      </c>
      <c r="AC206" s="20">
        <f>2.93</f>
        <v>2.93</v>
      </c>
    </row>
    <row r="207" ht="20.25" spans="1:29">
      <c r="A207" s="156"/>
      <c r="B207" s="156" t="s">
        <v>1321</v>
      </c>
      <c r="C207" s="156" t="s">
        <v>114</v>
      </c>
      <c r="D207" s="157">
        <f t="shared" ref="D207:AC207" si="93">SUM(D204:D206)</f>
        <v>11.3862983645792</v>
      </c>
      <c r="E207" s="157">
        <f t="shared" si="93"/>
        <v>32.3898005584364</v>
      </c>
      <c r="F207" s="157">
        <f t="shared" si="93"/>
        <v>46.6905544475469</v>
      </c>
      <c r="G207" s="157">
        <f t="shared" si="93"/>
        <v>54.569325887515</v>
      </c>
      <c r="H207" s="157">
        <f t="shared" si="93"/>
        <v>67.4051814918229</v>
      </c>
      <c r="I207" s="157">
        <f t="shared" si="93"/>
        <v>87.879150378939</v>
      </c>
      <c r="J207" s="157">
        <f t="shared" si="93"/>
        <v>120.351655364978</v>
      </c>
      <c r="K207" s="157">
        <f t="shared" si="93"/>
        <v>16.0644475468688</v>
      </c>
      <c r="L207" s="157">
        <f t="shared" si="93"/>
        <v>24.2144116473873</v>
      </c>
      <c r="M207" s="157">
        <f t="shared" si="93"/>
        <v>33.1566254487435</v>
      </c>
      <c r="N207" s="157">
        <f t="shared" si="93"/>
        <v>21.5939848424412</v>
      </c>
      <c r="O207" s="157">
        <f t="shared" si="93"/>
        <v>10.719956122856</v>
      </c>
      <c r="P207" s="157">
        <f t="shared" si="93"/>
        <v>12.404846429996</v>
      </c>
      <c r="Q207" s="157">
        <f t="shared" si="93"/>
        <v>19.0603191065018</v>
      </c>
      <c r="R207" s="157">
        <f t="shared" si="93"/>
        <v>31.0998005584364</v>
      </c>
      <c r="S207" s="157">
        <f t="shared" si="93"/>
        <v>40.2668647786199</v>
      </c>
      <c r="T207" s="157">
        <f t="shared" si="93"/>
        <v>23.4745113681691</v>
      </c>
      <c r="U207" s="157">
        <f t="shared" si="93"/>
        <v>45.9702672516953</v>
      </c>
      <c r="V207" s="157">
        <f t="shared" si="93"/>
        <v>54.8486717191863</v>
      </c>
      <c r="W207" s="157">
        <f t="shared" si="93"/>
        <v>62.3996090945353</v>
      </c>
      <c r="X207" s="157">
        <f t="shared" si="93"/>
        <v>65.2194056641404</v>
      </c>
      <c r="Y207" s="157">
        <f t="shared" si="93"/>
        <v>93.1977941763063</v>
      </c>
      <c r="Z207" s="157">
        <f t="shared" si="93"/>
        <v>116.706306342242</v>
      </c>
      <c r="AA207" s="157">
        <f t="shared" si="93"/>
        <v>135.764319904268</v>
      </c>
      <c r="AB207" s="157">
        <f t="shared" si="93"/>
        <v>350.7</v>
      </c>
      <c r="AC207" s="157">
        <f t="shared" si="93"/>
        <v>515.407383326685</v>
      </c>
    </row>
    <row r="208" spans="1:29">
      <c r="A208" s="3" t="s">
        <v>2408</v>
      </c>
      <c r="B208" s="3" t="s">
        <v>600</v>
      </c>
      <c r="C208" s="3" t="s">
        <v>2409</v>
      </c>
      <c r="D208" s="20">
        <v>2.4</v>
      </c>
      <c r="E208" s="20">
        <v>2.4</v>
      </c>
      <c r="F208" s="20">
        <v>2.7</v>
      </c>
      <c r="G208" s="20">
        <f>2.7</f>
        <v>2.7</v>
      </c>
      <c r="H208" s="20">
        <v>2.7</v>
      </c>
      <c r="I208" s="20">
        <v>2.7</v>
      </c>
      <c r="J208" s="20">
        <v>3.9</v>
      </c>
      <c r="K208" s="20">
        <v>2.4</v>
      </c>
      <c r="L208" s="20">
        <v>2.4</v>
      </c>
      <c r="M208" s="20">
        <v>2.4</v>
      </c>
      <c r="N208" s="20">
        <v>2.4</v>
      </c>
      <c r="O208" s="20">
        <v>1.3</v>
      </c>
      <c r="P208" s="20">
        <v>1.3</v>
      </c>
      <c r="Q208" s="20">
        <v>1.3</v>
      </c>
      <c r="R208" s="20">
        <v>1.3</v>
      </c>
      <c r="S208" s="20">
        <v>1.3</v>
      </c>
      <c r="T208" s="20">
        <v>2.4</v>
      </c>
      <c r="U208" s="20">
        <v>2.4</v>
      </c>
      <c r="V208" s="20">
        <v>2.4</v>
      </c>
      <c r="W208" s="20">
        <v>2.4</v>
      </c>
      <c r="X208" s="20">
        <v>2.4</v>
      </c>
      <c r="Y208" s="20">
        <v>2.4</v>
      </c>
      <c r="Z208" s="20">
        <v>2.4</v>
      </c>
      <c r="AA208" s="20">
        <v>2.4</v>
      </c>
      <c r="AB208" s="20">
        <v>2.4</v>
      </c>
      <c r="AC208" s="20">
        <v>2.4</v>
      </c>
    </row>
    <row r="209" spans="1:29">
      <c r="A209" s="3"/>
      <c r="B209" s="3"/>
      <c r="C209" s="3" t="s">
        <v>834</v>
      </c>
      <c r="D209" s="20">
        <f>D176</f>
        <v>8.10036779408924</v>
      </c>
      <c r="E209" s="20">
        <f t="shared" ref="E209:AC209" si="94">D209</f>
        <v>8.10036779408924</v>
      </c>
      <c r="F209" s="20">
        <f t="shared" si="94"/>
        <v>8.10036779408924</v>
      </c>
      <c r="G209" s="20">
        <f t="shared" si="94"/>
        <v>8.10036779408924</v>
      </c>
      <c r="H209" s="20">
        <f t="shared" si="94"/>
        <v>8.10036779408924</v>
      </c>
      <c r="I209" s="20">
        <f t="shared" si="94"/>
        <v>8.10036779408924</v>
      </c>
      <c r="J209" s="20">
        <f t="shared" si="94"/>
        <v>8.10036779408924</v>
      </c>
      <c r="K209" s="20">
        <f t="shared" si="94"/>
        <v>8.10036779408924</v>
      </c>
      <c r="L209" s="20">
        <f t="shared" si="94"/>
        <v>8.10036779408924</v>
      </c>
      <c r="M209" s="20">
        <f t="shared" si="94"/>
        <v>8.10036779408924</v>
      </c>
      <c r="N209" s="20">
        <f t="shared" si="94"/>
        <v>8.10036779408924</v>
      </c>
      <c r="O209" s="20">
        <f t="shared" si="94"/>
        <v>8.10036779408924</v>
      </c>
      <c r="P209" s="20">
        <f t="shared" si="94"/>
        <v>8.10036779408924</v>
      </c>
      <c r="Q209" s="20">
        <f t="shared" si="94"/>
        <v>8.10036779408924</v>
      </c>
      <c r="R209" s="20">
        <f t="shared" si="94"/>
        <v>8.10036779408924</v>
      </c>
      <c r="S209" s="20">
        <f t="shared" si="94"/>
        <v>8.10036779408924</v>
      </c>
      <c r="T209" s="20">
        <f t="shared" si="94"/>
        <v>8.10036779408924</v>
      </c>
      <c r="U209" s="20">
        <f t="shared" si="94"/>
        <v>8.10036779408924</v>
      </c>
      <c r="V209" s="20">
        <f t="shared" si="94"/>
        <v>8.10036779408924</v>
      </c>
      <c r="W209" s="20">
        <f t="shared" si="94"/>
        <v>8.10036779408924</v>
      </c>
      <c r="X209" s="20">
        <f t="shared" si="94"/>
        <v>8.10036779408924</v>
      </c>
      <c r="Y209" s="20">
        <f t="shared" si="94"/>
        <v>8.10036779408924</v>
      </c>
      <c r="Z209" s="20">
        <f t="shared" si="94"/>
        <v>8.10036779408924</v>
      </c>
      <c r="AA209" s="20">
        <f t="shared" si="94"/>
        <v>8.10036779408924</v>
      </c>
      <c r="AB209" s="20">
        <f t="shared" si="94"/>
        <v>8.10036779408924</v>
      </c>
      <c r="AC209" s="20">
        <f t="shared" si="94"/>
        <v>8.10036779408924</v>
      </c>
    </row>
    <row r="210" spans="1:29">
      <c r="A210" s="3"/>
      <c r="B210" s="3"/>
      <c r="C210" s="3" t="s">
        <v>2410</v>
      </c>
      <c r="D210" s="20">
        <f t="shared" ref="D210:AC210" si="95">D208*D209</f>
        <v>19.4408827058142</v>
      </c>
      <c r="E210" s="20">
        <f t="shared" si="95"/>
        <v>19.4408827058142</v>
      </c>
      <c r="F210" s="20">
        <f t="shared" si="95"/>
        <v>21.870993044041</v>
      </c>
      <c r="G210" s="20">
        <f t="shared" si="95"/>
        <v>21.870993044041</v>
      </c>
      <c r="H210" s="20">
        <f t="shared" si="95"/>
        <v>21.870993044041</v>
      </c>
      <c r="I210" s="20">
        <f t="shared" si="95"/>
        <v>21.870993044041</v>
      </c>
      <c r="J210" s="20">
        <f t="shared" si="95"/>
        <v>31.5914343969481</v>
      </c>
      <c r="K210" s="20">
        <f t="shared" si="95"/>
        <v>19.4408827058142</v>
      </c>
      <c r="L210" s="20">
        <f t="shared" si="95"/>
        <v>19.4408827058142</v>
      </c>
      <c r="M210" s="20">
        <f t="shared" si="95"/>
        <v>19.4408827058142</v>
      </c>
      <c r="N210" s="20">
        <f t="shared" si="95"/>
        <v>19.4408827058142</v>
      </c>
      <c r="O210" s="20">
        <f t="shared" si="95"/>
        <v>10.530478132316</v>
      </c>
      <c r="P210" s="20">
        <f t="shared" si="95"/>
        <v>10.530478132316</v>
      </c>
      <c r="Q210" s="20">
        <f t="shared" si="95"/>
        <v>10.530478132316</v>
      </c>
      <c r="R210" s="20">
        <f t="shared" si="95"/>
        <v>10.530478132316</v>
      </c>
      <c r="S210" s="20">
        <f t="shared" si="95"/>
        <v>10.530478132316</v>
      </c>
      <c r="T210" s="20">
        <f t="shared" si="95"/>
        <v>19.4408827058142</v>
      </c>
      <c r="U210" s="20">
        <f t="shared" si="95"/>
        <v>19.4408827058142</v>
      </c>
      <c r="V210" s="20">
        <f t="shared" si="95"/>
        <v>19.4408827058142</v>
      </c>
      <c r="W210" s="20">
        <f t="shared" si="95"/>
        <v>19.4408827058142</v>
      </c>
      <c r="X210" s="20">
        <f t="shared" si="95"/>
        <v>19.4408827058142</v>
      </c>
      <c r="Y210" s="20">
        <f t="shared" si="95"/>
        <v>19.4408827058142</v>
      </c>
      <c r="Z210" s="20">
        <f t="shared" si="95"/>
        <v>19.4408827058142</v>
      </c>
      <c r="AA210" s="20">
        <f t="shared" si="95"/>
        <v>19.4408827058142</v>
      </c>
      <c r="AB210" s="20">
        <f t="shared" si="95"/>
        <v>19.4408827058142</v>
      </c>
      <c r="AC210" s="20">
        <f t="shared" si="95"/>
        <v>19.4408827058142</v>
      </c>
    </row>
    <row r="211" spans="1:29">
      <c r="A211" s="3"/>
      <c r="B211" s="3" t="s">
        <v>1825</v>
      </c>
      <c r="C211" s="3" t="s">
        <v>550</v>
      </c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</row>
    <row r="212" spans="1:29">
      <c r="A212" s="3"/>
      <c r="B212" s="3"/>
      <c r="C212" s="3" t="s">
        <v>834</v>
      </c>
      <c r="D212" s="20">
        <f>D179</f>
        <v>3.075</v>
      </c>
      <c r="E212" s="20">
        <f t="shared" ref="E212:AC212" si="96">D212</f>
        <v>3.075</v>
      </c>
      <c r="F212" s="20">
        <f t="shared" si="96"/>
        <v>3.075</v>
      </c>
      <c r="G212" s="20">
        <f t="shared" si="96"/>
        <v>3.075</v>
      </c>
      <c r="H212" s="20">
        <f t="shared" si="96"/>
        <v>3.075</v>
      </c>
      <c r="I212" s="20">
        <f t="shared" si="96"/>
        <v>3.075</v>
      </c>
      <c r="J212" s="20">
        <f t="shared" si="96"/>
        <v>3.075</v>
      </c>
      <c r="K212" s="20">
        <f t="shared" si="96"/>
        <v>3.075</v>
      </c>
      <c r="L212" s="20">
        <f t="shared" si="96"/>
        <v>3.075</v>
      </c>
      <c r="M212" s="20">
        <f t="shared" si="96"/>
        <v>3.075</v>
      </c>
      <c r="N212" s="20">
        <f t="shared" si="96"/>
        <v>3.075</v>
      </c>
      <c r="O212" s="20">
        <f t="shared" si="96"/>
        <v>3.075</v>
      </c>
      <c r="P212" s="20">
        <f t="shared" si="96"/>
        <v>3.075</v>
      </c>
      <c r="Q212" s="20">
        <f t="shared" si="96"/>
        <v>3.075</v>
      </c>
      <c r="R212" s="20">
        <f t="shared" si="96"/>
        <v>3.075</v>
      </c>
      <c r="S212" s="20">
        <f t="shared" si="96"/>
        <v>3.075</v>
      </c>
      <c r="T212" s="20">
        <f t="shared" si="96"/>
        <v>3.075</v>
      </c>
      <c r="U212" s="20">
        <f t="shared" si="96"/>
        <v>3.075</v>
      </c>
      <c r="V212" s="20">
        <f t="shared" si="96"/>
        <v>3.075</v>
      </c>
      <c r="W212" s="20">
        <f t="shared" si="96"/>
        <v>3.075</v>
      </c>
      <c r="X212" s="20">
        <f t="shared" si="96"/>
        <v>3.075</v>
      </c>
      <c r="Y212" s="20">
        <f t="shared" si="96"/>
        <v>3.075</v>
      </c>
      <c r="Z212" s="20">
        <f t="shared" si="96"/>
        <v>3.075</v>
      </c>
      <c r="AA212" s="20">
        <f t="shared" si="96"/>
        <v>3.075</v>
      </c>
      <c r="AB212" s="20">
        <f t="shared" si="96"/>
        <v>3.075</v>
      </c>
      <c r="AC212" s="20">
        <f t="shared" si="96"/>
        <v>3.075</v>
      </c>
    </row>
    <row r="213" spans="1:29">
      <c r="A213" s="3"/>
      <c r="B213" s="3"/>
      <c r="C213" s="3" t="s">
        <v>2410</v>
      </c>
      <c r="D213" s="20">
        <f t="shared" ref="D213:AC213" si="97">D211*D212</f>
        <v>0</v>
      </c>
      <c r="E213" s="20">
        <f t="shared" si="97"/>
        <v>0</v>
      </c>
      <c r="F213" s="20">
        <f t="shared" si="97"/>
        <v>0</v>
      </c>
      <c r="G213" s="20">
        <f t="shared" si="97"/>
        <v>0</v>
      </c>
      <c r="H213" s="20">
        <f t="shared" si="97"/>
        <v>0</v>
      </c>
      <c r="I213" s="20">
        <f t="shared" si="97"/>
        <v>0</v>
      </c>
      <c r="J213" s="20">
        <f t="shared" si="97"/>
        <v>0</v>
      </c>
      <c r="K213" s="20">
        <f t="shared" si="97"/>
        <v>0</v>
      </c>
      <c r="L213" s="20">
        <f t="shared" si="97"/>
        <v>0</v>
      </c>
      <c r="M213" s="20">
        <f t="shared" si="97"/>
        <v>0</v>
      </c>
      <c r="N213" s="20">
        <f t="shared" si="97"/>
        <v>0</v>
      </c>
      <c r="O213" s="20">
        <f t="shared" si="97"/>
        <v>0</v>
      </c>
      <c r="P213" s="20">
        <f t="shared" si="97"/>
        <v>0</v>
      </c>
      <c r="Q213" s="20">
        <f t="shared" si="97"/>
        <v>0</v>
      </c>
      <c r="R213" s="20">
        <f t="shared" si="97"/>
        <v>0</v>
      </c>
      <c r="S213" s="20">
        <f t="shared" si="97"/>
        <v>0</v>
      </c>
      <c r="T213" s="20">
        <f t="shared" si="97"/>
        <v>0</v>
      </c>
      <c r="U213" s="20">
        <f t="shared" si="97"/>
        <v>0</v>
      </c>
      <c r="V213" s="20">
        <f t="shared" si="97"/>
        <v>0</v>
      </c>
      <c r="W213" s="20">
        <f t="shared" si="97"/>
        <v>0</v>
      </c>
      <c r="X213" s="20">
        <f t="shared" si="97"/>
        <v>0</v>
      </c>
      <c r="Y213" s="20">
        <f t="shared" si="97"/>
        <v>0</v>
      </c>
      <c r="Z213" s="20">
        <f t="shared" si="97"/>
        <v>0</v>
      </c>
      <c r="AA213" s="20">
        <f t="shared" si="97"/>
        <v>0</v>
      </c>
      <c r="AB213" s="20">
        <f t="shared" si="97"/>
        <v>0</v>
      </c>
      <c r="AC213" s="20">
        <f t="shared" si="97"/>
        <v>0</v>
      </c>
    </row>
    <row r="214" spans="1:29">
      <c r="A214" s="3"/>
      <c r="B214" s="3" t="s">
        <v>1822</v>
      </c>
      <c r="C214" s="3" t="s">
        <v>550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>
        <v>7.7</v>
      </c>
      <c r="U214" s="20">
        <v>8.3</v>
      </c>
      <c r="V214" s="20">
        <v>11.9</v>
      </c>
      <c r="W214" s="20">
        <v>12.4</v>
      </c>
      <c r="X214" s="20">
        <v>14.9</v>
      </c>
      <c r="Y214" s="20">
        <v>15</v>
      </c>
      <c r="Z214" s="20">
        <v>16</v>
      </c>
      <c r="AA214" s="20">
        <v>18.6</v>
      </c>
      <c r="AB214" s="20">
        <v>21</v>
      </c>
      <c r="AC214" s="20">
        <v>22.2</v>
      </c>
    </row>
    <row r="215" spans="1:29">
      <c r="A215" s="3"/>
      <c r="B215" s="3"/>
      <c r="C215" s="3" t="s">
        <v>834</v>
      </c>
      <c r="D215" s="20">
        <f>D182</f>
        <v>2.99</v>
      </c>
      <c r="E215" s="20">
        <f t="shared" ref="E215:AC215" si="98">D215</f>
        <v>2.99</v>
      </c>
      <c r="F215" s="20">
        <f t="shared" si="98"/>
        <v>2.99</v>
      </c>
      <c r="G215" s="20">
        <f t="shared" si="98"/>
        <v>2.99</v>
      </c>
      <c r="H215" s="20">
        <f t="shared" si="98"/>
        <v>2.99</v>
      </c>
      <c r="I215" s="20">
        <f t="shared" si="98"/>
        <v>2.99</v>
      </c>
      <c r="J215" s="20">
        <f t="shared" si="98"/>
        <v>2.99</v>
      </c>
      <c r="K215" s="20">
        <f t="shared" si="98"/>
        <v>2.99</v>
      </c>
      <c r="L215" s="20">
        <f t="shared" si="98"/>
        <v>2.99</v>
      </c>
      <c r="M215" s="20">
        <f t="shared" si="98"/>
        <v>2.99</v>
      </c>
      <c r="N215" s="20">
        <f t="shared" si="98"/>
        <v>2.99</v>
      </c>
      <c r="O215" s="20">
        <f t="shared" si="98"/>
        <v>2.99</v>
      </c>
      <c r="P215" s="20">
        <f t="shared" si="98"/>
        <v>2.99</v>
      </c>
      <c r="Q215" s="20">
        <f t="shared" si="98"/>
        <v>2.99</v>
      </c>
      <c r="R215" s="20">
        <f t="shared" si="98"/>
        <v>2.99</v>
      </c>
      <c r="S215" s="20">
        <f t="shared" si="98"/>
        <v>2.99</v>
      </c>
      <c r="T215" s="20">
        <f t="shared" si="98"/>
        <v>2.99</v>
      </c>
      <c r="U215" s="20">
        <f t="shared" si="98"/>
        <v>2.99</v>
      </c>
      <c r="V215" s="20">
        <f t="shared" si="98"/>
        <v>2.99</v>
      </c>
      <c r="W215" s="20">
        <f t="shared" si="98"/>
        <v>2.99</v>
      </c>
      <c r="X215" s="20">
        <f t="shared" si="98"/>
        <v>2.99</v>
      </c>
      <c r="Y215" s="20">
        <f t="shared" si="98"/>
        <v>2.99</v>
      </c>
      <c r="Z215" s="20">
        <f t="shared" si="98"/>
        <v>2.99</v>
      </c>
      <c r="AA215" s="20">
        <f t="shared" si="98"/>
        <v>2.99</v>
      </c>
      <c r="AB215" s="20">
        <f t="shared" si="98"/>
        <v>2.99</v>
      </c>
      <c r="AC215" s="20">
        <f t="shared" si="98"/>
        <v>2.99</v>
      </c>
    </row>
    <row r="216" spans="1:29">
      <c r="A216" s="3"/>
      <c r="B216" s="3"/>
      <c r="C216" s="3" t="s">
        <v>2410</v>
      </c>
      <c r="D216" s="20">
        <f t="shared" ref="D216:AC216" si="99">D214*D215</f>
        <v>0</v>
      </c>
      <c r="E216" s="20">
        <f t="shared" si="99"/>
        <v>0</v>
      </c>
      <c r="F216" s="20">
        <f t="shared" si="99"/>
        <v>0</v>
      </c>
      <c r="G216" s="20">
        <f t="shared" si="99"/>
        <v>0</v>
      </c>
      <c r="H216" s="20">
        <f t="shared" si="99"/>
        <v>0</v>
      </c>
      <c r="I216" s="20">
        <f t="shared" si="99"/>
        <v>0</v>
      </c>
      <c r="J216" s="20">
        <f t="shared" si="99"/>
        <v>0</v>
      </c>
      <c r="K216" s="20">
        <f t="shared" si="99"/>
        <v>0</v>
      </c>
      <c r="L216" s="20">
        <f t="shared" si="99"/>
        <v>0</v>
      </c>
      <c r="M216" s="20">
        <f t="shared" si="99"/>
        <v>0</v>
      </c>
      <c r="N216" s="20">
        <f t="shared" si="99"/>
        <v>0</v>
      </c>
      <c r="O216" s="20">
        <f t="shared" si="99"/>
        <v>0</v>
      </c>
      <c r="P216" s="20">
        <f t="shared" si="99"/>
        <v>0</v>
      </c>
      <c r="Q216" s="20">
        <f t="shared" si="99"/>
        <v>0</v>
      </c>
      <c r="R216" s="20">
        <f t="shared" si="99"/>
        <v>0</v>
      </c>
      <c r="S216" s="20">
        <f t="shared" si="99"/>
        <v>0</v>
      </c>
      <c r="T216" s="20">
        <f t="shared" si="99"/>
        <v>23.023</v>
      </c>
      <c r="U216" s="20">
        <f t="shared" si="99"/>
        <v>24.817</v>
      </c>
      <c r="V216" s="20">
        <f t="shared" si="99"/>
        <v>35.581</v>
      </c>
      <c r="W216" s="20">
        <f t="shared" si="99"/>
        <v>37.076</v>
      </c>
      <c r="X216" s="20">
        <f t="shared" si="99"/>
        <v>44.551</v>
      </c>
      <c r="Y216" s="20">
        <f t="shared" si="99"/>
        <v>44.85</v>
      </c>
      <c r="Z216" s="20">
        <f t="shared" si="99"/>
        <v>47.84</v>
      </c>
      <c r="AA216" s="20">
        <f t="shared" si="99"/>
        <v>55.614</v>
      </c>
      <c r="AB216" s="20">
        <f t="shared" si="99"/>
        <v>62.79</v>
      </c>
      <c r="AC216" s="20">
        <f t="shared" si="99"/>
        <v>66.378</v>
      </c>
    </row>
    <row r="217" spans="1:29">
      <c r="A217" s="3"/>
      <c r="B217" s="3" t="s">
        <v>2411</v>
      </c>
      <c r="C217" s="3" t="s">
        <v>1834</v>
      </c>
      <c r="D217" s="20">
        <v>11.3</v>
      </c>
      <c r="E217" s="20">
        <v>21.1</v>
      </c>
      <c r="F217" s="20">
        <v>27.2</v>
      </c>
      <c r="G217" s="20">
        <v>36.7</v>
      </c>
      <c r="H217" s="20">
        <v>45.4</v>
      </c>
      <c r="I217" s="20">
        <v>78.7</v>
      </c>
      <c r="J217" s="20">
        <v>90.8</v>
      </c>
      <c r="K217" s="20">
        <v>9.5</v>
      </c>
      <c r="L217" s="20">
        <v>17.5</v>
      </c>
      <c r="M217" s="20">
        <v>20.2</v>
      </c>
      <c r="N217" s="20">
        <v>15.5</v>
      </c>
      <c r="O217" s="20">
        <v>8.8</v>
      </c>
      <c r="P217" s="20">
        <v>11.5</v>
      </c>
      <c r="Q217" s="20">
        <v>17</v>
      </c>
      <c r="R217" s="20">
        <v>17</v>
      </c>
      <c r="S217" s="20">
        <v>27.6</v>
      </c>
      <c r="T217" s="20"/>
      <c r="U217" s="20"/>
      <c r="V217" s="20"/>
      <c r="W217" s="20"/>
      <c r="X217" s="20"/>
      <c r="Y217" s="20"/>
      <c r="Z217" s="20"/>
      <c r="AA217" s="20"/>
      <c r="AB217" s="20"/>
      <c r="AC217" s="20"/>
    </row>
    <row r="218" spans="1:29">
      <c r="A218" s="3"/>
      <c r="B218" s="3"/>
      <c r="C218" s="3" t="s">
        <v>834</v>
      </c>
      <c r="D218" s="20">
        <f>D185</f>
        <v>0.48</v>
      </c>
      <c r="E218" s="20">
        <f t="shared" ref="E218:AC218" si="100">D218</f>
        <v>0.48</v>
      </c>
      <c r="F218" s="20">
        <f t="shared" si="100"/>
        <v>0.48</v>
      </c>
      <c r="G218" s="20">
        <f t="shared" si="100"/>
        <v>0.48</v>
      </c>
      <c r="H218" s="20">
        <f t="shared" si="100"/>
        <v>0.48</v>
      </c>
      <c r="I218" s="20">
        <f t="shared" si="100"/>
        <v>0.48</v>
      </c>
      <c r="J218" s="20">
        <f t="shared" si="100"/>
        <v>0.48</v>
      </c>
      <c r="K218" s="20">
        <f t="shared" si="100"/>
        <v>0.48</v>
      </c>
      <c r="L218" s="20">
        <f t="shared" si="100"/>
        <v>0.48</v>
      </c>
      <c r="M218" s="20">
        <f t="shared" si="100"/>
        <v>0.48</v>
      </c>
      <c r="N218" s="20">
        <f t="shared" si="100"/>
        <v>0.48</v>
      </c>
      <c r="O218" s="20">
        <f t="shared" si="100"/>
        <v>0.48</v>
      </c>
      <c r="P218" s="20">
        <f t="shared" si="100"/>
        <v>0.48</v>
      </c>
      <c r="Q218" s="20">
        <f t="shared" si="100"/>
        <v>0.48</v>
      </c>
      <c r="R218" s="20">
        <f t="shared" si="100"/>
        <v>0.48</v>
      </c>
      <c r="S218" s="20">
        <f t="shared" si="100"/>
        <v>0.48</v>
      </c>
      <c r="T218" s="20">
        <f t="shared" si="100"/>
        <v>0.48</v>
      </c>
      <c r="U218" s="20">
        <f t="shared" si="100"/>
        <v>0.48</v>
      </c>
      <c r="V218" s="20">
        <f t="shared" si="100"/>
        <v>0.48</v>
      </c>
      <c r="W218" s="20">
        <f t="shared" si="100"/>
        <v>0.48</v>
      </c>
      <c r="X218" s="20">
        <f t="shared" si="100"/>
        <v>0.48</v>
      </c>
      <c r="Y218" s="20">
        <f t="shared" si="100"/>
        <v>0.48</v>
      </c>
      <c r="Z218" s="20">
        <f t="shared" si="100"/>
        <v>0.48</v>
      </c>
      <c r="AA218" s="20">
        <f t="shared" si="100"/>
        <v>0.48</v>
      </c>
      <c r="AB218" s="20">
        <f t="shared" si="100"/>
        <v>0.48</v>
      </c>
      <c r="AC218" s="20">
        <f t="shared" si="100"/>
        <v>0.48</v>
      </c>
    </row>
    <row r="219" spans="1:29">
      <c r="A219" s="3"/>
      <c r="B219" s="3"/>
      <c r="C219" s="3" t="s">
        <v>2410</v>
      </c>
      <c r="D219" s="20">
        <f t="shared" ref="D219:AC219" si="101">D217*D218</f>
        <v>5.424</v>
      </c>
      <c r="E219" s="20">
        <f t="shared" si="101"/>
        <v>10.128</v>
      </c>
      <c r="F219" s="20">
        <f t="shared" si="101"/>
        <v>13.056</v>
      </c>
      <c r="G219" s="20">
        <f t="shared" si="101"/>
        <v>17.616</v>
      </c>
      <c r="H219" s="20">
        <f t="shared" si="101"/>
        <v>21.792</v>
      </c>
      <c r="I219" s="20">
        <f t="shared" si="101"/>
        <v>37.776</v>
      </c>
      <c r="J219" s="20">
        <f t="shared" si="101"/>
        <v>43.584</v>
      </c>
      <c r="K219" s="20">
        <f t="shared" si="101"/>
        <v>4.56</v>
      </c>
      <c r="L219" s="20">
        <f t="shared" si="101"/>
        <v>8.4</v>
      </c>
      <c r="M219" s="20">
        <f t="shared" si="101"/>
        <v>9.696</v>
      </c>
      <c r="N219" s="20">
        <f t="shared" si="101"/>
        <v>7.44</v>
      </c>
      <c r="O219" s="20">
        <f t="shared" si="101"/>
        <v>4.224</v>
      </c>
      <c r="P219" s="20">
        <f t="shared" si="101"/>
        <v>5.52</v>
      </c>
      <c r="Q219" s="20">
        <f t="shared" si="101"/>
        <v>8.16</v>
      </c>
      <c r="R219" s="20">
        <f t="shared" si="101"/>
        <v>8.16</v>
      </c>
      <c r="S219" s="20">
        <f t="shared" si="101"/>
        <v>13.248</v>
      </c>
      <c r="T219" s="20">
        <f t="shared" si="101"/>
        <v>0</v>
      </c>
      <c r="U219" s="20">
        <f t="shared" si="101"/>
        <v>0</v>
      </c>
      <c r="V219" s="20">
        <f t="shared" si="101"/>
        <v>0</v>
      </c>
      <c r="W219" s="20">
        <f t="shared" si="101"/>
        <v>0</v>
      </c>
      <c r="X219" s="20">
        <f t="shared" si="101"/>
        <v>0</v>
      </c>
      <c r="Y219" s="20">
        <f t="shared" si="101"/>
        <v>0</v>
      </c>
      <c r="Z219" s="20">
        <f t="shared" si="101"/>
        <v>0</v>
      </c>
      <c r="AA219" s="20">
        <f t="shared" si="101"/>
        <v>0</v>
      </c>
      <c r="AB219" s="20">
        <f t="shared" si="101"/>
        <v>0</v>
      </c>
      <c r="AC219" s="20">
        <f t="shared" si="101"/>
        <v>0</v>
      </c>
    </row>
    <row r="220" spans="1:29">
      <c r="A220" s="3"/>
      <c r="B220" s="3" t="s">
        <v>2412</v>
      </c>
      <c r="C220" s="3" t="s">
        <v>632</v>
      </c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</row>
    <row r="221" spans="1:29">
      <c r="A221" s="3"/>
      <c r="B221" s="3"/>
      <c r="C221" s="3" t="s">
        <v>834</v>
      </c>
      <c r="D221" s="20">
        <f>D188</f>
        <v>0.12</v>
      </c>
      <c r="E221" s="20">
        <f t="shared" ref="E221:AC221" si="102">D221</f>
        <v>0.12</v>
      </c>
      <c r="F221" s="20">
        <f t="shared" si="102"/>
        <v>0.12</v>
      </c>
      <c r="G221" s="20">
        <f t="shared" si="102"/>
        <v>0.12</v>
      </c>
      <c r="H221" s="20">
        <f t="shared" si="102"/>
        <v>0.12</v>
      </c>
      <c r="I221" s="20">
        <f t="shared" si="102"/>
        <v>0.12</v>
      </c>
      <c r="J221" s="20">
        <f t="shared" si="102"/>
        <v>0.12</v>
      </c>
      <c r="K221" s="20">
        <f t="shared" si="102"/>
        <v>0.12</v>
      </c>
      <c r="L221" s="20">
        <f t="shared" si="102"/>
        <v>0.12</v>
      </c>
      <c r="M221" s="20">
        <f t="shared" si="102"/>
        <v>0.12</v>
      </c>
      <c r="N221" s="20">
        <f t="shared" si="102"/>
        <v>0.12</v>
      </c>
      <c r="O221" s="20">
        <f t="shared" si="102"/>
        <v>0.12</v>
      </c>
      <c r="P221" s="20">
        <f t="shared" si="102"/>
        <v>0.12</v>
      </c>
      <c r="Q221" s="20">
        <f t="shared" si="102"/>
        <v>0.12</v>
      </c>
      <c r="R221" s="20">
        <f t="shared" si="102"/>
        <v>0.12</v>
      </c>
      <c r="S221" s="20">
        <f t="shared" si="102"/>
        <v>0.12</v>
      </c>
      <c r="T221" s="20">
        <f t="shared" si="102"/>
        <v>0.12</v>
      </c>
      <c r="U221" s="20">
        <f t="shared" si="102"/>
        <v>0.12</v>
      </c>
      <c r="V221" s="20">
        <f t="shared" si="102"/>
        <v>0.12</v>
      </c>
      <c r="W221" s="20">
        <f t="shared" si="102"/>
        <v>0.12</v>
      </c>
      <c r="X221" s="20">
        <f t="shared" si="102"/>
        <v>0.12</v>
      </c>
      <c r="Y221" s="20">
        <f t="shared" si="102"/>
        <v>0.12</v>
      </c>
      <c r="Z221" s="20">
        <f t="shared" si="102"/>
        <v>0.12</v>
      </c>
      <c r="AA221" s="20">
        <f t="shared" si="102"/>
        <v>0.12</v>
      </c>
      <c r="AB221" s="20">
        <f t="shared" si="102"/>
        <v>0.12</v>
      </c>
      <c r="AC221" s="20">
        <f t="shared" si="102"/>
        <v>0.12</v>
      </c>
    </row>
    <row r="222" spans="1:29">
      <c r="A222" s="3"/>
      <c r="B222" s="3"/>
      <c r="C222" s="3" t="s">
        <v>2410</v>
      </c>
      <c r="D222" s="20">
        <f t="shared" ref="D222:AC222" si="103">D220*D221</f>
        <v>0</v>
      </c>
      <c r="E222" s="20">
        <f t="shared" si="103"/>
        <v>0</v>
      </c>
      <c r="F222" s="20">
        <f t="shared" si="103"/>
        <v>0</v>
      </c>
      <c r="G222" s="20">
        <f t="shared" si="103"/>
        <v>0</v>
      </c>
      <c r="H222" s="20">
        <f t="shared" si="103"/>
        <v>0</v>
      </c>
      <c r="I222" s="20">
        <f t="shared" si="103"/>
        <v>0</v>
      </c>
      <c r="J222" s="20">
        <f t="shared" si="103"/>
        <v>0</v>
      </c>
      <c r="K222" s="20">
        <f t="shared" si="103"/>
        <v>0</v>
      </c>
      <c r="L222" s="20">
        <f t="shared" si="103"/>
        <v>0</v>
      </c>
      <c r="M222" s="20">
        <f t="shared" si="103"/>
        <v>0</v>
      </c>
      <c r="N222" s="20">
        <f t="shared" si="103"/>
        <v>0</v>
      </c>
      <c r="O222" s="20">
        <f t="shared" si="103"/>
        <v>0</v>
      </c>
      <c r="P222" s="20">
        <f t="shared" si="103"/>
        <v>0</v>
      </c>
      <c r="Q222" s="20">
        <f t="shared" si="103"/>
        <v>0</v>
      </c>
      <c r="R222" s="20">
        <f t="shared" si="103"/>
        <v>0</v>
      </c>
      <c r="S222" s="20">
        <f t="shared" si="103"/>
        <v>0</v>
      </c>
      <c r="T222" s="20">
        <f t="shared" si="103"/>
        <v>0</v>
      </c>
      <c r="U222" s="20">
        <f t="shared" si="103"/>
        <v>0</v>
      </c>
      <c r="V222" s="20">
        <f t="shared" si="103"/>
        <v>0</v>
      </c>
      <c r="W222" s="20">
        <f t="shared" si="103"/>
        <v>0</v>
      </c>
      <c r="X222" s="20">
        <f t="shared" si="103"/>
        <v>0</v>
      </c>
      <c r="Y222" s="20">
        <f t="shared" si="103"/>
        <v>0</v>
      </c>
      <c r="Z222" s="20">
        <f t="shared" si="103"/>
        <v>0</v>
      </c>
      <c r="AA222" s="20">
        <f t="shared" si="103"/>
        <v>0</v>
      </c>
      <c r="AB222" s="20">
        <f t="shared" si="103"/>
        <v>0</v>
      </c>
      <c r="AC222" s="20">
        <f t="shared" si="103"/>
        <v>0</v>
      </c>
    </row>
    <row r="223" spans="1:29">
      <c r="A223" s="3"/>
      <c r="B223" s="3" t="s">
        <v>2413</v>
      </c>
      <c r="C223" s="3" t="s">
        <v>632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</row>
    <row r="224" spans="1:29">
      <c r="A224" s="3"/>
      <c r="B224" s="3"/>
      <c r="C224" s="3" t="s">
        <v>834</v>
      </c>
      <c r="D224" s="20">
        <f>D191</f>
        <v>3.88349514563107</v>
      </c>
      <c r="E224" s="20">
        <f t="shared" ref="E224:AC224" si="104">D224</f>
        <v>3.88349514563107</v>
      </c>
      <c r="F224" s="20">
        <f t="shared" si="104"/>
        <v>3.88349514563107</v>
      </c>
      <c r="G224" s="20">
        <f t="shared" si="104"/>
        <v>3.88349514563107</v>
      </c>
      <c r="H224" s="20">
        <f t="shared" si="104"/>
        <v>3.88349514563107</v>
      </c>
      <c r="I224" s="20">
        <f t="shared" si="104"/>
        <v>3.88349514563107</v>
      </c>
      <c r="J224" s="20">
        <f t="shared" si="104"/>
        <v>3.88349514563107</v>
      </c>
      <c r="K224" s="20">
        <f t="shared" si="104"/>
        <v>3.88349514563107</v>
      </c>
      <c r="L224" s="20">
        <f t="shared" si="104"/>
        <v>3.88349514563107</v>
      </c>
      <c r="M224" s="20">
        <f t="shared" si="104"/>
        <v>3.88349514563107</v>
      </c>
      <c r="N224" s="20">
        <f t="shared" si="104"/>
        <v>3.88349514563107</v>
      </c>
      <c r="O224" s="20">
        <f t="shared" si="104"/>
        <v>3.88349514563107</v>
      </c>
      <c r="P224" s="20">
        <f t="shared" si="104"/>
        <v>3.88349514563107</v>
      </c>
      <c r="Q224" s="20">
        <f t="shared" si="104"/>
        <v>3.88349514563107</v>
      </c>
      <c r="R224" s="20">
        <f t="shared" si="104"/>
        <v>3.88349514563107</v>
      </c>
      <c r="S224" s="20">
        <f t="shared" si="104"/>
        <v>3.88349514563107</v>
      </c>
      <c r="T224" s="20">
        <f t="shared" si="104"/>
        <v>3.88349514563107</v>
      </c>
      <c r="U224" s="20">
        <f t="shared" si="104"/>
        <v>3.88349514563107</v>
      </c>
      <c r="V224" s="20">
        <f t="shared" si="104"/>
        <v>3.88349514563107</v>
      </c>
      <c r="W224" s="20">
        <f t="shared" si="104"/>
        <v>3.88349514563107</v>
      </c>
      <c r="X224" s="20">
        <f t="shared" si="104"/>
        <v>3.88349514563107</v>
      </c>
      <c r="Y224" s="20">
        <f t="shared" si="104"/>
        <v>3.88349514563107</v>
      </c>
      <c r="Z224" s="20">
        <f t="shared" si="104"/>
        <v>3.88349514563107</v>
      </c>
      <c r="AA224" s="20">
        <f t="shared" si="104"/>
        <v>3.88349514563107</v>
      </c>
      <c r="AB224" s="20">
        <f t="shared" si="104"/>
        <v>3.88349514563107</v>
      </c>
      <c r="AC224" s="20">
        <f t="shared" si="104"/>
        <v>3.88349514563107</v>
      </c>
    </row>
    <row r="225" spans="1:29">
      <c r="A225" s="3"/>
      <c r="B225" s="3"/>
      <c r="C225" s="3" t="s">
        <v>2410</v>
      </c>
      <c r="D225" s="20">
        <f t="shared" ref="D225:AC225" si="105">D223*D224</f>
        <v>0</v>
      </c>
      <c r="E225" s="20">
        <f t="shared" si="105"/>
        <v>0</v>
      </c>
      <c r="F225" s="20">
        <f t="shared" si="105"/>
        <v>0</v>
      </c>
      <c r="G225" s="20">
        <f t="shared" si="105"/>
        <v>0</v>
      </c>
      <c r="H225" s="20">
        <f t="shared" si="105"/>
        <v>0</v>
      </c>
      <c r="I225" s="20">
        <f t="shared" si="105"/>
        <v>0</v>
      </c>
      <c r="J225" s="20">
        <f t="shared" si="105"/>
        <v>0</v>
      </c>
      <c r="K225" s="20">
        <f t="shared" si="105"/>
        <v>0</v>
      </c>
      <c r="L225" s="20">
        <f t="shared" si="105"/>
        <v>0</v>
      </c>
      <c r="M225" s="20">
        <f t="shared" si="105"/>
        <v>0</v>
      </c>
      <c r="N225" s="20">
        <f t="shared" si="105"/>
        <v>0</v>
      </c>
      <c r="O225" s="20">
        <f t="shared" si="105"/>
        <v>0</v>
      </c>
      <c r="P225" s="20">
        <f t="shared" si="105"/>
        <v>0</v>
      </c>
      <c r="Q225" s="20">
        <f t="shared" si="105"/>
        <v>0</v>
      </c>
      <c r="R225" s="20">
        <f t="shared" si="105"/>
        <v>0</v>
      </c>
      <c r="S225" s="20">
        <f t="shared" si="105"/>
        <v>0</v>
      </c>
      <c r="T225" s="20">
        <f t="shared" si="105"/>
        <v>0</v>
      </c>
      <c r="U225" s="20">
        <f t="shared" si="105"/>
        <v>0</v>
      </c>
      <c r="V225" s="20">
        <f t="shared" si="105"/>
        <v>0</v>
      </c>
      <c r="W225" s="20">
        <f t="shared" si="105"/>
        <v>0</v>
      </c>
      <c r="X225" s="20">
        <f t="shared" si="105"/>
        <v>0</v>
      </c>
      <c r="Y225" s="20">
        <f t="shared" si="105"/>
        <v>0</v>
      </c>
      <c r="Z225" s="20">
        <f t="shared" si="105"/>
        <v>0</v>
      </c>
      <c r="AA225" s="20">
        <f t="shared" si="105"/>
        <v>0</v>
      </c>
      <c r="AB225" s="20">
        <f t="shared" si="105"/>
        <v>0</v>
      </c>
      <c r="AC225" s="20">
        <f t="shared" si="105"/>
        <v>0</v>
      </c>
    </row>
    <row r="226" spans="1:29">
      <c r="A226" s="3"/>
      <c r="B226" s="3" t="s">
        <v>2414</v>
      </c>
      <c r="C226" s="3" t="s">
        <v>550</v>
      </c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</row>
    <row r="227" spans="1:29">
      <c r="A227" s="3"/>
      <c r="B227" s="3"/>
      <c r="C227" s="3" t="s">
        <v>834</v>
      </c>
      <c r="D227" s="20">
        <f t="shared" ref="D227:AC227" si="106">D194</f>
        <v>0</v>
      </c>
      <c r="E227" s="20">
        <f t="shared" si="106"/>
        <v>0</v>
      </c>
      <c r="F227" s="20">
        <f t="shared" si="106"/>
        <v>0</v>
      </c>
      <c r="G227" s="20">
        <f t="shared" si="106"/>
        <v>0</v>
      </c>
      <c r="H227" s="20">
        <f t="shared" si="106"/>
        <v>0</v>
      </c>
      <c r="I227" s="20">
        <f t="shared" si="106"/>
        <v>0</v>
      </c>
      <c r="J227" s="20">
        <f t="shared" si="106"/>
        <v>0</v>
      </c>
      <c r="K227" s="20">
        <f t="shared" si="106"/>
        <v>0</v>
      </c>
      <c r="L227" s="20">
        <f t="shared" si="106"/>
        <v>0</v>
      </c>
      <c r="M227" s="20">
        <f t="shared" si="106"/>
        <v>0</v>
      </c>
      <c r="N227" s="20">
        <f t="shared" si="106"/>
        <v>0</v>
      </c>
      <c r="O227" s="20">
        <f t="shared" si="106"/>
        <v>0</v>
      </c>
      <c r="P227" s="20">
        <f t="shared" si="106"/>
        <v>0</v>
      </c>
      <c r="Q227" s="20">
        <f t="shared" si="106"/>
        <v>0</v>
      </c>
      <c r="R227" s="20">
        <f t="shared" si="106"/>
        <v>0</v>
      </c>
      <c r="S227" s="20">
        <f t="shared" si="106"/>
        <v>0</v>
      </c>
      <c r="T227" s="20">
        <f t="shared" si="106"/>
        <v>0</v>
      </c>
      <c r="U227" s="20">
        <f t="shared" si="106"/>
        <v>0</v>
      </c>
      <c r="V227" s="20">
        <f t="shared" si="106"/>
        <v>0</v>
      </c>
      <c r="W227" s="20">
        <f t="shared" si="106"/>
        <v>0</v>
      </c>
      <c r="X227" s="20">
        <f t="shared" si="106"/>
        <v>0</v>
      </c>
      <c r="Y227" s="20">
        <f t="shared" si="106"/>
        <v>0</v>
      </c>
      <c r="Z227" s="20">
        <f t="shared" si="106"/>
        <v>0</v>
      </c>
      <c r="AA227" s="20">
        <f t="shared" si="106"/>
        <v>0</v>
      </c>
      <c r="AB227" s="20">
        <f t="shared" si="106"/>
        <v>0</v>
      </c>
      <c r="AC227" s="20">
        <f t="shared" si="106"/>
        <v>0</v>
      </c>
    </row>
    <row r="228" spans="1:29">
      <c r="A228" s="3"/>
      <c r="B228" s="3"/>
      <c r="C228" s="3" t="s">
        <v>2410</v>
      </c>
      <c r="D228" s="20">
        <f t="shared" ref="D228:AC228" si="107">D226*D227</f>
        <v>0</v>
      </c>
      <c r="E228" s="20">
        <f t="shared" si="107"/>
        <v>0</v>
      </c>
      <c r="F228" s="20">
        <f t="shared" si="107"/>
        <v>0</v>
      </c>
      <c r="G228" s="20">
        <f t="shared" si="107"/>
        <v>0</v>
      </c>
      <c r="H228" s="20">
        <f t="shared" si="107"/>
        <v>0</v>
      </c>
      <c r="I228" s="20">
        <f t="shared" si="107"/>
        <v>0</v>
      </c>
      <c r="J228" s="20">
        <f t="shared" si="107"/>
        <v>0</v>
      </c>
      <c r="K228" s="20">
        <f t="shared" si="107"/>
        <v>0</v>
      </c>
      <c r="L228" s="20">
        <f t="shared" si="107"/>
        <v>0</v>
      </c>
      <c r="M228" s="20">
        <f t="shared" si="107"/>
        <v>0</v>
      </c>
      <c r="N228" s="20">
        <f t="shared" si="107"/>
        <v>0</v>
      </c>
      <c r="O228" s="20">
        <f t="shared" si="107"/>
        <v>0</v>
      </c>
      <c r="P228" s="20">
        <f t="shared" si="107"/>
        <v>0</v>
      </c>
      <c r="Q228" s="20">
        <f t="shared" si="107"/>
        <v>0</v>
      </c>
      <c r="R228" s="20">
        <f t="shared" si="107"/>
        <v>0</v>
      </c>
      <c r="S228" s="20">
        <f t="shared" si="107"/>
        <v>0</v>
      </c>
      <c r="T228" s="20">
        <f t="shared" si="107"/>
        <v>0</v>
      </c>
      <c r="U228" s="20">
        <f t="shared" si="107"/>
        <v>0</v>
      </c>
      <c r="V228" s="20">
        <f t="shared" si="107"/>
        <v>0</v>
      </c>
      <c r="W228" s="20">
        <f t="shared" si="107"/>
        <v>0</v>
      </c>
      <c r="X228" s="20">
        <f t="shared" si="107"/>
        <v>0</v>
      </c>
      <c r="Y228" s="20">
        <f t="shared" si="107"/>
        <v>0</v>
      </c>
      <c r="Z228" s="20">
        <f t="shared" si="107"/>
        <v>0</v>
      </c>
      <c r="AA228" s="20">
        <f t="shared" si="107"/>
        <v>0</v>
      </c>
      <c r="AB228" s="20">
        <f t="shared" si="107"/>
        <v>0</v>
      </c>
      <c r="AC228" s="20">
        <f t="shared" si="107"/>
        <v>0</v>
      </c>
    </row>
    <row r="229" ht="20.25" spans="1:29">
      <c r="A229" s="156"/>
      <c r="B229" s="156" t="s">
        <v>1321</v>
      </c>
      <c r="C229" s="156" t="s">
        <v>114</v>
      </c>
      <c r="D229" s="157">
        <f t="shared" ref="D229:AC229" si="108">D210+D213+D216+D219+D222+D225+D228</f>
        <v>24.8648827058142</v>
      </c>
      <c r="E229" s="157">
        <f t="shared" si="108"/>
        <v>29.5688827058142</v>
      </c>
      <c r="F229" s="157">
        <f t="shared" si="108"/>
        <v>34.926993044041</v>
      </c>
      <c r="G229" s="157">
        <f t="shared" si="108"/>
        <v>39.486993044041</v>
      </c>
      <c r="H229" s="157">
        <f t="shared" si="108"/>
        <v>43.662993044041</v>
      </c>
      <c r="I229" s="157">
        <f t="shared" si="108"/>
        <v>59.646993044041</v>
      </c>
      <c r="J229" s="157">
        <f t="shared" si="108"/>
        <v>75.175434396948</v>
      </c>
      <c r="K229" s="157">
        <f t="shared" si="108"/>
        <v>24.0008827058142</v>
      </c>
      <c r="L229" s="157">
        <f t="shared" si="108"/>
        <v>27.8408827058142</v>
      </c>
      <c r="M229" s="157">
        <f t="shared" si="108"/>
        <v>29.1368827058142</v>
      </c>
      <c r="N229" s="157">
        <f t="shared" si="108"/>
        <v>26.8808827058142</v>
      </c>
      <c r="O229" s="157">
        <f t="shared" si="108"/>
        <v>14.754478132316</v>
      </c>
      <c r="P229" s="157">
        <f t="shared" si="108"/>
        <v>16.050478132316</v>
      </c>
      <c r="Q229" s="157">
        <f t="shared" si="108"/>
        <v>18.690478132316</v>
      </c>
      <c r="R229" s="157">
        <f t="shared" si="108"/>
        <v>18.690478132316</v>
      </c>
      <c r="S229" s="157">
        <f t="shared" si="108"/>
        <v>23.778478132316</v>
      </c>
      <c r="T229" s="157">
        <f t="shared" si="108"/>
        <v>42.4638827058142</v>
      </c>
      <c r="U229" s="157">
        <f t="shared" si="108"/>
        <v>44.2578827058142</v>
      </c>
      <c r="V229" s="157">
        <f t="shared" si="108"/>
        <v>55.0218827058142</v>
      </c>
      <c r="W229" s="157">
        <f t="shared" si="108"/>
        <v>56.5168827058142</v>
      </c>
      <c r="X229" s="157">
        <f t="shared" si="108"/>
        <v>63.9918827058142</v>
      </c>
      <c r="Y229" s="157">
        <f t="shared" si="108"/>
        <v>64.2908827058142</v>
      </c>
      <c r="Z229" s="157">
        <f t="shared" si="108"/>
        <v>67.2808827058142</v>
      </c>
      <c r="AA229" s="157">
        <f t="shared" si="108"/>
        <v>75.0548827058142</v>
      </c>
      <c r="AB229" s="157">
        <f t="shared" si="108"/>
        <v>82.2308827058142</v>
      </c>
      <c r="AC229" s="157">
        <f t="shared" si="108"/>
        <v>85.8188827058142</v>
      </c>
    </row>
    <row r="230" ht="20.25" spans="1:29">
      <c r="A230" s="156" t="s">
        <v>463</v>
      </c>
      <c r="B230" s="156"/>
      <c r="C230" s="156" t="s">
        <v>114</v>
      </c>
      <c r="D230" s="157">
        <f t="shared" ref="D230:AC230" si="109">D229+D207</f>
        <v>36.2511810703934</v>
      </c>
      <c r="E230" s="157">
        <f t="shared" si="109"/>
        <v>61.9586832642506</v>
      </c>
      <c r="F230" s="157">
        <f t="shared" si="109"/>
        <v>81.6175474915878</v>
      </c>
      <c r="G230" s="157">
        <f t="shared" si="109"/>
        <v>94.0563189315559</v>
      </c>
      <c r="H230" s="157">
        <f t="shared" si="109"/>
        <v>111.068174535864</v>
      </c>
      <c r="I230" s="157">
        <f t="shared" si="109"/>
        <v>147.52614342298</v>
      </c>
      <c r="J230" s="157">
        <f t="shared" si="109"/>
        <v>195.527089761926</v>
      </c>
      <c r="K230" s="157">
        <f t="shared" si="109"/>
        <v>40.065330252683</v>
      </c>
      <c r="L230" s="157">
        <f t="shared" si="109"/>
        <v>52.0552943532015</v>
      </c>
      <c r="M230" s="157">
        <f t="shared" si="109"/>
        <v>62.2935081545577</v>
      </c>
      <c r="N230" s="157">
        <f t="shared" si="109"/>
        <v>48.4748675482554</v>
      </c>
      <c r="O230" s="157">
        <f t="shared" si="109"/>
        <v>25.474434255172</v>
      </c>
      <c r="P230" s="157">
        <f t="shared" si="109"/>
        <v>28.455324562312</v>
      </c>
      <c r="Q230" s="157">
        <f t="shared" si="109"/>
        <v>37.7507972388178</v>
      </c>
      <c r="R230" s="157">
        <f t="shared" si="109"/>
        <v>49.7902786907524</v>
      </c>
      <c r="S230" s="157">
        <f t="shared" si="109"/>
        <v>64.0453429109359</v>
      </c>
      <c r="T230" s="157">
        <f t="shared" si="109"/>
        <v>65.9383940739833</v>
      </c>
      <c r="U230" s="157">
        <f t="shared" si="109"/>
        <v>90.2281499575094</v>
      </c>
      <c r="V230" s="157">
        <f t="shared" si="109"/>
        <v>109.870554425</v>
      </c>
      <c r="W230" s="157">
        <f t="shared" si="109"/>
        <v>118.916491800349</v>
      </c>
      <c r="X230" s="157">
        <f t="shared" si="109"/>
        <v>129.211288369955</v>
      </c>
      <c r="Y230" s="157">
        <f t="shared" si="109"/>
        <v>157.488676882121</v>
      </c>
      <c r="Z230" s="157">
        <f t="shared" si="109"/>
        <v>183.987189048056</v>
      </c>
      <c r="AA230" s="157">
        <f t="shared" si="109"/>
        <v>210.819202610082</v>
      </c>
      <c r="AB230" s="157">
        <f t="shared" si="109"/>
        <v>432.930882705814</v>
      </c>
      <c r="AC230" s="157">
        <f t="shared" si="109"/>
        <v>601.226266032499</v>
      </c>
    </row>
    <row r="231" ht="20.25" spans="1:29">
      <c r="A231" s="156" t="s">
        <v>458</v>
      </c>
      <c r="B231" s="156"/>
      <c r="C231" s="156"/>
      <c r="D231" s="156">
        <v>4001</v>
      </c>
      <c r="E231" s="156">
        <v>4002</v>
      </c>
      <c r="F231" s="156">
        <v>4003</v>
      </c>
      <c r="G231" s="156">
        <v>4004</v>
      </c>
      <c r="H231" s="156">
        <v>4005</v>
      </c>
      <c r="I231" s="156">
        <v>4006</v>
      </c>
      <c r="J231" s="156">
        <v>4007</v>
      </c>
      <c r="K231" s="156">
        <v>4008</v>
      </c>
      <c r="L231" s="156">
        <v>4009</v>
      </c>
      <c r="M231" s="156">
        <v>4010</v>
      </c>
      <c r="N231" s="156">
        <v>4011</v>
      </c>
      <c r="O231" s="156">
        <v>4012</v>
      </c>
      <c r="P231" s="156">
        <v>4013</v>
      </c>
      <c r="Q231" s="156">
        <v>4014</v>
      </c>
      <c r="R231" s="156">
        <v>4015</v>
      </c>
      <c r="S231" s="156">
        <v>4016</v>
      </c>
      <c r="T231" s="156">
        <v>4017</v>
      </c>
      <c r="U231" s="156">
        <v>4018</v>
      </c>
      <c r="V231" s="156">
        <v>4019</v>
      </c>
      <c r="W231" s="156">
        <v>4020</v>
      </c>
      <c r="X231" s="156">
        <v>4021</v>
      </c>
      <c r="Y231" s="156">
        <v>4022</v>
      </c>
      <c r="Z231" s="156">
        <v>4023</v>
      </c>
      <c r="AA231" s="156">
        <v>4024</v>
      </c>
      <c r="AB231" s="156">
        <v>4025</v>
      </c>
      <c r="AC231" s="156">
        <v>4026</v>
      </c>
    </row>
    <row r="232" s="153" customFormat="1" spans="25:25">
      <c r="Y232" s="176"/>
    </row>
    <row r="233" spans="1:27">
      <c r="A233" s="3" t="s">
        <v>2388</v>
      </c>
      <c r="B233" s="3"/>
      <c r="C233" s="3" t="s">
        <v>55</v>
      </c>
      <c r="D233" s="160" t="s">
        <v>2173</v>
      </c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2"/>
      <c r="Q233" s="160" t="s">
        <v>2176</v>
      </c>
      <c r="R233" s="161"/>
      <c r="S233" s="161"/>
      <c r="T233" s="161"/>
      <c r="U233" s="161"/>
      <c r="V233" s="161"/>
      <c r="W233" s="161"/>
      <c r="X233" s="162"/>
      <c r="Y233" s="160" t="s">
        <v>2179</v>
      </c>
      <c r="Z233" s="161"/>
      <c r="AA233" s="162"/>
    </row>
    <row r="234" spans="1:27">
      <c r="A234" s="3"/>
      <c r="B234" s="3"/>
      <c r="C234" s="3"/>
      <c r="D234" s="163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5"/>
      <c r="Q234" s="163"/>
      <c r="R234" s="164"/>
      <c r="S234" s="164"/>
      <c r="T234" s="164"/>
      <c r="U234" s="164"/>
      <c r="V234" s="164"/>
      <c r="W234" s="164"/>
      <c r="X234" s="165"/>
      <c r="Y234" s="163"/>
      <c r="Z234" s="164"/>
      <c r="AA234" s="165"/>
    </row>
    <row r="235" spans="1:27">
      <c r="A235" s="3"/>
      <c r="B235" s="3"/>
      <c r="C235" s="3"/>
      <c r="D235" s="137" t="s">
        <v>2470</v>
      </c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7"/>
    </row>
    <row r="236" spans="1:27">
      <c r="A236" s="3"/>
      <c r="B236" s="3"/>
      <c r="C236" s="3"/>
      <c r="D236" s="3">
        <v>5</v>
      </c>
      <c r="E236" s="3">
        <v>6.3</v>
      </c>
      <c r="F236" s="3">
        <v>8</v>
      </c>
      <c r="G236" s="3">
        <v>10</v>
      </c>
      <c r="H236" s="3">
        <v>16</v>
      </c>
      <c r="I236" s="3">
        <v>20</v>
      </c>
      <c r="J236" s="3">
        <v>25</v>
      </c>
      <c r="K236" s="3">
        <v>30</v>
      </c>
      <c r="L236" s="3">
        <v>40</v>
      </c>
      <c r="M236" s="3">
        <v>50</v>
      </c>
      <c r="N236" s="3">
        <v>70</v>
      </c>
      <c r="O236" s="3">
        <v>90</v>
      </c>
      <c r="P236" s="3">
        <v>100</v>
      </c>
      <c r="Q236" s="3">
        <v>8</v>
      </c>
      <c r="R236" s="3">
        <v>10</v>
      </c>
      <c r="S236" s="3">
        <v>15</v>
      </c>
      <c r="T236" s="3">
        <v>20</v>
      </c>
      <c r="U236" s="3">
        <v>25</v>
      </c>
      <c r="V236" s="3">
        <v>35</v>
      </c>
      <c r="W236" s="3">
        <v>40</v>
      </c>
      <c r="X236" s="3" t="s">
        <v>2472</v>
      </c>
      <c r="Y236" s="125">
        <v>2</v>
      </c>
      <c r="Z236" s="3">
        <v>3</v>
      </c>
      <c r="AA236" s="3">
        <v>6</v>
      </c>
    </row>
    <row r="237" spans="1:27">
      <c r="A237" s="3" t="s">
        <v>2400</v>
      </c>
      <c r="B237" s="3" t="s">
        <v>2401</v>
      </c>
      <c r="C237" s="3" t="s">
        <v>114</v>
      </c>
      <c r="D237" s="20">
        <f>12.92/$AA$6</f>
        <v>11.2347826086957</v>
      </c>
      <c r="E237" s="20">
        <f>17.86/$AA$6</f>
        <v>15.5304347826087</v>
      </c>
      <c r="F237" s="20">
        <f>20.9/$AA$6</f>
        <v>18.1739130434783</v>
      </c>
      <c r="G237" s="20">
        <f>25.08/$AA$6</f>
        <v>21.8086956521739</v>
      </c>
      <c r="H237" s="20">
        <f>37.62/$AA$6</f>
        <v>32.7130434782609</v>
      </c>
      <c r="I237" s="20">
        <f>46.14/$AA$6</f>
        <v>40.1217391304348</v>
      </c>
      <c r="J237" s="20">
        <f>74.64/$AA$6</f>
        <v>64.904347826087</v>
      </c>
      <c r="K237" s="20">
        <f>84.82/$AA$6</f>
        <v>73.7565217391304</v>
      </c>
      <c r="L237" s="20">
        <f>166.25/$AA$6</f>
        <v>144.565217391304</v>
      </c>
      <c r="M237" s="20">
        <f>220.54/$AA$6</f>
        <v>191.773913043478</v>
      </c>
      <c r="N237" s="20">
        <f>339.28/$AA$6</f>
        <v>295.026086956522</v>
      </c>
      <c r="O237" s="20">
        <f>407.14/$AA$6</f>
        <v>354.034782608696</v>
      </c>
      <c r="P237" s="20">
        <f>475/$AA$6</f>
        <v>413.04347826087</v>
      </c>
      <c r="Q237" s="20">
        <f>19.2/$AA$6</f>
        <v>16.695652173913</v>
      </c>
      <c r="R237" s="20">
        <f>21.23/$AA$6</f>
        <v>18.4608695652174</v>
      </c>
      <c r="S237" s="20">
        <f>22.13/$AA$6</f>
        <v>19.2434782608696</v>
      </c>
      <c r="T237" s="20">
        <f>34.73/$AA$6</f>
        <v>30.2</v>
      </c>
      <c r="U237" s="20">
        <f>51.36/$AA$6</f>
        <v>44.6608695652174</v>
      </c>
      <c r="V237" s="20">
        <f>68.28/$AA$6</f>
        <v>59.3739130434783</v>
      </c>
      <c r="W237" s="20">
        <f>83.13/$AA$6</f>
        <v>72.2869565217391</v>
      </c>
      <c r="X237" s="20">
        <f>317.66/$AA$6</f>
        <v>276.226086956522</v>
      </c>
      <c r="Y237" s="20">
        <f>4.71/$AA$6</f>
        <v>4.09565217391304</v>
      </c>
      <c r="Z237" s="20">
        <f>5.3/$AA$6</f>
        <v>4.60869565217391</v>
      </c>
      <c r="AA237" s="20">
        <f>7.84/$AA$6</f>
        <v>6.81739130434783</v>
      </c>
    </row>
    <row r="238" spans="1:27">
      <c r="A238" s="3"/>
      <c r="B238" s="3" t="s">
        <v>2403</v>
      </c>
      <c r="C238" s="3" t="s">
        <v>114</v>
      </c>
      <c r="D238" s="20">
        <f>12.42/$AA$7</f>
        <v>11.394495412844</v>
      </c>
      <c r="E238" s="20">
        <f>13.13/$AA$7</f>
        <v>12.045871559633</v>
      </c>
      <c r="F238" s="20">
        <f>14.66/$AA$7</f>
        <v>13.4495412844037</v>
      </c>
      <c r="G238" s="20">
        <f>17.45/$AA$7</f>
        <v>16.0091743119266</v>
      </c>
      <c r="H238" s="20">
        <f>26.17/$AA$7</f>
        <v>24.0091743119266</v>
      </c>
      <c r="I238" s="20">
        <f>28.94/$AA$7</f>
        <v>26.5504587155963</v>
      </c>
      <c r="J238" s="20">
        <f>40.31/$AA$7</f>
        <v>36.9816513761468</v>
      </c>
      <c r="K238" s="20">
        <f>45.8/$AA$7</f>
        <v>42.0183486238532</v>
      </c>
      <c r="L238" s="20">
        <f>89.78/$AA$7</f>
        <v>82.3669724770642</v>
      </c>
      <c r="M238" s="20">
        <f>113.13/$AA$7</f>
        <v>103.788990825688</v>
      </c>
      <c r="N238" s="20">
        <f>174.06/$AA$7</f>
        <v>159.688073394495</v>
      </c>
      <c r="O238" s="20">
        <f>208.89/$AA$7</f>
        <v>191.642201834862</v>
      </c>
      <c r="P238" s="20">
        <f>243.68/$AA$7</f>
        <v>223.559633027523</v>
      </c>
      <c r="Q238" s="20">
        <f>10.75/$AA$7</f>
        <v>9.86238532110092</v>
      </c>
      <c r="R238" s="20">
        <f>11.89/$AA$7</f>
        <v>10.9082568807339</v>
      </c>
      <c r="S238" s="20">
        <f>12.39/$AA$7</f>
        <v>11.3669724770642</v>
      </c>
      <c r="T238" s="20">
        <f>18.26/$AA$7</f>
        <v>16.7522935779816</v>
      </c>
      <c r="U238" s="20">
        <f>27/$AA$7</f>
        <v>24.7706422018349</v>
      </c>
      <c r="V238" s="20">
        <f>37.78/$AA$7</f>
        <v>34.6605504587156</v>
      </c>
      <c r="W238" s="20">
        <f>43.7/$AA$7</f>
        <v>40.0917431192661</v>
      </c>
      <c r="X238" s="20">
        <f>171.53/$AA$7</f>
        <v>157.366972477064</v>
      </c>
      <c r="Y238" s="20">
        <f>8.59/$AA$7</f>
        <v>7.88073394495413</v>
      </c>
      <c r="Z238" s="20">
        <f>9.63/$AA$7</f>
        <v>8.8348623853211</v>
      </c>
      <c r="AA238" s="20">
        <f>14.11/$AA$7</f>
        <v>12.9449541284404</v>
      </c>
    </row>
    <row r="239" spans="1:27">
      <c r="A239" s="3"/>
      <c r="B239" s="3" t="s">
        <v>2405</v>
      </c>
      <c r="C239" s="3" t="s">
        <v>114</v>
      </c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ht="20.25" spans="1:27">
      <c r="A240" s="156"/>
      <c r="B240" s="156" t="s">
        <v>1321</v>
      </c>
      <c r="C240" s="156" t="s">
        <v>114</v>
      </c>
      <c r="D240" s="157">
        <f t="shared" ref="D240:AA240" si="110">SUM(D237:D239)</f>
        <v>22.6292780215397</v>
      </c>
      <c r="E240" s="157">
        <f t="shared" si="110"/>
        <v>27.5763063422417</v>
      </c>
      <c r="F240" s="157">
        <f t="shared" si="110"/>
        <v>31.6234543278819</v>
      </c>
      <c r="G240" s="157">
        <f t="shared" si="110"/>
        <v>37.8178699641005</v>
      </c>
      <c r="H240" s="157">
        <f t="shared" si="110"/>
        <v>56.7222177901875</v>
      </c>
      <c r="I240" s="157">
        <f t="shared" si="110"/>
        <v>66.6721978460311</v>
      </c>
      <c r="J240" s="157">
        <f t="shared" si="110"/>
        <v>101.885999202234</v>
      </c>
      <c r="K240" s="157">
        <f t="shared" si="110"/>
        <v>115.774870362984</v>
      </c>
      <c r="L240" s="157">
        <f t="shared" si="110"/>
        <v>226.932189868369</v>
      </c>
      <c r="M240" s="157">
        <f t="shared" si="110"/>
        <v>295.562903869166</v>
      </c>
      <c r="N240" s="157">
        <f t="shared" si="110"/>
        <v>454.714160351017</v>
      </c>
      <c r="O240" s="157">
        <f t="shared" si="110"/>
        <v>545.676984443558</v>
      </c>
      <c r="P240" s="157">
        <f t="shared" si="110"/>
        <v>636.603111288392</v>
      </c>
      <c r="Q240" s="157">
        <f t="shared" si="110"/>
        <v>26.558037495014</v>
      </c>
      <c r="R240" s="157">
        <f t="shared" si="110"/>
        <v>29.3691264459513</v>
      </c>
      <c r="S240" s="157">
        <f t="shared" si="110"/>
        <v>30.6104507379338</v>
      </c>
      <c r="T240" s="157">
        <f t="shared" si="110"/>
        <v>46.9522935779816</v>
      </c>
      <c r="U240" s="157">
        <f t="shared" si="110"/>
        <v>69.4315117670523</v>
      </c>
      <c r="V240" s="157">
        <f t="shared" si="110"/>
        <v>94.0344635021939</v>
      </c>
      <c r="W240" s="157">
        <f t="shared" si="110"/>
        <v>112.378699641005</v>
      </c>
      <c r="X240" s="157">
        <f t="shared" si="110"/>
        <v>433.593059433586</v>
      </c>
      <c r="Y240" s="157">
        <f t="shared" si="110"/>
        <v>11.9763861188672</v>
      </c>
      <c r="Z240" s="157">
        <f t="shared" si="110"/>
        <v>13.443558037495</v>
      </c>
      <c r="AA240" s="157">
        <f t="shared" si="110"/>
        <v>19.7623454327882</v>
      </c>
    </row>
    <row r="241" spans="1:27">
      <c r="A241" s="3" t="s">
        <v>2408</v>
      </c>
      <c r="B241" s="3" t="s">
        <v>600</v>
      </c>
      <c r="C241" s="3" t="s">
        <v>2409</v>
      </c>
      <c r="D241" s="20">
        <v>2.7</v>
      </c>
      <c r="E241" s="20">
        <v>2.7</v>
      </c>
      <c r="F241" s="20">
        <v>2.7</v>
      </c>
      <c r="G241" s="20">
        <v>2.7</v>
      </c>
      <c r="H241" s="20">
        <v>2.7</v>
      </c>
      <c r="I241" s="20">
        <v>2.7</v>
      </c>
      <c r="J241" s="20">
        <v>2.7</v>
      </c>
      <c r="K241" s="20">
        <v>2.7</v>
      </c>
      <c r="L241" s="20">
        <v>2.7</v>
      </c>
      <c r="M241" s="20">
        <v>2.7</v>
      </c>
      <c r="N241" s="20">
        <v>2.7</v>
      </c>
      <c r="O241" s="20">
        <v>2.7</v>
      </c>
      <c r="P241" s="20">
        <v>2.7</v>
      </c>
      <c r="Q241" s="20">
        <v>2.4</v>
      </c>
      <c r="R241" s="20">
        <v>2.4</v>
      </c>
      <c r="S241" s="20">
        <v>2.4</v>
      </c>
      <c r="T241" s="20">
        <v>2.4</v>
      </c>
      <c r="U241" s="20">
        <v>2.4</v>
      </c>
      <c r="V241" s="20">
        <v>2.4</v>
      </c>
      <c r="W241" s="20">
        <v>2.4</v>
      </c>
      <c r="X241" s="20">
        <v>2.7</v>
      </c>
      <c r="Y241" s="20">
        <v>1.3</v>
      </c>
      <c r="Z241" s="20">
        <v>1.3</v>
      </c>
      <c r="AA241" s="20">
        <v>1.3</v>
      </c>
    </row>
    <row r="242" spans="1:27">
      <c r="A242" s="3"/>
      <c r="B242" s="3"/>
      <c r="C242" s="3" t="s">
        <v>834</v>
      </c>
      <c r="D242" s="20">
        <f>D209</f>
        <v>8.10036779408924</v>
      </c>
      <c r="E242" s="20">
        <f t="shared" ref="E242:AA242" si="111">D242</f>
        <v>8.10036779408924</v>
      </c>
      <c r="F242" s="20">
        <f t="shared" si="111"/>
        <v>8.10036779408924</v>
      </c>
      <c r="G242" s="20">
        <f t="shared" si="111"/>
        <v>8.10036779408924</v>
      </c>
      <c r="H242" s="20">
        <f t="shared" si="111"/>
        <v>8.10036779408924</v>
      </c>
      <c r="I242" s="20">
        <f t="shared" si="111"/>
        <v>8.10036779408924</v>
      </c>
      <c r="J242" s="20">
        <f t="shared" si="111"/>
        <v>8.10036779408924</v>
      </c>
      <c r="K242" s="20">
        <f t="shared" si="111"/>
        <v>8.10036779408924</v>
      </c>
      <c r="L242" s="20">
        <f t="shared" si="111"/>
        <v>8.10036779408924</v>
      </c>
      <c r="M242" s="20">
        <f t="shared" si="111"/>
        <v>8.10036779408924</v>
      </c>
      <c r="N242" s="20">
        <f t="shared" si="111"/>
        <v>8.10036779408924</v>
      </c>
      <c r="O242" s="20">
        <f t="shared" si="111"/>
        <v>8.10036779408924</v>
      </c>
      <c r="P242" s="20">
        <f t="shared" si="111"/>
        <v>8.10036779408924</v>
      </c>
      <c r="Q242" s="20">
        <f t="shared" si="111"/>
        <v>8.10036779408924</v>
      </c>
      <c r="R242" s="20">
        <f t="shared" si="111"/>
        <v>8.10036779408924</v>
      </c>
      <c r="S242" s="20">
        <f t="shared" si="111"/>
        <v>8.10036779408924</v>
      </c>
      <c r="T242" s="20">
        <f t="shared" si="111"/>
        <v>8.10036779408924</v>
      </c>
      <c r="U242" s="20">
        <f t="shared" si="111"/>
        <v>8.10036779408924</v>
      </c>
      <c r="V242" s="20">
        <f t="shared" si="111"/>
        <v>8.10036779408924</v>
      </c>
      <c r="W242" s="20">
        <f t="shared" si="111"/>
        <v>8.10036779408924</v>
      </c>
      <c r="X242" s="20">
        <f t="shared" si="111"/>
        <v>8.10036779408924</v>
      </c>
      <c r="Y242" s="20">
        <f t="shared" si="111"/>
        <v>8.10036779408924</v>
      </c>
      <c r="Z242" s="20">
        <f t="shared" si="111"/>
        <v>8.10036779408924</v>
      </c>
      <c r="AA242" s="20">
        <f t="shared" si="111"/>
        <v>8.10036779408924</v>
      </c>
    </row>
    <row r="243" spans="1:27">
      <c r="A243" s="3"/>
      <c r="B243" s="3"/>
      <c r="C243" s="3" t="s">
        <v>2410</v>
      </c>
      <c r="D243" s="20">
        <f t="shared" ref="D243:AA243" si="112">D241*D242</f>
        <v>21.870993044041</v>
      </c>
      <c r="E243" s="20">
        <f t="shared" si="112"/>
        <v>21.870993044041</v>
      </c>
      <c r="F243" s="20">
        <f t="shared" si="112"/>
        <v>21.870993044041</v>
      </c>
      <c r="G243" s="20">
        <f t="shared" si="112"/>
        <v>21.870993044041</v>
      </c>
      <c r="H243" s="20">
        <f t="shared" si="112"/>
        <v>21.870993044041</v>
      </c>
      <c r="I243" s="20">
        <f t="shared" si="112"/>
        <v>21.870993044041</v>
      </c>
      <c r="J243" s="20">
        <f t="shared" si="112"/>
        <v>21.870993044041</v>
      </c>
      <c r="K243" s="20">
        <f t="shared" si="112"/>
        <v>21.870993044041</v>
      </c>
      <c r="L243" s="20">
        <f t="shared" si="112"/>
        <v>21.870993044041</v>
      </c>
      <c r="M243" s="20">
        <f t="shared" si="112"/>
        <v>21.870993044041</v>
      </c>
      <c r="N243" s="20">
        <f t="shared" si="112"/>
        <v>21.870993044041</v>
      </c>
      <c r="O243" s="20">
        <f t="shared" si="112"/>
        <v>21.870993044041</v>
      </c>
      <c r="P243" s="20">
        <f t="shared" si="112"/>
        <v>21.870993044041</v>
      </c>
      <c r="Q243" s="20">
        <f t="shared" si="112"/>
        <v>19.4408827058142</v>
      </c>
      <c r="R243" s="20">
        <f t="shared" si="112"/>
        <v>19.4408827058142</v>
      </c>
      <c r="S243" s="20">
        <f t="shared" si="112"/>
        <v>19.4408827058142</v>
      </c>
      <c r="T243" s="20">
        <f t="shared" si="112"/>
        <v>19.4408827058142</v>
      </c>
      <c r="U243" s="20">
        <f t="shared" si="112"/>
        <v>19.4408827058142</v>
      </c>
      <c r="V243" s="20">
        <f t="shared" si="112"/>
        <v>19.4408827058142</v>
      </c>
      <c r="W243" s="20">
        <f t="shared" si="112"/>
        <v>19.4408827058142</v>
      </c>
      <c r="X243" s="20">
        <f t="shared" si="112"/>
        <v>21.870993044041</v>
      </c>
      <c r="Y243" s="20">
        <f t="shared" si="112"/>
        <v>10.530478132316</v>
      </c>
      <c r="Z243" s="20">
        <f t="shared" si="112"/>
        <v>10.530478132316</v>
      </c>
      <c r="AA243" s="20">
        <f t="shared" si="112"/>
        <v>10.530478132316</v>
      </c>
    </row>
    <row r="244" spans="1:27">
      <c r="A244" s="3"/>
      <c r="B244" s="3" t="s">
        <v>1825</v>
      </c>
      <c r="C244" s="3" t="s">
        <v>550</v>
      </c>
      <c r="D244" s="20">
        <v>5.8</v>
      </c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>
      <c r="A245" s="3"/>
      <c r="B245" s="3"/>
      <c r="C245" s="3" t="s">
        <v>834</v>
      </c>
      <c r="D245" s="20">
        <f>D212</f>
        <v>3.075</v>
      </c>
      <c r="E245" s="20">
        <f t="shared" ref="E245:AA245" si="113">D245</f>
        <v>3.075</v>
      </c>
      <c r="F245" s="20">
        <f t="shared" si="113"/>
        <v>3.075</v>
      </c>
      <c r="G245" s="20">
        <f t="shared" si="113"/>
        <v>3.075</v>
      </c>
      <c r="H245" s="20">
        <f t="shared" si="113"/>
        <v>3.075</v>
      </c>
      <c r="I245" s="20">
        <f t="shared" si="113"/>
        <v>3.075</v>
      </c>
      <c r="J245" s="20">
        <f t="shared" si="113"/>
        <v>3.075</v>
      </c>
      <c r="K245" s="20">
        <f t="shared" si="113"/>
        <v>3.075</v>
      </c>
      <c r="L245" s="20">
        <f t="shared" si="113"/>
        <v>3.075</v>
      </c>
      <c r="M245" s="20">
        <f t="shared" si="113"/>
        <v>3.075</v>
      </c>
      <c r="N245" s="20">
        <f t="shared" si="113"/>
        <v>3.075</v>
      </c>
      <c r="O245" s="20">
        <f t="shared" si="113"/>
        <v>3.075</v>
      </c>
      <c r="P245" s="20">
        <f t="shared" si="113"/>
        <v>3.075</v>
      </c>
      <c r="Q245" s="20">
        <f t="shared" si="113"/>
        <v>3.075</v>
      </c>
      <c r="R245" s="20">
        <f t="shared" si="113"/>
        <v>3.075</v>
      </c>
      <c r="S245" s="20">
        <f t="shared" si="113"/>
        <v>3.075</v>
      </c>
      <c r="T245" s="20">
        <f t="shared" si="113"/>
        <v>3.075</v>
      </c>
      <c r="U245" s="20">
        <f t="shared" si="113"/>
        <v>3.075</v>
      </c>
      <c r="V245" s="20">
        <f t="shared" si="113"/>
        <v>3.075</v>
      </c>
      <c r="W245" s="20">
        <f t="shared" si="113"/>
        <v>3.075</v>
      </c>
      <c r="X245" s="20">
        <f t="shared" si="113"/>
        <v>3.075</v>
      </c>
      <c r="Y245" s="20">
        <f t="shared" si="113"/>
        <v>3.075</v>
      </c>
      <c r="Z245" s="20">
        <f t="shared" si="113"/>
        <v>3.075</v>
      </c>
      <c r="AA245" s="20">
        <f t="shared" si="113"/>
        <v>3.075</v>
      </c>
    </row>
    <row r="246" spans="1:27">
      <c r="A246" s="3"/>
      <c r="B246" s="3"/>
      <c r="C246" s="3" t="s">
        <v>2410</v>
      </c>
      <c r="D246" s="20">
        <f t="shared" ref="D246:AA246" si="114">D244*D245</f>
        <v>17.835</v>
      </c>
      <c r="E246" s="20">
        <f t="shared" si="114"/>
        <v>0</v>
      </c>
      <c r="F246" s="20">
        <f t="shared" si="114"/>
        <v>0</v>
      </c>
      <c r="G246" s="20">
        <f t="shared" si="114"/>
        <v>0</v>
      </c>
      <c r="H246" s="20">
        <f t="shared" si="114"/>
        <v>0</v>
      </c>
      <c r="I246" s="20">
        <f t="shared" si="114"/>
        <v>0</v>
      </c>
      <c r="J246" s="20">
        <f t="shared" si="114"/>
        <v>0</v>
      </c>
      <c r="K246" s="20">
        <f t="shared" si="114"/>
        <v>0</v>
      </c>
      <c r="L246" s="20">
        <f t="shared" si="114"/>
        <v>0</v>
      </c>
      <c r="M246" s="20">
        <f t="shared" si="114"/>
        <v>0</v>
      </c>
      <c r="N246" s="20">
        <f t="shared" si="114"/>
        <v>0</v>
      </c>
      <c r="O246" s="20">
        <f t="shared" si="114"/>
        <v>0</v>
      </c>
      <c r="P246" s="20">
        <f t="shared" si="114"/>
        <v>0</v>
      </c>
      <c r="Q246" s="20">
        <f t="shared" si="114"/>
        <v>0</v>
      </c>
      <c r="R246" s="20">
        <f t="shared" si="114"/>
        <v>0</v>
      </c>
      <c r="S246" s="20">
        <f t="shared" si="114"/>
        <v>0</v>
      </c>
      <c r="T246" s="20">
        <f t="shared" si="114"/>
        <v>0</v>
      </c>
      <c r="U246" s="20">
        <f t="shared" si="114"/>
        <v>0</v>
      </c>
      <c r="V246" s="20">
        <f t="shared" si="114"/>
        <v>0</v>
      </c>
      <c r="W246" s="20">
        <f t="shared" si="114"/>
        <v>0</v>
      </c>
      <c r="X246" s="20">
        <f t="shared" si="114"/>
        <v>0</v>
      </c>
      <c r="Y246" s="20">
        <f t="shared" si="114"/>
        <v>0</v>
      </c>
      <c r="Z246" s="20">
        <f t="shared" si="114"/>
        <v>0</v>
      </c>
      <c r="AA246" s="20">
        <f t="shared" si="114"/>
        <v>0</v>
      </c>
    </row>
    <row r="247" spans="1:27">
      <c r="A247" s="3"/>
      <c r="B247" s="3" t="s">
        <v>1822</v>
      </c>
      <c r="C247" s="3" t="s">
        <v>550</v>
      </c>
      <c r="D247" s="20"/>
      <c r="E247" s="20">
        <v>5.8</v>
      </c>
      <c r="F247" s="20">
        <v>7.7</v>
      </c>
      <c r="G247" s="20">
        <v>7.7</v>
      </c>
      <c r="H247" s="20">
        <v>11.1</v>
      </c>
      <c r="I247" s="20">
        <v>11.6</v>
      </c>
      <c r="J247" s="20">
        <v>12.4</v>
      </c>
      <c r="K247" s="20">
        <v>14.7</v>
      </c>
      <c r="L247" s="20">
        <v>16.9</v>
      </c>
      <c r="M247" s="20">
        <v>18.9</v>
      </c>
      <c r="N247" s="20">
        <v>21</v>
      </c>
      <c r="O247" s="20">
        <v>21</v>
      </c>
      <c r="P247" s="20">
        <v>21</v>
      </c>
      <c r="Q247" s="20">
        <v>5.9</v>
      </c>
      <c r="R247" s="20">
        <v>5.9</v>
      </c>
      <c r="S247" s="20">
        <v>7</v>
      </c>
      <c r="T247" s="20">
        <v>7.4</v>
      </c>
      <c r="U247" s="20">
        <v>9.6</v>
      </c>
      <c r="V247" s="20">
        <v>11</v>
      </c>
      <c r="W247" s="20">
        <v>11.4</v>
      </c>
      <c r="X247" s="20">
        <v>21</v>
      </c>
      <c r="Y247" s="20">
        <v>3.4</v>
      </c>
      <c r="Z247" s="20">
        <v>4.4</v>
      </c>
      <c r="AA247" s="20">
        <v>4.8</v>
      </c>
    </row>
    <row r="248" spans="1:27">
      <c r="A248" s="3"/>
      <c r="B248" s="3"/>
      <c r="C248" s="3" t="s">
        <v>834</v>
      </c>
      <c r="D248" s="20">
        <f>D215</f>
        <v>2.99</v>
      </c>
      <c r="E248" s="20">
        <f t="shared" ref="E248:AA248" si="115">D248</f>
        <v>2.99</v>
      </c>
      <c r="F248" s="20">
        <f t="shared" si="115"/>
        <v>2.99</v>
      </c>
      <c r="G248" s="20">
        <f t="shared" si="115"/>
        <v>2.99</v>
      </c>
      <c r="H248" s="20">
        <f t="shared" si="115"/>
        <v>2.99</v>
      </c>
      <c r="I248" s="20">
        <f t="shared" si="115"/>
        <v>2.99</v>
      </c>
      <c r="J248" s="20">
        <f t="shared" si="115"/>
        <v>2.99</v>
      </c>
      <c r="K248" s="20">
        <f t="shared" si="115"/>
        <v>2.99</v>
      </c>
      <c r="L248" s="20">
        <f t="shared" si="115"/>
        <v>2.99</v>
      </c>
      <c r="M248" s="20">
        <f t="shared" si="115"/>
        <v>2.99</v>
      </c>
      <c r="N248" s="20">
        <f t="shared" si="115"/>
        <v>2.99</v>
      </c>
      <c r="O248" s="20">
        <f t="shared" si="115"/>
        <v>2.99</v>
      </c>
      <c r="P248" s="20">
        <f t="shared" si="115"/>
        <v>2.99</v>
      </c>
      <c r="Q248" s="20">
        <f t="shared" si="115"/>
        <v>2.99</v>
      </c>
      <c r="R248" s="20">
        <f t="shared" si="115"/>
        <v>2.99</v>
      </c>
      <c r="S248" s="20">
        <f t="shared" si="115"/>
        <v>2.99</v>
      </c>
      <c r="T248" s="20">
        <f t="shared" si="115"/>
        <v>2.99</v>
      </c>
      <c r="U248" s="20">
        <f t="shared" si="115"/>
        <v>2.99</v>
      </c>
      <c r="V248" s="20">
        <f t="shared" si="115"/>
        <v>2.99</v>
      </c>
      <c r="W248" s="20">
        <f t="shared" si="115"/>
        <v>2.99</v>
      </c>
      <c r="X248" s="20">
        <f t="shared" si="115"/>
        <v>2.99</v>
      </c>
      <c r="Y248" s="20">
        <f t="shared" si="115"/>
        <v>2.99</v>
      </c>
      <c r="Z248" s="20">
        <f t="shared" si="115"/>
        <v>2.99</v>
      </c>
      <c r="AA248" s="20">
        <f t="shared" si="115"/>
        <v>2.99</v>
      </c>
    </row>
    <row r="249" spans="1:27">
      <c r="A249" s="3"/>
      <c r="B249" s="3"/>
      <c r="C249" s="3" t="s">
        <v>2410</v>
      </c>
      <c r="D249" s="20">
        <f t="shared" ref="D249:AA249" si="116">D247*D248</f>
        <v>0</v>
      </c>
      <c r="E249" s="20">
        <f t="shared" si="116"/>
        <v>17.342</v>
      </c>
      <c r="F249" s="20">
        <f t="shared" si="116"/>
        <v>23.023</v>
      </c>
      <c r="G249" s="20">
        <f t="shared" si="116"/>
        <v>23.023</v>
      </c>
      <c r="H249" s="20">
        <f t="shared" si="116"/>
        <v>33.189</v>
      </c>
      <c r="I249" s="20">
        <f t="shared" si="116"/>
        <v>34.684</v>
      </c>
      <c r="J249" s="20">
        <f t="shared" si="116"/>
        <v>37.076</v>
      </c>
      <c r="K249" s="20">
        <f t="shared" si="116"/>
        <v>43.953</v>
      </c>
      <c r="L249" s="20">
        <f t="shared" si="116"/>
        <v>50.531</v>
      </c>
      <c r="M249" s="20">
        <f t="shared" si="116"/>
        <v>56.511</v>
      </c>
      <c r="N249" s="20">
        <f t="shared" si="116"/>
        <v>62.79</v>
      </c>
      <c r="O249" s="20">
        <f t="shared" si="116"/>
        <v>62.79</v>
      </c>
      <c r="P249" s="20">
        <f t="shared" si="116"/>
        <v>62.79</v>
      </c>
      <c r="Q249" s="20">
        <f t="shared" si="116"/>
        <v>17.641</v>
      </c>
      <c r="R249" s="20">
        <f t="shared" si="116"/>
        <v>17.641</v>
      </c>
      <c r="S249" s="20">
        <f t="shared" si="116"/>
        <v>20.93</v>
      </c>
      <c r="T249" s="20">
        <f t="shared" si="116"/>
        <v>22.126</v>
      </c>
      <c r="U249" s="20">
        <f t="shared" si="116"/>
        <v>28.704</v>
      </c>
      <c r="V249" s="20">
        <f t="shared" si="116"/>
        <v>32.89</v>
      </c>
      <c r="W249" s="20">
        <f t="shared" si="116"/>
        <v>34.086</v>
      </c>
      <c r="X249" s="20">
        <f t="shared" si="116"/>
        <v>62.79</v>
      </c>
      <c r="Y249" s="20">
        <f t="shared" si="116"/>
        <v>10.166</v>
      </c>
      <c r="Z249" s="20">
        <f t="shared" si="116"/>
        <v>13.156</v>
      </c>
      <c r="AA249" s="20">
        <f t="shared" si="116"/>
        <v>14.352</v>
      </c>
    </row>
    <row r="250" spans="1:27">
      <c r="A250" s="3"/>
      <c r="B250" s="3" t="s">
        <v>2411</v>
      </c>
      <c r="C250" s="3" t="s">
        <v>1834</v>
      </c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>
      <c r="A251" s="3"/>
      <c r="B251" s="3"/>
      <c r="C251" s="3" t="s">
        <v>834</v>
      </c>
      <c r="D251" s="20">
        <f>D218</f>
        <v>0.48</v>
      </c>
      <c r="E251" s="20">
        <f t="shared" ref="E251:AA251" si="117">D251</f>
        <v>0.48</v>
      </c>
      <c r="F251" s="20">
        <f t="shared" si="117"/>
        <v>0.48</v>
      </c>
      <c r="G251" s="20">
        <f t="shared" si="117"/>
        <v>0.48</v>
      </c>
      <c r="H251" s="20">
        <f t="shared" si="117"/>
        <v>0.48</v>
      </c>
      <c r="I251" s="20">
        <f t="shared" si="117"/>
        <v>0.48</v>
      </c>
      <c r="J251" s="20">
        <f t="shared" si="117"/>
        <v>0.48</v>
      </c>
      <c r="K251" s="20">
        <f t="shared" si="117"/>
        <v>0.48</v>
      </c>
      <c r="L251" s="20">
        <f t="shared" si="117"/>
        <v>0.48</v>
      </c>
      <c r="M251" s="20">
        <f t="shared" si="117"/>
        <v>0.48</v>
      </c>
      <c r="N251" s="20">
        <f t="shared" si="117"/>
        <v>0.48</v>
      </c>
      <c r="O251" s="20">
        <f t="shared" si="117"/>
        <v>0.48</v>
      </c>
      <c r="P251" s="20">
        <f t="shared" si="117"/>
        <v>0.48</v>
      </c>
      <c r="Q251" s="20">
        <f t="shared" si="117"/>
        <v>0.48</v>
      </c>
      <c r="R251" s="20">
        <f t="shared" si="117"/>
        <v>0.48</v>
      </c>
      <c r="S251" s="20">
        <f t="shared" si="117"/>
        <v>0.48</v>
      </c>
      <c r="T251" s="20">
        <f t="shared" si="117"/>
        <v>0.48</v>
      </c>
      <c r="U251" s="20">
        <f t="shared" si="117"/>
        <v>0.48</v>
      </c>
      <c r="V251" s="20">
        <f t="shared" si="117"/>
        <v>0.48</v>
      </c>
      <c r="W251" s="20">
        <f t="shared" si="117"/>
        <v>0.48</v>
      </c>
      <c r="X251" s="20">
        <f t="shared" si="117"/>
        <v>0.48</v>
      </c>
      <c r="Y251" s="20">
        <f t="shared" si="117"/>
        <v>0.48</v>
      </c>
      <c r="Z251" s="20">
        <f t="shared" si="117"/>
        <v>0.48</v>
      </c>
      <c r="AA251" s="20">
        <f t="shared" si="117"/>
        <v>0.48</v>
      </c>
    </row>
    <row r="252" spans="1:27">
      <c r="A252" s="3"/>
      <c r="B252" s="3"/>
      <c r="C252" s="3" t="s">
        <v>2410</v>
      </c>
      <c r="D252" s="20">
        <f t="shared" ref="D252:AA252" si="118">D250*D251</f>
        <v>0</v>
      </c>
      <c r="E252" s="20">
        <f t="shared" si="118"/>
        <v>0</v>
      </c>
      <c r="F252" s="20">
        <f t="shared" si="118"/>
        <v>0</v>
      </c>
      <c r="G252" s="20">
        <f t="shared" si="118"/>
        <v>0</v>
      </c>
      <c r="H252" s="20">
        <f t="shared" si="118"/>
        <v>0</v>
      </c>
      <c r="I252" s="20">
        <f t="shared" si="118"/>
        <v>0</v>
      </c>
      <c r="J252" s="20">
        <f t="shared" si="118"/>
        <v>0</v>
      </c>
      <c r="K252" s="20">
        <f t="shared" si="118"/>
        <v>0</v>
      </c>
      <c r="L252" s="20">
        <f t="shared" si="118"/>
        <v>0</v>
      </c>
      <c r="M252" s="20">
        <f t="shared" si="118"/>
        <v>0</v>
      </c>
      <c r="N252" s="20">
        <f t="shared" si="118"/>
        <v>0</v>
      </c>
      <c r="O252" s="20">
        <f t="shared" si="118"/>
        <v>0</v>
      </c>
      <c r="P252" s="20">
        <f t="shared" si="118"/>
        <v>0</v>
      </c>
      <c r="Q252" s="20">
        <f t="shared" si="118"/>
        <v>0</v>
      </c>
      <c r="R252" s="20">
        <f t="shared" si="118"/>
        <v>0</v>
      </c>
      <c r="S252" s="20">
        <f t="shared" si="118"/>
        <v>0</v>
      </c>
      <c r="T252" s="20">
        <f t="shared" si="118"/>
        <v>0</v>
      </c>
      <c r="U252" s="20">
        <f t="shared" si="118"/>
        <v>0</v>
      </c>
      <c r="V252" s="20">
        <f t="shared" si="118"/>
        <v>0</v>
      </c>
      <c r="W252" s="20">
        <f t="shared" si="118"/>
        <v>0</v>
      </c>
      <c r="X252" s="20">
        <f t="shared" si="118"/>
        <v>0</v>
      </c>
      <c r="Y252" s="20">
        <f t="shared" si="118"/>
        <v>0</v>
      </c>
      <c r="Z252" s="20">
        <f t="shared" si="118"/>
        <v>0</v>
      </c>
      <c r="AA252" s="20">
        <f t="shared" si="118"/>
        <v>0</v>
      </c>
    </row>
    <row r="253" spans="1:27">
      <c r="A253" s="3"/>
      <c r="B253" s="3" t="s">
        <v>2412</v>
      </c>
      <c r="C253" s="3" t="s">
        <v>632</v>
      </c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>
      <c r="A254" s="3"/>
      <c r="B254" s="3"/>
      <c r="C254" s="3" t="s">
        <v>834</v>
      </c>
      <c r="D254" s="20">
        <f>D221</f>
        <v>0.12</v>
      </c>
      <c r="E254" s="20">
        <f t="shared" ref="E254:AA254" si="119">D254</f>
        <v>0.12</v>
      </c>
      <c r="F254" s="20">
        <f t="shared" si="119"/>
        <v>0.12</v>
      </c>
      <c r="G254" s="20">
        <f t="shared" si="119"/>
        <v>0.12</v>
      </c>
      <c r="H254" s="20">
        <f t="shared" si="119"/>
        <v>0.12</v>
      </c>
      <c r="I254" s="20">
        <f t="shared" si="119"/>
        <v>0.12</v>
      </c>
      <c r="J254" s="20">
        <f t="shared" si="119"/>
        <v>0.12</v>
      </c>
      <c r="K254" s="20">
        <f t="shared" si="119"/>
        <v>0.12</v>
      </c>
      <c r="L254" s="20">
        <f t="shared" si="119"/>
        <v>0.12</v>
      </c>
      <c r="M254" s="20">
        <f t="shared" si="119"/>
        <v>0.12</v>
      </c>
      <c r="N254" s="20">
        <f t="shared" si="119"/>
        <v>0.12</v>
      </c>
      <c r="O254" s="20">
        <f t="shared" si="119"/>
        <v>0.12</v>
      </c>
      <c r="P254" s="20">
        <f t="shared" si="119"/>
        <v>0.12</v>
      </c>
      <c r="Q254" s="20">
        <f t="shared" si="119"/>
        <v>0.12</v>
      </c>
      <c r="R254" s="20">
        <f t="shared" si="119"/>
        <v>0.12</v>
      </c>
      <c r="S254" s="20">
        <f t="shared" si="119"/>
        <v>0.12</v>
      </c>
      <c r="T254" s="20">
        <f t="shared" si="119"/>
        <v>0.12</v>
      </c>
      <c r="U254" s="20">
        <f t="shared" si="119"/>
        <v>0.12</v>
      </c>
      <c r="V254" s="20">
        <f t="shared" si="119"/>
        <v>0.12</v>
      </c>
      <c r="W254" s="20">
        <f t="shared" si="119"/>
        <v>0.12</v>
      </c>
      <c r="X254" s="20">
        <f t="shared" si="119"/>
        <v>0.12</v>
      </c>
      <c r="Y254" s="20">
        <f t="shared" si="119"/>
        <v>0.12</v>
      </c>
      <c r="Z254" s="20">
        <f t="shared" si="119"/>
        <v>0.12</v>
      </c>
      <c r="AA254" s="20">
        <f t="shared" si="119"/>
        <v>0.12</v>
      </c>
    </row>
    <row r="255" spans="1:27">
      <c r="A255" s="3"/>
      <c r="B255" s="3"/>
      <c r="C255" s="3" t="s">
        <v>2410</v>
      </c>
      <c r="D255" s="20">
        <f t="shared" ref="D255:AA255" si="120">D253*D254</f>
        <v>0</v>
      </c>
      <c r="E255" s="20">
        <f t="shared" si="120"/>
        <v>0</v>
      </c>
      <c r="F255" s="20">
        <f t="shared" si="120"/>
        <v>0</v>
      </c>
      <c r="G255" s="20">
        <f t="shared" si="120"/>
        <v>0</v>
      </c>
      <c r="H255" s="20">
        <f t="shared" si="120"/>
        <v>0</v>
      </c>
      <c r="I255" s="20">
        <f t="shared" si="120"/>
        <v>0</v>
      </c>
      <c r="J255" s="20">
        <f t="shared" si="120"/>
        <v>0</v>
      </c>
      <c r="K255" s="20">
        <f t="shared" si="120"/>
        <v>0</v>
      </c>
      <c r="L255" s="20">
        <f t="shared" si="120"/>
        <v>0</v>
      </c>
      <c r="M255" s="20">
        <f t="shared" si="120"/>
        <v>0</v>
      </c>
      <c r="N255" s="20">
        <f t="shared" si="120"/>
        <v>0</v>
      </c>
      <c r="O255" s="20">
        <f t="shared" si="120"/>
        <v>0</v>
      </c>
      <c r="P255" s="20">
        <f t="shared" si="120"/>
        <v>0</v>
      </c>
      <c r="Q255" s="20">
        <f t="shared" si="120"/>
        <v>0</v>
      </c>
      <c r="R255" s="20">
        <f t="shared" si="120"/>
        <v>0</v>
      </c>
      <c r="S255" s="20">
        <f t="shared" si="120"/>
        <v>0</v>
      </c>
      <c r="T255" s="20">
        <f t="shared" si="120"/>
        <v>0</v>
      </c>
      <c r="U255" s="20">
        <f t="shared" si="120"/>
        <v>0</v>
      </c>
      <c r="V255" s="20">
        <f t="shared" si="120"/>
        <v>0</v>
      </c>
      <c r="W255" s="20">
        <f t="shared" si="120"/>
        <v>0</v>
      </c>
      <c r="X255" s="20">
        <f t="shared" si="120"/>
        <v>0</v>
      </c>
      <c r="Y255" s="20">
        <f t="shared" si="120"/>
        <v>0</v>
      </c>
      <c r="Z255" s="20">
        <f t="shared" si="120"/>
        <v>0</v>
      </c>
      <c r="AA255" s="20">
        <f t="shared" si="120"/>
        <v>0</v>
      </c>
    </row>
    <row r="256" spans="1:27">
      <c r="A256" s="3"/>
      <c r="B256" s="3" t="s">
        <v>2413</v>
      </c>
      <c r="C256" s="3" t="s">
        <v>632</v>
      </c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>
      <c r="A257" s="3"/>
      <c r="B257" s="3"/>
      <c r="C257" s="3" t="s">
        <v>834</v>
      </c>
      <c r="D257" s="20">
        <f>D224</f>
        <v>3.88349514563107</v>
      </c>
      <c r="E257" s="20">
        <f t="shared" ref="E257:AA257" si="121">D257</f>
        <v>3.88349514563107</v>
      </c>
      <c r="F257" s="20">
        <f t="shared" si="121"/>
        <v>3.88349514563107</v>
      </c>
      <c r="G257" s="20">
        <f t="shared" si="121"/>
        <v>3.88349514563107</v>
      </c>
      <c r="H257" s="20">
        <f t="shared" si="121"/>
        <v>3.88349514563107</v>
      </c>
      <c r="I257" s="20">
        <f t="shared" si="121"/>
        <v>3.88349514563107</v>
      </c>
      <c r="J257" s="20">
        <f t="shared" si="121"/>
        <v>3.88349514563107</v>
      </c>
      <c r="K257" s="20">
        <f t="shared" si="121"/>
        <v>3.88349514563107</v>
      </c>
      <c r="L257" s="20">
        <f t="shared" si="121"/>
        <v>3.88349514563107</v>
      </c>
      <c r="M257" s="20">
        <f t="shared" si="121"/>
        <v>3.88349514563107</v>
      </c>
      <c r="N257" s="20">
        <f t="shared" si="121"/>
        <v>3.88349514563107</v>
      </c>
      <c r="O257" s="20">
        <f t="shared" si="121"/>
        <v>3.88349514563107</v>
      </c>
      <c r="P257" s="20">
        <f t="shared" si="121"/>
        <v>3.88349514563107</v>
      </c>
      <c r="Q257" s="20">
        <f t="shared" si="121"/>
        <v>3.88349514563107</v>
      </c>
      <c r="R257" s="20">
        <f t="shared" si="121"/>
        <v>3.88349514563107</v>
      </c>
      <c r="S257" s="20">
        <f t="shared" si="121"/>
        <v>3.88349514563107</v>
      </c>
      <c r="T257" s="20">
        <f t="shared" si="121"/>
        <v>3.88349514563107</v>
      </c>
      <c r="U257" s="20">
        <f t="shared" si="121"/>
        <v>3.88349514563107</v>
      </c>
      <c r="V257" s="20">
        <f t="shared" si="121"/>
        <v>3.88349514563107</v>
      </c>
      <c r="W257" s="20">
        <f t="shared" si="121"/>
        <v>3.88349514563107</v>
      </c>
      <c r="X257" s="20">
        <f t="shared" si="121"/>
        <v>3.88349514563107</v>
      </c>
      <c r="Y257" s="20">
        <f t="shared" si="121"/>
        <v>3.88349514563107</v>
      </c>
      <c r="Z257" s="20">
        <f t="shared" si="121"/>
        <v>3.88349514563107</v>
      </c>
      <c r="AA257" s="20">
        <f t="shared" si="121"/>
        <v>3.88349514563107</v>
      </c>
    </row>
    <row r="258" spans="1:27">
      <c r="A258" s="3"/>
      <c r="B258" s="3"/>
      <c r="C258" s="3" t="s">
        <v>2410</v>
      </c>
      <c r="D258" s="20">
        <f t="shared" ref="D258:AA258" si="122">D256*D257</f>
        <v>0</v>
      </c>
      <c r="E258" s="20">
        <f t="shared" si="122"/>
        <v>0</v>
      </c>
      <c r="F258" s="20">
        <f t="shared" si="122"/>
        <v>0</v>
      </c>
      <c r="G258" s="20">
        <f t="shared" si="122"/>
        <v>0</v>
      </c>
      <c r="H258" s="20">
        <f t="shared" si="122"/>
        <v>0</v>
      </c>
      <c r="I258" s="20">
        <f t="shared" si="122"/>
        <v>0</v>
      </c>
      <c r="J258" s="20">
        <f t="shared" si="122"/>
        <v>0</v>
      </c>
      <c r="K258" s="20">
        <f t="shared" si="122"/>
        <v>0</v>
      </c>
      <c r="L258" s="20">
        <f t="shared" si="122"/>
        <v>0</v>
      </c>
      <c r="M258" s="20">
        <f t="shared" si="122"/>
        <v>0</v>
      </c>
      <c r="N258" s="20">
        <f t="shared" si="122"/>
        <v>0</v>
      </c>
      <c r="O258" s="20">
        <f t="shared" si="122"/>
        <v>0</v>
      </c>
      <c r="P258" s="20">
        <f t="shared" si="122"/>
        <v>0</v>
      </c>
      <c r="Q258" s="20">
        <f t="shared" si="122"/>
        <v>0</v>
      </c>
      <c r="R258" s="20">
        <f t="shared" si="122"/>
        <v>0</v>
      </c>
      <c r="S258" s="20">
        <f t="shared" si="122"/>
        <v>0</v>
      </c>
      <c r="T258" s="20">
        <f t="shared" si="122"/>
        <v>0</v>
      </c>
      <c r="U258" s="20">
        <f t="shared" si="122"/>
        <v>0</v>
      </c>
      <c r="V258" s="20">
        <f t="shared" si="122"/>
        <v>0</v>
      </c>
      <c r="W258" s="20">
        <f t="shared" si="122"/>
        <v>0</v>
      </c>
      <c r="X258" s="20">
        <f t="shared" si="122"/>
        <v>0</v>
      </c>
      <c r="Y258" s="20">
        <f t="shared" si="122"/>
        <v>0</v>
      </c>
      <c r="Z258" s="20">
        <f t="shared" si="122"/>
        <v>0</v>
      </c>
      <c r="AA258" s="20">
        <f t="shared" si="122"/>
        <v>0</v>
      </c>
    </row>
    <row r="259" spans="1:27">
      <c r="A259" s="3"/>
      <c r="B259" s="3" t="s">
        <v>2414</v>
      </c>
      <c r="C259" s="3" t="s">
        <v>550</v>
      </c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>
      <c r="A260" s="3"/>
      <c r="B260" s="3"/>
      <c r="C260" s="3" t="s">
        <v>834</v>
      </c>
      <c r="D260" s="20">
        <f t="shared" ref="D260:AA260" si="123">D227</f>
        <v>0</v>
      </c>
      <c r="E260" s="20">
        <f t="shared" si="123"/>
        <v>0</v>
      </c>
      <c r="F260" s="20">
        <f t="shared" si="123"/>
        <v>0</v>
      </c>
      <c r="G260" s="20">
        <f t="shared" si="123"/>
        <v>0</v>
      </c>
      <c r="H260" s="20">
        <f t="shared" si="123"/>
        <v>0</v>
      </c>
      <c r="I260" s="20">
        <f t="shared" si="123"/>
        <v>0</v>
      </c>
      <c r="J260" s="20">
        <f t="shared" si="123"/>
        <v>0</v>
      </c>
      <c r="K260" s="20">
        <f t="shared" si="123"/>
        <v>0</v>
      </c>
      <c r="L260" s="20">
        <f t="shared" si="123"/>
        <v>0</v>
      </c>
      <c r="M260" s="20">
        <f t="shared" si="123"/>
        <v>0</v>
      </c>
      <c r="N260" s="20">
        <f t="shared" si="123"/>
        <v>0</v>
      </c>
      <c r="O260" s="20">
        <f t="shared" si="123"/>
        <v>0</v>
      </c>
      <c r="P260" s="20">
        <f t="shared" si="123"/>
        <v>0</v>
      </c>
      <c r="Q260" s="20">
        <f t="shared" si="123"/>
        <v>0</v>
      </c>
      <c r="R260" s="20">
        <f t="shared" si="123"/>
        <v>0</v>
      </c>
      <c r="S260" s="20">
        <f t="shared" si="123"/>
        <v>0</v>
      </c>
      <c r="T260" s="20">
        <f t="shared" si="123"/>
        <v>0</v>
      </c>
      <c r="U260" s="20">
        <f t="shared" si="123"/>
        <v>0</v>
      </c>
      <c r="V260" s="20">
        <f t="shared" si="123"/>
        <v>0</v>
      </c>
      <c r="W260" s="20">
        <f t="shared" si="123"/>
        <v>0</v>
      </c>
      <c r="X260" s="20">
        <f t="shared" si="123"/>
        <v>0</v>
      </c>
      <c r="Y260" s="20">
        <f t="shared" si="123"/>
        <v>0</v>
      </c>
      <c r="Z260" s="20">
        <f t="shared" si="123"/>
        <v>0</v>
      </c>
      <c r="AA260" s="20">
        <f t="shared" si="123"/>
        <v>0</v>
      </c>
    </row>
    <row r="261" spans="1:27">
      <c r="A261" s="3"/>
      <c r="B261" s="3"/>
      <c r="C261" s="3" t="s">
        <v>2410</v>
      </c>
      <c r="D261" s="20">
        <f t="shared" ref="D261:AA261" si="124">D259*D260</f>
        <v>0</v>
      </c>
      <c r="E261" s="20">
        <f t="shared" si="124"/>
        <v>0</v>
      </c>
      <c r="F261" s="20">
        <f t="shared" si="124"/>
        <v>0</v>
      </c>
      <c r="G261" s="20">
        <f t="shared" si="124"/>
        <v>0</v>
      </c>
      <c r="H261" s="20">
        <f t="shared" si="124"/>
        <v>0</v>
      </c>
      <c r="I261" s="20">
        <f t="shared" si="124"/>
        <v>0</v>
      </c>
      <c r="J261" s="20">
        <f t="shared" si="124"/>
        <v>0</v>
      </c>
      <c r="K261" s="20">
        <f t="shared" si="124"/>
        <v>0</v>
      </c>
      <c r="L261" s="20">
        <f t="shared" si="124"/>
        <v>0</v>
      </c>
      <c r="M261" s="20">
        <f t="shared" si="124"/>
        <v>0</v>
      </c>
      <c r="N261" s="20">
        <f t="shared" si="124"/>
        <v>0</v>
      </c>
      <c r="O261" s="20">
        <f t="shared" si="124"/>
        <v>0</v>
      </c>
      <c r="P261" s="20">
        <f t="shared" si="124"/>
        <v>0</v>
      </c>
      <c r="Q261" s="20">
        <f t="shared" si="124"/>
        <v>0</v>
      </c>
      <c r="R261" s="20">
        <f t="shared" si="124"/>
        <v>0</v>
      </c>
      <c r="S261" s="20">
        <f t="shared" si="124"/>
        <v>0</v>
      </c>
      <c r="T261" s="20">
        <f t="shared" si="124"/>
        <v>0</v>
      </c>
      <c r="U261" s="20">
        <f t="shared" si="124"/>
        <v>0</v>
      </c>
      <c r="V261" s="20">
        <f t="shared" si="124"/>
        <v>0</v>
      </c>
      <c r="W261" s="20">
        <f t="shared" si="124"/>
        <v>0</v>
      </c>
      <c r="X261" s="20">
        <f t="shared" si="124"/>
        <v>0</v>
      </c>
      <c r="Y261" s="20">
        <f t="shared" si="124"/>
        <v>0</v>
      </c>
      <c r="Z261" s="20">
        <f t="shared" si="124"/>
        <v>0</v>
      </c>
      <c r="AA261" s="20">
        <f t="shared" si="124"/>
        <v>0</v>
      </c>
    </row>
    <row r="262" ht="20.25" spans="1:27">
      <c r="A262" s="156"/>
      <c r="B262" s="156" t="s">
        <v>1321</v>
      </c>
      <c r="C262" s="156" t="s">
        <v>114</v>
      </c>
      <c r="D262" s="157">
        <f t="shared" ref="D262:AA262" si="125">D243+D246+D249+D252+D255+D258+D261</f>
        <v>39.705993044041</v>
      </c>
      <c r="E262" s="157">
        <f t="shared" si="125"/>
        <v>39.212993044041</v>
      </c>
      <c r="F262" s="157">
        <f t="shared" si="125"/>
        <v>44.893993044041</v>
      </c>
      <c r="G262" s="157">
        <f t="shared" si="125"/>
        <v>44.893993044041</v>
      </c>
      <c r="H262" s="157">
        <f t="shared" si="125"/>
        <v>55.059993044041</v>
      </c>
      <c r="I262" s="157">
        <f t="shared" si="125"/>
        <v>56.554993044041</v>
      </c>
      <c r="J262" s="157">
        <f t="shared" si="125"/>
        <v>58.946993044041</v>
      </c>
      <c r="K262" s="157">
        <f t="shared" si="125"/>
        <v>65.823993044041</v>
      </c>
      <c r="L262" s="157">
        <f t="shared" si="125"/>
        <v>72.401993044041</v>
      </c>
      <c r="M262" s="157">
        <f t="shared" si="125"/>
        <v>78.381993044041</v>
      </c>
      <c r="N262" s="157">
        <f t="shared" si="125"/>
        <v>84.660993044041</v>
      </c>
      <c r="O262" s="157">
        <f t="shared" si="125"/>
        <v>84.660993044041</v>
      </c>
      <c r="P262" s="157">
        <f t="shared" si="125"/>
        <v>84.660993044041</v>
      </c>
      <c r="Q262" s="157">
        <f t="shared" si="125"/>
        <v>37.0818827058142</v>
      </c>
      <c r="R262" s="157">
        <f t="shared" si="125"/>
        <v>37.0818827058142</v>
      </c>
      <c r="S262" s="157">
        <f t="shared" si="125"/>
        <v>40.3708827058142</v>
      </c>
      <c r="T262" s="157">
        <f t="shared" si="125"/>
        <v>41.5668827058142</v>
      </c>
      <c r="U262" s="157">
        <f t="shared" si="125"/>
        <v>48.1448827058142</v>
      </c>
      <c r="V262" s="157">
        <f t="shared" si="125"/>
        <v>52.3308827058142</v>
      </c>
      <c r="W262" s="157">
        <f t="shared" si="125"/>
        <v>53.5268827058142</v>
      </c>
      <c r="X262" s="157">
        <f t="shared" si="125"/>
        <v>84.660993044041</v>
      </c>
      <c r="Y262" s="157">
        <f t="shared" si="125"/>
        <v>20.696478132316</v>
      </c>
      <c r="Z262" s="157">
        <f t="shared" si="125"/>
        <v>23.686478132316</v>
      </c>
      <c r="AA262" s="157">
        <f t="shared" si="125"/>
        <v>24.882478132316</v>
      </c>
    </row>
    <row r="263" ht="20.25" spans="1:27">
      <c r="A263" s="156" t="s">
        <v>463</v>
      </c>
      <c r="B263" s="156"/>
      <c r="C263" s="156" t="s">
        <v>114</v>
      </c>
      <c r="D263" s="157">
        <f t="shared" ref="D263:AA263" si="126">D262+D240</f>
        <v>62.3352710655807</v>
      </c>
      <c r="E263" s="157">
        <f t="shared" si="126"/>
        <v>66.7892993862827</v>
      </c>
      <c r="F263" s="157">
        <f t="shared" si="126"/>
        <v>76.5174473719229</v>
      </c>
      <c r="G263" s="157">
        <f t="shared" si="126"/>
        <v>82.7118630081415</v>
      </c>
      <c r="H263" s="157">
        <f t="shared" si="126"/>
        <v>111.782210834228</v>
      </c>
      <c r="I263" s="157">
        <f t="shared" si="126"/>
        <v>123.227190890072</v>
      </c>
      <c r="J263" s="157">
        <f t="shared" si="126"/>
        <v>160.832992246275</v>
      </c>
      <c r="K263" s="157">
        <f t="shared" si="126"/>
        <v>181.598863407025</v>
      </c>
      <c r="L263" s="157">
        <f t="shared" si="126"/>
        <v>299.33418291241</v>
      </c>
      <c r="M263" s="157">
        <f t="shared" si="126"/>
        <v>373.944896913207</v>
      </c>
      <c r="N263" s="157">
        <f t="shared" si="126"/>
        <v>539.375153395058</v>
      </c>
      <c r="O263" s="157">
        <f t="shared" si="126"/>
        <v>630.337977487599</v>
      </c>
      <c r="P263" s="157">
        <f t="shared" si="126"/>
        <v>721.264104332433</v>
      </c>
      <c r="Q263" s="157">
        <f t="shared" si="126"/>
        <v>63.6399202008281</v>
      </c>
      <c r="R263" s="157">
        <f t="shared" si="126"/>
        <v>66.4510091517655</v>
      </c>
      <c r="S263" s="157">
        <f t="shared" si="126"/>
        <v>70.981333443748</v>
      </c>
      <c r="T263" s="157">
        <f t="shared" si="126"/>
        <v>88.5191762837958</v>
      </c>
      <c r="U263" s="157">
        <f t="shared" si="126"/>
        <v>117.576394472866</v>
      </c>
      <c r="V263" s="157">
        <f t="shared" si="126"/>
        <v>146.365346208008</v>
      </c>
      <c r="W263" s="157">
        <f t="shared" si="126"/>
        <v>165.905582346819</v>
      </c>
      <c r="X263" s="157">
        <f t="shared" si="126"/>
        <v>518.254052477627</v>
      </c>
      <c r="Y263" s="157">
        <f t="shared" si="126"/>
        <v>32.6728642511832</v>
      </c>
      <c r="Z263" s="157">
        <f t="shared" si="126"/>
        <v>37.130036169811</v>
      </c>
      <c r="AA263" s="157">
        <f t="shared" si="126"/>
        <v>44.6448235651042</v>
      </c>
    </row>
    <row r="264" ht="20.25" spans="1:27">
      <c r="A264" s="156" t="s">
        <v>458</v>
      </c>
      <c r="B264" s="156"/>
      <c r="C264" s="156"/>
      <c r="D264" s="156">
        <v>4027</v>
      </c>
      <c r="E264" s="156">
        <v>4028</v>
      </c>
      <c r="F264" s="156">
        <v>4029</v>
      </c>
      <c r="G264" s="156">
        <v>4030</v>
      </c>
      <c r="H264" s="156">
        <v>4031</v>
      </c>
      <c r="I264" s="156">
        <v>4032</v>
      </c>
      <c r="J264" s="156">
        <v>4033</v>
      </c>
      <c r="K264" s="156">
        <v>4034</v>
      </c>
      <c r="L264" s="156">
        <v>4035</v>
      </c>
      <c r="M264" s="156">
        <v>4036</v>
      </c>
      <c r="N264" s="156">
        <v>4037</v>
      </c>
      <c r="O264" s="156">
        <v>4038</v>
      </c>
      <c r="P264" s="156">
        <v>4039</v>
      </c>
      <c r="Q264" s="156">
        <v>4040</v>
      </c>
      <c r="R264" s="156">
        <v>4041</v>
      </c>
      <c r="S264" s="156">
        <v>4042</v>
      </c>
      <c r="T264" s="156">
        <v>4043</v>
      </c>
      <c r="U264" s="156">
        <v>4044</v>
      </c>
      <c r="V264" s="156">
        <v>4045</v>
      </c>
      <c r="W264" s="156">
        <v>4046</v>
      </c>
      <c r="X264" s="156">
        <v>4047</v>
      </c>
      <c r="Y264" s="156">
        <v>4048</v>
      </c>
      <c r="Z264" s="156">
        <v>4049</v>
      </c>
      <c r="AA264" s="156">
        <v>4050</v>
      </c>
    </row>
    <row r="265" s="153" customFormat="1" spans="25:25">
      <c r="Y265" s="176"/>
    </row>
    <row r="266" spans="1:26">
      <c r="A266" s="3" t="s">
        <v>2388</v>
      </c>
      <c r="B266" s="3"/>
      <c r="C266" s="3" t="s">
        <v>55</v>
      </c>
      <c r="D266" s="3" t="s">
        <v>2473</v>
      </c>
      <c r="E266" s="3"/>
      <c r="F266" s="3"/>
      <c r="G266" s="3"/>
      <c r="H266" s="3" t="s">
        <v>2184</v>
      </c>
      <c r="I266" s="3"/>
      <c r="J266" s="3"/>
      <c r="K266" s="3"/>
      <c r="L266" s="3"/>
      <c r="M266" s="3" t="s">
        <v>2185</v>
      </c>
      <c r="N266" s="3"/>
      <c r="O266" s="3"/>
      <c r="P266" s="3" t="s">
        <v>2187</v>
      </c>
      <c r="Q266" s="3"/>
      <c r="R266" s="3"/>
      <c r="S266" s="3"/>
      <c r="T266" s="3"/>
      <c r="U266" s="3" t="s">
        <v>2189</v>
      </c>
      <c r="V266" s="3"/>
      <c r="W266" s="3"/>
      <c r="X266" s="3"/>
      <c r="Y266" s="3" t="s">
        <v>2190</v>
      </c>
      <c r="Z266" s="3"/>
    </row>
    <row r="267" spans="1:26">
      <c r="A267" s="3"/>
      <c r="B267" s="3"/>
      <c r="C267" s="3"/>
      <c r="D267" s="3" t="s">
        <v>2474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 t="s">
        <v>2475</v>
      </c>
      <c r="V267" s="3"/>
      <c r="W267" s="3"/>
      <c r="X267" s="3"/>
      <c r="Y267" s="3"/>
      <c r="Z267" s="3"/>
    </row>
    <row r="268" spans="1:26">
      <c r="A268" s="3"/>
      <c r="B268" s="3"/>
      <c r="C268" s="3"/>
      <c r="D268" s="3" t="s">
        <v>2470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3"/>
      <c r="D269" s="3">
        <v>1</v>
      </c>
      <c r="E269" s="3">
        <v>2</v>
      </c>
      <c r="F269" s="3">
        <v>3</v>
      </c>
      <c r="G269" s="3">
        <v>5</v>
      </c>
      <c r="H269" s="3">
        <v>5</v>
      </c>
      <c r="I269" s="3">
        <v>10</v>
      </c>
      <c r="J269" s="3">
        <v>15</v>
      </c>
      <c r="K269" s="3">
        <v>25</v>
      </c>
      <c r="L269" s="3">
        <v>40</v>
      </c>
      <c r="M269" s="3" t="s">
        <v>2476</v>
      </c>
      <c r="N269" s="3">
        <v>50</v>
      </c>
      <c r="O269" s="3">
        <v>100</v>
      </c>
      <c r="P269" s="3">
        <v>0.5</v>
      </c>
      <c r="Q269" s="3">
        <v>1</v>
      </c>
      <c r="R269" s="3">
        <v>2</v>
      </c>
      <c r="S269" s="3">
        <v>3</v>
      </c>
      <c r="T269" s="3">
        <v>5</v>
      </c>
      <c r="U269" s="3">
        <v>1</v>
      </c>
      <c r="V269" s="3">
        <v>3</v>
      </c>
      <c r="W269" s="3">
        <v>5</v>
      </c>
      <c r="X269" s="3">
        <v>10</v>
      </c>
      <c r="Y269" s="125">
        <v>0.6</v>
      </c>
      <c r="Z269" s="3">
        <v>1</v>
      </c>
    </row>
    <row r="270" spans="1:26">
      <c r="A270" s="3" t="s">
        <v>2400</v>
      </c>
      <c r="B270" s="3" t="s">
        <v>2401</v>
      </c>
      <c r="C270" s="3" t="s">
        <v>114</v>
      </c>
      <c r="D270" s="20">
        <f>0.07/$AA$6</f>
        <v>0.0608695652173913</v>
      </c>
      <c r="E270" s="20">
        <f>0.13/$AA$6</f>
        <v>0.11304347826087</v>
      </c>
      <c r="F270" s="20">
        <f>0.15/$AA$6</f>
        <v>0.130434782608696</v>
      </c>
      <c r="G270" s="20">
        <f>0.24/$AA$6</f>
        <v>0.208695652173913</v>
      </c>
      <c r="H270" s="20">
        <f>7.92/$AA$6</f>
        <v>6.88695652173913</v>
      </c>
      <c r="I270" s="20">
        <f>9.82/$AA$6</f>
        <v>8.53913043478261</v>
      </c>
      <c r="J270" s="20">
        <f>12.98/$AA$6</f>
        <v>11.2869565217391</v>
      </c>
      <c r="K270" s="20">
        <f>13.62/$AA$6</f>
        <v>11.8434782608696</v>
      </c>
      <c r="L270" s="20">
        <f>16.15/$AA$6</f>
        <v>14.0434782608696</v>
      </c>
      <c r="M270" s="20">
        <f>0.05/$AA$6</f>
        <v>0.0434782608695652</v>
      </c>
      <c r="N270" s="20">
        <f>0.12/$AA$6</f>
        <v>0.104347826086957</v>
      </c>
      <c r="O270" s="20">
        <f>0.42/$AA$6</f>
        <v>0.365217391304348</v>
      </c>
      <c r="P270" s="20">
        <f>0.76/$AA$6</f>
        <v>0.660869565217391</v>
      </c>
      <c r="Q270" s="20">
        <f>0.91/$AA$6</f>
        <v>0.791304347826087</v>
      </c>
      <c r="R270" s="20">
        <f>1.11/$AA$6</f>
        <v>0.965217391304348</v>
      </c>
      <c r="S270" s="20">
        <f>1.24/$AA$6</f>
        <v>1.07826086956522</v>
      </c>
      <c r="T270" s="20">
        <f>1.77/$AA$6</f>
        <v>1.53913043478261</v>
      </c>
      <c r="U270" s="20">
        <f>0.43/$AA$6</f>
        <v>0.373913043478261</v>
      </c>
      <c r="V270" s="20">
        <f>1.75/$AA$6</f>
        <v>1.52173913043478</v>
      </c>
      <c r="W270" s="20">
        <f>2.97/$AA$6</f>
        <v>2.58260869565217</v>
      </c>
      <c r="X270" s="20">
        <f>19.64/$AA$6</f>
        <v>17.0782608695652</v>
      </c>
      <c r="Y270" s="20">
        <f>1.32/$AA$6</f>
        <v>1.14782608695652</v>
      </c>
      <c r="Z270" s="20">
        <f>1.7/$AA$6</f>
        <v>1.47826086956522</v>
      </c>
    </row>
    <row r="271" spans="1:26">
      <c r="A271" s="3"/>
      <c r="B271" s="3" t="s">
        <v>2403</v>
      </c>
      <c r="C271" s="3" t="s">
        <v>114</v>
      </c>
      <c r="D271" s="20">
        <f>0.04/$AA$7</f>
        <v>0.036697247706422</v>
      </c>
      <c r="E271" s="20">
        <f>0.05/$AA$7</f>
        <v>0.0458715596330275</v>
      </c>
      <c r="F271" s="20">
        <f>0.06/$AA$7</f>
        <v>0.055045871559633</v>
      </c>
      <c r="G271" s="20">
        <f>0.08/$AA$7</f>
        <v>0.073394495412844</v>
      </c>
      <c r="H271" s="20">
        <f>5.39/$AA$7</f>
        <v>4.94495412844037</v>
      </c>
      <c r="I271" s="20">
        <f>6.68/$AA$7</f>
        <v>6.12844036697248</v>
      </c>
      <c r="J271" s="20">
        <f>8.84/$AA$7</f>
        <v>8.11009174311926</v>
      </c>
      <c r="K271" s="20">
        <f>9.27/$AA$7</f>
        <v>8.5045871559633</v>
      </c>
      <c r="L271" s="20">
        <f>10.99/$AA$7</f>
        <v>10.0825688073394</v>
      </c>
      <c r="M271" s="20">
        <f>0.02/$AA$7</f>
        <v>0.018348623853211</v>
      </c>
      <c r="N271" s="20">
        <f>0.06/$AA$7</f>
        <v>0.055045871559633</v>
      </c>
      <c r="O271" s="20">
        <f>0.12/$AA$7</f>
        <v>0.110091743119266</v>
      </c>
      <c r="P271" s="20">
        <f>0.47/$AA$7</f>
        <v>0.431192660550459</v>
      </c>
      <c r="Q271" s="20">
        <f>0.56/$AA$7</f>
        <v>0.513761467889908</v>
      </c>
      <c r="R271" s="20">
        <f>0.67/$AA$7</f>
        <v>0.614678899082569</v>
      </c>
      <c r="S271" s="20">
        <f>0.76/$AA$7</f>
        <v>0.697247706422018</v>
      </c>
      <c r="T271" s="20">
        <f>1.02/$AA$7</f>
        <v>0.935779816513761</v>
      </c>
      <c r="U271" s="20">
        <f>0.17/$AA$7</f>
        <v>0.155963302752294</v>
      </c>
      <c r="V271" s="20">
        <f>0.68/$AA$7</f>
        <v>0.623853211009174</v>
      </c>
      <c r="W271" s="20">
        <f>1.16/$AA$7</f>
        <v>1.06422018348624</v>
      </c>
      <c r="X271" s="20">
        <f>7.66/$AA$7</f>
        <v>7.02752293577982</v>
      </c>
      <c r="Y271" s="20">
        <f>0.36/$AA$7</f>
        <v>0.330275229357798</v>
      </c>
      <c r="Z271" s="20">
        <f>0.46/$AA$7</f>
        <v>0.422018348623853</v>
      </c>
    </row>
    <row r="272" spans="1:26">
      <c r="A272" s="3"/>
      <c r="B272" s="3" t="s">
        <v>2405</v>
      </c>
      <c r="C272" s="3" t="s">
        <v>114</v>
      </c>
      <c r="D272" s="20"/>
      <c r="E272" s="20"/>
      <c r="F272" s="20"/>
      <c r="G272" s="20"/>
      <c r="H272" s="20">
        <f>2.84</f>
        <v>2.84</v>
      </c>
      <c r="I272" s="20">
        <v>4.16</v>
      </c>
      <c r="J272" s="20">
        <v>5.26</v>
      </c>
      <c r="K272" s="20">
        <f>5.51</f>
        <v>5.51</v>
      </c>
      <c r="L272" s="20">
        <f>6.54</f>
        <v>6.54</v>
      </c>
      <c r="M272" s="20"/>
      <c r="N272" s="20"/>
      <c r="O272" s="20"/>
      <c r="P272" s="20"/>
      <c r="Q272" s="20"/>
      <c r="R272" s="20"/>
      <c r="S272" s="20"/>
      <c r="T272" s="20"/>
      <c r="U272" s="20">
        <f>0.01</f>
        <v>0.01</v>
      </c>
      <c r="V272" s="20">
        <f>0.03</f>
        <v>0.03</v>
      </c>
      <c r="W272" s="20">
        <f>0.05</f>
        <v>0.05</v>
      </c>
      <c r="X272" s="20">
        <f>0.3</f>
        <v>0.3</v>
      </c>
      <c r="Y272" s="20"/>
      <c r="Z272" s="20"/>
    </row>
    <row r="273" ht="20.25" spans="1:26">
      <c r="A273" s="156"/>
      <c r="B273" s="156" t="s">
        <v>1321</v>
      </c>
      <c r="C273" s="156" t="s">
        <v>114</v>
      </c>
      <c r="D273" s="157">
        <f t="shared" ref="D273:Z273" si="127">SUM(D270:D272)</f>
        <v>0.0975668129238133</v>
      </c>
      <c r="E273" s="157">
        <f t="shared" si="127"/>
        <v>0.158915037893897</v>
      </c>
      <c r="F273" s="157">
        <f t="shared" si="127"/>
        <v>0.185480654168329</v>
      </c>
      <c r="G273" s="157">
        <f t="shared" si="127"/>
        <v>0.282090147586757</v>
      </c>
      <c r="H273" s="157">
        <f t="shared" si="127"/>
        <v>14.6719106501795</v>
      </c>
      <c r="I273" s="157">
        <f t="shared" si="127"/>
        <v>18.8275708017551</v>
      </c>
      <c r="J273" s="157">
        <f t="shared" si="127"/>
        <v>24.6570482648584</v>
      </c>
      <c r="K273" s="157">
        <f t="shared" si="127"/>
        <v>25.8580654168329</v>
      </c>
      <c r="L273" s="157">
        <f t="shared" si="127"/>
        <v>30.666047068209</v>
      </c>
      <c r="M273" s="157">
        <f t="shared" si="127"/>
        <v>0.0618268847227762</v>
      </c>
      <c r="N273" s="157">
        <f t="shared" si="127"/>
        <v>0.15939369764659</v>
      </c>
      <c r="O273" s="157">
        <f t="shared" si="127"/>
        <v>0.475309134423614</v>
      </c>
      <c r="P273" s="157">
        <f t="shared" si="127"/>
        <v>1.09206222576785</v>
      </c>
      <c r="Q273" s="157">
        <f t="shared" si="127"/>
        <v>1.305065815716</v>
      </c>
      <c r="R273" s="157">
        <f t="shared" si="127"/>
        <v>1.57989629038692</v>
      </c>
      <c r="S273" s="157">
        <f t="shared" si="127"/>
        <v>1.77550857598724</v>
      </c>
      <c r="T273" s="157">
        <f t="shared" si="127"/>
        <v>2.47491025129637</v>
      </c>
      <c r="U273" s="157">
        <f t="shared" si="127"/>
        <v>0.539876346230554</v>
      </c>
      <c r="V273" s="157">
        <f t="shared" si="127"/>
        <v>2.17559234144396</v>
      </c>
      <c r="W273" s="157">
        <f t="shared" si="127"/>
        <v>3.69682887913841</v>
      </c>
      <c r="X273" s="157">
        <f t="shared" si="127"/>
        <v>24.405783805345</v>
      </c>
      <c r="Y273" s="157">
        <f t="shared" si="127"/>
        <v>1.47810131631432</v>
      </c>
      <c r="Z273" s="157">
        <f t="shared" si="127"/>
        <v>1.90027921818907</v>
      </c>
    </row>
    <row r="274" spans="1:26">
      <c r="A274" s="3" t="s">
        <v>2408</v>
      </c>
      <c r="B274" s="3" t="s">
        <v>600</v>
      </c>
      <c r="C274" s="3" t="s">
        <v>2409</v>
      </c>
      <c r="D274" s="20"/>
      <c r="E274" s="20"/>
      <c r="F274" s="20"/>
      <c r="G274" s="20"/>
      <c r="H274" s="20">
        <v>2.4</v>
      </c>
      <c r="I274" s="20">
        <v>2.4</v>
      </c>
      <c r="J274" s="20">
        <v>2.4</v>
      </c>
      <c r="K274" s="20">
        <v>2.4</v>
      </c>
      <c r="L274" s="20">
        <v>2.4</v>
      </c>
      <c r="M274" s="20"/>
      <c r="N274" s="20"/>
      <c r="O274" s="20"/>
      <c r="P274" s="20"/>
      <c r="Q274" s="20"/>
      <c r="R274" s="20"/>
      <c r="S274" s="20"/>
      <c r="T274" s="20"/>
      <c r="U274" s="20">
        <v>1</v>
      </c>
      <c r="V274" s="20">
        <v>1</v>
      </c>
      <c r="W274" s="20">
        <v>1.3</v>
      </c>
      <c r="X274" s="20">
        <v>1.3</v>
      </c>
      <c r="Y274" s="20"/>
      <c r="Z274" s="20"/>
    </row>
    <row r="275" spans="1:26">
      <c r="A275" s="3"/>
      <c r="B275" s="3"/>
      <c r="C275" s="3" t="s">
        <v>834</v>
      </c>
      <c r="D275" s="20">
        <f>D242</f>
        <v>8.10036779408924</v>
      </c>
      <c r="E275" s="20">
        <f t="shared" ref="E275:Z275" si="128">D275</f>
        <v>8.10036779408924</v>
      </c>
      <c r="F275" s="20">
        <f t="shared" si="128"/>
        <v>8.10036779408924</v>
      </c>
      <c r="G275" s="20">
        <f t="shared" si="128"/>
        <v>8.10036779408924</v>
      </c>
      <c r="H275" s="20">
        <f t="shared" si="128"/>
        <v>8.10036779408924</v>
      </c>
      <c r="I275" s="20">
        <f t="shared" si="128"/>
        <v>8.10036779408924</v>
      </c>
      <c r="J275" s="20">
        <f t="shared" si="128"/>
        <v>8.10036779408924</v>
      </c>
      <c r="K275" s="20">
        <f t="shared" si="128"/>
        <v>8.10036779408924</v>
      </c>
      <c r="L275" s="20">
        <f t="shared" si="128"/>
        <v>8.10036779408924</v>
      </c>
      <c r="M275" s="20">
        <f t="shared" si="128"/>
        <v>8.10036779408924</v>
      </c>
      <c r="N275" s="20">
        <f t="shared" si="128"/>
        <v>8.10036779408924</v>
      </c>
      <c r="O275" s="20">
        <f t="shared" si="128"/>
        <v>8.10036779408924</v>
      </c>
      <c r="P275" s="20">
        <f t="shared" si="128"/>
        <v>8.10036779408924</v>
      </c>
      <c r="Q275" s="20">
        <f t="shared" si="128"/>
        <v>8.10036779408924</v>
      </c>
      <c r="R275" s="20">
        <f t="shared" si="128"/>
        <v>8.10036779408924</v>
      </c>
      <c r="S275" s="20">
        <f t="shared" si="128"/>
        <v>8.10036779408924</v>
      </c>
      <c r="T275" s="20">
        <f t="shared" si="128"/>
        <v>8.10036779408924</v>
      </c>
      <c r="U275" s="20">
        <f t="shared" si="128"/>
        <v>8.10036779408924</v>
      </c>
      <c r="V275" s="20">
        <f t="shared" si="128"/>
        <v>8.10036779408924</v>
      </c>
      <c r="W275" s="20">
        <f t="shared" si="128"/>
        <v>8.10036779408924</v>
      </c>
      <c r="X275" s="20">
        <f t="shared" si="128"/>
        <v>8.10036779408924</v>
      </c>
      <c r="Y275" s="20">
        <f t="shared" si="128"/>
        <v>8.10036779408924</v>
      </c>
      <c r="Z275" s="20">
        <f t="shared" si="128"/>
        <v>8.10036779408924</v>
      </c>
    </row>
    <row r="276" spans="1:26">
      <c r="A276" s="3"/>
      <c r="B276" s="3"/>
      <c r="C276" s="3" t="s">
        <v>2410</v>
      </c>
      <c r="D276" s="20">
        <f t="shared" ref="D276:Z276" si="129">D274*D275</f>
        <v>0</v>
      </c>
      <c r="E276" s="20">
        <f t="shared" si="129"/>
        <v>0</v>
      </c>
      <c r="F276" s="20">
        <f t="shared" si="129"/>
        <v>0</v>
      </c>
      <c r="G276" s="20">
        <f t="shared" si="129"/>
        <v>0</v>
      </c>
      <c r="H276" s="20">
        <f t="shared" si="129"/>
        <v>19.4408827058142</v>
      </c>
      <c r="I276" s="20">
        <f t="shared" si="129"/>
        <v>19.4408827058142</v>
      </c>
      <c r="J276" s="20">
        <f t="shared" si="129"/>
        <v>19.4408827058142</v>
      </c>
      <c r="K276" s="20">
        <f t="shared" si="129"/>
        <v>19.4408827058142</v>
      </c>
      <c r="L276" s="20">
        <f t="shared" si="129"/>
        <v>19.4408827058142</v>
      </c>
      <c r="M276" s="20">
        <f t="shared" si="129"/>
        <v>0</v>
      </c>
      <c r="N276" s="20">
        <f t="shared" si="129"/>
        <v>0</v>
      </c>
      <c r="O276" s="20">
        <f t="shared" si="129"/>
        <v>0</v>
      </c>
      <c r="P276" s="20">
        <f t="shared" si="129"/>
        <v>0</v>
      </c>
      <c r="Q276" s="20">
        <f t="shared" si="129"/>
        <v>0</v>
      </c>
      <c r="R276" s="20">
        <f t="shared" si="129"/>
        <v>0</v>
      </c>
      <c r="S276" s="20">
        <f t="shared" si="129"/>
        <v>0</v>
      </c>
      <c r="T276" s="20">
        <f t="shared" si="129"/>
        <v>0</v>
      </c>
      <c r="U276" s="20">
        <f t="shared" si="129"/>
        <v>8.10036779408924</v>
      </c>
      <c r="V276" s="20">
        <f t="shared" si="129"/>
        <v>8.10036779408924</v>
      </c>
      <c r="W276" s="20">
        <f t="shared" si="129"/>
        <v>10.530478132316</v>
      </c>
      <c r="X276" s="20">
        <f t="shared" si="129"/>
        <v>10.530478132316</v>
      </c>
      <c r="Y276" s="20">
        <f t="shared" si="129"/>
        <v>0</v>
      </c>
      <c r="Z276" s="20">
        <f t="shared" si="129"/>
        <v>0</v>
      </c>
    </row>
    <row r="277" spans="1:26">
      <c r="A277" s="3"/>
      <c r="B277" s="3" t="s">
        <v>1825</v>
      </c>
      <c r="C277" s="3" t="s">
        <v>550</v>
      </c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>
      <c r="A278" s="3"/>
      <c r="B278" s="3"/>
      <c r="C278" s="3" t="s">
        <v>834</v>
      </c>
      <c r="D278" s="20">
        <f>D245</f>
        <v>3.075</v>
      </c>
      <c r="E278" s="20">
        <f t="shared" ref="E278:Z278" si="130">D278</f>
        <v>3.075</v>
      </c>
      <c r="F278" s="20">
        <f t="shared" si="130"/>
        <v>3.075</v>
      </c>
      <c r="G278" s="20">
        <f t="shared" si="130"/>
        <v>3.075</v>
      </c>
      <c r="H278" s="20">
        <f t="shared" si="130"/>
        <v>3.075</v>
      </c>
      <c r="I278" s="20">
        <f t="shared" si="130"/>
        <v>3.075</v>
      </c>
      <c r="J278" s="20">
        <f t="shared" si="130"/>
        <v>3.075</v>
      </c>
      <c r="K278" s="20">
        <f t="shared" si="130"/>
        <v>3.075</v>
      </c>
      <c r="L278" s="20">
        <f t="shared" si="130"/>
        <v>3.075</v>
      </c>
      <c r="M278" s="20">
        <f t="shared" si="130"/>
        <v>3.075</v>
      </c>
      <c r="N278" s="20">
        <f t="shared" si="130"/>
        <v>3.075</v>
      </c>
      <c r="O278" s="20">
        <f t="shared" si="130"/>
        <v>3.075</v>
      </c>
      <c r="P278" s="20">
        <f t="shared" si="130"/>
        <v>3.075</v>
      </c>
      <c r="Q278" s="20">
        <f t="shared" si="130"/>
        <v>3.075</v>
      </c>
      <c r="R278" s="20">
        <f t="shared" si="130"/>
        <v>3.075</v>
      </c>
      <c r="S278" s="20">
        <f t="shared" si="130"/>
        <v>3.075</v>
      </c>
      <c r="T278" s="20">
        <f t="shared" si="130"/>
        <v>3.075</v>
      </c>
      <c r="U278" s="20">
        <f t="shared" si="130"/>
        <v>3.075</v>
      </c>
      <c r="V278" s="20">
        <f t="shared" si="130"/>
        <v>3.075</v>
      </c>
      <c r="W278" s="20">
        <f t="shared" si="130"/>
        <v>3.075</v>
      </c>
      <c r="X278" s="20">
        <f t="shared" si="130"/>
        <v>3.075</v>
      </c>
      <c r="Y278" s="20">
        <f t="shared" si="130"/>
        <v>3.075</v>
      </c>
      <c r="Z278" s="20">
        <f t="shared" si="130"/>
        <v>3.075</v>
      </c>
    </row>
    <row r="279" spans="1:26">
      <c r="A279" s="3"/>
      <c r="B279" s="3"/>
      <c r="C279" s="3" t="s">
        <v>2410</v>
      </c>
      <c r="D279" s="20">
        <f t="shared" ref="D279:Z279" si="131">D277*D278</f>
        <v>0</v>
      </c>
      <c r="E279" s="20">
        <f t="shared" si="131"/>
        <v>0</v>
      </c>
      <c r="F279" s="20">
        <f t="shared" si="131"/>
        <v>0</v>
      </c>
      <c r="G279" s="20">
        <f t="shared" si="131"/>
        <v>0</v>
      </c>
      <c r="H279" s="20">
        <f t="shared" si="131"/>
        <v>0</v>
      </c>
      <c r="I279" s="20">
        <f t="shared" si="131"/>
        <v>0</v>
      </c>
      <c r="J279" s="20">
        <f t="shared" si="131"/>
        <v>0</v>
      </c>
      <c r="K279" s="20">
        <f t="shared" si="131"/>
        <v>0</v>
      </c>
      <c r="L279" s="20">
        <f t="shared" si="131"/>
        <v>0</v>
      </c>
      <c r="M279" s="20">
        <f t="shared" si="131"/>
        <v>0</v>
      </c>
      <c r="N279" s="20">
        <f t="shared" si="131"/>
        <v>0</v>
      </c>
      <c r="O279" s="20">
        <f t="shared" si="131"/>
        <v>0</v>
      </c>
      <c r="P279" s="20">
        <f t="shared" si="131"/>
        <v>0</v>
      </c>
      <c r="Q279" s="20">
        <f t="shared" si="131"/>
        <v>0</v>
      </c>
      <c r="R279" s="20">
        <f t="shared" si="131"/>
        <v>0</v>
      </c>
      <c r="S279" s="20">
        <f t="shared" si="131"/>
        <v>0</v>
      </c>
      <c r="T279" s="20">
        <f t="shared" si="131"/>
        <v>0</v>
      </c>
      <c r="U279" s="20">
        <f t="shared" si="131"/>
        <v>0</v>
      </c>
      <c r="V279" s="20">
        <f t="shared" si="131"/>
        <v>0</v>
      </c>
      <c r="W279" s="20">
        <f t="shared" si="131"/>
        <v>0</v>
      </c>
      <c r="X279" s="20">
        <f t="shared" si="131"/>
        <v>0</v>
      </c>
      <c r="Y279" s="20">
        <f t="shared" si="131"/>
        <v>0</v>
      </c>
      <c r="Z279" s="20">
        <f t="shared" si="131"/>
        <v>0</v>
      </c>
    </row>
    <row r="280" spans="1:26">
      <c r="A280" s="3"/>
      <c r="B280" s="3" t="s">
        <v>1822</v>
      </c>
      <c r="C280" s="3" t="s">
        <v>550</v>
      </c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>
      <c r="A281" s="3"/>
      <c r="B281" s="3"/>
      <c r="C281" s="3" t="s">
        <v>834</v>
      </c>
      <c r="D281" s="20">
        <f>D248</f>
        <v>2.99</v>
      </c>
      <c r="E281" s="20">
        <f t="shared" ref="E281:Z281" si="132">D281</f>
        <v>2.99</v>
      </c>
      <c r="F281" s="20">
        <f t="shared" si="132"/>
        <v>2.99</v>
      </c>
      <c r="G281" s="20">
        <f t="shared" si="132"/>
        <v>2.99</v>
      </c>
      <c r="H281" s="20">
        <f t="shared" si="132"/>
        <v>2.99</v>
      </c>
      <c r="I281" s="20">
        <f t="shared" si="132"/>
        <v>2.99</v>
      </c>
      <c r="J281" s="20">
        <f t="shared" si="132"/>
        <v>2.99</v>
      </c>
      <c r="K281" s="20">
        <f t="shared" si="132"/>
        <v>2.99</v>
      </c>
      <c r="L281" s="20">
        <f t="shared" si="132"/>
        <v>2.99</v>
      </c>
      <c r="M281" s="20">
        <f t="shared" si="132"/>
        <v>2.99</v>
      </c>
      <c r="N281" s="20">
        <f t="shared" si="132"/>
        <v>2.99</v>
      </c>
      <c r="O281" s="20">
        <f t="shared" si="132"/>
        <v>2.99</v>
      </c>
      <c r="P281" s="20">
        <f t="shared" si="132"/>
        <v>2.99</v>
      </c>
      <c r="Q281" s="20">
        <f t="shared" si="132"/>
        <v>2.99</v>
      </c>
      <c r="R281" s="20">
        <f t="shared" si="132"/>
        <v>2.99</v>
      </c>
      <c r="S281" s="20">
        <f t="shared" si="132"/>
        <v>2.99</v>
      </c>
      <c r="T281" s="20">
        <f t="shared" si="132"/>
        <v>2.99</v>
      </c>
      <c r="U281" s="20">
        <f t="shared" si="132"/>
        <v>2.99</v>
      </c>
      <c r="V281" s="20">
        <f t="shared" si="132"/>
        <v>2.99</v>
      </c>
      <c r="W281" s="20">
        <f t="shared" si="132"/>
        <v>2.99</v>
      </c>
      <c r="X281" s="20">
        <f t="shared" si="132"/>
        <v>2.99</v>
      </c>
      <c r="Y281" s="20">
        <f t="shared" si="132"/>
        <v>2.99</v>
      </c>
      <c r="Z281" s="20">
        <f t="shared" si="132"/>
        <v>2.99</v>
      </c>
    </row>
    <row r="282" spans="1:26">
      <c r="A282" s="3"/>
      <c r="B282" s="3"/>
      <c r="C282" s="3" t="s">
        <v>2410</v>
      </c>
      <c r="D282" s="20">
        <f t="shared" ref="D282:Z282" si="133">D280*D281</f>
        <v>0</v>
      </c>
      <c r="E282" s="20">
        <f t="shared" si="133"/>
        <v>0</v>
      </c>
      <c r="F282" s="20">
        <f t="shared" si="133"/>
        <v>0</v>
      </c>
      <c r="G282" s="20">
        <f t="shared" si="133"/>
        <v>0</v>
      </c>
      <c r="H282" s="20">
        <f t="shared" si="133"/>
        <v>0</v>
      </c>
      <c r="I282" s="20">
        <f t="shared" si="133"/>
        <v>0</v>
      </c>
      <c r="J282" s="20">
        <f t="shared" si="133"/>
        <v>0</v>
      </c>
      <c r="K282" s="20">
        <f t="shared" si="133"/>
        <v>0</v>
      </c>
      <c r="L282" s="20">
        <f t="shared" si="133"/>
        <v>0</v>
      </c>
      <c r="M282" s="20">
        <f t="shared" si="133"/>
        <v>0</v>
      </c>
      <c r="N282" s="20">
        <f t="shared" si="133"/>
        <v>0</v>
      </c>
      <c r="O282" s="20">
        <f t="shared" si="133"/>
        <v>0</v>
      </c>
      <c r="P282" s="20">
        <f t="shared" si="133"/>
        <v>0</v>
      </c>
      <c r="Q282" s="20">
        <f t="shared" si="133"/>
        <v>0</v>
      </c>
      <c r="R282" s="20">
        <f t="shared" si="133"/>
        <v>0</v>
      </c>
      <c r="S282" s="20">
        <f t="shared" si="133"/>
        <v>0</v>
      </c>
      <c r="T282" s="20">
        <f t="shared" si="133"/>
        <v>0</v>
      </c>
      <c r="U282" s="20">
        <f t="shared" si="133"/>
        <v>0</v>
      </c>
      <c r="V282" s="20">
        <f t="shared" si="133"/>
        <v>0</v>
      </c>
      <c r="W282" s="20">
        <f t="shared" si="133"/>
        <v>0</v>
      </c>
      <c r="X282" s="20">
        <f t="shared" si="133"/>
        <v>0</v>
      </c>
      <c r="Y282" s="20">
        <f t="shared" si="133"/>
        <v>0</v>
      </c>
      <c r="Z282" s="20">
        <f t="shared" si="133"/>
        <v>0</v>
      </c>
    </row>
    <row r="283" spans="1:26">
      <c r="A283" s="3"/>
      <c r="B283" s="3" t="s">
        <v>2411</v>
      </c>
      <c r="C283" s="3" t="s">
        <v>1834</v>
      </c>
      <c r="D283" s="20"/>
      <c r="E283" s="20"/>
      <c r="F283" s="20"/>
      <c r="G283" s="20"/>
      <c r="H283" s="20">
        <v>18.1</v>
      </c>
      <c r="I283" s="20">
        <v>26.7</v>
      </c>
      <c r="J283" s="20">
        <v>41.6</v>
      </c>
      <c r="K283" s="20">
        <v>46.9</v>
      </c>
      <c r="L283" s="20">
        <v>66.7</v>
      </c>
      <c r="M283" s="20"/>
      <c r="N283" s="20"/>
      <c r="O283" s="20"/>
      <c r="P283" s="20">
        <v>1</v>
      </c>
      <c r="Q283" s="20">
        <v>2</v>
      </c>
      <c r="R283" s="20">
        <v>3</v>
      </c>
      <c r="S283" s="20">
        <v>4</v>
      </c>
      <c r="T283" s="20">
        <v>5</v>
      </c>
      <c r="U283" s="20">
        <v>3</v>
      </c>
      <c r="V283" s="20">
        <v>5.4</v>
      </c>
      <c r="W283" s="20">
        <v>7.9</v>
      </c>
      <c r="X283" s="20">
        <v>17.1</v>
      </c>
      <c r="Y283" s="20"/>
      <c r="Z283" s="20"/>
    </row>
    <row r="284" spans="1:26">
      <c r="A284" s="3"/>
      <c r="B284" s="3"/>
      <c r="C284" s="3" t="s">
        <v>834</v>
      </c>
      <c r="D284" s="20">
        <f>D251</f>
        <v>0.48</v>
      </c>
      <c r="E284" s="20">
        <f t="shared" ref="E284:Z284" si="134">D284</f>
        <v>0.48</v>
      </c>
      <c r="F284" s="20">
        <f t="shared" si="134"/>
        <v>0.48</v>
      </c>
      <c r="G284" s="20">
        <f t="shared" si="134"/>
        <v>0.48</v>
      </c>
      <c r="H284" s="20">
        <f t="shared" si="134"/>
        <v>0.48</v>
      </c>
      <c r="I284" s="20">
        <f t="shared" si="134"/>
        <v>0.48</v>
      </c>
      <c r="J284" s="20">
        <f t="shared" si="134"/>
        <v>0.48</v>
      </c>
      <c r="K284" s="20">
        <f t="shared" si="134"/>
        <v>0.48</v>
      </c>
      <c r="L284" s="20">
        <f t="shared" si="134"/>
        <v>0.48</v>
      </c>
      <c r="M284" s="20">
        <f t="shared" si="134"/>
        <v>0.48</v>
      </c>
      <c r="N284" s="20">
        <f t="shared" si="134"/>
        <v>0.48</v>
      </c>
      <c r="O284" s="20">
        <f t="shared" si="134"/>
        <v>0.48</v>
      </c>
      <c r="P284" s="20">
        <f t="shared" si="134"/>
        <v>0.48</v>
      </c>
      <c r="Q284" s="20">
        <f t="shared" si="134"/>
        <v>0.48</v>
      </c>
      <c r="R284" s="20">
        <f t="shared" si="134"/>
        <v>0.48</v>
      </c>
      <c r="S284" s="20">
        <f t="shared" si="134"/>
        <v>0.48</v>
      </c>
      <c r="T284" s="20">
        <f t="shared" si="134"/>
        <v>0.48</v>
      </c>
      <c r="U284" s="20">
        <f t="shared" si="134"/>
        <v>0.48</v>
      </c>
      <c r="V284" s="20">
        <f t="shared" si="134"/>
        <v>0.48</v>
      </c>
      <c r="W284" s="20">
        <f t="shared" si="134"/>
        <v>0.48</v>
      </c>
      <c r="X284" s="20">
        <f t="shared" si="134"/>
        <v>0.48</v>
      </c>
      <c r="Y284" s="20">
        <f t="shared" si="134"/>
        <v>0.48</v>
      </c>
      <c r="Z284" s="20">
        <f t="shared" si="134"/>
        <v>0.48</v>
      </c>
    </row>
    <row r="285" spans="1:26">
      <c r="A285" s="3"/>
      <c r="B285" s="3"/>
      <c r="C285" s="3" t="s">
        <v>2410</v>
      </c>
      <c r="D285" s="20">
        <f t="shared" ref="D285:Z285" si="135">D283*D284</f>
        <v>0</v>
      </c>
      <c r="E285" s="20">
        <f t="shared" si="135"/>
        <v>0</v>
      </c>
      <c r="F285" s="20">
        <f t="shared" si="135"/>
        <v>0</v>
      </c>
      <c r="G285" s="20">
        <f t="shared" si="135"/>
        <v>0</v>
      </c>
      <c r="H285" s="20">
        <f t="shared" si="135"/>
        <v>8.688</v>
      </c>
      <c r="I285" s="20">
        <f t="shared" si="135"/>
        <v>12.816</v>
      </c>
      <c r="J285" s="20">
        <f t="shared" si="135"/>
        <v>19.968</v>
      </c>
      <c r="K285" s="20">
        <f t="shared" si="135"/>
        <v>22.512</v>
      </c>
      <c r="L285" s="20">
        <f t="shared" si="135"/>
        <v>32.016</v>
      </c>
      <c r="M285" s="20">
        <f t="shared" si="135"/>
        <v>0</v>
      </c>
      <c r="N285" s="20">
        <f t="shared" si="135"/>
        <v>0</v>
      </c>
      <c r="O285" s="20">
        <f t="shared" si="135"/>
        <v>0</v>
      </c>
      <c r="P285" s="20">
        <f t="shared" si="135"/>
        <v>0.48</v>
      </c>
      <c r="Q285" s="20">
        <f t="shared" si="135"/>
        <v>0.96</v>
      </c>
      <c r="R285" s="20">
        <f t="shared" si="135"/>
        <v>1.44</v>
      </c>
      <c r="S285" s="20">
        <f t="shared" si="135"/>
        <v>1.92</v>
      </c>
      <c r="T285" s="20">
        <f t="shared" si="135"/>
        <v>2.4</v>
      </c>
      <c r="U285" s="20">
        <f t="shared" si="135"/>
        <v>1.44</v>
      </c>
      <c r="V285" s="20">
        <f t="shared" si="135"/>
        <v>2.592</v>
      </c>
      <c r="W285" s="20">
        <f t="shared" si="135"/>
        <v>3.792</v>
      </c>
      <c r="X285" s="20">
        <f t="shared" si="135"/>
        <v>8.208</v>
      </c>
      <c r="Y285" s="20">
        <f t="shared" si="135"/>
        <v>0</v>
      </c>
      <c r="Z285" s="20">
        <f t="shared" si="135"/>
        <v>0</v>
      </c>
    </row>
    <row r="286" spans="1:26">
      <c r="A286" s="3"/>
      <c r="B286" s="3" t="s">
        <v>2412</v>
      </c>
      <c r="C286" s="3" t="s">
        <v>632</v>
      </c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>
      <c r="A287" s="3"/>
      <c r="B287" s="3"/>
      <c r="C287" s="3" t="s">
        <v>834</v>
      </c>
      <c r="D287" s="20">
        <f>D254</f>
        <v>0.12</v>
      </c>
      <c r="E287" s="20">
        <f t="shared" ref="E287:Z287" si="136">D287</f>
        <v>0.12</v>
      </c>
      <c r="F287" s="20">
        <f t="shared" si="136"/>
        <v>0.12</v>
      </c>
      <c r="G287" s="20">
        <f t="shared" si="136"/>
        <v>0.12</v>
      </c>
      <c r="H287" s="20">
        <f t="shared" si="136"/>
        <v>0.12</v>
      </c>
      <c r="I287" s="20">
        <f t="shared" si="136"/>
        <v>0.12</v>
      </c>
      <c r="J287" s="20">
        <f t="shared" si="136"/>
        <v>0.12</v>
      </c>
      <c r="K287" s="20">
        <f t="shared" si="136"/>
        <v>0.12</v>
      </c>
      <c r="L287" s="20">
        <f t="shared" si="136"/>
        <v>0.12</v>
      </c>
      <c r="M287" s="20">
        <f t="shared" si="136"/>
        <v>0.12</v>
      </c>
      <c r="N287" s="20">
        <f t="shared" si="136"/>
        <v>0.12</v>
      </c>
      <c r="O287" s="20">
        <f t="shared" si="136"/>
        <v>0.12</v>
      </c>
      <c r="P287" s="20">
        <f t="shared" si="136"/>
        <v>0.12</v>
      </c>
      <c r="Q287" s="20">
        <f t="shared" si="136"/>
        <v>0.12</v>
      </c>
      <c r="R287" s="20">
        <f t="shared" si="136"/>
        <v>0.12</v>
      </c>
      <c r="S287" s="20">
        <f t="shared" si="136"/>
        <v>0.12</v>
      </c>
      <c r="T287" s="20">
        <f t="shared" si="136"/>
        <v>0.12</v>
      </c>
      <c r="U287" s="20">
        <f t="shared" si="136"/>
        <v>0.12</v>
      </c>
      <c r="V287" s="20">
        <f t="shared" si="136"/>
        <v>0.12</v>
      </c>
      <c r="W287" s="20">
        <f t="shared" si="136"/>
        <v>0.12</v>
      </c>
      <c r="X287" s="20">
        <f t="shared" si="136"/>
        <v>0.12</v>
      </c>
      <c r="Y287" s="20">
        <f t="shared" si="136"/>
        <v>0.12</v>
      </c>
      <c r="Z287" s="20">
        <f t="shared" si="136"/>
        <v>0.12</v>
      </c>
    </row>
    <row r="288" spans="1:26">
      <c r="A288" s="3"/>
      <c r="B288" s="3"/>
      <c r="C288" s="3" t="s">
        <v>2410</v>
      </c>
      <c r="D288" s="20">
        <f t="shared" ref="D288:Z288" si="137">D286*D287</f>
        <v>0</v>
      </c>
      <c r="E288" s="20">
        <f t="shared" si="137"/>
        <v>0</v>
      </c>
      <c r="F288" s="20">
        <f t="shared" si="137"/>
        <v>0</v>
      </c>
      <c r="G288" s="20">
        <f t="shared" si="137"/>
        <v>0</v>
      </c>
      <c r="H288" s="20">
        <f t="shared" si="137"/>
        <v>0</v>
      </c>
      <c r="I288" s="20">
        <f t="shared" si="137"/>
        <v>0</v>
      </c>
      <c r="J288" s="20">
        <f t="shared" si="137"/>
        <v>0</v>
      </c>
      <c r="K288" s="20">
        <f t="shared" si="137"/>
        <v>0</v>
      </c>
      <c r="L288" s="20">
        <f t="shared" si="137"/>
        <v>0</v>
      </c>
      <c r="M288" s="20">
        <f t="shared" si="137"/>
        <v>0</v>
      </c>
      <c r="N288" s="20">
        <f t="shared" si="137"/>
        <v>0</v>
      </c>
      <c r="O288" s="20">
        <f t="shared" si="137"/>
        <v>0</v>
      </c>
      <c r="P288" s="20">
        <f t="shared" si="137"/>
        <v>0</v>
      </c>
      <c r="Q288" s="20">
        <f t="shared" si="137"/>
        <v>0</v>
      </c>
      <c r="R288" s="20">
        <f t="shared" si="137"/>
        <v>0</v>
      </c>
      <c r="S288" s="20">
        <f t="shared" si="137"/>
        <v>0</v>
      </c>
      <c r="T288" s="20">
        <f t="shared" si="137"/>
        <v>0</v>
      </c>
      <c r="U288" s="20">
        <f t="shared" si="137"/>
        <v>0</v>
      </c>
      <c r="V288" s="20">
        <f t="shared" si="137"/>
        <v>0</v>
      </c>
      <c r="W288" s="20">
        <f t="shared" si="137"/>
        <v>0</v>
      </c>
      <c r="X288" s="20">
        <f t="shared" si="137"/>
        <v>0</v>
      </c>
      <c r="Y288" s="20">
        <f t="shared" si="137"/>
        <v>0</v>
      </c>
      <c r="Z288" s="20">
        <f t="shared" si="137"/>
        <v>0</v>
      </c>
    </row>
    <row r="289" spans="1:26">
      <c r="A289" s="3"/>
      <c r="B289" s="3" t="s">
        <v>2413</v>
      </c>
      <c r="C289" s="3" t="s">
        <v>632</v>
      </c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>
      <c r="A290" s="3"/>
      <c r="B290" s="3"/>
      <c r="C290" s="3" t="s">
        <v>834</v>
      </c>
      <c r="D290" s="20">
        <f>D257</f>
        <v>3.88349514563107</v>
      </c>
      <c r="E290" s="20">
        <f t="shared" ref="E290:Z290" si="138">D290</f>
        <v>3.88349514563107</v>
      </c>
      <c r="F290" s="20">
        <f t="shared" si="138"/>
        <v>3.88349514563107</v>
      </c>
      <c r="G290" s="20">
        <f t="shared" si="138"/>
        <v>3.88349514563107</v>
      </c>
      <c r="H290" s="20">
        <f t="shared" si="138"/>
        <v>3.88349514563107</v>
      </c>
      <c r="I290" s="20">
        <f t="shared" si="138"/>
        <v>3.88349514563107</v>
      </c>
      <c r="J290" s="20">
        <f t="shared" si="138"/>
        <v>3.88349514563107</v>
      </c>
      <c r="K290" s="20">
        <f t="shared" si="138"/>
        <v>3.88349514563107</v>
      </c>
      <c r="L290" s="20">
        <f t="shared" si="138"/>
        <v>3.88349514563107</v>
      </c>
      <c r="M290" s="20">
        <f t="shared" si="138"/>
        <v>3.88349514563107</v>
      </c>
      <c r="N290" s="20">
        <f t="shared" si="138"/>
        <v>3.88349514563107</v>
      </c>
      <c r="O290" s="20">
        <f t="shared" si="138"/>
        <v>3.88349514563107</v>
      </c>
      <c r="P290" s="20">
        <f t="shared" si="138"/>
        <v>3.88349514563107</v>
      </c>
      <c r="Q290" s="20">
        <f t="shared" si="138"/>
        <v>3.88349514563107</v>
      </c>
      <c r="R290" s="20">
        <f t="shared" si="138"/>
        <v>3.88349514563107</v>
      </c>
      <c r="S290" s="20">
        <f t="shared" si="138"/>
        <v>3.88349514563107</v>
      </c>
      <c r="T290" s="20">
        <f t="shared" si="138"/>
        <v>3.88349514563107</v>
      </c>
      <c r="U290" s="20">
        <f t="shared" si="138"/>
        <v>3.88349514563107</v>
      </c>
      <c r="V290" s="20">
        <f t="shared" si="138"/>
        <v>3.88349514563107</v>
      </c>
      <c r="W290" s="20">
        <f t="shared" si="138"/>
        <v>3.88349514563107</v>
      </c>
      <c r="X290" s="20">
        <f t="shared" si="138"/>
        <v>3.88349514563107</v>
      </c>
      <c r="Y290" s="20">
        <f t="shared" si="138"/>
        <v>3.88349514563107</v>
      </c>
      <c r="Z290" s="20">
        <f t="shared" si="138"/>
        <v>3.88349514563107</v>
      </c>
    </row>
    <row r="291" spans="1:26">
      <c r="A291" s="3"/>
      <c r="B291" s="3"/>
      <c r="C291" s="3" t="s">
        <v>2410</v>
      </c>
      <c r="D291" s="20">
        <f t="shared" ref="D291:Z291" si="139">D289*D290</f>
        <v>0</v>
      </c>
      <c r="E291" s="20">
        <f t="shared" si="139"/>
        <v>0</v>
      </c>
      <c r="F291" s="20">
        <f t="shared" si="139"/>
        <v>0</v>
      </c>
      <c r="G291" s="20">
        <f t="shared" si="139"/>
        <v>0</v>
      </c>
      <c r="H291" s="20">
        <f t="shared" si="139"/>
        <v>0</v>
      </c>
      <c r="I291" s="20">
        <f t="shared" si="139"/>
        <v>0</v>
      </c>
      <c r="J291" s="20">
        <f t="shared" si="139"/>
        <v>0</v>
      </c>
      <c r="K291" s="20">
        <f t="shared" si="139"/>
        <v>0</v>
      </c>
      <c r="L291" s="20">
        <f t="shared" si="139"/>
        <v>0</v>
      </c>
      <c r="M291" s="20">
        <f t="shared" si="139"/>
        <v>0</v>
      </c>
      <c r="N291" s="20">
        <f t="shared" si="139"/>
        <v>0</v>
      </c>
      <c r="O291" s="20">
        <f t="shared" si="139"/>
        <v>0</v>
      </c>
      <c r="P291" s="20">
        <f t="shared" si="139"/>
        <v>0</v>
      </c>
      <c r="Q291" s="20">
        <f t="shared" si="139"/>
        <v>0</v>
      </c>
      <c r="R291" s="20">
        <f t="shared" si="139"/>
        <v>0</v>
      </c>
      <c r="S291" s="20">
        <f t="shared" si="139"/>
        <v>0</v>
      </c>
      <c r="T291" s="20">
        <f t="shared" si="139"/>
        <v>0</v>
      </c>
      <c r="U291" s="20">
        <f t="shared" si="139"/>
        <v>0</v>
      </c>
      <c r="V291" s="20">
        <f t="shared" si="139"/>
        <v>0</v>
      </c>
      <c r="W291" s="20">
        <f t="shared" si="139"/>
        <v>0</v>
      </c>
      <c r="X291" s="20">
        <f t="shared" si="139"/>
        <v>0</v>
      </c>
      <c r="Y291" s="20">
        <f t="shared" si="139"/>
        <v>0</v>
      </c>
      <c r="Z291" s="20">
        <f t="shared" si="139"/>
        <v>0</v>
      </c>
    </row>
    <row r="292" spans="1:26">
      <c r="A292" s="3"/>
      <c r="B292" s="3" t="s">
        <v>2414</v>
      </c>
      <c r="C292" s="3" t="s">
        <v>550</v>
      </c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>
      <c r="A293" s="3"/>
      <c r="B293" s="3"/>
      <c r="C293" s="3" t="s">
        <v>834</v>
      </c>
      <c r="D293" s="20">
        <f t="shared" ref="D293:Z293" si="140">D260</f>
        <v>0</v>
      </c>
      <c r="E293" s="20">
        <f t="shared" si="140"/>
        <v>0</v>
      </c>
      <c r="F293" s="20">
        <f t="shared" si="140"/>
        <v>0</v>
      </c>
      <c r="G293" s="20">
        <f t="shared" si="140"/>
        <v>0</v>
      </c>
      <c r="H293" s="20">
        <f t="shared" si="140"/>
        <v>0</v>
      </c>
      <c r="I293" s="20">
        <f t="shared" si="140"/>
        <v>0</v>
      </c>
      <c r="J293" s="20">
        <f t="shared" si="140"/>
        <v>0</v>
      </c>
      <c r="K293" s="20">
        <f t="shared" si="140"/>
        <v>0</v>
      </c>
      <c r="L293" s="20">
        <f t="shared" si="140"/>
        <v>0</v>
      </c>
      <c r="M293" s="20">
        <f t="shared" si="140"/>
        <v>0</v>
      </c>
      <c r="N293" s="20">
        <f t="shared" si="140"/>
        <v>0</v>
      </c>
      <c r="O293" s="20">
        <f t="shared" si="140"/>
        <v>0</v>
      </c>
      <c r="P293" s="20">
        <f t="shared" si="140"/>
        <v>0</v>
      </c>
      <c r="Q293" s="20">
        <f t="shared" si="140"/>
        <v>0</v>
      </c>
      <c r="R293" s="20">
        <f t="shared" si="140"/>
        <v>0</v>
      </c>
      <c r="S293" s="20">
        <f t="shared" si="140"/>
        <v>0</v>
      </c>
      <c r="T293" s="20">
        <f t="shared" si="140"/>
        <v>0</v>
      </c>
      <c r="U293" s="20">
        <f t="shared" si="140"/>
        <v>0</v>
      </c>
      <c r="V293" s="20">
        <f t="shared" si="140"/>
        <v>0</v>
      </c>
      <c r="W293" s="20">
        <f t="shared" si="140"/>
        <v>0</v>
      </c>
      <c r="X293" s="20">
        <f t="shared" si="140"/>
        <v>0</v>
      </c>
      <c r="Y293" s="20">
        <f t="shared" si="140"/>
        <v>0</v>
      </c>
      <c r="Z293" s="20">
        <f t="shared" si="140"/>
        <v>0</v>
      </c>
    </row>
    <row r="294" spans="1:26">
      <c r="A294" s="3"/>
      <c r="B294" s="3"/>
      <c r="C294" s="3" t="s">
        <v>2410</v>
      </c>
      <c r="D294" s="20">
        <f t="shared" ref="D294:Z294" si="141">D292*D293</f>
        <v>0</v>
      </c>
      <c r="E294" s="20">
        <f t="shared" si="141"/>
        <v>0</v>
      </c>
      <c r="F294" s="20">
        <f t="shared" si="141"/>
        <v>0</v>
      </c>
      <c r="G294" s="20">
        <f t="shared" si="141"/>
        <v>0</v>
      </c>
      <c r="H294" s="20">
        <f t="shared" si="141"/>
        <v>0</v>
      </c>
      <c r="I294" s="20">
        <f t="shared" si="141"/>
        <v>0</v>
      </c>
      <c r="J294" s="20">
        <f t="shared" si="141"/>
        <v>0</v>
      </c>
      <c r="K294" s="20">
        <f t="shared" si="141"/>
        <v>0</v>
      </c>
      <c r="L294" s="20">
        <f t="shared" si="141"/>
        <v>0</v>
      </c>
      <c r="M294" s="20">
        <f t="shared" si="141"/>
        <v>0</v>
      </c>
      <c r="N294" s="20">
        <f t="shared" si="141"/>
        <v>0</v>
      </c>
      <c r="O294" s="20">
        <f t="shared" si="141"/>
        <v>0</v>
      </c>
      <c r="P294" s="20">
        <f t="shared" si="141"/>
        <v>0</v>
      </c>
      <c r="Q294" s="20">
        <f t="shared" si="141"/>
        <v>0</v>
      </c>
      <c r="R294" s="20">
        <f t="shared" si="141"/>
        <v>0</v>
      </c>
      <c r="S294" s="20">
        <f t="shared" si="141"/>
        <v>0</v>
      </c>
      <c r="T294" s="20">
        <f t="shared" si="141"/>
        <v>0</v>
      </c>
      <c r="U294" s="20">
        <f t="shared" si="141"/>
        <v>0</v>
      </c>
      <c r="V294" s="20">
        <f t="shared" si="141"/>
        <v>0</v>
      </c>
      <c r="W294" s="20">
        <f t="shared" si="141"/>
        <v>0</v>
      </c>
      <c r="X294" s="20">
        <f t="shared" si="141"/>
        <v>0</v>
      </c>
      <c r="Y294" s="20">
        <f t="shared" si="141"/>
        <v>0</v>
      </c>
      <c r="Z294" s="20">
        <f t="shared" si="141"/>
        <v>0</v>
      </c>
    </row>
    <row r="295" ht="20.25" spans="1:26">
      <c r="A295" s="156"/>
      <c r="B295" s="156" t="s">
        <v>1321</v>
      </c>
      <c r="C295" s="156" t="s">
        <v>114</v>
      </c>
      <c r="D295" s="157">
        <f t="shared" ref="D295:Z295" si="142">D276+D279+D282+D285+D288+D291+D294</f>
        <v>0</v>
      </c>
      <c r="E295" s="157">
        <f t="shared" si="142"/>
        <v>0</v>
      </c>
      <c r="F295" s="157">
        <f t="shared" si="142"/>
        <v>0</v>
      </c>
      <c r="G295" s="157">
        <f t="shared" si="142"/>
        <v>0</v>
      </c>
      <c r="H295" s="157">
        <f t="shared" si="142"/>
        <v>28.1288827058142</v>
      </c>
      <c r="I295" s="157">
        <f t="shared" si="142"/>
        <v>32.2568827058142</v>
      </c>
      <c r="J295" s="157">
        <f t="shared" si="142"/>
        <v>39.4088827058142</v>
      </c>
      <c r="K295" s="157">
        <f t="shared" si="142"/>
        <v>41.9528827058142</v>
      </c>
      <c r="L295" s="157">
        <f t="shared" si="142"/>
        <v>51.4568827058142</v>
      </c>
      <c r="M295" s="157">
        <f t="shared" si="142"/>
        <v>0</v>
      </c>
      <c r="N295" s="157">
        <f t="shared" si="142"/>
        <v>0</v>
      </c>
      <c r="O295" s="157">
        <f t="shared" si="142"/>
        <v>0</v>
      </c>
      <c r="P295" s="157">
        <f t="shared" si="142"/>
        <v>0.48</v>
      </c>
      <c r="Q295" s="157">
        <f t="shared" si="142"/>
        <v>0.96</v>
      </c>
      <c r="R295" s="157">
        <f t="shared" si="142"/>
        <v>1.44</v>
      </c>
      <c r="S295" s="157">
        <f t="shared" si="142"/>
        <v>1.92</v>
      </c>
      <c r="T295" s="157">
        <f t="shared" si="142"/>
        <v>2.4</v>
      </c>
      <c r="U295" s="157">
        <f t="shared" si="142"/>
        <v>9.54036779408924</v>
      </c>
      <c r="V295" s="157">
        <f t="shared" si="142"/>
        <v>10.6923677940892</v>
      </c>
      <c r="W295" s="157">
        <f t="shared" si="142"/>
        <v>14.322478132316</v>
      </c>
      <c r="X295" s="157">
        <f t="shared" si="142"/>
        <v>18.738478132316</v>
      </c>
      <c r="Y295" s="157">
        <f t="shared" si="142"/>
        <v>0</v>
      </c>
      <c r="Z295" s="157">
        <f t="shared" si="142"/>
        <v>0</v>
      </c>
    </row>
    <row r="296" ht="20.25" spans="1:26">
      <c r="A296" s="156" t="s">
        <v>463</v>
      </c>
      <c r="B296" s="156"/>
      <c r="C296" s="156" t="s">
        <v>114</v>
      </c>
      <c r="D296" s="157">
        <f t="shared" ref="D296:Z296" si="143">D295+D273</f>
        <v>0.0975668129238133</v>
      </c>
      <c r="E296" s="157">
        <f t="shared" si="143"/>
        <v>0.158915037893897</v>
      </c>
      <c r="F296" s="157">
        <f t="shared" si="143"/>
        <v>0.185480654168329</v>
      </c>
      <c r="G296" s="157">
        <f t="shared" si="143"/>
        <v>0.282090147586757</v>
      </c>
      <c r="H296" s="157">
        <f t="shared" si="143"/>
        <v>42.8007933559937</v>
      </c>
      <c r="I296" s="157">
        <f t="shared" si="143"/>
        <v>51.0844535075693</v>
      </c>
      <c r="J296" s="157">
        <f t="shared" si="143"/>
        <v>64.0659309706726</v>
      </c>
      <c r="K296" s="157">
        <f t="shared" si="143"/>
        <v>67.810948122647</v>
      </c>
      <c r="L296" s="157">
        <f t="shared" si="143"/>
        <v>82.1229297740232</v>
      </c>
      <c r="M296" s="157">
        <f t="shared" si="143"/>
        <v>0.0618268847227762</v>
      </c>
      <c r="N296" s="157">
        <f t="shared" si="143"/>
        <v>0.15939369764659</v>
      </c>
      <c r="O296" s="157">
        <f t="shared" si="143"/>
        <v>0.475309134423614</v>
      </c>
      <c r="P296" s="157">
        <f t="shared" si="143"/>
        <v>1.57206222576785</v>
      </c>
      <c r="Q296" s="157">
        <f t="shared" si="143"/>
        <v>2.26506581571599</v>
      </c>
      <c r="R296" s="157">
        <f t="shared" si="143"/>
        <v>3.01989629038692</v>
      </c>
      <c r="S296" s="157">
        <f t="shared" si="143"/>
        <v>3.69550857598724</v>
      </c>
      <c r="T296" s="157">
        <f t="shared" si="143"/>
        <v>4.87491025129637</v>
      </c>
      <c r="U296" s="157">
        <f t="shared" si="143"/>
        <v>10.0802441403198</v>
      </c>
      <c r="V296" s="157">
        <f t="shared" si="143"/>
        <v>12.8679601355332</v>
      </c>
      <c r="W296" s="157">
        <f t="shared" si="143"/>
        <v>18.0193070114544</v>
      </c>
      <c r="X296" s="157">
        <f t="shared" si="143"/>
        <v>43.1442619376611</v>
      </c>
      <c r="Y296" s="157">
        <f t="shared" si="143"/>
        <v>1.47810131631432</v>
      </c>
      <c r="Z296" s="157">
        <f t="shared" si="143"/>
        <v>1.90027921818907</v>
      </c>
    </row>
    <row r="297" ht="20.25" spans="1:26">
      <c r="A297" s="156" t="s">
        <v>458</v>
      </c>
      <c r="B297" s="156"/>
      <c r="C297" s="156"/>
      <c r="D297" s="156">
        <v>4051</v>
      </c>
      <c r="E297" s="156">
        <v>4052</v>
      </c>
      <c r="F297" s="156">
        <v>4053</v>
      </c>
      <c r="G297" s="156">
        <v>4054</v>
      </c>
      <c r="H297" s="156">
        <v>4055</v>
      </c>
      <c r="I297" s="156">
        <v>4056</v>
      </c>
      <c r="J297" s="156">
        <v>4057</v>
      </c>
      <c r="K297" s="156">
        <v>4058</v>
      </c>
      <c r="L297" s="156">
        <v>4059</v>
      </c>
      <c r="M297" s="156">
        <v>4060</v>
      </c>
      <c r="N297" s="156">
        <v>4061</v>
      </c>
      <c r="O297" s="156">
        <v>4062</v>
      </c>
      <c r="P297" s="156">
        <v>4063</v>
      </c>
      <c r="Q297" s="156">
        <v>4064</v>
      </c>
      <c r="R297" s="156">
        <v>4065</v>
      </c>
      <c r="S297" s="156">
        <v>4066</v>
      </c>
      <c r="T297" s="156">
        <v>4067</v>
      </c>
      <c r="U297" s="156">
        <v>4068</v>
      </c>
      <c r="V297" s="156">
        <v>4069</v>
      </c>
      <c r="W297" s="156">
        <v>4070</v>
      </c>
      <c r="X297" s="156">
        <v>4071</v>
      </c>
      <c r="Y297" s="156">
        <v>4072</v>
      </c>
      <c r="Z297" s="156">
        <v>4073</v>
      </c>
    </row>
    <row r="298" s="153" customFormat="1" spans="25:25">
      <c r="Y298" s="176"/>
    </row>
    <row r="299" spans="1:26">
      <c r="A299" s="3" t="s">
        <v>2388</v>
      </c>
      <c r="B299" s="3"/>
      <c r="C299" s="3" t="s">
        <v>55</v>
      </c>
      <c r="D299" s="160" t="s">
        <v>2192</v>
      </c>
      <c r="E299" s="161"/>
      <c r="F299" s="161"/>
      <c r="G299" s="162"/>
      <c r="H299" s="160" t="s">
        <v>2193</v>
      </c>
      <c r="I299" s="161"/>
      <c r="J299" s="161"/>
      <c r="K299" s="161"/>
      <c r="L299" s="161"/>
      <c r="M299" s="161"/>
      <c r="N299" s="161"/>
      <c r="O299" s="162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</row>
    <row r="300" spans="1:26">
      <c r="A300" s="3"/>
      <c r="B300" s="3"/>
      <c r="C300" s="3"/>
      <c r="D300" s="163"/>
      <c r="E300" s="164"/>
      <c r="F300" s="164"/>
      <c r="G300" s="165"/>
      <c r="H300" s="163"/>
      <c r="I300" s="164"/>
      <c r="J300" s="164"/>
      <c r="K300" s="164"/>
      <c r="L300" s="164"/>
      <c r="M300" s="164"/>
      <c r="N300" s="164"/>
      <c r="O300" s="165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</row>
    <row r="301" spans="1:26">
      <c r="A301" s="3"/>
      <c r="B301" s="3"/>
      <c r="C301" s="3"/>
      <c r="D301" s="3" t="s">
        <v>2470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</row>
    <row r="302" spans="1:26">
      <c r="A302" s="3"/>
      <c r="B302" s="3"/>
      <c r="C302" s="3"/>
      <c r="D302" s="3">
        <v>1</v>
      </c>
      <c r="E302" s="3">
        <v>2</v>
      </c>
      <c r="F302" s="3">
        <v>3</v>
      </c>
      <c r="G302" s="3">
        <v>5</v>
      </c>
      <c r="H302" s="3" t="s">
        <v>2477</v>
      </c>
      <c r="I302" s="3" t="s">
        <v>2478</v>
      </c>
      <c r="J302" s="3" t="s">
        <v>2479</v>
      </c>
      <c r="K302" s="3" t="s">
        <v>2480</v>
      </c>
      <c r="L302" s="3" t="s">
        <v>2481</v>
      </c>
      <c r="M302" s="3" t="s">
        <v>2482</v>
      </c>
      <c r="N302" s="3" t="s">
        <v>2483</v>
      </c>
      <c r="O302" s="3" t="s">
        <v>2484</v>
      </c>
      <c r="P302" s="141"/>
      <c r="Q302" s="141"/>
      <c r="R302" s="141"/>
      <c r="S302" s="141"/>
      <c r="T302" s="141"/>
      <c r="U302" s="141"/>
      <c r="V302" s="141"/>
      <c r="W302" s="141"/>
      <c r="X302" s="141"/>
      <c r="Y302" s="139"/>
      <c r="Z302" s="141"/>
    </row>
    <row r="303" spans="1:26">
      <c r="A303" s="3" t="s">
        <v>2400</v>
      </c>
      <c r="B303" s="3" t="s">
        <v>2401</v>
      </c>
      <c r="C303" s="3" t="s">
        <v>114</v>
      </c>
      <c r="D303" s="20">
        <f>0.4/$AA$6</f>
        <v>0.347826086956522</v>
      </c>
      <c r="E303" s="20">
        <f>0.47/$AA$6</f>
        <v>0.408695652173913</v>
      </c>
      <c r="F303" s="20">
        <f>0.57/$AA$6</f>
        <v>0.495652173913043</v>
      </c>
      <c r="G303" s="20">
        <f>0.63/$AA$6</f>
        <v>0.547826086956522</v>
      </c>
      <c r="H303" s="20">
        <f>107.3/$AA$6</f>
        <v>93.304347826087</v>
      </c>
      <c r="I303" s="20">
        <f>125.15/$AA$6</f>
        <v>108.826086956522</v>
      </c>
      <c r="J303" s="20">
        <f>157.56/$AA$6</f>
        <v>137.008695652174</v>
      </c>
      <c r="K303" s="20">
        <f>173.8/$AA$6</f>
        <v>151.130434782609</v>
      </c>
      <c r="L303" s="20">
        <f>195.05/$AA$6</f>
        <v>169.608695652174</v>
      </c>
      <c r="M303" s="20">
        <f>233.63/$AA$6</f>
        <v>203.15652173913</v>
      </c>
      <c r="N303" s="20">
        <f>270.69/$AA$6</f>
        <v>235.382608695652</v>
      </c>
      <c r="O303" s="20">
        <f>303.91/$AA$6</f>
        <v>264.269565217391</v>
      </c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</row>
    <row r="304" spans="1:26">
      <c r="A304" s="3"/>
      <c r="B304" s="3" t="s">
        <v>2403</v>
      </c>
      <c r="C304" s="3" t="s">
        <v>114</v>
      </c>
      <c r="D304" s="20">
        <f>0.61/$AA$7</f>
        <v>0.559633027522936</v>
      </c>
      <c r="E304" s="20">
        <f>0.73/$AA$7</f>
        <v>0.669724770642202</v>
      </c>
      <c r="F304" s="20">
        <f>0.89/$AA$7</f>
        <v>0.81651376146789</v>
      </c>
      <c r="G304" s="20">
        <f>0.98/$AA$7</f>
        <v>0.899082568807339</v>
      </c>
      <c r="H304" s="20">
        <f>16.05/$AA$7</f>
        <v>14.7247706422018</v>
      </c>
      <c r="I304" s="20">
        <f>18.38/$AA$7</f>
        <v>16.8623853211009</v>
      </c>
      <c r="J304" s="20">
        <f>23.63/$AA$7</f>
        <v>21.6788990825688</v>
      </c>
      <c r="K304" s="20">
        <f>26.07/$AA$7</f>
        <v>23.9174311926605</v>
      </c>
      <c r="L304" s="20">
        <f>29.26/$AA$7</f>
        <v>26.8440366972477</v>
      </c>
      <c r="M304" s="20">
        <f>35.04/$AA$7</f>
        <v>32.1467889908257</v>
      </c>
      <c r="N304" s="20">
        <f>40.6/$AA$7</f>
        <v>37.2477064220183</v>
      </c>
      <c r="O304" s="20">
        <f>45.59/$AA$7</f>
        <v>41.8256880733945</v>
      </c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</row>
    <row r="305" spans="1:26">
      <c r="A305" s="3"/>
      <c r="B305" s="3" t="s">
        <v>2405</v>
      </c>
      <c r="C305" s="3" t="s">
        <v>114</v>
      </c>
      <c r="D305" s="20">
        <f>0.03</f>
        <v>0.03</v>
      </c>
      <c r="E305" s="20">
        <f>0.04</f>
        <v>0.04</v>
      </c>
      <c r="F305" s="20">
        <f>0.05</f>
        <v>0.05</v>
      </c>
      <c r="G305" s="20">
        <f>0.05</f>
        <v>0.05</v>
      </c>
      <c r="H305" s="20"/>
      <c r="I305" s="20"/>
      <c r="J305" s="20"/>
      <c r="K305" s="20"/>
      <c r="L305" s="20"/>
      <c r="M305" s="20"/>
      <c r="N305" s="20"/>
      <c r="O305" s="20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</row>
    <row r="306" ht="20.25" spans="1:26">
      <c r="A306" s="156"/>
      <c r="B306" s="156" t="s">
        <v>1321</v>
      </c>
      <c r="C306" s="156" t="s">
        <v>114</v>
      </c>
      <c r="D306" s="157">
        <f t="shared" ref="D306:O306" si="144">SUM(D303:D305)</f>
        <v>0.937459114479458</v>
      </c>
      <c r="E306" s="157">
        <f t="shared" si="144"/>
        <v>1.11842042281611</v>
      </c>
      <c r="F306" s="157">
        <f t="shared" si="144"/>
        <v>1.36216593538093</v>
      </c>
      <c r="G306" s="157">
        <f t="shared" si="144"/>
        <v>1.49690865576386</v>
      </c>
      <c r="H306" s="157">
        <f t="shared" si="144"/>
        <v>108.029118468289</v>
      </c>
      <c r="I306" s="157">
        <f t="shared" si="144"/>
        <v>125.688472277623</v>
      </c>
      <c r="J306" s="157">
        <f t="shared" si="144"/>
        <v>158.687594734743</v>
      </c>
      <c r="K306" s="157">
        <f t="shared" si="144"/>
        <v>175.047865975269</v>
      </c>
      <c r="L306" s="157">
        <f t="shared" si="144"/>
        <v>196.452732349422</v>
      </c>
      <c r="M306" s="157">
        <f t="shared" si="144"/>
        <v>235.303310729956</v>
      </c>
      <c r="N306" s="157">
        <f t="shared" si="144"/>
        <v>272.630315117671</v>
      </c>
      <c r="O306" s="157">
        <f t="shared" si="144"/>
        <v>306.095253290786</v>
      </c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>
      <c r="A307" s="3" t="s">
        <v>2408</v>
      </c>
      <c r="B307" s="3" t="s">
        <v>600</v>
      </c>
      <c r="C307" s="3" t="s">
        <v>2409</v>
      </c>
      <c r="D307" s="20"/>
      <c r="E307" s="20"/>
      <c r="F307" s="20"/>
      <c r="G307" s="20"/>
      <c r="H307" s="20">
        <v>7.7</v>
      </c>
      <c r="I307" s="20">
        <v>7.7</v>
      </c>
      <c r="J307" s="20">
        <v>7.7</v>
      </c>
      <c r="K307" s="20">
        <v>7.7</v>
      </c>
      <c r="L307" s="20">
        <v>7.7</v>
      </c>
      <c r="M307" s="20">
        <v>7.7</v>
      </c>
      <c r="N307" s="20">
        <v>7.7</v>
      </c>
      <c r="O307" s="20">
        <v>7.7</v>
      </c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</row>
    <row r="308" spans="1:26">
      <c r="A308" s="3"/>
      <c r="B308" s="3"/>
      <c r="C308" s="3" t="s">
        <v>834</v>
      </c>
      <c r="D308" s="20">
        <f>D275</f>
        <v>8.10036779408924</v>
      </c>
      <c r="E308" s="20">
        <f t="shared" ref="E308:O308" si="145">D308</f>
        <v>8.10036779408924</v>
      </c>
      <c r="F308" s="20">
        <f t="shared" si="145"/>
        <v>8.10036779408924</v>
      </c>
      <c r="G308" s="20">
        <f t="shared" si="145"/>
        <v>8.10036779408924</v>
      </c>
      <c r="H308" s="20">
        <f t="shared" si="145"/>
        <v>8.10036779408924</v>
      </c>
      <c r="I308" s="20">
        <f t="shared" si="145"/>
        <v>8.10036779408924</v>
      </c>
      <c r="J308" s="20">
        <f t="shared" si="145"/>
        <v>8.10036779408924</v>
      </c>
      <c r="K308" s="20">
        <f t="shared" si="145"/>
        <v>8.10036779408924</v>
      </c>
      <c r="L308" s="20">
        <f t="shared" si="145"/>
        <v>8.10036779408924</v>
      </c>
      <c r="M308" s="20">
        <f t="shared" si="145"/>
        <v>8.10036779408924</v>
      </c>
      <c r="N308" s="20">
        <f t="shared" si="145"/>
        <v>8.10036779408924</v>
      </c>
      <c r="O308" s="20">
        <f t="shared" si="145"/>
        <v>8.10036779408924</v>
      </c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</row>
    <row r="309" spans="1:26">
      <c r="A309" s="3"/>
      <c r="B309" s="3"/>
      <c r="C309" s="3" t="s">
        <v>2410</v>
      </c>
      <c r="D309" s="20">
        <f t="shared" ref="D309:O309" si="146">D307*D308</f>
        <v>0</v>
      </c>
      <c r="E309" s="20">
        <f t="shared" si="146"/>
        <v>0</v>
      </c>
      <c r="F309" s="20">
        <f t="shared" si="146"/>
        <v>0</v>
      </c>
      <c r="G309" s="20">
        <f t="shared" si="146"/>
        <v>0</v>
      </c>
      <c r="H309" s="20">
        <f t="shared" si="146"/>
        <v>62.3728320144872</v>
      </c>
      <c r="I309" s="20">
        <f t="shared" si="146"/>
        <v>62.3728320144872</v>
      </c>
      <c r="J309" s="20">
        <f t="shared" si="146"/>
        <v>62.3728320144872</v>
      </c>
      <c r="K309" s="20">
        <f t="shared" si="146"/>
        <v>62.3728320144872</v>
      </c>
      <c r="L309" s="20">
        <f t="shared" si="146"/>
        <v>62.3728320144872</v>
      </c>
      <c r="M309" s="20">
        <f t="shared" si="146"/>
        <v>62.3728320144872</v>
      </c>
      <c r="N309" s="20">
        <f t="shared" si="146"/>
        <v>62.3728320144872</v>
      </c>
      <c r="O309" s="20">
        <f t="shared" si="146"/>
        <v>62.3728320144872</v>
      </c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</row>
    <row r="310" spans="1:26">
      <c r="A310" s="3"/>
      <c r="B310" s="3" t="s">
        <v>1825</v>
      </c>
      <c r="C310" s="3" t="s">
        <v>550</v>
      </c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</row>
    <row r="311" spans="1:26">
      <c r="A311" s="3"/>
      <c r="B311" s="3"/>
      <c r="C311" s="3" t="s">
        <v>834</v>
      </c>
      <c r="D311" s="20">
        <f>D278</f>
        <v>3.075</v>
      </c>
      <c r="E311" s="20">
        <f t="shared" ref="E311:O311" si="147">D311</f>
        <v>3.075</v>
      </c>
      <c r="F311" s="20">
        <f t="shared" si="147"/>
        <v>3.075</v>
      </c>
      <c r="G311" s="20">
        <f t="shared" si="147"/>
        <v>3.075</v>
      </c>
      <c r="H311" s="20">
        <f t="shared" si="147"/>
        <v>3.075</v>
      </c>
      <c r="I311" s="20">
        <f t="shared" si="147"/>
        <v>3.075</v>
      </c>
      <c r="J311" s="20">
        <f t="shared" si="147"/>
        <v>3.075</v>
      </c>
      <c r="K311" s="20">
        <f t="shared" si="147"/>
        <v>3.075</v>
      </c>
      <c r="L311" s="20">
        <f t="shared" si="147"/>
        <v>3.075</v>
      </c>
      <c r="M311" s="20">
        <f t="shared" si="147"/>
        <v>3.075</v>
      </c>
      <c r="N311" s="20">
        <f t="shared" si="147"/>
        <v>3.075</v>
      </c>
      <c r="O311" s="20">
        <f t="shared" si="147"/>
        <v>3.075</v>
      </c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</row>
    <row r="312" spans="1:26">
      <c r="A312" s="3"/>
      <c r="B312" s="3"/>
      <c r="C312" s="3" t="s">
        <v>2410</v>
      </c>
      <c r="D312" s="20">
        <f t="shared" ref="D312:O312" si="148">D310*D311</f>
        <v>0</v>
      </c>
      <c r="E312" s="20">
        <f t="shared" si="148"/>
        <v>0</v>
      </c>
      <c r="F312" s="20">
        <f t="shared" si="148"/>
        <v>0</v>
      </c>
      <c r="G312" s="20">
        <f t="shared" si="148"/>
        <v>0</v>
      </c>
      <c r="H312" s="20">
        <f t="shared" si="148"/>
        <v>0</v>
      </c>
      <c r="I312" s="20">
        <f t="shared" si="148"/>
        <v>0</v>
      </c>
      <c r="J312" s="20">
        <f t="shared" si="148"/>
        <v>0</v>
      </c>
      <c r="K312" s="20">
        <f t="shared" si="148"/>
        <v>0</v>
      </c>
      <c r="L312" s="20">
        <f t="shared" si="148"/>
        <v>0</v>
      </c>
      <c r="M312" s="20">
        <f t="shared" si="148"/>
        <v>0</v>
      </c>
      <c r="N312" s="20">
        <f t="shared" si="148"/>
        <v>0</v>
      </c>
      <c r="O312" s="20">
        <f t="shared" si="148"/>
        <v>0</v>
      </c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</row>
    <row r="313" spans="1:26">
      <c r="A313" s="3"/>
      <c r="B313" s="3" t="s">
        <v>1822</v>
      </c>
      <c r="C313" s="3" t="s">
        <v>550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</row>
    <row r="314" spans="1:26">
      <c r="A314" s="3"/>
      <c r="B314" s="3"/>
      <c r="C314" s="3" t="s">
        <v>834</v>
      </c>
      <c r="D314" s="20">
        <f>D281</f>
        <v>2.99</v>
      </c>
      <c r="E314" s="20">
        <f t="shared" ref="E314:O314" si="149">D314</f>
        <v>2.99</v>
      </c>
      <c r="F314" s="20">
        <f t="shared" si="149"/>
        <v>2.99</v>
      </c>
      <c r="G314" s="20">
        <f t="shared" si="149"/>
        <v>2.99</v>
      </c>
      <c r="H314" s="20">
        <f t="shared" si="149"/>
        <v>2.99</v>
      </c>
      <c r="I314" s="20">
        <f t="shared" si="149"/>
        <v>2.99</v>
      </c>
      <c r="J314" s="20">
        <f t="shared" si="149"/>
        <v>2.99</v>
      </c>
      <c r="K314" s="20">
        <f t="shared" si="149"/>
        <v>2.99</v>
      </c>
      <c r="L314" s="20">
        <f t="shared" si="149"/>
        <v>2.99</v>
      </c>
      <c r="M314" s="20">
        <f t="shared" si="149"/>
        <v>2.99</v>
      </c>
      <c r="N314" s="20">
        <f t="shared" si="149"/>
        <v>2.99</v>
      </c>
      <c r="O314" s="20">
        <f t="shared" si="149"/>
        <v>2.99</v>
      </c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</row>
    <row r="315" spans="1:26">
      <c r="A315" s="3"/>
      <c r="B315" s="3"/>
      <c r="C315" s="3" t="s">
        <v>2410</v>
      </c>
      <c r="D315" s="20">
        <f t="shared" ref="D315:O315" si="150">D313*D314</f>
        <v>0</v>
      </c>
      <c r="E315" s="20">
        <f t="shared" si="150"/>
        <v>0</v>
      </c>
      <c r="F315" s="20">
        <f t="shared" si="150"/>
        <v>0</v>
      </c>
      <c r="G315" s="20">
        <f t="shared" si="150"/>
        <v>0</v>
      </c>
      <c r="H315" s="20">
        <f t="shared" si="150"/>
        <v>0</v>
      </c>
      <c r="I315" s="20">
        <f t="shared" si="150"/>
        <v>0</v>
      </c>
      <c r="J315" s="20">
        <f t="shared" si="150"/>
        <v>0</v>
      </c>
      <c r="K315" s="20">
        <f t="shared" si="150"/>
        <v>0</v>
      </c>
      <c r="L315" s="20">
        <f t="shared" si="150"/>
        <v>0</v>
      </c>
      <c r="M315" s="20">
        <f t="shared" si="150"/>
        <v>0</v>
      </c>
      <c r="N315" s="20">
        <f t="shared" si="150"/>
        <v>0</v>
      </c>
      <c r="O315" s="20">
        <f t="shared" si="150"/>
        <v>0</v>
      </c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</row>
    <row r="316" spans="1:26">
      <c r="A316" s="3"/>
      <c r="B316" s="3" t="s">
        <v>2411</v>
      </c>
      <c r="C316" s="3" t="s">
        <v>1834</v>
      </c>
      <c r="D316" s="20"/>
      <c r="E316" s="20"/>
      <c r="F316" s="20"/>
      <c r="G316" s="20"/>
      <c r="H316" s="20">
        <v>47.6</v>
      </c>
      <c r="I316" s="20">
        <v>47.6</v>
      </c>
      <c r="J316" s="20">
        <v>47.6</v>
      </c>
      <c r="K316" s="20">
        <v>47.6</v>
      </c>
      <c r="L316" s="20">
        <v>47.6</v>
      </c>
      <c r="M316" s="20">
        <v>47.6</v>
      </c>
      <c r="N316" s="20">
        <v>47.6</v>
      </c>
      <c r="O316" s="20">
        <v>47.6</v>
      </c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</row>
    <row r="317" spans="1:26">
      <c r="A317" s="3"/>
      <c r="B317" s="3"/>
      <c r="C317" s="3" t="s">
        <v>834</v>
      </c>
      <c r="D317" s="20">
        <f>D284</f>
        <v>0.48</v>
      </c>
      <c r="E317" s="20">
        <f t="shared" ref="E317:O317" si="151">D317</f>
        <v>0.48</v>
      </c>
      <c r="F317" s="20">
        <f t="shared" si="151"/>
        <v>0.48</v>
      </c>
      <c r="G317" s="20">
        <f t="shared" si="151"/>
        <v>0.48</v>
      </c>
      <c r="H317" s="20">
        <f t="shared" si="151"/>
        <v>0.48</v>
      </c>
      <c r="I317" s="20">
        <f t="shared" si="151"/>
        <v>0.48</v>
      </c>
      <c r="J317" s="20">
        <f t="shared" si="151"/>
        <v>0.48</v>
      </c>
      <c r="K317" s="20">
        <f t="shared" si="151"/>
        <v>0.48</v>
      </c>
      <c r="L317" s="20">
        <f t="shared" si="151"/>
        <v>0.48</v>
      </c>
      <c r="M317" s="20">
        <f t="shared" si="151"/>
        <v>0.48</v>
      </c>
      <c r="N317" s="20">
        <f t="shared" si="151"/>
        <v>0.48</v>
      </c>
      <c r="O317" s="20">
        <f t="shared" si="151"/>
        <v>0.48</v>
      </c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</row>
    <row r="318" spans="1:26">
      <c r="A318" s="3"/>
      <c r="B318" s="3"/>
      <c r="C318" s="3" t="s">
        <v>2410</v>
      </c>
      <c r="D318" s="20">
        <f t="shared" ref="D318:O318" si="152">D316*D317</f>
        <v>0</v>
      </c>
      <c r="E318" s="20">
        <f t="shared" si="152"/>
        <v>0</v>
      </c>
      <c r="F318" s="20">
        <f t="shared" si="152"/>
        <v>0</v>
      </c>
      <c r="G318" s="20">
        <f t="shared" si="152"/>
        <v>0</v>
      </c>
      <c r="H318" s="20">
        <f t="shared" si="152"/>
        <v>22.848</v>
      </c>
      <c r="I318" s="20">
        <f t="shared" si="152"/>
        <v>22.848</v>
      </c>
      <c r="J318" s="20">
        <f t="shared" si="152"/>
        <v>22.848</v>
      </c>
      <c r="K318" s="20">
        <f t="shared" si="152"/>
        <v>22.848</v>
      </c>
      <c r="L318" s="20">
        <f t="shared" si="152"/>
        <v>22.848</v>
      </c>
      <c r="M318" s="20">
        <f t="shared" si="152"/>
        <v>22.848</v>
      </c>
      <c r="N318" s="20">
        <f t="shared" si="152"/>
        <v>22.848</v>
      </c>
      <c r="O318" s="20">
        <f t="shared" si="152"/>
        <v>22.848</v>
      </c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</row>
    <row r="319" spans="1:26">
      <c r="A319" s="3"/>
      <c r="B319" s="3" t="s">
        <v>2412</v>
      </c>
      <c r="C319" s="3" t="s">
        <v>632</v>
      </c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</row>
    <row r="320" spans="1:26">
      <c r="A320" s="3"/>
      <c r="B320" s="3"/>
      <c r="C320" s="3" t="s">
        <v>834</v>
      </c>
      <c r="D320" s="20">
        <f>D287</f>
        <v>0.12</v>
      </c>
      <c r="E320" s="20">
        <f t="shared" ref="E320:O320" si="153">D320</f>
        <v>0.12</v>
      </c>
      <c r="F320" s="20">
        <f t="shared" si="153"/>
        <v>0.12</v>
      </c>
      <c r="G320" s="20">
        <f t="shared" si="153"/>
        <v>0.12</v>
      </c>
      <c r="H320" s="20">
        <f t="shared" si="153"/>
        <v>0.12</v>
      </c>
      <c r="I320" s="20">
        <f t="shared" si="153"/>
        <v>0.12</v>
      </c>
      <c r="J320" s="20">
        <f t="shared" si="153"/>
        <v>0.12</v>
      </c>
      <c r="K320" s="20">
        <f t="shared" si="153"/>
        <v>0.12</v>
      </c>
      <c r="L320" s="20">
        <f t="shared" si="153"/>
        <v>0.12</v>
      </c>
      <c r="M320" s="20">
        <f t="shared" si="153"/>
        <v>0.12</v>
      </c>
      <c r="N320" s="20">
        <f t="shared" si="153"/>
        <v>0.12</v>
      </c>
      <c r="O320" s="20">
        <f t="shared" si="153"/>
        <v>0.12</v>
      </c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</row>
    <row r="321" spans="1:26">
      <c r="A321" s="3"/>
      <c r="B321" s="3"/>
      <c r="C321" s="3" t="s">
        <v>2410</v>
      </c>
      <c r="D321" s="20">
        <f t="shared" ref="D321:O321" si="154">D319*D320</f>
        <v>0</v>
      </c>
      <c r="E321" s="20">
        <f t="shared" si="154"/>
        <v>0</v>
      </c>
      <c r="F321" s="20">
        <f t="shared" si="154"/>
        <v>0</v>
      </c>
      <c r="G321" s="20">
        <f t="shared" si="154"/>
        <v>0</v>
      </c>
      <c r="H321" s="20">
        <f t="shared" si="154"/>
        <v>0</v>
      </c>
      <c r="I321" s="20">
        <f t="shared" si="154"/>
        <v>0</v>
      </c>
      <c r="J321" s="20">
        <f t="shared" si="154"/>
        <v>0</v>
      </c>
      <c r="K321" s="20">
        <f t="shared" si="154"/>
        <v>0</v>
      </c>
      <c r="L321" s="20">
        <f t="shared" si="154"/>
        <v>0</v>
      </c>
      <c r="M321" s="20">
        <f t="shared" si="154"/>
        <v>0</v>
      </c>
      <c r="N321" s="20">
        <f t="shared" si="154"/>
        <v>0</v>
      </c>
      <c r="O321" s="20">
        <f t="shared" si="154"/>
        <v>0</v>
      </c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</row>
    <row r="322" spans="1:26">
      <c r="A322" s="3"/>
      <c r="B322" s="3" t="s">
        <v>2413</v>
      </c>
      <c r="C322" s="3" t="s">
        <v>632</v>
      </c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</row>
    <row r="323" spans="1:26">
      <c r="A323" s="3"/>
      <c r="B323" s="3"/>
      <c r="C323" s="3" t="s">
        <v>834</v>
      </c>
      <c r="D323" s="20">
        <f>D290</f>
        <v>3.88349514563107</v>
      </c>
      <c r="E323" s="20">
        <f t="shared" ref="E323:O323" si="155">D323</f>
        <v>3.88349514563107</v>
      </c>
      <c r="F323" s="20">
        <f t="shared" si="155"/>
        <v>3.88349514563107</v>
      </c>
      <c r="G323" s="20">
        <f t="shared" si="155"/>
        <v>3.88349514563107</v>
      </c>
      <c r="H323" s="20">
        <f t="shared" si="155"/>
        <v>3.88349514563107</v>
      </c>
      <c r="I323" s="20">
        <f t="shared" si="155"/>
        <v>3.88349514563107</v>
      </c>
      <c r="J323" s="20">
        <f t="shared" si="155"/>
        <v>3.88349514563107</v>
      </c>
      <c r="K323" s="20">
        <f t="shared" si="155"/>
        <v>3.88349514563107</v>
      </c>
      <c r="L323" s="20">
        <f t="shared" si="155"/>
        <v>3.88349514563107</v>
      </c>
      <c r="M323" s="20">
        <f t="shared" si="155"/>
        <v>3.88349514563107</v>
      </c>
      <c r="N323" s="20">
        <f t="shared" si="155"/>
        <v>3.88349514563107</v>
      </c>
      <c r="O323" s="20">
        <f t="shared" si="155"/>
        <v>3.88349514563107</v>
      </c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</row>
    <row r="324" spans="1:26">
      <c r="A324" s="3"/>
      <c r="B324" s="3"/>
      <c r="C324" s="3" t="s">
        <v>2410</v>
      </c>
      <c r="D324" s="20">
        <f t="shared" ref="D324:O324" si="156">D322*D323</f>
        <v>0</v>
      </c>
      <c r="E324" s="20">
        <f t="shared" si="156"/>
        <v>0</v>
      </c>
      <c r="F324" s="20">
        <f t="shared" si="156"/>
        <v>0</v>
      </c>
      <c r="G324" s="20">
        <f t="shared" si="156"/>
        <v>0</v>
      </c>
      <c r="H324" s="20">
        <f t="shared" si="156"/>
        <v>0</v>
      </c>
      <c r="I324" s="20">
        <f t="shared" si="156"/>
        <v>0</v>
      </c>
      <c r="J324" s="20">
        <f t="shared" si="156"/>
        <v>0</v>
      </c>
      <c r="K324" s="20">
        <f t="shared" si="156"/>
        <v>0</v>
      </c>
      <c r="L324" s="20">
        <f t="shared" si="156"/>
        <v>0</v>
      </c>
      <c r="M324" s="20">
        <f t="shared" si="156"/>
        <v>0</v>
      </c>
      <c r="N324" s="20">
        <f t="shared" si="156"/>
        <v>0</v>
      </c>
      <c r="O324" s="20">
        <f t="shared" si="156"/>
        <v>0</v>
      </c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</row>
    <row r="325" spans="1:26">
      <c r="A325" s="3"/>
      <c r="B325" s="3" t="s">
        <v>2414</v>
      </c>
      <c r="C325" s="3" t="s">
        <v>550</v>
      </c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</row>
    <row r="326" spans="1:26">
      <c r="A326" s="3"/>
      <c r="B326" s="3"/>
      <c r="C326" s="3" t="s">
        <v>834</v>
      </c>
      <c r="D326" s="20">
        <f t="shared" ref="D326:O326" si="157">D293</f>
        <v>0</v>
      </c>
      <c r="E326" s="20">
        <f t="shared" si="157"/>
        <v>0</v>
      </c>
      <c r="F326" s="20">
        <f t="shared" si="157"/>
        <v>0</v>
      </c>
      <c r="G326" s="20">
        <f t="shared" si="157"/>
        <v>0</v>
      </c>
      <c r="H326" s="20">
        <f t="shared" si="157"/>
        <v>0</v>
      </c>
      <c r="I326" s="20">
        <f t="shared" si="157"/>
        <v>0</v>
      </c>
      <c r="J326" s="20">
        <f t="shared" si="157"/>
        <v>0</v>
      </c>
      <c r="K326" s="20">
        <f t="shared" si="157"/>
        <v>0</v>
      </c>
      <c r="L326" s="20">
        <f t="shared" si="157"/>
        <v>0</v>
      </c>
      <c r="M326" s="20">
        <f t="shared" si="157"/>
        <v>0</v>
      </c>
      <c r="N326" s="20">
        <f t="shared" si="157"/>
        <v>0</v>
      </c>
      <c r="O326" s="20">
        <f t="shared" si="157"/>
        <v>0</v>
      </c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</row>
    <row r="327" spans="1:26">
      <c r="A327" s="3"/>
      <c r="B327" s="3"/>
      <c r="C327" s="3" t="s">
        <v>2410</v>
      </c>
      <c r="D327" s="20">
        <f t="shared" ref="D327:O327" si="158">D325*D326</f>
        <v>0</v>
      </c>
      <c r="E327" s="20">
        <f t="shared" si="158"/>
        <v>0</v>
      </c>
      <c r="F327" s="20">
        <f t="shared" si="158"/>
        <v>0</v>
      </c>
      <c r="G327" s="20">
        <f t="shared" si="158"/>
        <v>0</v>
      </c>
      <c r="H327" s="20">
        <f t="shared" si="158"/>
        <v>0</v>
      </c>
      <c r="I327" s="20">
        <f t="shared" si="158"/>
        <v>0</v>
      </c>
      <c r="J327" s="20">
        <f t="shared" si="158"/>
        <v>0</v>
      </c>
      <c r="K327" s="20">
        <f t="shared" si="158"/>
        <v>0</v>
      </c>
      <c r="L327" s="20">
        <f t="shared" si="158"/>
        <v>0</v>
      </c>
      <c r="M327" s="20">
        <f t="shared" si="158"/>
        <v>0</v>
      </c>
      <c r="N327" s="20">
        <f t="shared" si="158"/>
        <v>0</v>
      </c>
      <c r="O327" s="20">
        <f t="shared" si="158"/>
        <v>0</v>
      </c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</row>
    <row r="328" ht="20.25" spans="1:26">
      <c r="A328" s="156"/>
      <c r="B328" s="156" t="s">
        <v>1321</v>
      </c>
      <c r="C328" s="156" t="s">
        <v>114</v>
      </c>
      <c r="D328" s="157">
        <f t="shared" ref="D328:O328" si="159">D309+D312+D315+D318+D321+D324+D327</f>
        <v>0</v>
      </c>
      <c r="E328" s="157">
        <f t="shared" si="159"/>
        <v>0</v>
      </c>
      <c r="F328" s="157">
        <f t="shared" si="159"/>
        <v>0</v>
      </c>
      <c r="G328" s="157">
        <f t="shared" si="159"/>
        <v>0</v>
      </c>
      <c r="H328" s="157">
        <f t="shared" si="159"/>
        <v>85.2208320144872</v>
      </c>
      <c r="I328" s="157">
        <f t="shared" si="159"/>
        <v>85.2208320144872</v>
      </c>
      <c r="J328" s="157">
        <f t="shared" si="159"/>
        <v>85.2208320144872</v>
      </c>
      <c r="K328" s="157">
        <f t="shared" si="159"/>
        <v>85.2208320144872</v>
      </c>
      <c r="L328" s="157">
        <f t="shared" si="159"/>
        <v>85.2208320144872</v>
      </c>
      <c r="M328" s="157">
        <f t="shared" si="159"/>
        <v>85.2208320144872</v>
      </c>
      <c r="N328" s="157">
        <f t="shared" si="159"/>
        <v>85.2208320144872</v>
      </c>
      <c r="O328" s="157">
        <f t="shared" si="159"/>
        <v>85.2208320144872</v>
      </c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ht="20.25" spans="1:26">
      <c r="A329" s="156" t="s">
        <v>463</v>
      </c>
      <c r="B329" s="156"/>
      <c r="C329" s="156" t="s">
        <v>114</v>
      </c>
      <c r="D329" s="157">
        <f t="shared" ref="D329:O329" si="160">D328+D306</f>
        <v>0.937459114479458</v>
      </c>
      <c r="E329" s="157">
        <f t="shared" si="160"/>
        <v>1.11842042281611</v>
      </c>
      <c r="F329" s="157">
        <f t="shared" si="160"/>
        <v>1.36216593538093</v>
      </c>
      <c r="G329" s="157">
        <f t="shared" si="160"/>
        <v>1.49690865576386</v>
      </c>
      <c r="H329" s="157">
        <f t="shared" si="160"/>
        <v>193.249950482776</v>
      </c>
      <c r="I329" s="157">
        <f t="shared" si="160"/>
        <v>210.90930429211</v>
      </c>
      <c r="J329" s="157">
        <f t="shared" si="160"/>
        <v>243.90842674923</v>
      </c>
      <c r="K329" s="157">
        <f t="shared" si="160"/>
        <v>260.268697989756</v>
      </c>
      <c r="L329" s="157">
        <f t="shared" si="160"/>
        <v>281.673564363909</v>
      </c>
      <c r="M329" s="157">
        <f t="shared" si="160"/>
        <v>320.524142744443</v>
      </c>
      <c r="N329" s="157">
        <f t="shared" si="160"/>
        <v>357.851147132158</v>
      </c>
      <c r="O329" s="157">
        <f t="shared" si="160"/>
        <v>391.316085305273</v>
      </c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ht="20.25" spans="1:26">
      <c r="A330" s="156" t="s">
        <v>458</v>
      </c>
      <c r="B330" s="156"/>
      <c r="C330" s="156"/>
      <c r="D330" s="156">
        <v>4074</v>
      </c>
      <c r="E330" s="156">
        <v>4075</v>
      </c>
      <c r="F330" s="156">
        <v>4076</v>
      </c>
      <c r="G330" s="156">
        <v>4077</v>
      </c>
      <c r="H330" s="156">
        <v>4078</v>
      </c>
      <c r="I330" s="156">
        <v>4079</v>
      </c>
      <c r="J330" s="156">
        <v>4080</v>
      </c>
      <c r="K330" s="156">
        <v>4081</v>
      </c>
      <c r="L330" s="156">
        <v>4082</v>
      </c>
      <c r="M330" s="156">
        <v>4083</v>
      </c>
      <c r="N330" s="156">
        <v>4084</v>
      </c>
      <c r="O330" s="156">
        <v>4085</v>
      </c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s="122" customFormat="1" ht="15" spans="1:25">
      <c r="A331" s="154" t="s">
        <v>2194</v>
      </c>
      <c r="B331" s="154"/>
      <c r="Y331" s="168"/>
    </row>
    <row r="332" spans="1:22">
      <c r="A332" s="3" t="s">
        <v>2388</v>
      </c>
      <c r="B332" s="3"/>
      <c r="C332" s="3" t="s">
        <v>55</v>
      </c>
      <c r="D332" s="160" t="s">
        <v>2195</v>
      </c>
      <c r="E332" s="161"/>
      <c r="F332" s="161"/>
      <c r="G332" s="3" t="s">
        <v>2199</v>
      </c>
      <c r="H332" s="3"/>
      <c r="I332" s="3"/>
      <c r="J332" s="161" t="s">
        <v>2203</v>
      </c>
      <c r="K332" s="161" t="s">
        <v>2205</v>
      </c>
      <c r="L332" s="161" t="s">
        <v>2206</v>
      </c>
      <c r="M332" s="161" t="s">
        <v>2207</v>
      </c>
      <c r="N332" s="161"/>
      <c r="O332" s="162"/>
      <c r="P332" s="3" t="s">
        <v>2211</v>
      </c>
      <c r="Q332" s="3" t="s">
        <v>2213</v>
      </c>
      <c r="R332" s="3"/>
      <c r="S332" s="3" t="s">
        <v>2216</v>
      </c>
      <c r="T332" s="3"/>
      <c r="U332" s="3"/>
      <c r="V332" s="3"/>
    </row>
    <row r="333" spans="1:22">
      <c r="A333" s="3"/>
      <c r="B333" s="3"/>
      <c r="C333" s="3"/>
      <c r="D333" s="163"/>
      <c r="E333" s="164"/>
      <c r="F333" s="164"/>
      <c r="G333" s="3"/>
      <c r="H333" s="3"/>
      <c r="I333" s="3"/>
      <c r="J333" s="164"/>
      <c r="M333" s="164"/>
      <c r="N333" s="164"/>
      <c r="O333" s="165"/>
      <c r="P333" s="3"/>
      <c r="Q333" s="3"/>
      <c r="R333" s="3"/>
      <c r="S333" s="3"/>
      <c r="T333" s="3"/>
      <c r="U333" s="3"/>
      <c r="V333" s="3"/>
    </row>
    <row r="334" spans="1:22">
      <c r="A334" s="3"/>
      <c r="B334" s="3"/>
      <c r="C334" s="3"/>
      <c r="D334" s="126" t="s">
        <v>2196</v>
      </c>
      <c r="E334" s="126" t="s">
        <v>2485</v>
      </c>
      <c r="F334" s="126" t="s">
        <v>2486</v>
      </c>
      <c r="G334" s="126" t="s">
        <v>2200</v>
      </c>
      <c r="H334" s="126" t="s">
        <v>2201</v>
      </c>
      <c r="I334" s="126" t="s">
        <v>2202</v>
      </c>
      <c r="J334" s="160" t="s">
        <v>2204</v>
      </c>
      <c r="M334" s="137" t="s">
        <v>2487</v>
      </c>
      <c r="N334" s="167"/>
      <c r="O334" s="3" t="s">
        <v>2488</v>
      </c>
      <c r="P334" s="3" t="s">
        <v>2398</v>
      </c>
      <c r="Q334" s="3" t="s">
        <v>2214</v>
      </c>
      <c r="R334" s="3" t="s">
        <v>2215</v>
      </c>
      <c r="S334" s="3" t="s">
        <v>2489</v>
      </c>
      <c r="T334" s="3"/>
      <c r="U334" s="3"/>
      <c r="V334" s="3"/>
    </row>
    <row r="335" spans="1:26">
      <c r="A335" s="3"/>
      <c r="B335" s="3"/>
      <c r="C335" s="3"/>
      <c r="D335" s="129"/>
      <c r="E335" s="129"/>
      <c r="F335" s="129"/>
      <c r="G335" s="129"/>
      <c r="H335" s="129"/>
      <c r="I335" s="129"/>
      <c r="J335" s="163"/>
      <c r="K335" s="164"/>
      <c r="L335" s="164"/>
      <c r="M335" s="3" t="s">
        <v>2490</v>
      </c>
      <c r="N335" s="3" t="s">
        <v>2491</v>
      </c>
      <c r="O335" s="3" t="s">
        <v>2490</v>
      </c>
      <c r="P335" s="3">
        <v>4</v>
      </c>
      <c r="Q335" s="3"/>
      <c r="R335" s="3"/>
      <c r="S335" s="3">
        <v>30</v>
      </c>
      <c r="T335" s="3">
        <v>40</v>
      </c>
      <c r="U335" s="3">
        <v>50</v>
      </c>
      <c r="V335" s="3">
        <v>60</v>
      </c>
      <c r="W335" s="141"/>
      <c r="X335" s="141"/>
      <c r="Y335" s="139"/>
      <c r="Z335" s="141"/>
    </row>
    <row r="336" spans="1:26">
      <c r="A336" s="3" t="s">
        <v>2400</v>
      </c>
      <c r="B336" s="3" t="s">
        <v>2401</v>
      </c>
      <c r="C336" s="3" t="s">
        <v>114</v>
      </c>
      <c r="D336" s="20">
        <f>2.99/$AA$6</f>
        <v>2.6</v>
      </c>
      <c r="E336" s="20">
        <f>3.8/$AA$6</f>
        <v>3.30434782608696</v>
      </c>
      <c r="F336" s="20">
        <f>4.51/$AA$6</f>
        <v>3.92173913043478</v>
      </c>
      <c r="G336" s="20">
        <f>8.5/$AA$6</f>
        <v>7.39130434782609</v>
      </c>
      <c r="H336" s="20">
        <f>16.5/$AA$6</f>
        <v>14.3478260869565</v>
      </c>
      <c r="I336" s="20">
        <f>28.5/$AA$6</f>
        <v>24.7826086956522</v>
      </c>
      <c r="J336" s="20">
        <f>95/$AA$6</f>
        <v>82.6086956521739</v>
      </c>
      <c r="K336" s="20">
        <f>3.21/$AA$6</f>
        <v>2.79130434782609</v>
      </c>
      <c r="L336" s="20">
        <f>0.83/$AA$6</f>
        <v>0.721739130434783</v>
      </c>
      <c r="M336" s="20">
        <f>2.38/$AA$6</f>
        <v>2.0695652173913</v>
      </c>
      <c r="N336" s="20">
        <f>2.76/$AA$6</f>
        <v>2.4</v>
      </c>
      <c r="O336" s="20">
        <f>4.43/$AA$6</f>
        <v>3.85217391304348</v>
      </c>
      <c r="P336" s="20">
        <f>1.78/$AA$6</f>
        <v>1.54782608695652</v>
      </c>
      <c r="Q336" s="20">
        <f>8.08/$AA$6</f>
        <v>7.02608695652174</v>
      </c>
      <c r="R336" s="20">
        <f>9.98/$AA$6</f>
        <v>8.67826086956522</v>
      </c>
      <c r="S336" s="20">
        <f>84.83/$AA$6</f>
        <v>73.7652173913043</v>
      </c>
      <c r="T336" s="20">
        <f>107.76/$AA$6</f>
        <v>93.704347826087</v>
      </c>
      <c r="U336" s="20">
        <f>136.39/$AA$6</f>
        <v>118.6</v>
      </c>
      <c r="V336" s="20">
        <f>161.9/$AA$6</f>
        <v>140.782608695652</v>
      </c>
      <c r="W336" s="182"/>
      <c r="X336" s="182"/>
      <c r="Y336" s="182"/>
      <c r="Z336" s="182"/>
    </row>
    <row r="337" spans="1:26">
      <c r="A337" s="3"/>
      <c r="B337" s="3" t="s">
        <v>2403</v>
      </c>
      <c r="C337" s="3" t="s">
        <v>114</v>
      </c>
      <c r="D337" s="20">
        <f>7.31/$AA$7</f>
        <v>6.70642201834862</v>
      </c>
      <c r="E337" s="20">
        <f>8.56/$AA$7</f>
        <v>7.85321100917431</v>
      </c>
      <c r="F337" s="20">
        <f>9.36/$AA$7</f>
        <v>8.58715596330275</v>
      </c>
      <c r="G337" s="20">
        <f>14.02/$AA$7</f>
        <v>12.8623853211009</v>
      </c>
      <c r="H337" s="20">
        <f>23.42/$AA$7</f>
        <v>21.4862385321101</v>
      </c>
      <c r="I337" s="20">
        <f>39.43/$AA$7</f>
        <v>36.1743119266055</v>
      </c>
      <c r="J337" s="20">
        <f>154.95/$AA$7</f>
        <v>142.155963302752</v>
      </c>
      <c r="K337" s="20">
        <f>6.51/$AA$7</f>
        <v>5.97247706422018</v>
      </c>
      <c r="L337" s="20">
        <f>2.28/$AA$7</f>
        <v>2.09174311926605</v>
      </c>
      <c r="M337" s="20">
        <f>6.95/$AA$7</f>
        <v>6.37614678899082</v>
      </c>
      <c r="N337" s="20">
        <f>7.76/$AA$7</f>
        <v>7.11926605504587</v>
      </c>
      <c r="O337" s="20">
        <f>11.94/$AA$7</f>
        <v>10.954128440367</v>
      </c>
      <c r="P337" s="20">
        <f>6.33/$AA$7</f>
        <v>5.80733944954128</v>
      </c>
      <c r="Q337" s="20">
        <f>8.22/$AA$7</f>
        <v>7.54128440366972</v>
      </c>
      <c r="R337" s="20">
        <f>9.48/$AA$7</f>
        <v>8.69724770642202</v>
      </c>
      <c r="S337" s="20">
        <f>14.51/$AA$7</f>
        <v>13.3119266055046</v>
      </c>
      <c r="T337" s="20">
        <f>20.49/$AA$7</f>
        <v>18.7981651376147</v>
      </c>
      <c r="U337" s="20">
        <f>25.28/$AA$7</f>
        <v>23.1926605504587</v>
      </c>
      <c r="V337" s="20">
        <f>30.06/$AA$7</f>
        <v>27.5779816513761</v>
      </c>
      <c r="W337" s="182"/>
      <c r="X337" s="182"/>
      <c r="Y337" s="182"/>
      <c r="Z337" s="182"/>
    </row>
    <row r="338" spans="1:26">
      <c r="A338" s="3"/>
      <c r="B338" s="3" t="s">
        <v>2405</v>
      </c>
      <c r="C338" s="3" t="s">
        <v>114</v>
      </c>
      <c r="D338" s="20">
        <v>1.83</v>
      </c>
      <c r="E338" s="20">
        <v>2.37</v>
      </c>
      <c r="F338" s="20">
        <v>2.76</v>
      </c>
      <c r="G338" s="20">
        <v>3.69</v>
      </c>
      <c r="H338" s="20">
        <v>6.19</v>
      </c>
      <c r="I338" s="20">
        <v>10.59</v>
      </c>
      <c r="J338" s="20">
        <v>34.54</v>
      </c>
      <c r="K338" s="20">
        <v>0.58</v>
      </c>
      <c r="L338" s="20">
        <v>0.2</v>
      </c>
      <c r="M338" s="20">
        <f>0.57</f>
        <v>0.57</v>
      </c>
      <c r="N338" s="20">
        <f>0.64</f>
        <v>0.64</v>
      </c>
      <c r="O338" s="20">
        <f>0.96</f>
        <v>0.96</v>
      </c>
      <c r="P338" s="20">
        <f>0.89</f>
        <v>0.89</v>
      </c>
      <c r="Q338" s="20">
        <f>0.75</f>
        <v>0.75</v>
      </c>
      <c r="R338" s="20">
        <f>0.87</f>
        <v>0.87</v>
      </c>
      <c r="S338" s="20"/>
      <c r="T338" s="20"/>
      <c r="U338" s="20"/>
      <c r="V338" s="20"/>
      <c r="W338" s="182"/>
      <c r="X338" s="182"/>
      <c r="Y338" s="182"/>
      <c r="Z338" s="182"/>
    </row>
    <row r="339" ht="20.25" spans="1:26">
      <c r="A339" s="156"/>
      <c r="B339" s="156" t="s">
        <v>1321</v>
      </c>
      <c r="C339" s="156" t="s">
        <v>114</v>
      </c>
      <c r="D339" s="157">
        <f t="shared" ref="D339:V339" si="161">SUM(D336:D338)</f>
        <v>11.1364220183486</v>
      </c>
      <c r="E339" s="157">
        <f t="shared" si="161"/>
        <v>13.5275588352613</v>
      </c>
      <c r="F339" s="157">
        <f t="shared" si="161"/>
        <v>15.2688950937375</v>
      </c>
      <c r="G339" s="157">
        <f t="shared" si="161"/>
        <v>23.943689668927</v>
      </c>
      <c r="H339" s="157">
        <f t="shared" si="161"/>
        <v>42.0240646190666</v>
      </c>
      <c r="I339" s="157">
        <f t="shared" si="161"/>
        <v>71.5469206222577</v>
      </c>
      <c r="J339" s="157">
        <f t="shared" si="161"/>
        <v>259.304658954926</v>
      </c>
      <c r="K339" s="157">
        <f t="shared" si="161"/>
        <v>9.34378141204627</v>
      </c>
      <c r="L339" s="157">
        <f t="shared" si="161"/>
        <v>3.01348224970084</v>
      </c>
      <c r="M339" s="157">
        <f t="shared" si="161"/>
        <v>9.01571200638213</v>
      </c>
      <c r="N339" s="157">
        <f t="shared" si="161"/>
        <v>10.1592660550459</v>
      </c>
      <c r="O339" s="157">
        <f t="shared" si="161"/>
        <v>15.7663023534104</v>
      </c>
      <c r="P339" s="157">
        <f t="shared" si="161"/>
        <v>8.24516553649781</v>
      </c>
      <c r="Q339" s="157">
        <f t="shared" si="161"/>
        <v>15.3173713601915</v>
      </c>
      <c r="R339" s="157">
        <f t="shared" si="161"/>
        <v>18.2455085759872</v>
      </c>
      <c r="S339" s="157">
        <f t="shared" si="161"/>
        <v>87.0771439968089</v>
      </c>
      <c r="T339" s="157">
        <f t="shared" si="161"/>
        <v>112.502512963702</v>
      </c>
      <c r="U339" s="157">
        <f t="shared" si="161"/>
        <v>141.792660550459</v>
      </c>
      <c r="V339" s="157">
        <f t="shared" si="161"/>
        <v>168.360590347028</v>
      </c>
      <c r="W339" s="183"/>
      <c r="X339" s="183"/>
      <c r="Y339" s="183"/>
      <c r="Z339" s="183"/>
    </row>
    <row r="340" spans="1:26">
      <c r="A340" s="3" t="s">
        <v>2408</v>
      </c>
      <c r="B340" s="3" t="s">
        <v>600</v>
      </c>
      <c r="C340" s="3" t="s">
        <v>2409</v>
      </c>
      <c r="D340" s="20">
        <v>2.8</v>
      </c>
      <c r="E340" s="20">
        <v>2.9</v>
      </c>
      <c r="F340" s="20">
        <v>2.9</v>
      </c>
      <c r="G340" s="20">
        <v>2.9</v>
      </c>
      <c r="H340" s="20">
        <v>2.9</v>
      </c>
      <c r="I340" s="20">
        <v>2.9</v>
      </c>
      <c r="J340" s="20">
        <v>3.4</v>
      </c>
      <c r="K340" s="20">
        <v>1.3</v>
      </c>
      <c r="L340" s="20">
        <v>1.3</v>
      </c>
      <c r="M340" s="20">
        <v>2.4</v>
      </c>
      <c r="N340" s="20">
        <v>2.4</v>
      </c>
      <c r="O340" s="20">
        <v>2.4</v>
      </c>
      <c r="P340" s="20">
        <v>1.3</v>
      </c>
      <c r="Q340" s="20">
        <v>1.3</v>
      </c>
      <c r="R340" s="20">
        <v>1.3</v>
      </c>
      <c r="S340" s="20">
        <v>3.7</v>
      </c>
      <c r="T340" s="20">
        <v>3.7</v>
      </c>
      <c r="U340" s="20">
        <v>3.7</v>
      </c>
      <c r="V340" s="20">
        <v>3.7</v>
      </c>
      <c r="W340" s="182"/>
      <c r="X340" s="182"/>
      <c r="Y340" s="182"/>
      <c r="Z340" s="182"/>
    </row>
    <row r="341" spans="1:26">
      <c r="A341" s="3"/>
      <c r="B341" s="3"/>
      <c r="C341" s="3" t="s">
        <v>834</v>
      </c>
      <c r="D341" s="20">
        <f>D308</f>
        <v>8.10036779408924</v>
      </c>
      <c r="E341" s="20">
        <f t="shared" ref="E341:V341" si="162">D341</f>
        <v>8.10036779408924</v>
      </c>
      <c r="F341" s="20">
        <f t="shared" si="162"/>
        <v>8.10036779408924</v>
      </c>
      <c r="G341" s="20">
        <f t="shared" si="162"/>
        <v>8.10036779408924</v>
      </c>
      <c r="H341" s="20">
        <f t="shared" si="162"/>
        <v>8.10036779408924</v>
      </c>
      <c r="I341" s="20">
        <f t="shared" si="162"/>
        <v>8.10036779408924</v>
      </c>
      <c r="J341" s="20">
        <f t="shared" si="162"/>
        <v>8.10036779408924</v>
      </c>
      <c r="K341" s="20">
        <f t="shared" si="162"/>
        <v>8.10036779408924</v>
      </c>
      <c r="L341" s="20">
        <f t="shared" si="162"/>
        <v>8.10036779408924</v>
      </c>
      <c r="M341" s="20">
        <f t="shared" si="162"/>
        <v>8.10036779408924</v>
      </c>
      <c r="N341" s="20">
        <f t="shared" si="162"/>
        <v>8.10036779408924</v>
      </c>
      <c r="O341" s="20">
        <f t="shared" si="162"/>
        <v>8.10036779408924</v>
      </c>
      <c r="P341" s="20">
        <f t="shared" si="162"/>
        <v>8.10036779408924</v>
      </c>
      <c r="Q341" s="20">
        <f t="shared" si="162"/>
        <v>8.10036779408924</v>
      </c>
      <c r="R341" s="20">
        <f t="shared" si="162"/>
        <v>8.10036779408924</v>
      </c>
      <c r="S341" s="20">
        <f t="shared" si="162"/>
        <v>8.10036779408924</v>
      </c>
      <c r="T341" s="20">
        <f t="shared" si="162"/>
        <v>8.10036779408924</v>
      </c>
      <c r="U341" s="20">
        <f t="shared" si="162"/>
        <v>8.10036779408924</v>
      </c>
      <c r="V341" s="177">
        <f t="shared" si="162"/>
        <v>8.10036779408924</v>
      </c>
      <c r="W341" s="186"/>
      <c r="X341" s="182"/>
      <c r="Y341" s="182"/>
      <c r="Z341" s="182"/>
    </row>
    <row r="342" spans="1:26">
      <c r="A342" s="3"/>
      <c r="B342" s="3"/>
      <c r="C342" s="3" t="s">
        <v>2410</v>
      </c>
      <c r="D342" s="20">
        <f t="shared" ref="D342:V342" si="163">D340*D341</f>
        <v>22.6810298234499</v>
      </c>
      <c r="E342" s="20">
        <f t="shared" si="163"/>
        <v>23.4910666028588</v>
      </c>
      <c r="F342" s="20">
        <f t="shared" si="163"/>
        <v>23.4910666028588</v>
      </c>
      <c r="G342" s="20">
        <f t="shared" si="163"/>
        <v>23.4910666028588</v>
      </c>
      <c r="H342" s="20">
        <f t="shared" si="163"/>
        <v>23.4910666028588</v>
      </c>
      <c r="I342" s="20">
        <f t="shared" si="163"/>
        <v>23.4910666028588</v>
      </c>
      <c r="J342" s="20">
        <f t="shared" si="163"/>
        <v>27.5412504999034</v>
      </c>
      <c r="K342" s="20">
        <f t="shared" si="163"/>
        <v>10.530478132316</v>
      </c>
      <c r="L342" s="20">
        <f t="shared" si="163"/>
        <v>10.530478132316</v>
      </c>
      <c r="M342" s="20">
        <f t="shared" si="163"/>
        <v>19.4408827058142</v>
      </c>
      <c r="N342" s="20">
        <f t="shared" si="163"/>
        <v>19.4408827058142</v>
      </c>
      <c r="O342" s="20">
        <f t="shared" si="163"/>
        <v>19.4408827058142</v>
      </c>
      <c r="P342" s="20">
        <f t="shared" si="163"/>
        <v>10.530478132316</v>
      </c>
      <c r="Q342" s="20">
        <f t="shared" si="163"/>
        <v>10.530478132316</v>
      </c>
      <c r="R342" s="20">
        <f t="shared" si="163"/>
        <v>10.530478132316</v>
      </c>
      <c r="S342" s="20">
        <f t="shared" si="163"/>
        <v>29.9713608381302</v>
      </c>
      <c r="T342" s="20">
        <f t="shared" si="163"/>
        <v>29.9713608381302</v>
      </c>
      <c r="U342" s="20">
        <f t="shared" si="163"/>
        <v>29.9713608381302</v>
      </c>
      <c r="V342" s="177">
        <f t="shared" si="163"/>
        <v>29.9713608381302</v>
      </c>
      <c r="W342" s="186"/>
      <c r="X342" s="182"/>
      <c r="Y342" s="182"/>
      <c r="Z342" s="182"/>
    </row>
    <row r="343" spans="1:26">
      <c r="A343" s="3"/>
      <c r="B343" s="3" t="s">
        <v>1825</v>
      </c>
      <c r="C343" s="3" t="s">
        <v>550</v>
      </c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177"/>
      <c r="W343" s="186"/>
      <c r="X343" s="182"/>
      <c r="Y343" s="182"/>
      <c r="Z343" s="182"/>
    </row>
    <row r="344" spans="1:26">
      <c r="A344" s="3"/>
      <c r="B344" s="3"/>
      <c r="C344" s="3" t="s">
        <v>834</v>
      </c>
      <c r="D344" s="20">
        <f>D311</f>
        <v>3.075</v>
      </c>
      <c r="E344" s="20">
        <f t="shared" ref="E344:V344" si="164">D344</f>
        <v>3.075</v>
      </c>
      <c r="F344" s="20">
        <f t="shared" si="164"/>
        <v>3.075</v>
      </c>
      <c r="G344" s="20">
        <f t="shared" si="164"/>
        <v>3.075</v>
      </c>
      <c r="H344" s="20">
        <f t="shared" si="164"/>
        <v>3.075</v>
      </c>
      <c r="I344" s="20">
        <f t="shared" si="164"/>
        <v>3.075</v>
      </c>
      <c r="J344" s="20">
        <f t="shared" si="164"/>
        <v>3.075</v>
      </c>
      <c r="K344" s="20">
        <f t="shared" si="164"/>
        <v>3.075</v>
      </c>
      <c r="L344" s="20">
        <f t="shared" si="164"/>
        <v>3.075</v>
      </c>
      <c r="M344" s="20">
        <f t="shared" si="164"/>
        <v>3.075</v>
      </c>
      <c r="N344" s="20">
        <f t="shared" si="164"/>
        <v>3.075</v>
      </c>
      <c r="O344" s="20">
        <f t="shared" si="164"/>
        <v>3.075</v>
      </c>
      <c r="P344" s="20">
        <f t="shared" si="164"/>
        <v>3.075</v>
      </c>
      <c r="Q344" s="20">
        <f t="shared" si="164"/>
        <v>3.075</v>
      </c>
      <c r="R344" s="20">
        <f t="shared" si="164"/>
        <v>3.075</v>
      </c>
      <c r="S344" s="20">
        <f t="shared" si="164"/>
        <v>3.075</v>
      </c>
      <c r="T344" s="20">
        <f t="shared" si="164"/>
        <v>3.075</v>
      </c>
      <c r="U344" s="20">
        <f t="shared" si="164"/>
        <v>3.075</v>
      </c>
      <c r="V344" s="177">
        <f t="shared" si="164"/>
        <v>3.075</v>
      </c>
      <c r="W344" s="186"/>
      <c r="X344" s="182"/>
      <c r="Y344" s="182"/>
      <c r="Z344" s="182"/>
    </row>
    <row r="345" spans="1:26">
      <c r="A345" s="3"/>
      <c r="B345" s="3"/>
      <c r="C345" s="3" t="s">
        <v>2410</v>
      </c>
      <c r="D345" s="20">
        <f t="shared" ref="D345:V345" si="165">D343*D344</f>
        <v>0</v>
      </c>
      <c r="E345" s="20">
        <f t="shared" si="165"/>
        <v>0</v>
      </c>
      <c r="F345" s="20">
        <f t="shared" si="165"/>
        <v>0</v>
      </c>
      <c r="G345" s="20">
        <f t="shared" si="165"/>
        <v>0</v>
      </c>
      <c r="H345" s="20">
        <f t="shared" si="165"/>
        <v>0</v>
      </c>
      <c r="I345" s="20">
        <f t="shared" si="165"/>
        <v>0</v>
      </c>
      <c r="J345" s="20">
        <f t="shared" si="165"/>
        <v>0</v>
      </c>
      <c r="K345" s="20">
        <f t="shared" si="165"/>
        <v>0</v>
      </c>
      <c r="L345" s="20">
        <f t="shared" si="165"/>
        <v>0</v>
      </c>
      <c r="M345" s="20">
        <f t="shared" si="165"/>
        <v>0</v>
      </c>
      <c r="N345" s="20">
        <f t="shared" si="165"/>
        <v>0</v>
      </c>
      <c r="O345" s="20">
        <f t="shared" si="165"/>
        <v>0</v>
      </c>
      <c r="P345" s="20">
        <f t="shared" si="165"/>
        <v>0</v>
      </c>
      <c r="Q345" s="20">
        <f t="shared" si="165"/>
        <v>0</v>
      </c>
      <c r="R345" s="20">
        <f t="shared" si="165"/>
        <v>0</v>
      </c>
      <c r="S345" s="20">
        <f t="shared" si="165"/>
        <v>0</v>
      </c>
      <c r="T345" s="20">
        <f t="shared" si="165"/>
        <v>0</v>
      </c>
      <c r="U345" s="20">
        <f t="shared" si="165"/>
        <v>0</v>
      </c>
      <c r="V345" s="177">
        <f t="shared" si="165"/>
        <v>0</v>
      </c>
      <c r="W345" s="186"/>
      <c r="X345" s="182"/>
      <c r="Y345" s="182"/>
      <c r="Z345" s="182"/>
    </row>
    <row r="346" spans="1:26">
      <c r="A346" s="3"/>
      <c r="B346" s="3" t="s">
        <v>1822</v>
      </c>
      <c r="C346" s="3" t="s">
        <v>550</v>
      </c>
      <c r="D346" s="20"/>
      <c r="E346" s="20"/>
      <c r="F346" s="20"/>
      <c r="G346" s="20"/>
      <c r="H346" s="20"/>
      <c r="I346" s="20"/>
      <c r="J346" s="20">
        <v>10.1</v>
      </c>
      <c r="K346" s="20"/>
      <c r="L346" s="20"/>
      <c r="M346" s="20"/>
      <c r="N346" s="20"/>
      <c r="O346" s="20"/>
      <c r="P346" s="20"/>
      <c r="Q346" s="20"/>
      <c r="R346" s="20"/>
      <c r="S346" s="20">
        <v>3.2</v>
      </c>
      <c r="T346" s="20">
        <v>4.6</v>
      </c>
      <c r="U346" s="20">
        <v>6</v>
      </c>
      <c r="V346" s="177">
        <v>6.9</v>
      </c>
      <c r="W346" s="186"/>
      <c r="X346" s="182"/>
      <c r="Y346" s="182"/>
      <c r="Z346" s="182"/>
    </row>
    <row r="347" spans="1:26">
      <c r="A347" s="3"/>
      <c r="B347" s="3"/>
      <c r="C347" s="3" t="s">
        <v>834</v>
      </c>
      <c r="D347" s="20">
        <f>D314</f>
        <v>2.99</v>
      </c>
      <c r="E347" s="20">
        <f t="shared" ref="E347:V347" si="166">D347</f>
        <v>2.99</v>
      </c>
      <c r="F347" s="20">
        <f t="shared" si="166"/>
        <v>2.99</v>
      </c>
      <c r="G347" s="20">
        <f t="shared" si="166"/>
        <v>2.99</v>
      </c>
      <c r="H347" s="20">
        <f t="shared" si="166"/>
        <v>2.99</v>
      </c>
      <c r="I347" s="20">
        <f t="shared" si="166"/>
        <v>2.99</v>
      </c>
      <c r="J347" s="20">
        <f t="shared" si="166"/>
        <v>2.99</v>
      </c>
      <c r="K347" s="20">
        <f t="shared" si="166"/>
        <v>2.99</v>
      </c>
      <c r="L347" s="20">
        <f t="shared" si="166"/>
        <v>2.99</v>
      </c>
      <c r="M347" s="20">
        <f t="shared" si="166"/>
        <v>2.99</v>
      </c>
      <c r="N347" s="20">
        <f t="shared" si="166"/>
        <v>2.99</v>
      </c>
      <c r="O347" s="20">
        <f t="shared" si="166"/>
        <v>2.99</v>
      </c>
      <c r="P347" s="20">
        <f t="shared" si="166"/>
        <v>2.99</v>
      </c>
      <c r="Q347" s="20">
        <f t="shared" si="166"/>
        <v>2.99</v>
      </c>
      <c r="R347" s="20">
        <f t="shared" si="166"/>
        <v>2.99</v>
      </c>
      <c r="S347" s="20">
        <f t="shared" si="166"/>
        <v>2.99</v>
      </c>
      <c r="T347" s="20">
        <f t="shared" si="166"/>
        <v>2.99</v>
      </c>
      <c r="U347" s="20">
        <f t="shared" si="166"/>
        <v>2.99</v>
      </c>
      <c r="V347" s="177">
        <f t="shared" si="166"/>
        <v>2.99</v>
      </c>
      <c r="W347" s="186"/>
      <c r="X347" s="182"/>
      <c r="Y347" s="182"/>
      <c r="Z347" s="182"/>
    </row>
    <row r="348" spans="1:26">
      <c r="A348" s="3"/>
      <c r="B348" s="3"/>
      <c r="C348" s="3" t="s">
        <v>2410</v>
      </c>
      <c r="D348" s="20">
        <f t="shared" ref="D348:V348" si="167">D346*D347</f>
        <v>0</v>
      </c>
      <c r="E348" s="20">
        <f t="shared" si="167"/>
        <v>0</v>
      </c>
      <c r="F348" s="20">
        <f t="shared" si="167"/>
        <v>0</v>
      </c>
      <c r="G348" s="20">
        <f t="shared" si="167"/>
        <v>0</v>
      </c>
      <c r="H348" s="20">
        <f t="shared" si="167"/>
        <v>0</v>
      </c>
      <c r="I348" s="20">
        <f t="shared" si="167"/>
        <v>0</v>
      </c>
      <c r="J348" s="20">
        <f t="shared" si="167"/>
        <v>30.199</v>
      </c>
      <c r="K348" s="20">
        <f t="shared" si="167"/>
        <v>0</v>
      </c>
      <c r="L348" s="20">
        <f t="shared" si="167"/>
        <v>0</v>
      </c>
      <c r="M348" s="20">
        <f t="shared" si="167"/>
        <v>0</v>
      </c>
      <c r="N348" s="20">
        <f t="shared" si="167"/>
        <v>0</v>
      </c>
      <c r="O348" s="20">
        <f t="shared" si="167"/>
        <v>0</v>
      </c>
      <c r="P348" s="20">
        <f t="shared" si="167"/>
        <v>0</v>
      </c>
      <c r="Q348" s="20">
        <f t="shared" si="167"/>
        <v>0</v>
      </c>
      <c r="R348" s="20">
        <f t="shared" si="167"/>
        <v>0</v>
      </c>
      <c r="S348" s="20">
        <f t="shared" si="167"/>
        <v>9.568</v>
      </c>
      <c r="T348" s="20">
        <f t="shared" si="167"/>
        <v>13.754</v>
      </c>
      <c r="U348" s="20">
        <f t="shared" si="167"/>
        <v>17.94</v>
      </c>
      <c r="V348" s="177">
        <f t="shared" si="167"/>
        <v>20.631</v>
      </c>
      <c r="W348" s="186"/>
      <c r="X348" s="182"/>
      <c r="Y348" s="182"/>
      <c r="Z348" s="182"/>
    </row>
    <row r="349" spans="1:26">
      <c r="A349" s="3"/>
      <c r="B349" s="3" t="s">
        <v>2411</v>
      </c>
      <c r="C349" s="3" t="s">
        <v>1834</v>
      </c>
      <c r="D349" s="20">
        <v>6.7</v>
      </c>
      <c r="E349" s="20">
        <v>10.7</v>
      </c>
      <c r="F349" s="20">
        <v>15</v>
      </c>
      <c r="G349" s="20">
        <v>17.8</v>
      </c>
      <c r="H349" s="20">
        <v>19.6</v>
      </c>
      <c r="I349" s="20">
        <v>35.6</v>
      </c>
      <c r="J349" s="20"/>
      <c r="K349" s="20">
        <v>12.9</v>
      </c>
      <c r="L349" s="20">
        <v>6.3</v>
      </c>
      <c r="M349" s="20">
        <v>13.2</v>
      </c>
      <c r="N349" s="20">
        <v>10.1</v>
      </c>
      <c r="O349" s="20">
        <v>17.9</v>
      </c>
      <c r="P349" s="20">
        <v>4</v>
      </c>
      <c r="Q349" s="20">
        <v>10.1</v>
      </c>
      <c r="R349" s="20">
        <v>21.7</v>
      </c>
      <c r="S349" s="20">
        <v>24.1</v>
      </c>
      <c r="T349" s="20">
        <v>34.5</v>
      </c>
      <c r="U349" s="20">
        <v>43.1</v>
      </c>
      <c r="V349" s="177">
        <v>51.7</v>
      </c>
      <c r="W349" s="186"/>
      <c r="X349" s="182"/>
      <c r="Y349" s="182"/>
      <c r="Z349" s="182"/>
    </row>
    <row r="350" spans="1:26">
      <c r="A350" s="3"/>
      <c r="B350" s="3"/>
      <c r="C350" s="3" t="s">
        <v>834</v>
      </c>
      <c r="D350" s="20">
        <f>D317</f>
        <v>0.48</v>
      </c>
      <c r="E350" s="20">
        <f t="shared" ref="E350:V350" si="168">D350</f>
        <v>0.48</v>
      </c>
      <c r="F350" s="20">
        <f t="shared" si="168"/>
        <v>0.48</v>
      </c>
      <c r="G350" s="20">
        <f t="shared" si="168"/>
        <v>0.48</v>
      </c>
      <c r="H350" s="20">
        <f t="shared" si="168"/>
        <v>0.48</v>
      </c>
      <c r="I350" s="20">
        <f t="shared" si="168"/>
        <v>0.48</v>
      </c>
      <c r="J350" s="20">
        <f t="shared" si="168"/>
        <v>0.48</v>
      </c>
      <c r="K350" s="20">
        <f t="shared" si="168"/>
        <v>0.48</v>
      </c>
      <c r="L350" s="20">
        <f t="shared" si="168"/>
        <v>0.48</v>
      </c>
      <c r="M350" s="20">
        <f t="shared" si="168"/>
        <v>0.48</v>
      </c>
      <c r="N350" s="20">
        <f t="shared" si="168"/>
        <v>0.48</v>
      </c>
      <c r="O350" s="20">
        <f t="shared" si="168"/>
        <v>0.48</v>
      </c>
      <c r="P350" s="20">
        <f t="shared" si="168"/>
        <v>0.48</v>
      </c>
      <c r="Q350" s="20">
        <f t="shared" si="168"/>
        <v>0.48</v>
      </c>
      <c r="R350" s="20">
        <f t="shared" si="168"/>
        <v>0.48</v>
      </c>
      <c r="S350" s="20">
        <f t="shared" si="168"/>
        <v>0.48</v>
      </c>
      <c r="T350" s="20">
        <f t="shared" si="168"/>
        <v>0.48</v>
      </c>
      <c r="U350" s="20">
        <f t="shared" si="168"/>
        <v>0.48</v>
      </c>
      <c r="V350" s="177">
        <f t="shared" si="168"/>
        <v>0.48</v>
      </c>
      <c r="W350" s="186"/>
      <c r="X350" s="182"/>
      <c r="Y350" s="182"/>
      <c r="Z350" s="182"/>
    </row>
    <row r="351" spans="1:26">
      <c r="A351" s="3"/>
      <c r="B351" s="3"/>
      <c r="C351" s="3" t="s">
        <v>2410</v>
      </c>
      <c r="D351" s="20">
        <f t="shared" ref="D351:V351" si="169">D349*D350</f>
        <v>3.216</v>
      </c>
      <c r="E351" s="20">
        <f t="shared" si="169"/>
        <v>5.136</v>
      </c>
      <c r="F351" s="20">
        <f t="shared" si="169"/>
        <v>7.2</v>
      </c>
      <c r="G351" s="20">
        <f t="shared" si="169"/>
        <v>8.544</v>
      </c>
      <c r="H351" s="20">
        <f t="shared" si="169"/>
        <v>9.408</v>
      </c>
      <c r="I351" s="20">
        <f t="shared" si="169"/>
        <v>17.088</v>
      </c>
      <c r="J351" s="20">
        <f t="shared" si="169"/>
        <v>0</v>
      </c>
      <c r="K351" s="20">
        <f t="shared" si="169"/>
        <v>6.192</v>
      </c>
      <c r="L351" s="20">
        <f t="shared" si="169"/>
        <v>3.024</v>
      </c>
      <c r="M351" s="20">
        <f t="shared" si="169"/>
        <v>6.336</v>
      </c>
      <c r="N351" s="20">
        <f t="shared" si="169"/>
        <v>4.848</v>
      </c>
      <c r="O351" s="20">
        <f t="shared" si="169"/>
        <v>8.592</v>
      </c>
      <c r="P351" s="20">
        <f t="shared" si="169"/>
        <v>1.92</v>
      </c>
      <c r="Q351" s="20">
        <f t="shared" si="169"/>
        <v>4.848</v>
      </c>
      <c r="R351" s="20">
        <f t="shared" si="169"/>
        <v>10.416</v>
      </c>
      <c r="S351" s="20">
        <f t="shared" si="169"/>
        <v>11.568</v>
      </c>
      <c r="T351" s="20">
        <f t="shared" si="169"/>
        <v>16.56</v>
      </c>
      <c r="U351" s="20">
        <f t="shared" si="169"/>
        <v>20.688</v>
      </c>
      <c r="V351" s="177">
        <f t="shared" si="169"/>
        <v>24.816</v>
      </c>
      <c r="W351" s="186"/>
      <c r="X351" s="182"/>
      <c r="Y351" s="182"/>
      <c r="Z351" s="182"/>
    </row>
    <row r="352" spans="1:26">
      <c r="A352" s="3"/>
      <c r="B352" s="3" t="s">
        <v>2412</v>
      </c>
      <c r="C352" s="3" t="s">
        <v>632</v>
      </c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177"/>
      <c r="W352" s="186"/>
      <c r="X352" s="182"/>
      <c r="Y352" s="182"/>
      <c r="Z352" s="182"/>
    </row>
    <row r="353" spans="1:26">
      <c r="A353" s="3"/>
      <c r="B353" s="3"/>
      <c r="C353" s="3" t="s">
        <v>834</v>
      </c>
      <c r="D353" s="20">
        <f>D320</f>
        <v>0.12</v>
      </c>
      <c r="E353" s="20">
        <f t="shared" ref="E353:V353" si="170">D353</f>
        <v>0.12</v>
      </c>
      <c r="F353" s="20">
        <f t="shared" si="170"/>
        <v>0.12</v>
      </c>
      <c r="G353" s="20">
        <f t="shared" si="170"/>
        <v>0.12</v>
      </c>
      <c r="H353" s="20">
        <f t="shared" si="170"/>
        <v>0.12</v>
      </c>
      <c r="I353" s="20">
        <f t="shared" si="170"/>
        <v>0.12</v>
      </c>
      <c r="J353" s="20">
        <f t="shared" si="170"/>
        <v>0.12</v>
      </c>
      <c r="K353" s="20">
        <f t="shared" si="170"/>
        <v>0.12</v>
      </c>
      <c r="L353" s="20">
        <f t="shared" si="170"/>
        <v>0.12</v>
      </c>
      <c r="M353" s="20">
        <f t="shared" si="170"/>
        <v>0.12</v>
      </c>
      <c r="N353" s="20">
        <f t="shared" si="170"/>
        <v>0.12</v>
      </c>
      <c r="O353" s="20">
        <f t="shared" si="170"/>
        <v>0.12</v>
      </c>
      <c r="P353" s="20">
        <f t="shared" si="170"/>
        <v>0.12</v>
      </c>
      <c r="Q353" s="20">
        <f t="shared" si="170"/>
        <v>0.12</v>
      </c>
      <c r="R353" s="20">
        <f t="shared" si="170"/>
        <v>0.12</v>
      </c>
      <c r="S353" s="20">
        <f t="shared" si="170"/>
        <v>0.12</v>
      </c>
      <c r="T353" s="20">
        <f t="shared" si="170"/>
        <v>0.12</v>
      </c>
      <c r="U353" s="20">
        <f t="shared" si="170"/>
        <v>0.12</v>
      </c>
      <c r="V353" s="177">
        <f t="shared" si="170"/>
        <v>0.12</v>
      </c>
      <c r="W353" s="186"/>
      <c r="X353" s="182"/>
      <c r="Y353" s="182"/>
      <c r="Z353" s="182"/>
    </row>
    <row r="354" spans="1:26">
      <c r="A354" s="3"/>
      <c r="B354" s="3"/>
      <c r="C354" s="3" t="s">
        <v>2410</v>
      </c>
      <c r="D354" s="20">
        <f t="shared" ref="D354:V354" si="171">D352*D353</f>
        <v>0</v>
      </c>
      <c r="E354" s="20">
        <f t="shared" si="171"/>
        <v>0</v>
      </c>
      <c r="F354" s="20">
        <f t="shared" si="171"/>
        <v>0</v>
      </c>
      <c r="G354" s="20">
        <f t="shared" si="171"/>
        <v>0</v>
      </c>
      <c r="H354" s="20">
        <f t="shared" si="171"/>
        <v>0</v>
      </c>
      <c r="I354" s="20">
        <f t="shared" si="171"/>
        <v>0</v>
      </c>
      <c r="J354" s="20">
        <f t="shared" si="171"/>
        <v>0</v>
      </c>
      <c r="K354" s="20">
        <f t="shared" si="171"/>
        <v>0</v>
      </c>
      <c r="L354" s="20">
        <f t="shared" si="171"/>
        <v>0</v>
      </c>
      <c r="M354" s="20">
        <f t="shared" si="171"/>
        <v>0</v>
      </c>
      <c r="N354" s="20">
        <f t="shared" si="171"/>
        <v>0</v>
      </c>
      <c r="O354" s="20">
        <f t="shared" si="171"/>
        <v>0</v>
      </c>
      <c r="P354" s="20">
        <f t="shared" si="171"/>
        <v>0</v>
      </c>
      <c r="Q354" s="20">
        <f t="shared" si="171"/>
        <v>0</v>
      </c>
      <c r="R354" s="20">
        <f t="shared" si="171"/>
        <v>0</v>
      </c>
      <c r="S354" s="20">
        <f t="shared" si="171"/>
        <v>0</v>
      </c>
      <c r="T354" s="20">
        <f t="shared" si="171"/>
        <v>0</v>
      </c>
      <c r="U354" s="20">
        <f t="shared" si="171"/>
        <v>0</v>
      </c>
      <c r="V354" s="177">
        <f t="shared" si="171"/>
        <v>0</v>
      </c>
      <c r="W354" s="186"/>
      <c r="X354" s="182"/>
      <c r="Y354" s="182"/>
      <c r="Z354" s="182"/>
    </row>
    <row r="355" spans="1:26">
      <c r="A355" s="3"/>
      <c r="B355" s="3" t="s">
        <v>2413</v>
      </c>
      <c r="C355" s="3" t="s">
        <v>632</v>
      </c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177"/>
      <c r="W355" s="186"/>
      <c r="X355" s="182"/>
      <c r="Y355" s="182"/>
      <c r="Z355" s="182"/>
    </row>
    <row r="356" spans="1:26">
      <c r="A356" s="3"/>
      <c r="B356" s="3"/>
      <c r="C356" s="3" t="s">
        <v>834</v>
      </c>
      <c r="D356" s="20">
        <f>D323</f>
        <v>3.88349514563107</v>
      </c>
      <c r="E356" s="20">
        <f t="shared" ref="E356:V356" si="172">D356</f>
        <v>3.88349514563107</v>
      </c>
      <c r="F356" s="20">
        <f t="shared" si="172"/>
        <v>3.88349514563107</v>
      </c>
      <c r="G356" s="20">
        <f t="shared" si="172"/>
        <v>3.88349514563107</v>
      </c>
      <c r="H356" s="20">
        <f t="shared" si="172"/>
        <v>3.88349514563107</v>
      </c>
      <c r="I356" s="20">
        <f t="shared" si="172"/>
        <v>3.88349514563107</v>
      </c>
      <c r="J356" s="20">
        <f t="shared" si="172"/>
        <v>3.88349514563107</v>
      </c>
      <c r="K356" s="20">
        <f t="shared" si="172"/>
        <v>3.88349514563107</v>
      </c>
      <c r="L356" s="20">
        <f t="shared" si="172"/>
        <v>3.88349514563107</v>
      </c>
      <c r="M356" s="20">
        <f t="shared" si="172"/>
        <v>3.88349514563107</v>
      </c>
      <c r="N356" s="20">
        <f t="shared" si="172"/>
        <v>3.88349514563107</v>
      </c>
      <c r="O356" s="20">
        <f t="shared" si="172"/>
        <v>3.88349514563107</v>
      </c>
      <c r="P356" s="20">
        <f t="shared" si="172"/>
        <v>3.88349514563107</v>
      </c>
      <c r="Q356" s="20">
        <f t="shared" si="172"/>
        <v>3.88349514563107</v>
      </c>
      <c r="R356" s="20">
        <f t="shared" si="172"/>
        <v>3.88349514563107</v>
      </c>
      <c r="S356" s="20">
        <f t="shared" si="172"/>
        <v>3.88349514563107</v>
      </c>
      <c r="T356" s="20">
        <f t="shared" si="172"/>
        <v>3.88349514563107</v>
      </c>
      <c r="U356" s="20">
        <f t="shared" si="172"/>
        <v>3.88349514563107</v>
      </c>
      <c r="V356" s="177">
        <f t="shared" si="172"/>
        <v>3.88349514563107</v>
      </c>
      <c r="W356" s="186"/>
      <c r="X356" s="182"/>
      <c r="Y356" s="182"/>
      <c r="Z356" s="182"/>
    </row>
    <row r="357" spans="1:26">
      <c r="A357" s="3"/>
      <c r="B357" s="3"/>
      <c r="C357" s="3" t="s">
        <v>2410</v>
      </c>
      <c r="D357" s="20">
        <f t="shared" ref="D357:V357" si="173">D355*D356</f>
        <v>0</v>
      </c>
      <c r="E357" s="20">
        <f t="shared" si="173"/>
        <v>0</v>
      </c>
      <c r="F357" s="20">
        <f t="shared" si="173"/>
        <v>0</v>
      </c>
      <c r="G357" s="20">
        <f t="shared" si="173"/>
        <v>0</v>
      </c>
      <c r="H357" s="20">
        <f t="shared" si="173"/>
        <v>0</v>
      </c>
      <c r="I357" s="20">
        <f t="shared" si="173"/>
        <v>0</v>
      </c>
      <c r="J357" s="20">
        <f t="shared" si="173"/>
        <v>0</v>
      </c>
      <c r="K357" s="20">
        <f t="shared" si="173"/>
        <v>0</v>
      </c>
      <c r="L357" s="20">
        <f t="shared" si="173"/>
        <v>0</v>
      </c>
      <c r="M357" s="20">
        <f t="shared" si="173"/>
        <v>0</v>
      </c>
      <c r="N357" s="20">
        <f t="shared" si="173"/>
        <v>0</v>
      </c>
      <c r="O357" s="20">
        <f t="shared" si="173"/>
        <v>0</v>
      </c>
      <c r="P357" s="20">
        <f t="shared" si="173"/>
        <v>0</v>
      </c>
      <c r="Q357" s="20">
        <f t="shared" si="173"/>
        <v>0</v>
      </c>
      <c r="R357" s="20">
        <f t="shared" si="173"/>
        <v>0</v>
      </c>
      <c r="S357" s="20">
        <f t="shared" si="173"/>
        <v>0</v>
      </c>
      <c r="T357" s="20">
        <f t="shared" si="173"/>
        <v>0</v>
      </c>
      <c r="U357" s="20">
        <f t="shared" si="173"/>
        <v>0</v>
      </c>
      <c r="V357" s="177">
        <f t="shared" si="173"/>
        <v>0</v>
      </c>
      <c r="W357" s="186"/>
      <c r="X357" s="182"/>
      <c r="Y357" s="182"/>
      <c r="Z357" s="182"/>
    </row>
    <row r="358" spans="1:26">
      <c r="A358" s="3"/>
      <c r="B358" s="3" t="s">
        <v>2414</v>
      </c>
      <c r="C358" s="3" t="s">
        <v>550</v>
      </c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177"/>
      <c r="W358" s="186"/>
      <c r="X358" s="182"/>
      <c r="Y358" s="182"/>
      <c r="Z358" s="182"/>
    </row>
    <row r="359" spans="1:26">
      <c r="A359" s="3"/>
      <c r="B359" s="3"/>
      <c r="C359" s="3" t="s">
        <v>834</v>
      </c>
      <c r="D359" s="20">
        <f t="shared" ref="D359:V359" si="174">D326</f>
        <v>0</v>
      </c>
      <c r="E359" s="20">
        <f t="shared" si="174"/>
        <v>0</v>
      </c>
      <c r="F359" s="20">
        <f t="shared" si="174"/>
        <v>0</v>
      </c>
      <c r="G359" s="20">
        <f t="shared" si="174"/>
        <v>0</v>
      </c>
      <c r="H359" s="20">
        <f t="shared" si="174"/>
        <v>0</v>
      </c>
      <c r="I359" s="20">
        <f t="shared" si="174"/>
        <v>0</v>
      </c>
      <c r="J359" s="20">
        <f t="shared" si="174"/>
        <v>0</v>
      </c>
      <c r="K359" s="20">
        <f t="shared" si="174"/>
        <v>0</v>
      </c>
      <c r="L359" s="20">
        <f t="shared" si="174"/>
        <v>0</v>
      </c>
      <c r="M359" s="20">
        <f t="shared" si="174"/>
        <v>0</v>
      </c>
      <c r="N359" s="20">
        <f t="shared" si="174"/>
        <v>0</v>
      </c>
      <c r="O359" s="20">
        <f t="shared" si="174"/>
        <v>0</v>
      </c>
      <c r="P359" s="20">
        <f t="shared" si="174"/>
        <v>0</v>
      </c>
      <c r="Q359" s="20">
        <f t="shared" si="174"/>
        <v>0</v>
      </c>
      <c r="R359" s="20">
        <f t="shared" si="174"/>
        <v>0</v>
      </c>
      <c r="S359" s="20">
        <f t="shared" si="174"/>
        <v>0</v>
      </c>
      <c r="T359" s="20">
        <f t="shared" si="174"/>
        <v>0</v>
      </c>
      <c r="U359" s="20">
        <f t="shared" si="174"/>
        <v>0</v>
      </c>
      <c r="V359" s="177">
        <f t="shared" si="174"/>
        <v>0</v>
      </c>
      <c r="W359" s="186"/>
      <c r="X359" s="182"/>
      <c r="Y359" s="182"/>
      <c r="Z359" s="182"/>
    </row>
    <row r="360" spans="1:26">
      <c r="A360" s="3"/>
      <c r="B360" s="3"/>
      <c r="C360" s="3" t="s">
        <v>2410</v>
      </c>
      <c r="D360" s="20">
        <f t="shared" ref="D360:V360" si="175">D358*D359</f>
        <v>0</v>
      </c>
      <c r="E360" s="20">
        <f t="shared" si="175"/>
        <v>0</v>
      </c>
      <c r="F360" s="20">
        <f t="shared" si="175"/>
        <v>0</v>
      </c>
      <c r="G360" s="20">
        <f t="shared" si="175"/>
        <v>0</v>
      </c>
      <c r="H360" s="20">
        <f t="shared" si="175"/>
        <v>0</v>
      </c>
      <c r="I360" s="20">
        <f t="shared" si="175"/>
        <v>0</v>
      </c>
      <c r="J360" s="20">
        <f t="shared" si="175"/>
        <v>0</v>
      </c>
      <c r="K360" s="20">
        <f t="shared" si="175"/>
        <v>0</v>
      </c>
      <c r="L360" s="20">
        <f t="shared" si="175"/>
        <v>0</v>
      </c>
      <c r="M360" s="20">
        <f t="shared" si="175"/>
        <v>0</v>
      </c>
      <c r="N360" s="20">
        <f t="shared" si="175"/>
        <v>0</v>
      </c>
      <c r="O360" s="20">
        <f t="shared" si="175"/>
        <v>0</v>
      </c>
      <c r="P360" s="20">
        <f t="shared" si="175"/>
        <v>0</v>
      </c>
      <c r="Q360" s="20">
        <f t="shared" si="175"/>
        <v>0</v>
      </c>
      <c r="R360" s="20">
        <f t="shared" si="175"/>
        <v>0</v>
      </c>
      <c r="S360" s="20">
        <f t="shared" si="175"/>
        <v>0</v>
      </c>
      <c r="T360" s="20">
        <f t="shared" si="175"/>
        <v>0</v>
      </c>
      <c r="U360" s="20">
        <f t="shared" si="175"/>
        <v>0</v>
      </c>
      <c r="V360" s="177">
        <f t="shared" si="175"/>
        <v>0</v>
      </c>
      <c r="W360" s="186"/>
      <c r="X360" s="182"/>
      <c r="Y360" s="182"/>
      <c r="Z360" s="182"/>
    </row>
    <row r="361" ht="20.25" spans="1:26">
      <c r="A361" s="156"/>
      <c r="B361" s="156" t="s">
        <v>1321</v>
      </c>
      <c r="C361" s="156" t="s">
        <v>114</v>
      </c>
      <c r="D361" s="157">
        <f t="shared" ref="D361:V361" si="176">D342+D345+D348+D351+D354+D357+D360</f>
        <v>25.8970298234499</v>
      </c>
      <c r="E361" s="157">
        <f t="shared" si="176"/>
        <v>28.6270666028588</v>
      </c>
      <c r="F361" s="157">
        <f t="shared" si="176"/>
        <v>30.6910666028588</v>
      </c>
      <c r="G361" s="157">
        <f t="shared" si="176"/>
        <v>32.0350666028588</v>
      </c>
      <c r="H361" s="157">
        <f t="shared" si="176"/>
        <v>32.8990666028588</v>
      </c>
      <c r="I361" s="157">
        <f t="shared" si="176"/>
        <v>40.5790666028588</v>
      </c>
      <c r="J361" s="157">
        <f t="shared" si="176"/>
        <v>57.7402504999034</v>
      </c>
      <c r="K361" s="157">
        <f t="shared" si="176"/>
        <v>16.722478132316</v>
      </c>
      <c r="L361" s="157">
        <f t="shared" si="176"/>
        <v>13.554478132316</v>
      </c>
      <c r="M361" s="157">
        <f t="shared" si="176"/>
        <v>25.7768827058142</v>
      </c>
      <c r="N361" s="157">
        <f t="shared" si="176"/>
        <v>24.2888827058142</v>
      </c>
      <c r="O361" s="157">
        <f t="shared" si="176"/>
        <v>28.0328827058142</v>
      </c>
      <c r="P361" s="157">
        <f t="shared" si="176"/>
        <v>12.450478132316</v>
      </c>
      <c r="Q361" s="157">
        <f t="shared" si="176"/>
        <v>15.378478132316</v>
      </c>
      <c r="R361" s="157">
        <f t="shared" si="176"/>
        <v>20.946478132316</v>
      </c>
      <c r="S361" s="157">
        <f t="shared" si="176"/>
        <v>51.1073608381302</v>
      </c>
      <c r="T361" s="157">
        <f t="shared" si="176"/>
        <v>60.2853608381302</v>
      </c>
      <c r="U361" s="157">
        <f t="shared" si="176"/>
        <v>68.5993608381302</v>
      </c>
      <c r="V361" s="185">
        <f t="shared" si="176"/>
        <v>75.4183608381302</v>
      </c>
      <c r="W361" s="187"/>
      <c r="X361" s="183"/>
      <c r="Y361" s="183"/>
      <c r="Z361" s="183"/>
    </row>
    <row r="362" ht="20.25" spans="1:26">
      <c r="A362" s="156" t="s">
        <v>463</v>
      </c>
      <c r="B362" s="156"/>
      <c r="C362" s="156" t="s">
        <v>114</v>
      </c>
      <c r="D362" s="157">
        <f t="shared" ref="D362:V362" si="177">D361+D339</f>
        <v>37.0334518417985</v>
      </c>
      <c r="E362" s="157">
        <f t="shared" si="177"/>
        <v>42.1546254381201</v>
      </c>
      <c r="F362" s="157">
        <f t="shared" si="177"/>
        <v>45.9599616965963</v>
      </c>
      <c r="G362" s="157">
        <f t="shared" si="177"/>
        <v>55.9787562717858</v>
      </c>
      <c r="H362" s="157">
        <f t="shared" si="177"/>
        <v>74.9231312219254</v>
      </c>
      <c r="I362" s="157">
        <f t="shared" si="177"/>
        <v>112.125987225116</v>
      </c>
      <c r="J362" s="157">
        <f t="shared" si="177"/>
        <v>317.04490945483</v>
      </c>
      <c r="K362" s="157">
        <f t="shared" si="177"/>
        <v>26.0662595443623</v>
      </c>
      <c r="L362" s="157">
        <f t="shared" si="177"/>
        <v>16.5679603820169</v>
      </c>
      <c r="M362" s="157">
        <f t="shared" si="177"/>
        <v>34.7925947121963</v>
      </c>
      <c r="N362" s="157">
        <f t="shared" si="177"/>
        <v>34.4481487608601</v>
      </c>
      <c r="O362" s="157">
        <f t="shared" si="177"/>
        <v>43.7991850592246</v>
      </c>
      <c r="P362" s="157">
        <f t="shared" si="177"/>
        <v>20.6956436688138</v>
      </c>
      <c r="Q362" s="157">
        <f t="shared" si="177"/>
        <v>30.6958494925075</v>
      </c>
      <c r="R362" s="157">
        <f t="shared" si="177"/>
        <v>39.1919867083033</v>
      </c>
      <c r="S362" s="157">
        <f t="shared" si="177"/>
        <v>138.184504834939</v>
      </c>
      <c r="T362" s="157">
        <f t="shared" si="177"/>
        <v>172.787873801832</v>
      </c>
      <c r="U362" s="157">
        <f t="shared" si="177"/>
        <v>210.392021388589</v>
      </c>
      <c r="V362" s="185">
        <f t="shared" si="177"/>
        <v>243.778951185159</v>
      </c>
      <c r="W362" s="187"/>
      <c r="X362" s="183"/>
      <c r="Y362" s="183"/>
      <c r="Z362" s="183"/>
    </row>
    <row r="363" ht="20.25" spans="1:26">
      <c r="A363" s="156" t="s">
        <v>458</v>
      </c>
      <c r="B363" s="156"/>
      <c r="C363" s="156"/>
      <c r="D363" s="156">
        <v>5001</v>
      </c>
      <c r="E363" s="156">
        <v>5002</v>
      </c>
      <c r="F363" s="156">
        <v>5003</v>
      </c>
      <c r="G363" s="156">
        <v>5004</v>
      </c>
      <c r="H363" s="156">
        <v>5005</v>
      </c>
      <c r="I363" s="156">
        <v>5006</v>
      </c>
      <c r="J363" s="156">
        <v>5007</v>
      </c>
      <c r="K363" s="156">
        <v>5008</v>
      </c>
      <c r="L363" s="156">
        <v>5009</v>
      </c>
      <c r="M363" s="156">
        <v>5010</v>
      </c>
      <c r="N363" s="156">
        <v>5011</v>
      </c>
      <c r="O363" s="156">
        <v>5012</v>
      </c>
      <c r="P363" s="156">
        <v>5013</v>
      </c>
      <c r="Q363" s="156">
        <v>5014</v>
      </c>
      <c r="R363" s="156">
        <v>5015</v>
      </c>
      <c r="S363" s="156">
        <v>5016</v>
      </c>
      <c r="T363" s="156">
        <v>5017</v>
      </c>
      <c r="U363" s="156">
        <v>5018</v>
      </c>
      <c r="V363" s="188">
        <v>5019</v>
      </c>
      <c r="W363" s="189"/>
      <c r="X363" s="184"/>
      <c r="Y363" s="184"/>
      <c r="Z363" s="184"/>
    </row>
    <row r="364" s="122" customFormat="1" ht="15" spans="1:25">
      <c r="A364" s="154" t="s">
        <v>2217</v>
      </c>
      <c r="B364" s="154"/>
      <c r="Y364" s="168"/>
    </row>
    <row r="365" spans="1:28">
      <c r="A365" s="3" t="s">
        <v>2388</v>
      </c>
      <c r="B365" s="3"/>
      <c r="C365" s="3" t="s">
        <v>55</v>
      </c>
      <c r="D365" s="3" t="s">
        <v>2218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 t="s">
        <v>2232</v>
      </c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>
      <c r="A366" s="3"/>
      <c r="B366" s="3"/>
      <c r="C366" s="3"/>
      <c r="D366" s="3" t="s">
        <v>2449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>
      <c r="A367" s="3"/>
      <c r="B367" s="3"/>
      <c r="C367" s="3"/>
      <c r="D367" s="3">
        <v>40</v>
      </c>
      <c r="E367" s="3"/>
      <c r="F367" s="3">
        <v>60</v>
      </c>
      <c r="G367" s="3"/>
      <c r="H367" s="3">
        <v>80</v>
      </c>
      <c r="I367" s="3"/>
      <c r="J367" s="3">
        <v>100</v>
      </c>
      <c r="K367" s="3"/>
      <c r="L367" s="3">
        <v>120</v>
      </c>
      <c r="M367" s="3"/>
      <c r="N367" s="3">
        <v>200</v>
      </c>
      <c r="O367" s="3"/>
      <c r="P367" s="3">
        <v>350</v>
      </c>
      <c r="Q367" s="3">
        <v>40</v>
      </c>
      <c r="R367" s="3"/>
      <c r="S367" s="3">
        <v>60</v>
      </c>
      <c r="T367" s="3"/>
      <c r="U367" s="3">
        <v>100</v>
      </c>
      <c r="V367" s="3"/>
      <c r="W367" s="3">
        <v>120</v>
      </c>
      <c r="X367" s="3"/>
      <c r="Y367" s="3">
        <v>150</v>
      </c>
      <c r="Z367" s="3"/>
      <c r="AA367" s="3">
        <v>180</v>
      </c>
      <c r="AB367" s="3"/>
    </row>
    <row r="368" spans="1:28">
      <c r="A368" s="3"/>
      <c r="B368" s="3"/>
      <c r="C368" s="3"/>
      <c r="D368" s="3" t="s">
        <v>2492</v>
      </c>
      <c r="E368" s="3" t="s">
        <v>2493</v>
      </c>
      <c r="F368" s="3" t="s">
        <v>2492</v>
      </c>
      <c r="G368" s="3" t="s">
        <v>2493</v>
      </c>
      <c r="H368" s="3" t="s">
        <v>2492</v>
      </c>
      <c r="I368" s="3" t="s">
        <v>2493</v>
      </c>
      <c r="J368" s="3" t="s">
        <v>2492</v>
      </c>
      <c r="K368" s="3" t="s">
        <v>2493</v>
      </c>
      <c r="L368" s="3" t="s">
        <v>2492</v>
      </c>
      <c r="M368" s="3" t="s">
        <v>2493</v>
      </c>
      <c r="N368" s="3" t="s">
        <v>2492</v>
      </c>
      <c r="O368" s="3" t="s">
        <v>2493</v>
      </c>
      <c r="P368" s="3" t="s">
        <v>2492</v>
      </c>
      <c r="Q368" s="3" t="s">
        <v>2492</v>
      </c>
      <c r="R368" s="3" t="s">
        <v>2493</v>
      </c>
      <c r="S368" s="3" t="s">
        <v>2492</v>
      </c>
      <c r="T368" s="3" t="s">
        <v>2493</v>
      </c>
      <c r="U368" s="3" t="s">
        <v>2492</v>
      </c>
      <c r="V368" s="3" t="s">
        <v>2493</v>
      </c>
      <c r="W368" s="3" t="s">
        <v>2492</v>
      </c>
      <c r="X368" s="3" t="s">
        <v>2493</v>
      </c>
      <c r="Y368" s="3" t="s">
        <v>2492</v>
      </c>
      <c r="Z368" s="3" t="s">
        <v>2493</v>
      </c>
      <c r="AA368" s="3" t="s">
        <v>2492</v>
      </c>
      <c r="AB368" s="3" t="s">
        <v>2493</v>
      </c>
    </row>
    <row r="369" spans="1:28">
      <c r="A369" s="3" t="s">
        <v>2400</v>
      </c>
      <c r="B369" s="3" t="s">
        <v>2401</v>
      </c>
      <c r="C369" s="3" t="s">
        <v>114</v>
      </c>
      <c r="D369" s="20">
        <f>20.9/$AA$6</f>
        <v>18.1739130434783</v>
      </c>
      <c r="E369" s="20">
        <f>20.9/$AA$6</f>
        <v>18.1739130434783</v>
      </c>
      <c r="F369" s="20">
        <f>31.03/$AA$6</f>
        <v>26.9826086956522</v>
      </c>
      <c r="G369" s="20">
        <f>31.03/$AA$6</f>
        <v>26.9826086956522</v>
      </c>
      <c r="H369" s="20">
        <f>41.48/$AA$6</f>
        <v>36.0695652173913</v>
      </c>
      <c r="I369" s="20">
        <f>41.48/$AA$6</f>
        <v>36.0695652173913</v>
      </c>
      <c r="J369" s="20">
        <f>47.38/$AA$6</f>
        <v>41.2</v>
      </c>
      <c r="K369" s="20">
        <f>47.38/$AA$6</f>
        <v>41.2</v>
      </c>
      <c r="L369" s="20">
        <f>57/$AA$6</f>
        <v>49.5652173913044</v>
      </c>
      <c r="M369" s="20">
        <f>57/$AA$6</f>
        <v>49.5652173913044</v>
      </c>
      <c r="N369" s="20">
        <f>143.29/$AA$6</f>
        <v>124.6</v>
      </c>
      <c r="O369" s="20">
        <f>143.29/$AA$6</f>
        <v>124.6</v>
      </c>
      <c r="P369" s="20">
        <f>197.92/$AA$6</f>
        <v>172.104347826087</v>
      </c>
      <c r="Q369" s="20">
        <f>16.78/$AA$6</f>
        <v>14.5913043478261</v>
      </c>
      <c r="R369" s="20">
        <f>16.78/$AA$6</f>
        <v>14.5913043478261</v>
      </c>
      <c r="S369" s="20">
        <f>25.33/$AA$6</f>
        <v>22.0260869565217</v>
      </c>
      <c r="T369" s="20">
        <f>25.33/$AA$6</f>
        <v>22.0260869565217</v>
      </c>
      <c r="U369" s="20">
        <f>35.98/$AA$6</f>
        <v>31.2869565217391</v>
      </c>
      <c r="V369" s="20">
        <f>35.98/$AA$6</f>
        <v>31.2869565217391</v>
      </c>
      <c r="W369" s="20">
        <f>43.18/$AA$6</f>
        <v>37.5478260869565</v>
      </c>
      <c r="X369" s="20">
        <f>43.18/$AA$6</f>
        <v>37.5478260869565</v>
      </c>
      <c r="Y369" s="20">
        <f>54.7/$AA$6</f>
        <v>47.5652173913044</v>
      </c>
      <c r="Z369" s="20">
        <f>54.7/$AA$6</f>
        <v>47.5652173913044</v>
      </c>
      <c r="AA369" s="20">
        <f>82.33/$AA$6</f>
        <v>71.5913043478261</v>
      </c>
      <c r="AB369" s="20">
        <f>82.33/$AA$6</f>
        <v>71.5913043478261</v>
      </c>
    </row>
    <row r="370" spans="1:28">
      <c r="A370" s="3"/>
      <c r="B370" s="3" t="s">
        <v>2403</v>
      </c>
      <c r="C370" s="3" t="s">
        <v>114</v>
      </c>
      <c r="D370" s="20">
        <f>27.18/$AA$7</f>
        <v>24.9357798165138</v>
      </c>
      <c r="E370" s="20">
        <f>51.1/$AA$7</f>
        <v>46.8807339449541</v>
      </c>
      <c r="F370" s="20">
        <f>37.86/$AA$7</f>
        <v>34.7339449541284</v>
      </c>
      <c r="G370" s="20">
        <f>70.98/$AA$7</f>
        <v>65.1192660550459</v>
      </c>
      <c r="H370" s="20">
        <f>48.65/$AA$7</f>
        <v>44.6330275229358</v>
      </c>
      <c r="I370" s="20">
        <f>90.65/$AA$7</f>
        <v>83.1651376146789</v>
      </c>
      <c r="J370" s="20">
        <f>58.95/$AA$7</f>
        <v>54.0825688073394</v>
      </c>
      <c r="K370" s="20">
        <f>110.62/$AA$7</f>
        <v>101.48623853211</v>
      </c>
      <c r="L370" s="20">
        <f>69.17/$AA$7</f>
        <v>63.4587155963303</v>
      </c>
      <c r="M370" s="20">
        <f>129.13/$AA$7</f>
        <v>118.467889908257</v>
      </c>
      <c r="N370" s="20">
        <f>85.98/$AA$7</f>
        <v>78.8807339449541</v>
      </c>
      <c r="O370" s="20">
        <f>171.95/$AA$7</f>
        <v>157.752293577982</v>
      </c>
      <c r="P370" s="177">
        <f>118.75/$AA$7</f>
        <v>108.94495412844</v>
      </c>
      <c r="Q370" s="177">
        <f>26.44/$AA$7</f>
        <v>24.256880733945</v>
      </c>
      <c r="R370" s="177">
        <f>32.56/$AA$7</f>
        <v>29.8715596330275</v>
      </c>
      <c r="S370" s="177">
        <f>45.18/$AA$7</f>
        <v>41.4495412844037</v>
      </c>
      <c r="T370" s="177">
        <f>56.54/$AA$7</f>
        <v>51.8715596330275</v>
      </c>
      <c r="U370" s="177">
        <f>73.32/$AA$7</f>
        <v>67.2660550458716</v>
      </c>
      <c r="V370" s="177">
        <f>92.55/$AA$7</f>
        <v>84.9082568807339</v>
      </c>
      <c r="W370" s="177">
        <f>83.15/$AA$7</f>
        <v>76.2844036697248</v>
      </c>
      <c r="X370" s="177">
        <f>108.19/$AA$7</f>
        <v>99.2568807339449</v>
      </c>
      <c r="Y370" s="177">
        <f>100.72/$AA$7</f>
        <v>92.4036697247706</v>
      </c>
      <c r="Z370" s="177">
        <f>127.85/$AA$7</f>
        <v>117.293577981651</v>
      </c>
      <c r="AA370" s="20">
        <f>114.65/$AA$7</f>
        <v>105.183486238532</v>
      </c>
      <c r="AB370" s="20">
        <f>145.22/$AA$7</f>
        <v>133.229357798165</v>
      </c>
    </row>
    <row r="371" spans="1:28">
      <c r="A371" s="3"/>
      <c r="B371" s="3" t="s">
        <v>2405</v>
      </c>
      <c r="C371" s="3" t="s">
        <v>114</v>
      </c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20"/>
      <c r="AB371" s="20"/>
    </row>
    <row r="372" ht="20.25" spans="1:28">
      <c r="A372" s="156"/>
      <c r="B372" s="156" t="s">
        <v>1321</v>
      </c>
      <c r="C372" s="156" t="s">
        <v>114</v>
      </c>
      <c r="D372" s="157">
        <f t="shared" ref="D372:AB372" si="178">SUM(D369:D371)</f>
        <v>43.109692859992</v>
      </c>
      <c r="E372" s="157">
        <f t="shared" si="178"/>
        <v>65.0546469884324</v>
      </c>
      <c r="F372" s="157">
        <f t="shared" si="178"/>
        <v>61.7165536497806</v>
      </c>
      <c r="G372" s="157">
        <f t="shared" si="178"/>
        <v>92.101874750698</v>
      </c>
      <c r="H372" s="157">
        <f t="shared" si="178"/>
        <v>80.7025927403271</v>
      </c>
      <c r="I372" s="157">
        <f t="shared" si="178"/>
        <v>119.23470283207</v>
      </c>
      <c r="J372" s="157">
        <f t="shared" si="178"/>
        <v>95.2825688073395</v>
      </c>
      <c r="K372" s="157">
        <f t="shared" si="178"/>
        <v>142.68623853211</v>
      </c>
      <c r="L372" s="157">
        <f t="shared" si="178"/>
        <v>113.023932987635</v>
      </c>
      <c r="M372" s="157">
        <f t="shared" si="178"/>
        <v>168.033107299561</v>
      </c>
      <c r="N372" s="157">
        <f t="shared" si="178"/>
        <v>203.480733944954</v>
      </c>
      <c r="O372" s="157">
        <f t="shared" si="178"/>
        <v>282.352293577982</v>
      </c>
      <c r="P372" s="185">
        <f t="shared" si="178"/>
        <v>281.049301954527</v>
      </c>
      <c r="Q372" s="185">
        <f t="shared" si="178"/>
        <v>38.848185081771</v>
      </c>
      <c r="R372" s="185">
        <f t="shared" si="178"/>
        <v>44.4628639808536</v>
      </c>
      <c r="S372" s="185">
        <f t="shared" si="178"/>
        <v>63.4756282409254</v>
      </c>
      <c r="T372" s="185">
        <f t="shared" si="178"/>
        <v>73.8976465895493</v>
      </c>
      <c r="U372" s="185">
        <f t="shared" si="178"/>
        <v>98.5530115676107</v>
      </c>
      <c r="V372" s="185">
        <f t="shared" si="178"/>
        <v>116.195213402473</v>
      </c>
      <c r="W372" s="185">
        <f t="shared" si="178"/>
        <v>113.832229756681</v>
      </c>
      <c r="X372" s="185">
        <f t="shared" si="178"/>
        <v>136.804706820901</v>
      </c>
      <c r="Y372" s="185">
        <f t="shared" si="178"/>
        <v>139.968887116075</v>
      </c>
      <c r="Z372" s="185">
        <f t="shared" si="178"/>
        <v>164.858795372956</v>
      </c>
      <c r="AA372" s="157">
        <f t="shared" si="178"/>
        <v>176.774790586358</v>
      </c>
      <c r="AB372" s="157">
        <f t="shared" si="178"/>
        <v>204.820662145991</v>
      </c>
    </row>
    <row r="373" spans="1:28">
      <c r="A373" s="3" t="s">
        <v>2408</v>
      </c>
      <c r="B373" s="3" t="s">
        <v>600</v>
      </c>
      <c r="C373" s="3" t="s">
        <v>2409</v>
      </c>
      <c r="D373" s="20">
        <v>6.3</v>
      </c>
      <c r="E373" s="20">
        <v>6.3</v>
      </c>
      <c r="F373" s="20">
        <v>6.3</v>
      </c>
      <c r="G373" s="20">
        <v>6.3</v>
      </c>
      <c r="H373" s="20">
        <v>8.6</v>
      </c>
      <c r="I373" s="20">
        <v>8.6</v>
      </c>
      <c r="J373" s="20">
        <v>8.6</v>
      </c>
      <c r="K373" s="20">
        <v>8.6</v>
      </c>
      <c r="L373" s="20">
        <v>8.6</v>
      </c>
      <c r="M373" s="20">
        <v>8.6</v>
      </c>
      <c r="N373" s="20">
        <v>11.2</v>
      </c>
      <c r="O373" s="20">
        <v>11.2</v>
      </c>
      <c r="P373" s="177">
        <v>13.6</v>
      </c>
      <c r="Q373" s="177">
        <v>7.3</v>
      </c>
      <c r="R373" s="177">
        <v>7.3</v>
      </c>
      <c r="S373" s="177">
        <v>8.6</v>
      </c>
      <c r="T373" s="177">
        <v>8.6</v>
      </c>
      <c r="U373" s="177">
        <v>9.7</v>
      </c>
      <c r="V373" s="177">
        <v>9.7</v>
      </c>
      <c r="W373" s="177">
        <v>11</v>
      </c>
      <c r="X373" s="177">
        <v>11</v>
      </c>
      <c r="Y373" s="177">
        <v>14.9</v>
      </c>
      <c r="Z373" s="177">
        <v>14.9</v>
      </c>
      <c r="AA373" s="20">
        <v>15.9</v>
      </c>
      <c r="AB373" s="20">
        <v>15.9</v>
      </c>
    </row>
    <row r="374" spans="1:28">
      <c r="A374" s="3"/>
      <c r="B374" s="3"/>
      <c r="C374" s="3" t="s">
        <v>834</v>
      </c>
      <c r="D374" s="20">
        <f>D341</f>
        <v>8.10036779408924</v>
      </c>
      <c r="E374" s="20">
        <f t="shared" ref="E374:AB374" si="179">D374</f>
        <v>8.10036779408924</v>
      </c>
      <c r="F374" s="20">
        <f t="shared" si="179"/>
        <v>8.10036779408924</v>
      </c>
      <c r="G374" s="20">
        <f t="shared" si="179"/>
        <v>8.10036779408924</v>
      </c>
      <c r="H374" s="20">
        <f t="shared" si="179"/>
        <v>8.10036779408924</v>
      </c>
      <c r="I374" s="20">
        <f t="shared" si="179"/>
        <v>8.10036779408924</v>
      </c>
      <c r="J374" s="20">
        <f t="shared" si="179"/>
        <v>8.10036779408924</v>
      </c>
      <c r="K374" s="20">
        <f t="shared" si="179"/>
        <v>8.10036779408924</v>
      </c>
      <c r="L374" s="20">
        <f t="shared" si="179"/>
        <v>8.10036779408924</v>
      </c>
      <c r="M374" s="20">
        <f t="shared" si="179"/>
        <v>8.10036779408924</v>
      </c>
      <c r="N374" s="20">
        <f t="shared" si="179"/>
        <v>8.10036779408924</v>
      </c>
      <c r="O374" s="20">
        <f t="shared" si="179"/>
        <v>8.10036779408924</v>
      </c>
      <c r="P374" s="177">
        <f t="shared" si="179"/>
        <v>8.10036779408924</v>
      </c>
      <c r="Q374" s="177">
        <f t="shared" si="179"/>
        <v>8.10036779408924</v>
      </c>
      <c r="R374" s="177">
        <f t="shared" si="179"/>
        <v>8.10036779408924</v>
      </c>
      <c r="S374" s="177">
        <f t="shared" si="179"/>
        <v>8.10036779408924</v>
      </c>
      <c r="T374" s="177">
        <f t="shared" si="179"/>
        <v>8.10036779408924</v>
      </c>
      <c r="U374" s="177">
        <f t="shared" si="179"/>
        <v>8.10036779408924</v>
      </c>
      <c r="V374" s="177">
        <f t="shared" si="179"/>
        <v>8.10036779408924</v>
      </c>
      <c r="W374" s="177">
        <f t="shared" si="179"/>
        <v>8.10036779408924</v>
      </c>
      <c r="X374" s="177">
        <f t="shared" si="179"/>
        <v>8.10036779408924</v>
      </c>
      <c r="Y374" s="177">
        <f t="shared" si="179"/>
        <v>8.10036779408924</v>
      </c>
      <c r="Z374" s="177">
        <f t="shared" si="179"/>
        <v>8.10036779408924</v>
      </c>
      <c r="AA374" s="20">
        <f t="shared" si="179"/>
        <v>8.10036779408924</v>
      </c>
      <c r="AB374" s="20">
        <f t="shared" si="179"/>
        <v>8.10036779408924</v>
      </c>
    </row>
    <row r="375" spans="1:28">
      <c r="A375" s="3"/>
      <c r="B375" s="3"/>
      <c r="C375" s="3" t="s">
        <v>2410</v>
      </c>
      <c r="D375" s="20">
        <f t="shared" ref="D375:AB375" si="180">D373*D374</f>
        <v>51.0323171027622</v>
      </c>
      <c r="E375" s="20">
        <f t="shared" si="180"/>
        <v>51.0323171027622</v>
      </c>
      <c r="F375" s="20">
        <f t="shared" si="180"/>
        <v>51.0323171027622</v>
      </c>
      <c r="G375" s="20">
        <f t="shared" si="180"/>
        <v>51.0323171027622</v>
      </c>
      <c r="H375" s="20">
        <f t="shared" si="180"/>
        <v>69.6631630291675</v>
      </c>
      <c r="I375" s="20">
        <f t="shared" si="180"/>
        <v>69.6631630291675</v>
      </c>
      <c r="J375" s="20">
        <f t="shared" si="180"/>
        <v>69.6631630291675</v>
      </c>
      <c r="K375" s="20">
        <f t="shared" si="180"/>
        <v>69.6631630291675</v>
      </c>
      <c r="L375" s="20">
        <f t="shared" si="180"/>
        <v>69.6631630291675</v>
      </c>
      <c r="M375" s="20">
        <f t="shared" si="180"/>
        <v>69.6631630291675</v>
      </c>
      <c r="N375" s="20">
        <f t="shared" si="180"/>
        <v>90.7241192937995</v>
      </c>
      <c r="O375" s="20">
        <f t="shared" si="180"/>
        <v>90.7241192937995</v>
      </c>
      <c r="P375" s="177">
        <f t="shared" si="180"/>
        <v>110.165001999614</v>
      </c>
      <c r="Q375" s="177">
        <f t="shared" si="180"/>
        <v>59.1326848968515</v>
      </c>
      <c r="R375" s="177">
        <f t="shared" si="180"/>
        <v>59.1326848968515</v>
      </c>
      <c r="S375" s="177">
        <f t="shared" si="180"/>
        <v>69.6631630291675</v>
      </c>
      <c r="T375" s="177">
        <f t="shared" si="180"/>
        <v>69.6631630291675</v>
      </c>
      <c r="U375" s="177">
        <f t="shared" si="180"/>
        <v>78.5735676026657</v>
      </c>
      <c r="V375" s="177">
        <f t="shared" si="180"/>
        <v>78.5735676026657</v>
      </c>
      <c r="W375" s="177">
        <f t="shared" si="180"/>
        <v>89.1040457349817</v>
      </c>
      <c r="X375" s="177">
        <f t="shared" si="180"/>
        <v>89.1040457349817</v>
      </c>
      <c r="Y375" s="177">
        <f t="shared" si="180"/>
        <v>120.69548013193</v>
      </c>
      <c r="Z375" s="177">
        <f t="shared" si="180"/>
        <v>120.69548013193</v>
      </c>
      <c r="AA375" s="20">
        <f t="shared" si="180"/>
        <v>128.795847926019</v>
      </c>
      <c r="AB375" s="20">
        <f t="shared" si="180"/>
        <v>128.795847926019</v>
      </c>
    </row>
    <row r="376" spans="1:28">
      <c r="A376" s="3"/>
      <c r="B376" s="3" t="s">
        <v>1825</v>
      </c>
      <c r="C376" s="3" t="s">
        <v>550</v>
      </c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20"/>
      <c r="AB376" s="20"/>
    </row>
    <row r="377" spans="1:28">
      <c r="A377" s="3"/>
      <c r="B377" s="3"/>
      <c r="C377" s="3" t="s">
        <v>834</v>
      </c>
      <c r="D377" s="20">
        <f>D344</f>
        <v>3.075</v>
      </c>
      <c r="E377" s="20">
        <f t="shared" ref="E377:AB377" si="181">D377</f>
        <v>3.075</v>
      </c>
      <c r="F377" s="20">
        <f t="shared" si="181"/>
        <v>3.075</v>
      </c>
      <c r="G377" s="20">
        <f t="shared" si="181"/>
        <v>3.075</v>
      </c>
      <c r="H377" s="20">
        <f t="shared" si="181"/>
        <v>3.075</v>
      </c>
      <c r="I377" s="20">
        <f t="shared" si="181"/>
        <v>3.075</v>
      </c>
      <c r="J377" s="20">
        <f t="shared" si="181"/>
        <v>3.075</v>
      </c>
      <c r="K377" s="20">
        <f t="shared" si="181"/>
        <v>3.075</v>
      </c>
      <c r="L377" s="20">
        <f t="shared" si="181"/>
        <v>3.075</v>
      </c>
      <c r="M377" s="20">
        <f t="shared" si="181"/>
        <v>3.075</v>
      </c>
      <c r="N377" s="20">
        <f t="shared" si="181"/>
        <v>3.075</v>
      </c>
      <c r="O377" s="20">
        <f t="shared" si="181"/>
        <v>3.075</v>
      </c>
      <c r="P377" s="177">
        <f t="shared" si="181"/>
        <v>3.075</v>
      </c>
      <c r="Q377" s="177">
        <f t="shared" si="181"/>
        <v>3.075</v>
      </c>
      <c r="R377" s="177">
        <f t="shared" si="181"/>
        <v>3.075</v>
      </c>
      <c r="S377" s="177">
        <f t="shared" si="181"/>
        <v>3.075</v>
      </c>
      <c r="T377" s="177">
        <f t="shared" si="181"/>
        <v>3.075</v>
      </c>
      <c r="U377" s="177">
        <f t="shared" si="181"/>
        <v>3.075</v>
      </c>
      <c r="V377" s="177">
        <f t="shared" si="181"/>
        <v>3.075</v>
      </c>
      <c r="W377" s="177">
        <f t="shared" si="181"/>
        <v>3.075</v>
      </c>
      <c r="X377" s="177">
        <f t="shared" si="181"/>
        <v>3.075</v>
      </c>
      <c r="Y377" s="177">
        <f t="shared" si="181"/>
        <v>3.075</v>
      </c>
      <c r="Z377" s="177">
        <f t="shared" si="181"/>
        <v>3.075</v>
      </c>
      <c r="AA377" s="20">
        <f t="shared" si="181"/>
        <v>3.075</v>
      </c>
      <c r="AB377" s="20">
        <f t="shared" si="181"/>
        <v>3.075</v>
      </c>
    </row>
    <row r="378" spans="1:28">
      <c r="A378" s="3"/>
      <c r="B378" s="3"/>
      <c r="C378" s="3" t="s">
        <v>2410</v>
      </c>
      <c r="D378" s="20">
        <f t="shared" ref="D378:AB378" si="182">D376*D377</f>
        <v>0</v>
      </c>
      <c r="E378" s="20">
        <f t="shared" si="182"/>
        <v>0</v>
      </c>
      <c r="F378" s="20">
        <f t="shared" si="182"/>
        <v>0</v>
      </c>
      <c r="G378" s="20">
        <f t="shared" si="182"/>
        <v>0</v>
      </c>
      <c r="H378" s="20">
        <f t="shared" si="182"/>
        <v>0</v>
      </c>
      <c r="I378" s="20">
        <f t="shared" si="182"/>
        <v>0</v>
      </c>
      <c r="J378" s="20">
        <f t="shared" si="182"/>
        <v>0</v>
      </c>
      <c r="K378" s="20">
        <f t="shared" si="182"/>
        <v>0</v>
      </c>
      <c r="L378" s="20">
        <f t="shared" si="182"/>
        <v>0</v>
      </c>
      <c r="M378" s="20">
        <f t="shared" si="182"/>
        <v>0</v>
      </c>
      <c r="N378" s="20">
        <f t="shared" si="182"/>
        <v>0</v>
      </c>
      <c r="O378" s="20">
        <f t="shared" si="182"/>
        <v>0</v>
      </c>
      <c r="P378" s="177">
        <f t="shared" si="182"/>
        <v>0</v>
      </c>
      <c r="Q378" s="177">
        <f t="shared" si="182"/>
        <v>0</v>
      </c>
      <c r="R378" s="177">
        <f t="shared" si="182"/>
        <v>0</v>
      </c>
      <c r="S378" s="177">
        <f t="shared" si="182"/>
        <v>0</v>
      </c>
      <c r="T378" s="177">
        <f t="shared" si="182"/>
        <v>0</v>
      </c>
      <c r="U378" s="177">
        <f t="shared" si="182"/>
        <v>0</v>
      </c>
      <c r="V378" s="177">
        <f t="shared" si="182"/>
        <v>0</v>
      </c>
      <c r="W378" s="177">
        <f t="shared" si="182"/>
        <v>0</v>
      </c>
      <c r="X378" s="177">
        <f t="shared" si="182"/>
        <v>0</v>
      </c>
      <c r="Y378" s="177">
        <f t="shared" si="182"/>
        <v>0</v>
      </c>
      <c r="Z378" s="177">
        <f t="shared" si="182"/>
        <v>0</v>
      </c>
      <c r="AA378" s="20">
        <f t="shared" si="182"/>
        <v>0</v>
      </c>
      <c r="AB378" s="20">
        <f t="shared" si="182"/>
        <v>0</v>
      </c>
    </row>
    <row r="379" spans="1:28">
      <c r="A379" s="3"/>
      <c r="B379" s="3" t="s">
        <v>1822</v>
      </c>
      <c r="C379" s="3" t="s">
        <v>550</v>
      </c>
      <c r="D379" s="20">
        <v>34</v>
      </c>
      <c r="E379" s="20">
        <v>34</v>
      </c>
      <c r="F379" s="20">
        <v>41.4</v>
      </c>
      <c r="G379" s="20">
        <v>41.4</v>
      </c>
      <c r="H379" s="20">
        <v>50.8</v>
      </c>
      <c r="I379" s="20">
        <v>50.8</v>
      </c>
      <c r="J379" s="20">
        <v>56.5</v>
      </c>
      <c r="K379" s="20">
        <v>56.5</v>
      </c>
      <c r="L379" s="20">
        <v>82</v>
      </c>
      <c r="M379" s="20">
        <v>82</v>
      </c>
      <c r="N379" s="20">
        <v>130</v>
      </c>
      <c r="O379" s="20">
        <v>130</v>
      </c>
      <c r="P379" s="177">
        <v>200</v>
      </c>
      <c r="Q379" s="177">
        <v>18.4</v>
      </c>
      <c r="R379" s="177">
        <v>18.4</v>
      </c>
      <c r="S379" s="177">
        <v>22.3</v>
      </c>
      <c r="T379" s="177">
        <v>22.3</v>
      </c>
      <c r="U379" s="177">
        <v>31.5</v>
      </c>
      <c r="V379" s="177">
        <v>31.5</v>
      </c>
      <c r="W379" s="177">
        <v>37.4</v>
      </c>
      <c r="X379" s="177">
        <v>37.4</v>
      </c>
      <c r="Y379" s="177">
        <v>42.8</v>
      </c>
      <c r="Z379" s="177">
        <v>42.8</v>
      </c>
      <c r="AA379" s="20">
        <v>55.4</v>
      </c>
      <c r="AB379" s="20">
        <v>55.4</v>
      </c>
    </row>
    <row r="380" spans="1:28">
      <c r="A380" s="3"/>
      <c r="B380" s="3"/>
      <c r="C380" s="3" t="s">
        <v>834</v>
      </c>
      <c r="D380" s="20">
        <f>D347</f>
        <v>2.99</v>
      </c>
      <c r="E380" s="20">
        <f t="shared" ref="E380:AB380" si="183">D380</f>
        <v>2.99</v>
      </c>
      <c r="F380" s="20">
        <f t="shared" si="183"/>
        <v>2.99</v>
      </c>
      <c r="G380" s="20">
        <f t="shared" si="183"/>
        <v>2.99</v>
      </c>
      <c r="H380" s="20">
        <f t="shared" si="183"/>
        <v>2.99</v>
      </c>
      <c r="I380" s="20">
        <f t="shared" si="183"/>
        <v>2.99</v>
      </c>
      <c r="J380" s="20">
        <f t="shared" si="183"/>
        <v>2.99</v>
      </c>
      <c r="K380" s="20">
        <f t="shared" si="183"/>
        <v>2.99</v>
      </c>
      <c r="L380" s="20">
        <f t="shared" si="183"/>
        <v>2.99</v>
      </c>
      <c r="M380" s="20">
        <f t="shared" si="183"/>
        <v>2.99</v>
      </c>
      <c r="N380" s="20">
        <f t="shared" si="183"/>
        <v>2.99</v>
      </c>
      <c r="O380" s="20">
        <f t="shared" si="183"/>
        <v>2.99</v>
      </c>
      <c r="P380" s="177">
        <f t="shared" si="183"/>
        <v>2.99</v>
      </c>
      <c r="Q380" s="177">
        <f t="shared" si="183"/>
        <v>2.99</v>
      </c>
      <c r="R380" s="177">
        <f t="shared" si="183"/>
        <v>2.99</v>
      </c>
      <c r="S380" s="177">
        <f t="shared" si="183"/>
        <v>2.99</v>
      </c>
      <c r="T380" s="177">
        <f t="shared" si="183"/>
        <v>2.99</v>
      </c>
      <c r="U380" s="177">
        <f t="shared" si="183"/>
        <v>2.99</v>
      </c>
      <c r="V380" s="177">
        <f t="shared" si="183"/>
        <v>2.99</v>
      </c>
      <c r="W380" s="177">
        <f t="shared" si="183"/>
        <v>2.99</v>
      </c>
      <c r="X380" s="177">
        <f t="shared" si="183"/>
        <v>2.99</v>
      </c>
      <c r="Y380" s="177">
        <f t="shared" si="183"/>
        <v>2.99</v>
      </c>
      <c r="Z380" s="177">
        <f t="shared" si="183"/>
        <v>2.99</v>
      </c>
      <c r="AA380" s="20">
        <f t="shared" si="183"/>
        <v>2.99</v>
      </c>
      <c r="AB380" s="20">
        <f t="shared" si="183"/>
        <v>2.99</v>
      </c>
    </row>
    <row r="381" spans="1:28">
      <c r="A381" s="3"/>
      <c r="B381" s="3"/>
      <c r="C381" s="3" t="s">
        <v>2410</v>
      </c>
      <c r="D381" s="20">
        <f t="shared" ref="D381:AB381" si="184">D379*D380</f>
        <v>101.66</v>
      </c>
      <c r="E381" s="20">
        <f t="shared" si="184"/>
        <v>101.66</v>
      </c>
      <c r="F381" s="20">
        <f t="shared" si="184"/>
        <v>123.786</v>
      </c>
      <c r="G381" s="20">
        <f t="shared" si="184"/>
        <v>123.786</v>
      </c>
      <c r="H381" s="20">
        <f t="shared" si="184"/>
        <v>151.892</v>
      </c>
      <c r="I381" s="20">
        <f t="shared" si="184"/>
        <v>151.892</v>
      </c>
      <c r="J381" s="20">
        <f t="shared" si="184"/>
        <v>168.935</v>
      </c>
      <c r="K381" s="20">
        <f t="shared" si="184"/>
        <v>168.935</v>
      </c>
      <c r="L381" s="20">
        <f t="shared" si="184"/>
        <v>245.18</v>
      </c>
      <c r="M381" s="20">
        <f t="shared" si="184"/>
        <v>245.18</v>
      </c>
      <c r="N381" s="20">
        <f t="shared" si="184"/>
        <v>388.7</v>
      </c>
      <c r="O381" s="20">
        <f t="shared" si="184"/>
        <v>388.7</v>
      </c>
      <c r="P381" s="177">
        <f t="shared" si="184"/>
        <v>598</v>
      </c>
      <c r="Q381" s="177">
        <f t="shared" si="184"/>
        <v>55.016</v>
      </c>
      <c r="R381" s="177">
        <f t="shared" si="184"/>
        <v>55.016</v>
      </c>
      <c r="S381" s="177">
        <f t="shared" si="184"/>
        <v>66.677</v>
      </c>
      <c r="T381" s="177">
        <f t="shared" si="184"/>
        <v>66.677</v>
      </c>
      <c r="U381" s="177">
        <f t="shared" si="184"/>
        <v>94.185</v>
      </c>
      <c r="V381" s="177">
        <f t="shared" si="184"/>
        <v>94.185</v>
      </c>
      <c r="W381" s="177">
        <f t="shared" si="184"/>
        <v>111.826</v>
      </c>
      <c r="X381" s="177">
        <f t="shared" si="184"/>
        <v>111.826</v>
      </c>
      <c r="Y381" s="177">
        <f t="shared" si="184"/>
        <v>127.972</v>
      </c>
      <c r="Z381" s="177">
        <f t="shared" si="184"/>
        <v>127.972</v>
      </c>
      <c r="AA381" s="20">
        <f t="shared" si="184"/>
        <v>165.646</v>
      </c>
      <c r="AB381" s="20">
        <f t="shared" si="184"/>
        <v>165.646</v>
      </c>
    </row>
    <row r="382" spans="1:28">
      <c r="A382" s="3"/>
      <c r="B382" s="3" t="s">
        <v>2411</v>
      </c>
      <c r="C382" s="3" t="s">
        <v>1834</v>
      </c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20"/>
      <c r="AB382" s="20"/>
    </row>
    <row r="383" spans="1:28">
      <c r="A383" s="3"/>
      <c r="B383" s="3"/>
      <c r="C383" s="3" t="s">
        <v>834</v>
      </c>
      <c r="D383" s="20">
        <f>D350</f>
        <v>0.48</v>
      </c>
      <c r="E383" s="20">
        <f t="shared" ref="E383:AB383" si="185">D383</f>
        <v>0.48</v>
      </c>
      <c r="F383" s="20">
        <f t="shared" si="185"/>
        <v>0.48</v>
      </c>
      <c r="G383" s="20">
        <f t="shared" si="185"/>
        <v>0.48</v>
      </c>
      <c r="H383" s="20">
        <f t="shared" si="185"/>
        <v>0.48</v>
      </c>
      <c r="I383" s="20">
        <f t="shared" si="185"/>
        <v>0.48</v>
      </c>
      <c r="J383" s="20">
        <f t="shared" si="185"/>
        <v>0.48</v>
      </c>
      <c r="K383" s="20">
        <f t="shared" si="185"/>
        <v>0.48</v>
      </c>
      <c r="L383" s="20">
        <f t="shared" si="185"/>
        <v>0.48</v>
      </c>
      <c r="M383" s="20">
        <f t="shared" si="185"/>
        <v>0.48</v>
      </c>
      <c r="N383" s="20">
        <f t="shared" si="185"/>
        <v>0.48</v>
      </c>
      <c r="O383" s="20">
        <f t="shared" si="185"/>
        <v>0.48</v>
      </c>
      <c r="P383" s="177">
        <f t="shared" si="185"/>
        <v>0.48</v>
      </c>
      <c r="Q383" s="177">
        <f t="shared" si="185"/>
        <v>0.48</v>
      </c>
      <c r="R383" s="177">
        <f t="shared" si="185"/>
        <v>0.48</v>
      </c>
      <c r="S383" s="177">
        <f t="shared" si="185"/>
        <v>0.48</v>
      </c>
      <c r="T383" s="177">
        <f t="shared" si="185"/>
        <v>0.48</v>
      </c>
      <c r="U383" s="177">
        <f t="shared" si="185"/>
        <v>0.48</v>
      </c>
      <c r="V383" s="177">
        <f t="shared" si="185"/>
        <v>0.48</v>
      </c>
      <c r="W383" s="177">
        <f t="shared" si="185"/>
        <v>0.48</v>
      </c>
      <c r="X383" s="177">
        <f t="shared" si="185"/>
        <v>0.48</v>
      </c>
      <c r="Y383" s="177">
        <f t="shared" si="185"/>
        <v>0.48</v>
      </c>
      <c r="Z383" s="177">
        <f t="shared" si="185"/>
        <v>0.48</v>
      </c>
      <c r="AA383" s="20">
        <f t="shared" si="185"/>
        <v>0.48</v>
      </c>
      <c r="AB383" s="20">
        <f t="shared" si="185"/>
        <v>0.48</v>
      </c>
    </row>
    <row r="384" spans="1:28">
      <c r="A384" s="3"/>
      <c r="B384" s="3"/>
      <c r="C384" s="3" t="s">
        <v>2410</v>
      </c>
      <c r="D384" s="20">
        <f t="shared" ref="D384:AB384" si="186">D382*D383</f>
        <v>0</v>
      </c>
      <c r="E384" s="20">
        <f t="shared" si="186"/>
        <v>0</v>
      </c>
      <c r="F384" s="20">
        <f t="shared" si="186"/>
        <v>0</v>
      </c>
      <c r="G384" s="20">
        <f t="shared" si="186"/>
        <v>0</v>
      </c>
      <c r="H384" s="20">
        <f t="shared" si="186"/>
        <v>0</v>
      </c>
      <c r="I384" s="20">
        <f t="shared" si="186"/>
        <v>0</v>
      </c>
      <c r="J384" s="20">
        <f t="shared" si="186"/>
        <v>0</v>
      </c>
      <c r="K384" s="20">
        <f t="shared" si="186"/>
        <v>0</v>
      </c>
      <c r="L384" s="20">
        <f t="shared" si="186"/>
        <v>0</v>
      </c>
      <c r="M384" s="20">
        <f t="shared" si="186"/>
        <v>0</v>
      </c>
      <c r="N384" s="20">
        <f t="shared" si="186"/>
        <v>0</v>
      </c>
      <c r="O384" s="20">
        <f t="shared" si="186"/>
        <v>0</v>
      </c>
      <c r="P384" s="177">
        <f t="shared" si="186"/>
        <v>0</v>
      </c>
      <c r="Q384" s="177">
        <f t="shared" si="186"/>
        <v>0</v>
      </c>
      <c r="R384" s="177">
        <f t="shared" si="186"/>
        <v>0</v>
      </c>
      <c r="S384" s="177">
        <f t="shared" si="186"/>
        <v>0</v>
      </c>
      <c r="T384" s="177">
        <f t="shared" si="186"/>
        <v>0</v>
      </c>
      <c r="U384" s="177">
        <f t="shared" si="186"/>
        <v>0</v>
      </c>
      <c r="V384" s="177">
        <f t="shared" si="186"/>
        <v>0</v>
      </c>
      <c r="W384" s="177">
        <f t="shared" si="186"/>
        <v>0</v>
      </c>
      <c r="X384" s="177">
        <f t="shared" si="186"/>
        <v>0</v>
      </c>
      <c r="Y384" s="177">
        <f t="shared" si="186"/>
        <v>0</v>
      </c>
      <c r="Z384" s="177">
        <f t="shared" si="186"/>
        <v>0</v>
      </c>
      <c r="AA384" s="20">
        <f t="shared" si="186"/>
        <v>0</v>
      </c>
      <c r="AB384" s="20">
        <f t="shared" si="186"/>
        <v>0</v>
      </c>
    </row>
    <row r="385" spans="1:28">
      <c r="A385" s="3"/>
      <c r="B385" s="3" t="s">
        <v>2412</v>
      </c>
      <c r="C385" s="3" t="s">
        <v>632</v>
      </c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20"/>
      <c r="AB385" s="20"/>
    </row>
    <row r="386" spans="1:28">
      <c r="A386" s="3"/>
      <c r="B386" s="3"/>
      <c r="C386" s="3" t="s">
        <v>834</v>
      </c>
      <c r="D386" s="20">
        <f>D353</f>
        <v>0.12</v>
      </c>
      <c r="E386" s="20">
        <f t="shared" ref="E386:AB386" si="187">D386</f>
        <v>0.12</v>
      </c>
      <c r="F386" s="20">
        <f t="shared" si="187"/>
        <v>0.12</v>
      </c>
      <c r="G386" s="20">
        <f t="shared" si="187"/>
        <v>0.12</v>
      </c>
      <c r="H386" s="20">
        <f t="shared" si="187"/>
        <v>0.12</v>
      </c>
      <c r="I386" s="20">
        <f t="shared" si="187"/>
        <v>0.12</v>
      </c>
      <c r="J386" s="20">
        <f t="shared" si="187"/>
        <v>0.12</v>
      </c>
      <c r="K386" s="20">
        <f t="shared" si="187"/>
        <v>0.12</v>
      </c>
      <c r="L386" s="20">
        <f t="shared" si="187"/>
        <v>0.12</v>
      </c>
      <c r="M386" s="20">
        <f t="shared" si="187"/>
        <v>0.12</v>
      </c>
      <c r="N386" s="20">
        <f t="shared" si="187"/>
        <v>0.12</v>
      </c>
      <c r="O386" s="20">
        <f t="shared" si="187"/>
        <v>0.12</v>
      </c>
      <c r="P386" s="177">
        <f t="shared" si="187"/>
        <v>0.12</v>
      </c>
      <c r="Q386" s="177">
        <f t="shared" si="187"/>
        <v>0.12</v>
      </c>
      <c r="R386" s="177">
        <f t="shared" si="187"/>
        <v>0.12</v>
      </c>
      <c r="S386" s="177">
        <f t="shared" si="187"/>
        <v>0.12</v>
      </c>
      <c r="T386" s="177">
        <f t="shared" si="187"/>
        <v>0.12</v>
      </c>
      <c r="U386" s="177">
        <f t="shared" si="187"/>
        <v>0.12</v>
      </c>
      <c r="V386" s="177">
        <f t="shared" si="187"/>
        <v>0.12</v>
      </c>
      <c r="W386" s="177">
        <f t="shared" si="187"/>
        <v>0.12</v>
      </c>
      <c r="X386" s="177">
        <f t="shared" si="187"/>
        <v>0.12</v>
      </c>
      <c r="Y386" s="177">
        <f t="shared" si="187"/>
        <v>0.12</v>
      </c>
      <c r="Z386" s="177">
        <f t="shared" si="187"/>
        <v>0.12</v>
      </c>
      <c r="AA386" s="20">
        <f t="shared" si="187"/>
        <v>0.12</v>
      </c>
      <c r="AB386" s="20">
        <f t="shared" si="187"/>
        <v>0.12</v>
      </c>
    </row>
    <row r="387" spans="1:28">
      <c r="A387" s="3"/>
      <c r="B387" s="3"/>
      <c r="C387" s="3" t="s">
        <v>2410</v>
      </c>
      <c r="D387" s="20">
        <f t="shared" ref="D387:AB387" si="188">D385*D386</f>
        <v>0</v>
      </c>
      <c r="E387" s="20">
        <f t="shared" si="188"/>
        <v>0</v>
      </c>
      <c r="F387" s="20">
        <f t="shared" si="188"/>
        <v>0</v>
      </c>
      <c r="G387" s="20">
        <f t="shared" si="188"/>
        <v>0</v>
      </c>
      <c r="H387" s="20">
        <f t="shared" si="188"/>
        <v>0</v>
      </c>
      <c r="I387" s="20">
        <f t="shared" si="188"/>
        <v>0</v>
      </c>
      <c r="J387" s="20">
        <f t="shared" si="188"/>
        <v>0</v>
      </c>
      <c r="K387" s="20">
        <f t="shared" si="188"/>
        <v>0</v>
      </c>
      <c r="L387" s="20">
        <f t="shared" si="188"/>
        <v>0</v>
      </c>
      <c r="M387" s="20">
        <f t="shared" si="188"/>
        <v>0</v>
      </c>
      <c r="N387" s="20">
        <f t="shared" si="188"/>
        <v>0</v>
      </c>
      <c r="O387" s="20">
        <f t="shared" si="188"/>
        <v>0</v>
      </c>
      <c r="P387" s="177">
        <f t="shared" si="188"/>
        <v>0</v>
      </c>
      <c r="Q387" s="177">
        <f t="shared" si="188"/>
        <v>0</v>
      </c>
      <c r="R387" s="177">
        <f t="shared" si="188"/>
        <v>0</v>
      </c>
      <c r="S387" s="177">
        <f t="shared" si="188"/>
        <v>0</v>
      </c>
      <c r="T387" s="177">
        <f t="shared" si="188"/>
        <v>0</v>
      </c>
      <c r="U387" s="177">
        <f t="shared" si="188"/>
        <v>0</v>
      </c>
      <c r="V387" s="177">
        <f t="shared" si="188"/>
        <v>0</v>
      </c>
      <c r="W387" s="177">
        <f t="shared" si="188"/>
        <v>0</v>
      </c>
      <c r="X387" s="177">
        <f t="shared" si="188"/>
        <v>0</v>
      </c>
      <c r="Y387" s="177">
        <f t="shared" si="188"/>
        <v>0</v>
      </c>
      <c r="Z387" s="177">
        <f t="shared" si="188"/>
        <v>0</v>
      </c>
      <c r="AA387" s="20">
        <f t="shared" si="188"/>
        <v>0</v>
      </c>
      <c r="AB387" s="20">
        <f t="shared" si="188"/>
        <v>0</v>
      </c>
    </row>
    <row r="388" spans="1:28">
      <c r="A388" s="3"/>
      <c r="B388" s="3" t="s">
        <v>2413</v>
      </c>
      <c r="C388" s="3" t="s">
        <v>632</v>
      </c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20"/>
      <c r="AB388" s="20"/>
    </row>
    <row r="389" spans="1:28">
      <c r="A389" s="3"/>
      <c r="B389" s="3"/>
      <c r="C389" s="3" t="s">
        <v>834</v>
      </c>
      <c r="D389" s="20">
        <f>D356</f>
        <v>3.88349514563107</v>
      </c>
      <c r="E389" s="20">
        <f t="shared" ref="E389:AB389" si="189">D389</f>
        <v>3.88349514563107</v>
      </c>
      <c r="F389" s="20">
        <f t="shared" si="189"/>
        <v>3.88349514563107</v>
      </c>
      <c r="G389" s="20">
        <f t="shared" si="189"/>
        <v>3.88349514563107</v>
      </c>
      <c r="H389" s="20">
        <f t="shared" si="189"/>
        <v>3.88349514563107</v>
      </c>
      <c r="I389" s="20">
        <f t="shared" si="189"/>
        <v>3.88349514563107</v>
      </c>
      <c r="J389" s="20">
        <f t="shared" si="189"/>
        <v>3.88349514563107</v>
      </c>
      <c r="K389" s="20">
        <f t="shared" si="189"/>
        <v>3.88349514563107</v>
      </c>
      <c r="L389" s="20">
        <f t="shared" si="189"/>
        <v>3.88349514563107</v>
      </c>
      <c r="M389" s="20">
        <f t="shared" si="189"/>
        <v>3.88349514563107</v>
      </c>
      <c r="N389" s="20">
        <f t="shared" si="189"/>
        <v>3.88349514563107</v>
      </c>
      <c r="O389" s="20">
        <f t="shared" si="189"/>
        <v>3.88349514563107</v>
      </c>
      <c r="P389" s="177">
        <f t="shared" si="189"/>
        <v>3.88349514563107</v>
      </c>
      <c r="Q389" s="177">
        <f t="shared" si="189"/>
        <v>3.88349514563107</v>
      </c>
      <c r="R389" s="177">
        <f t="shared" si="189"/>
        <v>3.88349514563107</v>
      </c>
      <c r="S389" s="177">
        <f t="shared" si="189"/>
        <v>3.88349514563107</v>
      </c>
      <c r="T389" s="177">
        <f t="shared" si="189"/>
        <v>3.88349514563107</v>
      </c>
      <c r="U389" s="177">
        <f t="shared" si="189"/>
        <v>3.88349514563107</v>
      </c>
      <c r="V389" s="177">
        <f t="shared" si="189"/>
        <v>3.88349514563107</v>
      </c>
      <c r="W389" s="177">
        <f t="shared" si="189"/>
        <v>3.88349514563107</v>
      </c>
      <c r="X389" s="177">
        <f t="shared" si="189"/>
        <v>3.88349514563107</v>
      </c>
      <c r="Y389" s="177">
        <f t="shared" si="189"/>
        <v>3.88349514563107</v>
      </c>
      <c r="Z389" s="177">
        <f t="shared" si="189"/>
        <v>3.88349514563107</v>
      </c>
      <c r="AA389" s="20">
        <f t="shared" si="189"/>
        <v>3.88349514563107</v>
      </c>
      <c r="AB389" s="20">
        <f t="shared" si="189"/>
        <v>3.88349514563107</v>
      </c>
    </row>
    <row r="390" spans="1:28">
      <c r="A390" s="3"/>
      <c r="B390" s="3"/>
      <c r="C390" s="3" t="s">
        <v>2410</v>
      </c>
      <c r="D390" s="20">
        <f t="shared" ref="D390:AB390" si="190">D388*D389</f>
        <v>0</v>
      </c>
      <c r="E390" s="20">
        <f t="shared" si="190"/>
        <v>0</v>
      </c>
      <c r="F390" s="20">
        <f t="shared" si="190"/>
        <v>0</v>
      </c>
      <c r="G390" s="20">
        <f t="shared" si="190"/>
        <v>0</v>
      </c>
      <c r="H390" s="20">
        <f t="shared" si="190"/>
        <v>0</v>
      </c>
      <c r="I390" s="20">
        <f t="shared" si="190"/>
        <v>0</v>
      </c>
      <c r="J390" s="20">
        <f t="shared" si="190"/>
        <v>0</v>
      </c>
      <c r="K390" s="20">
        <f t="shared" si="190"/>
        <v>0</v>
      </c>
      <c r="L390" s="20">
        <f t="shared" si="190"/>
        <v>0</v>
      </c>
      <c r="M390" s="20">
        <f t="shared" si="190"/>
        <v>0</v>
      </c>
      <c r="N390" s="20">
        <f t="shared" si="190"/>
        <v>0</v>
      </c>
      <c r="O390" s="20">
        <f t="shared" si="190"/>
        <v>0</v>
      </c>
      <c r="P390" s="177">
        <f t="shared" si="190"/>
        <v>0</v>
      </c>
      <c r="Q390" s="177">
        <f t="shared" si="190"/>
        <v>0</v>
      </c>
      <c r="R390" s="177">
        <f t="shared" si="190"/>
        <v>0</v>
      </c>
      <c r="S390" s="177">
        <f t="shared" si="190"/>
        <v>0</v>
      </c>
      <c r="T390" s="177">
        <f t="shared" si="190"/>
        <v>0</v>
      </c>
      <c r="U390" s="177">
        <f t="shared" si="190"/>
        <v>0</v>
      </c>
      <c r="V390" s="177">
        <f t="shared" si="190"/>
        <v>0</v>
      </c>
      <c r="W390" s="177">
        <f t="shared" si="190"/>
        <v>0</v>
      </c>
      <c r="X390" s="177">
        <f t="shared" si="190"/>
        <v>0</v>
      </c>
      <c r="Y390" s="177">
        <f t="shared" si="190"/>
        <v>0</v>
      </c>
      <c r="Z390" s="177">
        <f t="shared" si="190"/>
        <v>0</v>
      </c>
      <c r="AA390" s="20">
        <f t="shared" si="190"/>
        <v>0</v>
      </c>
      <c r="AB390" s="20">
        <f t="shared" si="190"/>
        <v>0</v>
      </c>
    </row>
    <row r="391" spans="1:28">
      <c r="A391" s="3"/>
      <c r="B391" s="3" t="s">
        <v>2414</v>
      </c>
      <c r="C391" s="3" t="s">
        <v>550</v>
      </c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20"/>
      <c r="AB391" s="20"/>
    </row>
    <row r="392" spans="1:28">
      <c r="A392" s="3"/>
      <c r="B392" s="3"/>
      <c r="C392" s="3" t="s">
        <v>834</v>
      </c>
      <c r="D392" s="20">
        <f t="shared" ref="D392:AB392" si="191">D359</f>
        <v>0</v>
      </c>
      <c r="E392" s="20">
        <f t="shared" si="191"/>
        <v>0</v>
      </c>
      <c r="F392" s="20">
        <f t="shared" si="191"/>
        <v>0</v>
      </c>
      <c r="G392" s="20">
        <f t="shared" si="191"/>
        <v>0</v>
      </c>
      <c r="H392" s="20">
        <f t="shared" si="191"/>
        <v>0</v>
      </c>
      <c r="I392" s="20">
        <f t="shared" si="191"/>
        <v>0</v>
      </c>
      <c r="J392" s="20">
        <f t="shared" si="191"/>
        <v>0</v>
      </c>
      <c r="K392" s="20">
        <f t="shared" si="191"/>
        <v>0</v>
      </c>
      <c r="L392" s="20">
        <f t="shared" si="191"/>
        <v>0</v>
      </c>
      <c r="M392" s="20">
        <f t="shared" si="191"/>
        <v>0</v>
      </c>
      <c r="N392" s="20">
        <f t="shared" si="191"/>
        <v>0</v>
      </c>
      <c r="O392" s="20">
        <f t="shared" si="191"/>
        <v>0</v>
      </c>
      <c r="P392" s="177">
        <f t="shared" si="191"/>
        <v>0</v>
      </c>
      <c r="Q392" s="177">
        <f t="shared" si="191"/>
        <v>0</v>
      </c>
      <c r="R392" s="177">
        <f t="shared" si="191"/>
        <v>0</v>
      </c>
      <c r="S392" s="177">
        <f t="shared" si="191"/>
        <v>0</v>
      </c>
      <c r="T392" s="177">
        <f t="shared" si="191"/>
        <v>0</v>
      </c>
      <c r="U392" s="177">
        <f t="shared" si="191"/>
        <v>0</v>
      </c>
      <c r="V392" s="177">
        <f t="shared" si="191"/>
        <v>0</v>
      </c>
      <c r="W392" s="177">
        <f t="shared" si="191"/>
        <v>0</v>
      </c>
      <c r="X392" s="177">
        <f t="shared" si="191"/>
        <v>0</v>
      </c>
      <c r="Y392" s="177">
        <f t="shared" si="191"/>
        <v>0</v>
      </c>
      <c r="Z392" s="177">
        <f t="shared" si="191"/>
        <v>0</v>
      </c>
      <c r="AA392" s="20">
        <f t="shared" si="191"/>
        <v>0</v>
      </c>
      <c r="AB392" s="20">
        <f t="shared" si="191"/>
        <v>0</v>
      </c>
    </row>
    <row r="393" spans="1:28">
      <c r="A393" s="3"/>
      <c r="B393" s="3"/>
      <c r="C393" s="3" t="s">
        <v>2410</v>
      </c>
      <c r="D393" s="20">
        <f t="shared" ref="D393:AB393" si="192">D391*D392</f>
        <v>0</v>
      </c>
      <c r="E393" s="20">
        <f t="shared" si="192"/>
        <v>0</v>
      </c>
      <c r="F393" s="20">
        <f t="shared" si="192"/>
        <v>0</v>
      </c>
      <c r="G393" s="20">
        <f t="shared" si="192"/>
        <v>0</v>
      </c>
      <c r="H393" s="20">
        <f t="shared" si="192"/>
        <v>0</v>
      </c>
      <c r="I393" s="20">
        <f t="shared" si="192"/>
        <v>0</v>
      </c>
      <c r="J393" s="20">
        <f t="shared" si="192"/>
        <v>0</v>
      </c>
      <c r="K393" s="20">
        <f t="shared" si="192"/>
        <v>0</v>
      </c>
      <c r="L393" s="20">
        <f t="shared" si="192"/>
        <v>0</v>
      </c>
      <c r="M393" s="20">
        <f t="shared" si="192"/>
        <v>0</v>
      </c>
      <c r="N393" s="20">
        <f t="shared" si="192"/>
        <v>0</v>
      </c>
      <c r="O393" s="20">
        <f t="shared" si="192"/>
        <v>0</v>
      </c>
      <c r="P393" s="177">
        <f t="shared" si="192"/>
        <v>0</v>
      </c>
      <c r="Q393" s="177">
        <f t="shared" si="192"/>
        <v>0</v>
      </c>
      <c r="R393" s="177">
        <f t="shared" si="192"/>
        <v>0</v>
      </c>
      <c r="S393" s="177">
        <f t="shared" si="192"/>
        <v>0</v>
      </c>
      <c r="T393" s="177">
        <f t="shared" si="192"/>
        <v>0</v>
      </c>
      <c r="U393" s="177">
        <f t="shared" si="192"/>
        <v>0</v>
      </c>
      <c r="V393" s="177">
        <f t="shared" si="192"/>
        <v>0</v>
      </c>
      <c r="W393" s="177">
        <f t="shared" si="192"/>
        <v>0</v>
      </c>
      <c r="X393" s="177">
        <f t="shared" si="192"/>
        <v>0</v>
      </c>
      <c r="Y393" s="177">
        <f t="shared" si="192"/>
        <v>0</v>
      </c>
      <c r="Z393" s="177">
        <f t="shared" si="192"/>
        <v>0</v>
      </c>
      <c r="AA393" s="20">
        <f t="shared" si="192"/>
        <v>0</v>
      </c>
      <c r="AB393" s="20">
        <f t="shared" si="192"/>
        <v>0</v>
      </c>
    </row>
    <row r="394" ht="20.25" spans="1:28">
      <c r="A394" s="156"/>
      <c r="B394" s="156" t="s">
        <v>1321</v>
      </c>
      <c r="C394" s="156" t="s">
        <v>114</v>
      </c>
      <c r="D394" s="157">
        <f t="shared" ref="D394:AB394" si="193">D375+D378+D381+D384+D387+D390+D393</f>
        <v>152.692317102762</v>
      </c>
      <c r="E394" s="157">
        <f t="shared" si="193"/>
        <v>152.692317102762</v>
      </c>
      <c r="F394" s="157">
        <f t="shared" si="193"/>
        <v>174.818317102762</v>
      </c>
      <c r="G394" s="157">
        <f t="shared" si="193"/>
        <v>174.818317102762</v>
      </c>
      <c r="H394" s="157">
        <f t="shared" si="193"/>
        <v>221.555163029167</v>
      </c>
      <c r="I394" s="157">
        <f t="shared" si="193"/>
        <v>221.555163029167</v>
      </c>
      <c r="J394" s="157">
        <f t="shared" si="193"/>
        <v>238.598163029167</v>
      </c>
      <c r="K394" s="157">
        <f t="shared" si="193"/>
        <v>238.598163029167</v>
      </c>
      <c r="L394" s="157">
        <f t="shared" si="193"/>
        <v>314.843163029167</v>
      </c>
      <c r="M394" s="157">
        <f t="shared" si="193"/>
        <v>314.843163029167</v>
      </c>
      <c r="N394" s="157">
        <f t="shared" si="193"/>
        <v>479.4241192938</v>
      </c>
      <c r="O394" s="157">
        <f t="shared" si="193"/>
        <v>479.4241192938</v>
      </c>
      <c r="P394" s="185">
        <f t="shared" si="193"/>
        <v>708.165001999614</v>
      </c>
      <c r="Q394" s="185">
        <f t="shared" si="193"/>
        <v>114.148684896851</v>
      </c>
      <c r="R394" s="185">
        <f t="shared" si="193"/>
        <v>114.148684896851</v>
      </c>
      <c r="S394" s="185">
        <f t="shared" si="193"/>
        <v>136.340163029168</v>
      </c>
      <c r="T394" s="185">
        <f t="shared" si="193"/>
        <v>136.340163029168</v>
      </c>
      <c r="U394" s="185">
        <f t="shared" si="193"/>
        <v>172.758567602666</v>
      </c>
      <c r="V394" s="185">
        <f t="shared" si="193"/>
        <v>172.758567602666</v>
      </c>
      <c r="W394" s="185">
        <f t="shared" si="193"/>
        <v>200.930045734982</v>
      </c>
      <c r="X394" s="185">
        <f t="shared" si="193"/>
        <v>200.930045734982</v>
      </c>
      <c r="Y394" s="185">
        <f t="shared" si="193"/>
        <v>248.66748013193</v>
      </c>
      <c r="Z394" s="185">
        <f t="shared" si="193"/>
        <v>248.66748013193</v>
      </c>
      <c r="AA394" s="157">
        <f t="shared" si="193"/>
        <v>294.441847926019</v>
      </c>
      <c r="AB394" s="157">
        <f t="shared" si="193"/>
        <v>294.441847926019</v>
      </c>
    </row>
    <row r="395" ht="20.25" spans="1:28">
      <c r="A395" s="156" t="s">
        <v>463</v>
      </c>
      <c r="B395" s="156"/>
      <c r="C395" s="156" t="s">
        <v>114</v>
      </c>
      <c r="D395" s="157">
        <f t="shared" ref="D395:AB395" si="194">D394+D372</f>
        <v>195.802009962754</v>
      </c>
      <c r="E395" s="157">
        <f t="shared" si="194"/>
        <v>217.746964091195</v>
      </c>
      <c r="F395" s="157">
        <f t="shared" si="194"/>
        <v>236.534870752543</v>
      </c>
      <c r="G395" s="157">
        <f t="shared" si="194"/>
        <v>266.92019185346</v>
      </c>
      <c r="H395" s="157">
        <f t="shared" si="194"/>
        <v>302.257755769495</v>
      </c>
      <c r="I395" s="157">
        <f t="shared" si="194"/>
        <v>340.789865861238</v>
      </c>
      <c r="J395" s="157">
        <f t="shared" si="194"/>
        <v>333.880731836507</v>
      </c>
      <c r="K395" s="157">
        <f t="shared" si="194"/>
        <v>381.284401561278</v>
      </c>
      <c r="L395" s="157">
        <f t="shared" si="194"/>
        <v>427.867096016802</v>
      </c>
      <c r="M395" s="157">
        <f t="shared" si="194"/>
        <v>482.876270328729</v>
      </c>
      <c r="N395" s="157">
        <f t="shared" si="194"/>
        <v>682.904853238754</v>
      </c>
      <c r="O395" s="157">
        <f t="shared" si="194"/>
        <v>761.776412871781</v>
      </c>
      <c r="P395" s="185">
        <f t="shared" si="194"/>
        <v>989.214303954141</v>
      </c>
      <c r="Q395" s="185">
        <f t="shared" si="194"/>
        <v>152.996869978623</v>
      </c>
      <c r="R395" s="185">
        <f t="shared" si="194"/>
        <v>158.611548877705</v>
      </c>
      <c r="S395" s="185">
        <f t="shared" si="194"/>
        <v>199.815791270093</v>
      </c>
      <c r="T395" s="185">
        <f t="shared" si="194"/>
        <v>210.237809618717</v>
      </c>
      <c r="U395" s="185">
        <f t="shared" si="194"/>
        <v>271.311579170276</v>
      </c>
      <c r="V395" s="185">
        <f t="shared" si="194"/>
        <v>288.953781005139</v>
      </c>
      <c r="W395" s="185">
        <f t="shared" si="194"/>
        <v>314.762275491663</v>
      </c>
      <c r="X395" s="185">
        <f t="shared" si="194"/>
        <v>337.734752555883</v>
      </c>
      <c r="Y395" s="185">
        <f t="shared" si="194"/>
        <v>388.636367248005</v>
      </c>
      <c r="Z395" s="185">
        <f t="shared" si="194"/>
        <v>413.526275504885</v>
      </c>
      <c r="AA395" s="157">
        <f t="shared" si="194"/>
        <v>471.216638512377</v>
      </c>
      <c r="AB395" s="157">
        <f t="shared" si="194"/>
        <v>499.26251007201</v>
      </c>
    </row>
    <row r="396" ht="20.25" spans="1:28">
      <c r="A396" s="156" t="s">
        <v>458</v>
      </c>
      <c r="B396" s="156"/>
      <c r="C396" s="156"/>
      <c r="D396" s="156">
        <v>6001</v>
      </c>
      <c r="E396" s="156">
        <v>6002</v>
      </c>
      <c r="F396" s="156">
        <v>6003</v>
      </c>
      <c r="G396" s="156">
        <v>6004</v>
      </c>
      <c r="H396" s="156">
        <v>6005</v>
      </c>
      <c r="I396" s="156">
        <v>6006</v>
      </c>
      <c r="J396" s="156">
        <v>6007</v>
      </c>
      <c r="K396" s="156">
        <v>6008</v>
      </c>
      <c r="L396" s="156">
        <v>6009</v>
      </c>
      <c r="M396" s="156">
        <v>6010</v>
      </c>
      <c r="N396" s="156">
        <v>6011</v>
      </c>
      <c r="O396" s="156">
        <v>6012</v>
      </c>
      <c r="P396" s="156">
        <v>6013</v>
      </c>
      <c r="Q396" s="156">
        <v>6014</v>
      </c>
      <c r="R396" s="156">
        <v>6015</v>
      </c>
      <c r="S396" s="156">
        <v>6016</v>
      </c>
      <c r="T396" s="156">
        <v>6017</v>
      </c>
      <c r="U396" s="156">
        <v>6018</v>
      </c>
      <c r="V396" s="156">
        <v>6019</v>
      </c>
      <c r="W396" s="156">
        <v>6020</v>
      </c>
      <c r="X396" s="156">
        <v>6021</v>
      </c>
      <c r="Y396" s="156">
        <v>6022</v>
      </c>
      <c r="Z396" s="156">
        <v>6023</v>
      </c>
      <c r="AA396" s="156">
        <v>6024</v>
      </c>
      <c r="AB396" s="156">
        <v>6025</v>
      </c>
    </row>
    <row r="397" s="153" customFormat="1" spans="25:25">
      <c r="Y397" s="176"/>
    </row>
    <row r="398" spans="1:28">
      <c r="A398" s="3" t="s">
        <v>2388</v>
      </c>
      <c r="B398" s="3"/>
      <c r="C398" s="3" t="s">
        <v>55</v>
      </c>
      <c r="D398" s="160" t="s">
        <v>2237</v>
      </c>
      <c r="E398" s="161"/>
      <c r="F398" s="161"/>
      <c r="G398" s="161"/>
      <c r="H398" s="162"/>
      <c r="I398" s="160" t="s">
        <v>2239</v>
      </c>
      <c r="J398" s="162"/>
      <c r="K398" s="126" t="s">
        <v>2240</v>
      </c>
      <c r="L398" s="160" t="s">
        <v>2241</v>
      </c>
      <c r="M398" s="161"/>
      <c r="N398" s="161"/>
      <c r="O398" s="162"/>
      <c r="P398" s="137" t="s">
        <v>2246</v>
      </c>
      <c r="Q398" s="166"/>
      <c r="R398" s="166"/>
      <c r="S398" s="166"/>
      <c r="T398" s="166"/>
      <c r="U398" s="167"/>
      <c r="V398" s="137" t="s">
        <v>2494</v>
      </c>
      <c r="W398" s="166"/>
      <c r="X398" s="166"/>
      <c r="Y398" s="166"/>
      <c r="Z398" s="166"/>
      <c r="AA398" s="166"/>
      <c r="AB398" s="140"/>
    </row>
    <row r="399" spans="1:28">
      <c r="A399" s="3"/>
      <c r="B399" s="3"/>
      <c r="C399" s="3"/>
      <c r="D399" s="163"/>
      <c r="E399" s="164"/>
      <c r="F399" s="164"/>
      <c r="G399" s="164"/>
      <c r="H399" s="165"/>
      <c r="I399" s="163"/>
      <c r="J399" s="165"/>
      <c r="K399" s="129"/>
      <c r="L399" s="163"/>
      <c r="M399" s="164"/>
      <c r="N399" s="164"/>
      <c r="O399" s="165"/>
      <c r="P399" s="137" t="s">
        <v>2449</v>
      </c>
      <c r="Q399" s="166"/>
      <c r="R399" s="166"/>
      <c r="S399" s="166"/>
      <c r="T399" s="166"/>
      <c r="U399" s="167"/>
      <c r="V399" s="137" t="s">
        <v>2495</v>
      </c>
      <c r="W399" s="166"/>
      <c r="X399" s="166"/>
      <c r="Y399" s="166"/>
      <c r="Z399" s="166"/>
      <c r="AA399" s="166"/>
      <c r="AB399" s="140"/>
    </row>
    <row r="400" spans="1:28">
      <c r="A400" s="3"/>
      <c r="B400" s="3"/>
      <c r="C400" s="3"/>
      <c r="D400" s="137" t="s">
        <v>2397</v>
      </c>
      <c r="E400" s="166"/>
      <c r="F400" s="166"/>
      <c r="G400" s="166"/>
      <c r="H400" s="166"/>
      <c r="I400" s="166"/>
      <c r="J400" s="166"/>
      <c r="K400" s="167"/>
      <c r="L400" s="3" t="s">
        <v>2496</v>
      </c>
      <c r="M400" s="3" t="s">
        <v>2083</v>
      </c>
      <c r="N400" s="3" t="s">
        <v>2497</v>
      </c>
      <c r="O400" s="3" t="s">
        <v>2498</v>
      </c>
      <c r="P400" s="137">
        <v>60</v>
      </c>
      <c r="Q400" s="167"/>
      <c r="R400" s="137">
        <v>80</v>
      </c>
      <c r="S400" s="167"/>
      <c r="T400" s="137">
        <v>150</v>
      </c>
      <c r="U400" s="167"/>
      <c r="V400" s="137" t="s">
        <v>2499</v>
      </c>
      <c r="W400" s="167"/>
      <c r="X400" s="137" t="s">
        <v>2500</v>
      </c>
      <c r="Y400" s="167"/>
      <c r="Z400" s="137" t="s">
        <v>2501</v>
      </c>
      <c r="AA400" s="167"/>
      <c r="AB400" s="140"/>
    </row>
    <row r="401" spans="1:28">
      <c r="A401" s="3"/>
      <c r="B401" s="3"/>
      <c r="C401" s="3"/>
      <c r="D401" s="3">
        <v>0.5</v>
      </c>
      <c r="E401" s="3">
        <v>0.75</v>
      </c>
      <c r="F401" s="3">
        <v>1</v>
      </c>
      <c r="G401" s="3">
        <v>1.5</v>
      </c>
      <c r="H401" s="3">
        <v>2</v>
      </c>
      <c r="I401" s="3">
        <v>0.75</v>
      </c>
      <c r="J401" s="3">
        <v>4</v>
      </c>
      <c r="K401" s="3">
        <v>4</v>
      </c>
      <c r="L401" s="3" t="s">
        <v>2502</v>
      </c>
      <c r="M401" s="3" t="s">
        <v>2503</v>
      </c>
      <c r="N401" s="3" t="s">
        <v>2502</v>
      </c>
      <c r="O401" s="3" t="s">
        <v>2504</v>
      </c>
      <c r="P401" s="3" t="s">
        <v>2492</v>
      </c>
      <c r="Q401" s="3" t="s">
        <v>2493</v>
      </c>
      <c r="R401" s="3" t="s">
        <v>2492</v>
      </c>
      <c r="S401" s="3" t="s">
        <v>2493</v>
      </c>
      <c r="T401" s="3" t="s">
        <v>2492</v>
      </c>
      <c r="U401" s="3" t="s">
        <v>2493</v>
      </c>
      <c r="V401" s="3" t="s">
        <v>2505</v>
      </c>
      <c r="W401" s="3" t="s">
        <v>2506</v>
      </c>
      <c r="X401" s="3" t="s">
        <v>2505</v>
      </c>
      <c r="Y401" s="3" t="s">
        <v>2506</v>
      </c>
      <c r="Z401" s="3" t="s">
        <v>2505</v>
      </c>
      <c r="AA401" s="137" t="s">
        <v>2506</v>
      </c>
      <c r="AB401" s="140"/>
    </row>
    <row r="402" spans="1:28">
      <c r="A402" s="3" t="s">
        <v>2400</v>
      </c>
      <c r="B402" s="3" t="s">
        <v>2401</v>
      </c>
      <c r="C402" s="3" t="s">
        <v>114</v>
      </c>
      <c r="D402" s="20">
        <f>20.9/$AA$6</f>
        <v>18.1739130434783</v>
      </c>
      <c r="E402" s="20">
        <f>31.67/$AA$6</f>
        <v>27.5391304347826</v>
      </c>
      <c r="F402" s="20">
        <f>38.29/$AA$6</f>
        <v>33.295652173913</v>
      </c>
      <c r="G402" s="20">
        <f>57.58/$AA$6</f>
        <v>50.0695652173913</v>
      </c>
      <c r="H402" s="20">
        <f>76.63/$AA$6</f>
        <v>66.6347826086957</v>
      </c>
      <c r="I402" s="20">
        <f>31.67/$AA$6</f>
        <v>27.5391304347826</v>
      </c>
      <c r="J402" s="20">
        <f>234.47/$AA$6</f>
        <v>203.886956521739</v>
      </c>
      <c r="K402" s="20">
        <f>633.33/$AA$6</f>
        <v>550.721739130435</v>
      </c>
      <c r="L402" s="20">
        <f>0.79/$AA$6</f>
        <v>0.68695652173913</v>
      </c>
      <c r="M402" s="20">
        <f>1.02/$AA$6</f>
        <v>0.886956521739131</v>
      </c>
      <c r="N402" s="20">
        <f>1.05/$AA$6</f>
        <v>0.91304347826087</v>
      </c>
      <c r="O402" s="20">
        <f>0.81/$AA$6</f>
        <v>0.704347826086957</v>
      </c>
      <c r="P402" s="20">
        <f>34.83/$AA$6</f>
        <v>30.2869565217391</v>
      </c>
      <c r="Q402" s="20">
        <f>34.83/$AA$6</f>
        <v>30.2869565217391</v>
      </c>
      <c r="R402" s="20">
        <f>44.33/$AA$6</f>
        <v>38.5478260869565</v>
      </c>
      <c r="S402" s="20">
        <f>44.33/$AA$6</f>
        <v>38.5478260869565</v>
      </c>
      <c r="T402" s="20">
        <f>71.97/$AA$6</f>
        <v>62.5826086956522</v>
      </c>
      <c r="U402" s="20">
        <f>71.79/$AA$6</f>
        <v>62.4260869565218</v>
      </c>
      <c r="V402" s="20">
        <f>0.45/$AA$6</f>
        <v>0.391304347826087</v>
      </c>
      <c r="W402" s="20">
        <f>0.59/$AA$6</f>
        <v>0.51304347826087</v>
      </c>
      <c r="X402" s="20">
        <f>0.54/$AA$6</f>
        <v>0.469565217391304</v>
      </c>
      <c r="Y402" s="20">
        <f>0.7/$AA$6</f>
        <v>0.608695652173913</v>
      </c>
      <c r="Z402" s="20">
        <f>0.72/$AA$6</f>
        <v>0.626086956521739</v>
      </c>
      <c r="AA402" s="177">
        <f>0.93/$AA$6</f>
        <v>0.808695652173913</v>
      </c>
      <c r="AB402" s="186"/>
    </row>
    <row r="403" spans="1:28">
      <c r="A403" s="3"/>
      <c r="B403" s="3" t="s">
        <v>2403</v>
      </c>
      <c r="C403" s="3" t="s">
        <v>114</v>
      </c>
      <c r="D403" s="20">
        <f>47.54/$AA$7</f>
        <v>43.6146788990826</v>
      </c>
      <c r="E403" s="20">
        <f>58.74/$AA$7</f>
        <v>53.8899082568807</v>
      </c>
      <c r="F403" s="20">
        <f>80.27/$AA$7</f>
        <v>73.6422018348624</v>
      </c>
      <c r="G403" s="20">
        <f>92.85/$AA$7</f>
        <v>85.1834862385321</v>
      </c>
      <c r="H403" s="20">
        <f>133.39/$AA$7</f>
        <v>122.376146788991</v>
      </c>
      <c r="I403" s="20">
        <f>60.45/$AA$7</f>
        <v>55.4587155963303</v>
      </c>
      <c r="J403" s="20">
        <f>231.7/$AA$7</f>
        <v>212.56880733945</v>
      </c>
      <c r="K403" s="20">
        <f>609.99/$AA$7</f>
        <v>559.623853211009</v>
      </c>
      <c r="L403" s="20">
        <f>1.98/$AA$7</f>
        <v>1.81651376146789</v>
      </c>
      <c r="M403" s="20">
        <f>2.04/$AA$7</f>
        <v>1.87155963302752</v>
      </c>
      <c r="N403" s="20">
        <f>2.1/$AA$7</f>
        <v>1.92660550458716</v>
      </c>
      <c r="O403" s="20">
        <f>0.16/$AA$7</f>
        <v>0.146788990825688</v>
      </c>
      <c r="P403" s="177">
        <f>31.95/$AA$7</f>
        <v>29.3119266055046</v>
      </c>
      <c r="Q403" s="177">
        <f>61.94/$AA$7</f>
        <v>56.8256880733945</v>
      </c>
      <c r="R403" s="177">
        <f>37.84/$AA$7</f>
        <v>34.7155963302752</v>
      </c>
      <c r="S403" s="177">
        <f>37.84/$AA$7</f>
        <v>34.7155963302752</v>
      </c>
      <c r="T403" s="177">
        <f>49.28/$AA$7</f>
        <v>45.2110091743119</v>
      </c>
      <c r="U403" s="177">
        <f>97.32/$AA$7</f>
        <v>89.2844036697248</v>
      </c>
      <c r="V403" s="177">
        <f>0.15/$AA$7</f>
        <v>0.137614678899083</v>
      </c>
      <c r="W403" s="177">
        <f>0.19/$AA$7</f>
        <v>0.174311926605505</v>
      </c>
      <c r="X403" s="177">
        <f>0.17/$AA$7</f>
        <v>0.155963302752294</v>
      </c>
      <c r="Y403" s="177">
        <f>0.23/$AA$7</f>
        <v>0.211009174311927</v>
      </c>
      <c r="Z403" s="177">
        <f>0.22/$AA$7</f>
        <v>0.201834862385321</v>
      </c>
      <c r="AA403" s="177">
        <f>0.31/$AA$7</f>
        <v>0.284403669724771</v>
      </c>
      <c r="AB403" s="186"/>
    </row>
    <row r="404" spans="1:28">
      <c r="A404" s="3"/>
      <c r="B404" s="3" t="s">
        <v>2405</v>
      </c>
      <c r="C404" s="3" t="s">
        <v>114</v>
      </c>
      <c r="D404" s="20"/>
      <c r="E404" s="20"/>
      <c r="F404" s="20"/>
      <c r="G404" s="20"/>
      <c r="H404" s="20"/>
      <c r="I404" s="20"/>
      <c r="J404" s="20"/>
      <c r="K404" s="20"/>
      <c r="L404" s="20">
        <f>0.4</f>
        <v>0.4</v>
      </c>
      <c r="M404" s="20"/>
      <c r="N404" s="20">
        <f>0.53</f>
        <v>0.53</v>
      </c>
      <c r="O404" s="20"/>
      <c r="P404" s="177"/>
      <c r="Q404" s="177"/>
      <c r="R404" s="177"/>
      <c r="S404" s="177"/>
      <c r="T404" s="177"/>
      <c r="U404" s="177"/>
      <c r="V404" s="177">
        <f>0.05</f>
        <v>0.05</v>
      </c>
      <c r="W404" s="177">
        <f>0.07</f>
        <v>0.07</v>
      </c>
      <c r="X404" s="177">
        <f>0.06</f>
        <v>0.06</v>
      </c>
      <c r="Y404" s="177">
        <f>0.08</f>
        <v>0.08</v>
      </c>
      <c r="Z404" s="177">
        <f>0.08</f>
        <v>0.08</v>
      </c>
      <c r="AA404" s="177">
        <f>0.1</f>
        <v>0.1</v>
      </c>
      <c r="AB404" s="186"/>
    </row>
    <row r="405" ht="20.25" spans="1:28">
      <c r="A405" s="156"/>
      <c r="B405" s="156" t="s">
        <v>1321</v>
      </c>
      <c r="C405" s="156" t="s">
        <v>114</v>
      </c>
      <c r="D405" s="157">
        <f t="shared" ref="D405:AA405" si="195">SUM(D402:D404)</f>
        <v>61.7885919425608</v>
      </c>
      <c r="E405" s="157">
        <f t="shared" si="195"/>
        <v>81.4290386916634</v>
      </c>
      <c r="F405" s="157">
        <f t="shared" si="195"/>
        <v>106.937854008775</v>
      </c>
      <c r="G405" s="157">
        <f t="shared" si="195"/>
        <v>135.253051455923</v>
      </c>
      <c r="H405" s="157">
        <f t="shared" si="195"/>
        <v>189.010929397686</v>
      </c>
      <c r="I405" s="157">
        <f t="shared" si="195"/>
        <v>82.9978460311129</v>
      </c>
      <c r="J405" s="157">
        <f t="shared" si="195"/>
        <v>416.455763861189</v>
      </c>
      <c r="K405" s="157">
        <f t="shared" si="195"/>
        <v>1110.34559234144</v>
      </c>
      <c r="L405" s="157">
        <f t="shared" si="195"/>
        <v>2.90347028320702</v>
      </c>
      <c r="M405" s="157">
        <f t="shared" si="195"/>
        <v>2.75851615476665</v>
      </c>
      <c r="N405" s="157">
        <f t="shared" si="195"/>
        <v>3.36964898284803</v>
      </c>
      <c r="O405" s="157">
        <f t="shared" si="195"/>
        <v>0.851136816912645</v>
      </c>
      <c r="P405" s="185">
        <f t="shared" si="195"/>
        <v>59.5988831272437</v>
      </c>
      <c r="Q405" s="185">
        <f t="shared" si="195"/>
        <v>87.1126445951336</v>
      </c>
      <c r="R405" s="185">
        <f t="shared" si="195"/>
        <v>73.2634224172318</v>
      </c>
      <c r="S405" s="185">
        <f t="shared" si="195"/>
        <v>73.2634224172318</v>
      </c>
      <c r="T405" s="185">
        <f t="shared" si="195"/>
        <v>107.793617869964</v>
      </c>
      <c r="U405" s="185">
        <f t="shared" si="195"/>
        <v>151.710490626246</v>
      </c>
      <c r="V405" s="185">
        <f t="shared" si="195"/>
        <v>0.57891902672517</v>
      </c>
      <c r="W405" s="185">
        <f t="shared" si="195"/>
        <v>0.757355404866374</v>
      </c>
      <c r="X405" s="185">
        <f t="shared" si="195"/>
        <v>0.685528520143598</v>
      </c>
      <c r="Y405" s="185">
        <f t="shared" si="195"/>
        <v>0.89970482648584</v>
      </c>
      <c r="Z405" s="185">
        <f t="shared" si="195"/>
        <v>0.90792181890706</v>
      </c>
      <c r="AA405" s="185">
        <f t="shared" si="195"/>
        <v>1.19309932189868</v>
      </c>
      <c r="AB405" s="187"/>
    </row>
    <row r="406" spans="1:28">
      <c r="A406" s="3" t="s">
        <v>2408</v>
      </c>
      <c r="B406" s="3" t="s">
        <v>600</v>
      </c>
      <c r="C406" s="3" t="s">
        <v>2409</v>
      </c>
      <c r="D406" s="20">
        <v>7.3</v>
      </c>
      <c r="E406" s="20">
        <v>9.7</v>
      </c>
      <c r="F406" s="20">
        <v>12</v>
      </c>
      <c r="G406" s="20">
        <v>13.3</v>
      </c>
      <c r="H406" s="20">
        <v>14.9</v>
      </c>
      <c r="I406" s="20">
        <v>12</v>
      </c>
      <c r="J406" s="20">
        <v>15.9</v>
      </c>
      <c r="K406" s="20">
        <v>12</v>
      </c>
      <c r="L406" s="20">
        <v>0.7</v>
      </c>
      <c r="M406" s="20">
        <v>2</v>
      </c>
      <c r="N406" s="20">
        <v>0.7</v>
      </c>
      <c r="O406" s="20"/>
      <c r="P406" s="177">
        <v>6.3</v>
      </c>
      <c r="Q406" s="177">
        <v>6.3</v>
      </c>
      <c r="R406" s="177">
        <v>7.3</v>
      </c>
      <c r="S406" s="177">
        <v>7.3</v>
      </c>
      <c r="T406" s="177">
        <v>8.6</v>
      </c>
      <c r="U406" s="177">
        <v>8.6</v>
      </c>
      <c r="V406" s="177"/>
      <c r="W406" s="177"/>
      <c r="X406" s="177"/>
      <c r="Y406" s="177"/>
      <c r="Z406" s="177"/>
      <c r="AA406" s="177"/>
      <c r="AB406" s="186"/>
    </row>
    <row r="407" spans="1:28">
      <c r="A407" s="3"/>
      <c r="B407" s="3"/>
      <c r="C407" s="3" t="s">
        <v>834</v>
      </c>
      <c r="D407" s="20">
        <f>D374</f>
        <v>8.10036779408924</v>
      </c>
      <c r="E407" s="20">
        <f t="shared" ref="E407:AA407" si="196">D407</f>
        <v>8.10036779408924</v>
      </c>
      <c r="F407" s="20">
        <f t="shared" si="196"/>
        <v>8.10036779408924</v>
      </c>
      <c r="G407" s="20">
        <f t="shared" si="196"/>
        <v>8.10036779408924</v>
      </c>
      <c r="H407" s="20">
        <f t="shared" si="196"/>
        <v>8.10036779408924</v>
      </c>
      <c r="I407" s="20">
        <f t="shared" si="196"/>
        <v>8.10036779408924</v>
      </c>
      <c r="J407" s="20">
        <f t="shared" si="196"/>
        <v>8.10036779408924</v>
      </c>
      <c r="K407" s="20">
        <f t="shared" si="196"/>
        <v>8.10036779408924</v>
      </c>
      <c r="L407" s="20">
        <f t="shared" si="196"/>
        <v>8.10036779408924</v>
      </c>
      <c r="M407" s="20">
        <f t="shared" si="196"/>
        <v>8.10036779408924</v>
      </c>
      <c r="N407" s="20">
        <f t="shared" si="196"/>
        <v>8.10036779408924</v>
      </c>
      <c r="O407" s="20">
        <f t="shared" si="196"/>
        <v>8.10036779408924</v>
      </c>
      <c r="P407" s="177">
        <f t="shared" si="196"/>
        <v>8.10036779408924</v>
      </c>
      <c r="Q407" s="177">
        <f t="shared" si="196"/>
        <v>8.10036779408924</v>
      </c>
      <c r="R407" s="177">
        <f t="shared" si="196"/>
        <v>8.10036779408924</v>
      </c>
      <c r="S407" s="177">
        <f t="shared" si="196"/>
        <v>8.10036779408924</v>
      </c>
      <c r="T407" s="177">
        <f t="shared" si="196"/>
        <v>8.10036779408924</v>
      </c>
      <c r="U407" s="177">
        <f t="shared" si="196"/>
        <v>8.10036779408924</v>
      </c>
      <c r="V407" s="177">
        <f t="shared" si="196"/>
        <v>8.10036779408924</v>
      </c>
      <c r="W407" s="177">
        <f t="shared" si="196"/>
        <v>8.10036779408924</v>
      </c>
      <c r="X407" s="177">
        <f t="shared" si="196"/>
        <v>8.10036779408924</v>
      </c>
      <c r="Y407" s="177">
        <f t="shared" si="196"/>
        <v>8.10036779408924</v>
      </c>
      <c r="Z407" s="177">
        <f t="shared" si="196"/>
        <v>8.10036779408924</v>
      </c>
      <c r="AA407" s="177">
        <f t="shared" si="196"/>
        <v>8.10036779408924</v>
      </c>
      <c r="AB407" s="186"/>
    </row>
    <row r="408" spans="1:28">
      <c r="A408" s="3"/>
      <c r="B408" s="3"/>
      <c r="C408" s="3" t="s">
        <v>2410</v>
      </c>
      <c r="D408" s="20">
        <f t="shared" ref="D408:AA408" si="197">D406*D407</f>
        <v>59.1326848968515</v>
      </c>
      <c r="E408" s="20">
        <f t="shared" si="197"/>
        <v>78.5735676026657</v>
      </c>
      <c r="F408" s="20">
        <f t="shared" si="197"/>
        <v>97.2044135290709</v>
      </c>
      <c r="G408" s="20">
        <f t="shared" si="197"/>
        <v>107.734891661387</v>
      </c>
      <c r="H408" s="20">
        <f t="shared" si="197"/>
        <v>120.69548013193</v>
      </c>
      <c r="I408" s="20">
        <f t="shared" si="197"/>
        <v>97.2044135290709</v>
      </c>
      <c r="J408" s="20">
        <f t="shared" si="197"/>
        <v>128.795847926019</v>
      </c>
      <c r="K408" s="20">
        <f t="shared" si="197"/>
        <v>97.2044135290709</v>
      </c>
      <c r="L408" s="20">
        <f t="shared" si="197"/>
        <v>5.67025745586247</v>
      </c>
      <c r="M408" s="20">
        <f t="shared" si="197"/>
        <v>16.2007355881785</v>
      </c>
      <c r="N408" s="20">
        <f t="shared" si="197"/>
        <v>5.67025745586247</v>
      </c>
      <c r="O408" s="20">
        <f t="shared" si="197"/>
        <v>0</v>
      </c>
      <c r="P408" s="177">
        <f t="shared" si="197"/>
        <v>51.0323171027622</v>
      </c>
      <c r="Q408" s="177">
        <f t="shared" si="197"/>
        <v>51.0323171027622</v>
      </c>
      <c r="R408" s="177">
        <f t="shared" si="197"/>
        <v>59.1326848968515</v>
      </c>
      <c r="S408" s="177">
        <f t="shared" si="197"/>
        <v>59.1326848968515</v>
      </c>
      <c r="T408" s="177">
        <f t="shared" si="197"/>
        <v>69.6631630291675</v>
      </c>
      <c r="U408" s="177">
        <f t="shared" si="197"/>
        <v>69.6631630291675</v>
      </c>
      <c r="V408" s="177">
        <f t="shared" si="197"/>
        <v>0</v>
      </c>
      <c r="W408" s="177">
        <f t="shared" si="197"/>
        <v>0</v>
      </c>
      <c r="X408" s="177">
        <f t="shared" si="197"/>
        <v>0</v>
      </c>
      <c r="Y408" s="177">
        <f t="shared" si="197"/>
        <v>0</v>
      </c>
      <c r="Z408" s="177">
        <f t="shared" si="197"/>
        <v>0</v>
      </c>
      <c r="AA408" s="177">
        <f t="shared" si="197"/>
        <v>0</v>
      </c>
      <c r="AB408" s="186"/>
    </row>
    <row r="409" spans="1:28">
      <c r="A409" s="3"/>
      <c r="B409" s="3" t="s">
        <v>1825</v>
      </c>
      <c r="C409" s="3" t="s">
        <v>550</v>
      </c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86"/>
    </row>
    <row r="410" spans="1:28">
      <c r="A410" s="3"/>
      <c r="B410" s="3"/>
      <c r="C410" s="3" t="s">
        <v>834</v>
      </c>
      <c r="D410" s="20">
        <f>D377</f>
        <v>3.075</v>
      </c>
      <c r="E410" s="20">
        <f t="shared" ref="E410:AA410" si="198">D410</f>
        <v>3.075</v>
      </c>
      <c r="F410" s="20">
        <f t="shared" si="198"/>
        <v>3.075</v>
      </c>
      <c r="G410" s="20">
        <f t="shared" si="198"/>
        <v>3.075</v>
      </c>
      <c r="H410" s="20">
        <f t="shared" si="198"/>
        <v>3.075</v>
      </c>
      <c r="I410" s="20">
        <f t="shared" si="198"/>
        <v>3.075</v>
      </c>
      <c r="J410" s="20">
        <f t="shared" si="198"/>
        <v>3.075</v>
      </c>
      <c r="K410" s="20">
        <f t="shared" si="198"/>
        <v>3.075</v>
      </c>
      <c r="L410" s="20">
        <f t="shared" si="198"/>
        <v>3.075</v>
      </c>
      <c r="M410" s="20">
        <f t="shared" si="198"/>
        <v>3.075</v>
      </c>
      <c r="N410" s="20">
        <f t="shared" si="198"/>
        <v>3.075</v>
      </c>
      <c r="O410" s="20">
        <f t="shared" si="198"/>
        <v>3.075</v>
      </c>
      <c r="P410" s="177">
        <f t="shared" si="198"/>
        <v>3.075</v>
      </c>
      <c r="Q410" s="177">
        <f t="shared" si="198"/>
        <v>3.075</v>
      </c>
      <c r="R410" s="177">
        <f t="shared" si="198"/>
        <v>3.075</v>
      </c>
      <c r="S410" s="177">
        <f t="shared" si="198"/>
        <v>3.075</v>
      </c>
      <c r="T410" s="177">
        <f t="shared" si="198"/>
        <v>3.075</v>
      </c>
      <c r="U410" s="177">
        <f t="shared" si="198"/>
        <v>3.075</v>
      </c>
      <c r="V410" s="177">
        <f t="shared" si="198"/>
        <v>3.075</v>
      </c>
      <c r="W410" s="177">
        <f t="shared" si="198"/>
        <v>3.075</v>
      </c>
      <c r="X410" s="177">
        <f t="shared" si="198"/>
        <v>3.075</v>
      </c>
      <c r="Y410" s="177">
        <f t="shared" si="198"/>
        <v>3.075</v>
      </c>
      <c r="Z410" s="177">
        <f t="shared" si="198"/>
        <v>3.075</v>
      </c>
      <c r="AA410" s="177">
        <f t="shared" si="198"/>
        <v>3.075</v>
      </c>
      <c r="AB410" s="186"/>
    </row>
    <row r="411" spans="1:28">
      <c r="A411" s="3"/>
      <c r="B411" s="3"/>
      <c r="C411" s="3" t="s">
        <v>2410</v>
      </c>
      <c r="D411" s="20">
        <f t="shared" ref="D411:AA411" si="199">D409*D410</f>
        <v>0</v>
      </c>
      <c r="E411" s="20">
        <f t="shared" si="199"/>
        <v>0</v>
      </c>
      <c r="F411" s="20">
        <f t="shared" si="199"/>
        <v>0</v>
      </c>
      <c r="G411" s="20">
        <f t="shared" si="199"/>
        <v>0</v>
      </c>
      <c r="H411" s="20">
        <f t="shared" si="199"/>
        <v>0</v>
      </c>
      <c r="I411" s="20">
        <f t="shared" si="199"/>
        <v>0</v>
      </c>
      <c r="J411" s="20">
        <f t="shared" si="199"/>
        <v>0</v>
      </c>
      <c r="K411" s="20">
        <f t="shared" si="199"/>
        <v>0</v>
      </c>
      <c r="L411" s="20">
        <f t="shared" si="199"/>
        <v>0</v>
      </c>
      <c r="M411" s="20">
        <f t="shared" si="199"/>
        <v>0</v>
      </c>
      <c r="N411" s="20">
        <f t="shared" si="199"/>
        <v>0</v>
      </c>
      <c r="O411" s="20">
        <f t="shared" si="199"/>
        <v>0</v>
      </c>
      <c r="P411" s="177">
        <f t="shared" si="199"/>
        <v>0</v>
      </c>
      <c r="Q411" s="177">
        <f t="shared" si="199"/>
        <v>0</v>
      </c>
      <c r="R411" s="177">
        <f t="shared" si="199"/>
        <v>0</v>
      </c>
      <c r="S411" s="177">
        <f t="shared" si="199"/>
        <v>0</v>
      </c>
      <c r="T411" s="177">
        <f t="shared" si="199"/>
        <v>0</v>
      </c>
      <c r="U411" s="177">
        <f t="shared" si="199"/>
        <v>0</v>
      </c>
      <c r="V411" s="177">
        <f t="shared" si="199"/>
        <v>0</v>
      </c>
      <c r="W411" s="177">
        <f t="shared" si="199"/>
        <v>0</v>
      </c>
      <c r="X411" s="177">
        <f t="shared" si="199"/>
        <v>0</v>
      </c>
      <c r="Y411" s="177">
        <f t="shared" si="199"/>
        <v>0</v>
      </c>
      <c r="Z411" s="177">
        <f t="shared" si="199"/>
        <v>0</v>
      </c>
      <c r="AA411" s="177">
        <f t="shared" si="199"/>
        <v>0</v>
      </c>
      <c r="AB411" s="186"/>
    </row>
    <row r="412" spans="1:28">
      <c r="A412" s="3"/>
      <c r="B412" s="3" t="s">
        <v>1822</v>
      </c>
      <c r="C412" s="3" t="s">
        <v>550</v>
      </c>
      <c r="D412" s="20">
        <v>20.7</v>
      </c>
      <c r="E412" s="20">
        <v>26.1</v>
      </c>
      <c r="F412" s="20">
        <v>27.7</v>
      </c>
      <c r="G412" s="20">
        <v>38.2</v>
      </c>
      <c r="H412" s="20">
        <v>46.1</v>
      </c>
      <c r="I412" s="20">
        <v>26.1</v>
      </c>
      <c r="J412" s="20">
        <v>162</v>
      </c>
      <c r="K412" s="20">
        <v>97.4</v>
      </c>
      <c r="L412" s="20"/>
      <c r="M412" s="20"/>
      <c r="N412" s="20"/>
      <c r="O412" s="20"/>
      <c r="P412" s="177">
        <v>21.4</v>
      </c>
      <c r="Q412" s="177">
        <v>21.4</v>
      </c>
      <c r="R412" s="177">
        <v>27.7</v>
      </c>
      <c r="S412" s="177">
        <v>27.7</v>
      </c>
      <c r="T412" s="177">
        <v>52.9</v>
      </c>
      <c r="U412" s="177">
        <v>52.9</v>
      </c>
      <c r="V412" s="177"/>
      <c r="W412" s="177"/>
      <c r="X412" s="177"/>
      <c r="Y412" s="177"/>
      <c r="Z412" s="177"/>
      <c r="AA412" s="177"/>
      <c r="AB412" s="186"/>
    </row>
    <row r="413" spans="1:28">
      <c r="A413" s="3"/>
      <c r="B413" s="3"/>
      <c r="C413" s="3" t="s">
        <v>834</v>
      </c>
      <c r="D413" s="20">
        <f>D380</f>
        <v>2.99</v>
      </c>
      <c r="E413" s="20">
        <f t="shared" ref="E413:AA413" si="200">D413</f>
        <v>2.99</v>
      </c>
      <c r="F413" s="20">
        <f t="shared" si="200"/>
        <v>2.99</v>
      </c>
      <c r="G413" s="20">
        <f t="shared" si="200"/>
        <v>2.99</v>
      </c>
      <c r="H413" s="20">
        <f t="shared" si="200"/>
        <v>2.99</v>
      </c>
      <c r="I413" s="20">
        <f t="shared" si="200"/>
        <v>2.99</v>
      </c>
      <c r="J413" s="20">
        <f t="shared" si="200"/>
        <v>2.99</v>
      </c>
      <c r="K413" s="20">
        <f t="shared" si="200"/>
        <v>2.99</v>
      </c>
      <c r="L413" s="20">
        <f t="shared" si="200"/>
        <v>2.99</v>
      </c>
      <c r="M413" s="20">
        <f t="shared" si="200"/>
        <v>2.99</v>
      </c>
      <c r="N413" s="20">
        <f t="shared" si="200"/>
        <v>2.99</v>
      </c>
      <c r="O413" s="20">
        <f t="shared" si="200"/>
        <v>2.99</v>
      </c>
      <c r="P413" s="177">
        <f t="shared" si="200"/>
        <v>2.99</v>
      </c>
      <c r="Q413" s="177">
        <f t="shared" si="200"/>
        <v>2.99</v>
      </c>
      <c r="R413" s="177">
        <f t="shared" si="200"/>
        <v>2.99</v>
      </c>
      <c r="S413" s="177">
        <f t="shared" si="200"/>
        <v>2.99</v>
      </c>
      <c r="T413" s="177">
        <f t="shared" si="200"/>
        <v>2.99</v>
      </c>
      <c r="U413" s="177">
        <f t="shared" si="200"/>
        <v>2.99</v>
      </c>
      <c r="V413" s="177">
        <f t="shared" si="200"/>
        <v>2.99</v>
      </c>
      <c r="W413" s="177">
        <f t="shared" si="200"/>
        <v>2.99</v>
      </c>
      <c r="X413" s="177">
        <f t="shared" si="200"/>
        <v>2.99</v>
      </c>
      <c r="Y413" s="177">
        <f t="shared" si="200"/>
        <v>2.99</v>
      </c>
      <c r="Z413" s="177">
        <f t="shared" si="200"/>
        <v>2.99</v>
      </c>
      <c r="AA413" s="177">
        <f t="shared" si="200"/>
        <v>2.99</v>
      </c>
      <c r="AB413" s="186"/>
    </row>
    <row r="414" spans="1:28">
      <c r="A414" s="3"/>
      <c r="B414" s="3"/>
      <c r="C414" s="3" t="s">
        <v>2410</v>
      </c>
      <c r="D414" s="20">
        <f t="shared" ref="D414:AA414" si="201">D412*D413</f>
        <v>61.893</v>
      </c>
      <c r="E414" s="20">
        <f t="shared" si="201"/>
        <v>78.039</v>
      </c>
      <c r="F414" s="20">
        <f t="shared" si="201"/>
        <v>82.823</v>
      </c>
      <c r="G414" s="20">
        <f t="shared" si="201"/>
        <v>114.218</v>
      </c>
      <c r="H414" s="20">
        <f t="shared" si="201"/>
        <v>137.839</v>
      </c>
      <c r="I414" s="20">
        <f t="shared" si="201"/>
        <v>78.039</v>
      </c>
      <c r="J414" s="20">
        <f t="shared" si="201"/>
        <v>484.38</v>
      </c>
      <c r="K414" s="20">
        <f t="shared" si="201"/>
        <v>291.226</v>
      </c>
      <c r="L414" s="20">
        <f t="shared" si="201"/>
        <v>0</v>
      </c>
      <c r="M414" s="20">
        <f t="shared" si="201"/>
        <v>0</v>
      </c>
      <c r="N414" s="20">
        <f t="shared" si="201"/>
        <v>0</v>
      </c>
      <c r="O414" s="20">
        <f t="shared" si="201"/>
        <v>0</v>
      </c>
      <c r="P414" s="177">
        <f t="shared" si="201"/>
        <v>63.986</v>
      </c>
      <c r="Q414" s="177">
        <f t="shared" si="201"/>
        <v>63.986</v>
      </c>
      <c r="R414" s="177">
        <f t="shared" si="201"/>
        <v>82.823</v>
      </c>
      <c r="S414" s="177">
        <f t="shared" si="201"/>
        <v>82.823</v>
      </c>
      <c r="T414" s="177">
        <f t="shared" si="201"/>
        <v>158.171</v>
      </c>
      <c r="U414" s="177">
        <f t="shared" si="201"/>
        <v>158.171</v>
      </c>
      <c r="V414" s="177">
        <f t="shared" si="201"/>
        <v>0</v>
      </c>
      <c r="W414" s="177">
        <f t="shared" si="201"/>
        <v>0</v>
      </c>
      <c r="X414" s="177">
        <f t="shared" si="201"/>
        <v>0</v>
      </c>
      <c r="Y414" s="177">
        <f t="shared" si="201"/>
        <v>0</v>
      </c>
      <c r="Z414" s="177">
        <f t="shared" si="201"/>
        <v>0</v>
      </c>
      <c r="AA414" s="177">
        <f t="shared" si="201"/>
        <v>0</v>
      </c>
      <c r="AB414" s="186"/>
    </row>
    <row r="415" spans="1:28">
      <c r="A415" s="3"/>
      <c r="B415" s="3" t="s">
        <v>2411</v>
      </c>
      <c r="C415" s="3" t="s">
        <v>1834</v>
      </c>
      <c r="D415" s="20"/>
      <c r="E415" s="20"/>
      <c r="F415" s="20"/>
      <c r="G415" s="20"/>
      <c r="H415" s="20"/>
      <c r="I415" s="20"/>
      <c r="J415" s="20"/>
      <c r="K415" s="20"/>
      <c r="L415" s="20">
        <v>14</v>
      </c>
      <c r="M415" s="20"/>
      <c r="N415" s="20">
        <v>12</v>
      </c>
      <c r="O415" s="20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86"/>
    </row>
    <row r="416" spans="1:28">
      <c r="A416" s="3"/>
      <c r="B416" s="3"/>
      <c r="C416" s="3" t="s">
        <v>834</v>
      </c>
      <c r="D416" s="20">
        <f>D383</f>
        <v>0.48</v>
      </c>
      <c r="E416" s="20">
        <f t="shared" ref="E416:AA416" si="202">D416</f>
        <v>0.48</v>
      </c>
      <c r="F416" s="20">
        <f t="shared" si="202"/>
        <v>0.48</v>
      </c>
      <c r="G416" s="20">
        <f t="shared" si="202"/>
        <v>0.48</v>
      </c>
      <c r="H416" s="20">
        <f t="shared" si="202"/>
        <v>0.48</v>
      </c>
      <c r="I416" s="20">
        <f t="shared" si="202"/>
        <v>0.48</v>
      </c>
      <c r="J416" s="20">
        <f t="shared" si="202"/>
        <v>0.48</v>
      </c>
      <c r="K416" s="20">
        <f t="shared" si="202"/>
        <v>0.48</v>
      </c>
      <c r="L416" s="20">
        <f t="shared" si="202"/>
        <v>0.48</v>
      </c>
      <c r="M416" s="20">
        <f t="shared" si="202"/>
        <v>0.48</v>
      </c>
      <c r="N416" s="20">
        <f t="shared" si="202"/>
        <v>0.48</v>
      </c>
      <c r="O416" s="20">
        <f t="shared" si="202"/>
        <v>0.48</v>
      </c>
      <c r="P416" s="177">
        <f t="shared" si="202"/>
        <v>0.48</v>
      </c>
      <c r="Q416" s="177">
        <f t="shared" si="202"/>
        <v>0.48</v>
      </c>
      <c r="R416" s="177">
        <f t="shared" si="202"/>
        <v>0.48</v>
      </c>
      <c r="S416" s="177">
        <f t="shared" si="202"/>
        <v>0.48</v>
      </c>
      <c r="T416" s="177">
        <f t="shared" si="202"/>
        <v>0.48</v>
      </c>
      <c r="U416" s="177">
        <f t="shared" si="202"/>
        <v>0.48</v>
      </c>
      <c r="V416" s="177">
        <f t="shared" si="202"/>
        <v>0.48</v>
      </c>
      <c r="W416" s="177">
        <f t="shared" si="202"/>
        <v>0.48</v>
      </c>
      <c r="X416" s="177">
        <f t="shared" si="202"/>
        <v>0.48</v>
      </c>
      <c r="Y416" s="177">
        <f t="shared" si="202"/>
        <v>0.48</v>
      </c>
      <c r="Z416" s="177">
        <f t="shared" si="202"/>
        <v>0.48</v>
      </c>
      <c r="AA416" s="177">
        <f t="shared" si="202"/>
        <v>0.48</v>
      </c>
      <c r="AB416" s="186"/>
    </row>
    <row r="417" spans="1:28">
      <c r="A417" s="3"/>
      <c r="B417" s="3"/>
      <c r="C417" s="3" t="s">
        <v>2410</v>
      </c>
      <c r="D417" s="20">
        <f t="shared" ref="D417:AA417" si="203">D415*D416</f>
        <v>0</v>
      </c>
      <c r="E417" s="20">
        <f t="shared" si="203"/>
        <v>0</v>
      </c>
      <c r="F417" s="20">
        <f t="shared" si="203"/>
        <v>0</v>
      </c>
      <c r="G417" s="20">
        <f t="shared" si="203"/>
        <v>0</v>
      </c>
      <c r="H417" s="20">
        <f t="shared" si="203"/>
        <v>0</v>
      </c>
      <c r="I417" s="20">
        <f t="shared" si="203"/>
        <v>0</v>
      </c>
      <c r="J417" s="20">
        <f t="shared" si="203"/>
        <v>0</v>
      </c>
      <c r="K417" s="20">
        <f t="shared" si="203"/>
        <v>0</v>
      </c>
      <c r="L417" s="20">
        <f t="shared" si="203"/>
        <v>6.72</v>
      </c>
      <c r="M417" s="20">
        <f t="shared" si="203"/>
        <v>0</v>
      </c>
      <c r="N417" s="20">
        <f t="shared" si="203"/>
        <v>5.76</v>
      </c>
      <c r="O417" s="20">
        <f t="shared" si="203"/>
        <v>0</v>
      </c>
      <c r="P417" s="177">
        <f t="shared" si="203"/>
        <v>0</v>
      </c>
      <c r="Q417" s="177">
        <f t="shared" si="203"/>
        <v>0</v>
      </c>
      <c r="R417" s="177">
        <f t="shared" si="203"/>
        <v>0</v>
      </c>
      <c r="S417" s="177">
        <f t="shared" si="203"/>
        <v>0</v>
      </c>
      <c r="T417" s="177">
        <f t="shared" si="203"/>
        <v>0</v>
      </c>
      <c r="U417" s="177">
        <f t="shared" si="203"/>
        <v>0</v>
      </c>
      <c r="V417" s="177">
        <f t="shared" si="203"/>
        <v>0</v>
      </c>
      <c r="W417" s="177">
        <f t="shared" si="203"/>
        <v>0</v>
      </c>
      <c r="X417" s="177">
        <f t="shared" si="203"/>
        <v>0</v>
      </c>
      <c r="Y417" s="177">
        <f t="shared" si="203"/>
        <v>0</v>
      </c>
      <c r="Z417" s="177">
        <f t="shared" si="203"/>
        <v>0</v>
      </c>
      <c r="AA417" s="177">
        <f t="shared" si="203"/>
        <v>0</v>
      </c>
      <c r="AB417" s="186"/>
    </row>
    <row r="418" spans="1:28">
      <c r="A418" s="3"/>
      <c r="B418" s="3" t="s">
        <v>2412</v>
      </c>
      <c r="C418" s="3" t="s">
        <v>632</v>
      </c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86"/>
    </row>
    <row r="419" spans="1:28">
      <c r="A419" s="3"/>
      <c r="B419" s="3"/>
      <c r="C419" s="3" t="s">
        <v>834</v>
      </c>
      <c r="D419" s="20">
        <f>D386</f>
        <v>0.12</v>
      </c>
      <c r="E419" s="20">
        <f t="shared" ref="E419:AA419" si="204">D419</f>
        <v>0.12</v>
      </c>
      <c r="F419" s="20">
        <f t="shared" si="204"/>
        <v>0.12</v>
      </c>
      <c r="G419" s="20">
        <f t="shared" si="204"/>
        <v>0.12</v>
      </c>
      <c r="H419" s="20">
        <f t="shared" si="204"/>
        <v>0.12</v>
      </c>
      <c r="I419" s="20">
        <f t="shared" si="204"/>
        <v>0.12</v>
      </c>
      <c r="J419" s="20">
        <f t="shared" si="204"/>
        <v>0.12</v>
      </c>
      <c r="K419" s="20">
        <f t="shared" si="204"/>
        <v>0.12</v>
      </c>
      <c r="L419" s="20">
        <f t="shared" si="204"/>
        <v>0.12</v>
      </c>
      <c r="M419" s="20">
        <f t="shared" si="204"/>
        <v>0.12</v>
      </c>
      <c r="N419" s="20">
        <f t="shared" si="204"/>
        <v>0.12</v>
      </c>
      <c r="O419" s="20">
        <f t="shared" si="204"/>
        <v>0.12</v>
      </c>
      <c r="P419" s="177">
        <f t="shared" si="204"/>
        <v>0.12</v>
      </c>
      <c r="Q419" s="177">
        <f t="shared" si="204"/>
        <v>0.12</v>
      </c>
      <c r="R419" s="177">
        <f t="shared" si="204"/>
        <v>0.12</v>
      </c>
      <c r="S419" s="177">
        <f t="shared" si="204"/>
        <v>0.12</v>
      </c>
      <c r="T419" s="177">
        <f t="shared" si="204"/>
        <v>0.12</v>
      </c>
      <c r="U419" s="177">
        <f t="shared" si="204"/>
        <v>0.12</v>
      </c>
      <c r="V419" s="177">
        <f t="shared" si="204"/>
        <v>0.12</v>
      </c>
      <c r="W419" s="177">
        <f t="shared" si="204"/>
        <v>0.12</v>
      </c>
      <c r="X419" s="177">
        <f t="shared" si="204"/>
        <v>0.12</v>
      </c>
      <c r="Y419" s="177">
        <f t="shared" si="204"/>
        <v>0.12</v>
      </c>
      <c r="Z419" s="177">
        <f t="shared" si="204"/>
        <v>0.12</v>
      </c>
      <c r="AA419" s="177">
        <f t="shared" si="204"/>
        <v>0.12</v>
      </c>
      <c r="AB419" s="186"/>
    </row>
    <row r="420" spans="1:28">
      <c r="A420" s="3"/>
      <c r="B420" s="3"/>
      <c r="C420" s="3" t="s">
        <v>2410</v>
      </c>
      <c r="D420" s="20">
        <f t="shared" ref="D420:AA420" si="205">D418*D419</f>
        <v>0</v>
      </c>
      <c r="E420" s="20">
        <f t="shared" si="205"/>
        <v>0</v>
      </c>
      <c r="F420" s="20">
        <f t="shared" si="205"/>
        <v>0</v>
      </c>
      <c r="G420" s="20">
        <f t="shared" si="205"/>
        <v>0</v>
      </c>
      <c r="H420" s="20">
        <f t="shared" si="205"/>
        <v>0</v>
      </c>
      <c r="I420" s="20">
        <f t="shared" si="205"/>
        <v>0</v>
      </c>
      <c r="J420" s="20">
        <f t="shared" si="205"/>
        <v>0</v>
      </c>
      <c r="K420" s="20">
        <f t="shared" si="205"/>
        <v>0</v>
      </c>
      <c r="L420" s="20">
        <f t="shared" si="205"/>
        <v>0</v>
      </c>
      <c r="M420" s="20">
        <f t="shared" si="205"/>
        <v>0</v>
      </c>
      <c r="N420" s="20">
        <f t="shared" si="205"/>
        <v>0</v>
      </c>
      <c r="O420" s="20">
        <f t="shared" si="205"/>
        <v>0</v>
      </c>
      <c r="P420" s="177">
        <f t="shared" si="205"/>
        <v>0</v>
      </c>
      <c r="Q420" s="177">
        <f t="shared" si="205"/>
        <v>0</v>
      </c>
      <c r="R420" s="177">
        <f t="shared" si="205"/>
        <v>0</v>
      </c>
      <c r="S420" s="177">
        <f t="shared" si="205"/>
        <v>0</v>
      </c>
      <c r="T420" s="177">
        <f t="shared" si="205"/>
        <v>0</v>
      </c>
      <c r="U420" s="177">
        <f t="shared" si="205"/>
        <v>0</v>
      </c>
      <c r="V420" s="177">
        <f t="shared" si="205"/>
        <v>0</v>
      </c>
      <c r="W420" s="177">
        <f t="shared" si="205"/>
        <v>0</v>
      </c>
      <c r="X420" s="177">
        <f t="shared" si="205"/>
        <v>0</v>
      </c>
      <c r="Y420" s="177">
        <f t="shared" si="205"/>
        <v>0</v>
      </c>
      <c r="Z420" s="177">
        <f t="shared" si="205"/>
        <v>0</v>
      </c>
      <c r="AA420" s="177">
        <f t="shared" si="205"/>
        <v>0</v>
      </c>
      <c r="AB420" s="186"/>
    </row>
    <row r="421" spans="1:28">
      <c r="A421" s="3"/>
      <c r="B421" s="3" t="s">
        <v>2413</v>
      </c>
      <c r="C421" s="3" t="s">
        <v>632</v>
      </c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86"/>
    </row>
    <row r="422" spans="1:28">
      <c r="A422" s="3"/>
      <c r="B422" s="3"/>
      <c r="C422" s="3" t="s">
        <v>834</v>
      </c>
      <c r="D422" s="20">
        <f>D389</f>
        <v>3.88349514563107</v>
      </c>
      <c r="E422" s="20">
        <f t="shared" ref="E422:AA422" si="206">D422</f>
        <v>3.88349514563107</v>
      </c>
      <c r="F422" s="20">
        <f t="shared" si="206"/>
        <v>3.88349514563107</v>
      </c>
      <c r="G422" s="20">
        <f t="shared" si="206"/>
        <v>3.88349514563107</v>
      </c>
      <c r="H422" s="20">
        <f t="shared" si="206"/>
        <v>3.88349514563107</v>
      </c>
      <c r="I422" s="20">
        <f t="shared" si="206"/>
        <v>3.88349514563107</v>
      </c>
      <c r="J422" s="20">
        <f t="shared" si="206"/>
        <v>3.88349514563107</v>
      </c>
      <c r="K422" s="20">
        <f t="shared" si="206"/>
        <v>3.88349514563107</v>
      </c>
      <c r="L422" s="20">
        <f t="shared" si="206"/>
        <v>3.88349514563107</v>
      </c>
      <c r="M422" s="20">
        <f t="shared" si="206"/>
        <v>3.88349514563107</v>
      </c>
      <c r="N422" s="20">
        <f t="shared" si="206"/>
        <v>3.88349514563107</v>
      </c>
      <c r="O422" s="20">
        <f t="shared" si="206"/>
        <v>3.88349514563107</v>
      </c>
      <c r="P422" s="177">
        <f t="shared" si="206"/>
        <v>3.88349514563107</v>
      </c>
      <c r="Q422" s="177">
        <f t="shared" si="206"/>
        <v>3.88349514563107</v>
      </c>
      <c r="R422" s="177">
        <f t="shared" si="206"/>
        <v>3.88349514563107</v>
      </c>
      <c r="S422" s="177">
        <f t="shared" si="206"/>
        <v>3.88349514563107</v>
      </c>
      <c r="T422" s="177">
        <f t="shared" si="206"/>
        <v>3.88349514563107</v>
      </c>
      <c r="U422" s="177">
        <f t="shared" si="206"/>
        <v>3.88349514563107</v>
      </c>
      <c r="V422" s="177">
        <f t="shared" si="206"/>
        <v>3.88349514563107</v>
      </c>
      <c r="W422" s="177">
        <f t="shared" si="206"/>
        <v>3.88349514563107</v>
      </c>
      <c r="X422" s="177">
        <f t="shared" si="206"/>
        <v>3.88349514563107</v>
      </c>
      <c r="Y422" s="177">
        <f t="shared" si="206"/>
        <v>3.88349514563107</v>
      </c>
      <c r="Z422" s="177">
        <f t="shared" si="206"/>
        <v>3.88349514563107</v>
      </c>
      <c r="AA422" s="177">
        <f t="shared" si="206"/>
        <v>3.88349514563107</v>
      </c>
      <c r="AB422" s="186"/>
    </row>
    <row r="423" spans="1:28">
      <c r="A423" s="3"/>
      <c r="B423" s="3"/>
      <c r="C423" s="3" t="s">
        <v>2410</v>
      </c>
      <c r="D423" s="20">
        <f t="shared" ref="D423:AA423" si="207">D421*D422</f>
        <v>0</v>
      </c>
      <c r="E423" s="20">
        <f t="shared" si="207"/>
        <v>0</v>
      </c>
      <c r="F423" s="20">
        <f t="shared" si="207"/>
        <v>0</v>
      </c>
      <c r="G423" s="20">
        <f t="shared" si="207"/>
        <v>0</v>
      </c>
      <c r="H423" s="20">
        <f t="shared" si="207"/>
        <v>0</v>
      </c>
      <c r="I423" s="20">
        <f t="shared" si="207"/>
        <v>0</v>
      </c>
      <c r="J423" s="20">
        <f t="shared" si="207"/>
        <v>0</v>
      </c>
      <c r="K423" s="20">
        <f t="shared" si="207"/>
        <v>0</v>
      </c>
      <c r="L423" s="20">
        <f t="shared" si="207"/>
        <v>0</v>
      </c>
      <c r="M423" s="20">
        <f t="shared" si="207"/>
        <v>0</v>
      </c>
      <c r="N423" s="20">
        <f t="shared" si="207"/>
        <v>0</v>
      </c>
      <c r="O423" s="20">
        <f t="shared" si="207"/>
        <v>0</v>
      </c>
      <c r="P423" s="177">
        <f t="shared" si="207"/>
        <v>0</v>
      </c>
      <c r="Q423" s="177">
        <f t="shared" si="207"/>
        <v>0</v>
      </c>
      <c r="R423" s="177">
        <f t="shared" si="207"/>
        <v>0</v>
      </c>
      <c r="S423" s="177">
        <f t="shared" si="207"/>
        <v>0</v>
      </c>
      <c r="T423" s="177">
        <f t="shared" si="207"/>
        <v>0</v>
      </c>
      <c r="U423" s="177">
        <f t="shared" si="207"/>
        <v>0</v>
      </c>
      <c r="V423" s="177">
        <f t="shared" si="207"/>
        <v>0</v>
      </c>
      <c r="W423" s="177">
        <f t="shared" si="207"/>
        <v>0</v>
      </c>
      <c r="X423" s="177">
        <f t="shared" si="207"/>
        <v>0</v>
      </c>
      <c r="Y423" s="177">
        <f t="shared" si="207"/>
        <v>0</v>
      </c>
      <c r="Z423" s="177">
        <f t="shared" si="207"/>
        <v>0</v>
      </c>
      <c r="AA423" s="177">
        <f t="shared" si="207"/>
        <v>0</v>
      </c>
      <c r="AB423" s="186"/>
    </row>
    <row r="424" spans="1:28">
      <c r="A424" s="3"/>
      <c r="B424" s="3" t="s">
        <v>2414</v>
      </c>
      <c r="C424" s="3" t="s">
        <v>550</v>
      </c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86"/>
    </row>
    <row r="425" spans="1:28">
      <c r="A425" s="3"/>
      <c r="B425" s="3"/>
      <c r="C425" s="3" t="s">
        <v>834</v>
      </c>
      <c r="D425" s="20">
        <f t="shared" ref="D425:AA425" si="208">D392</f>
        <v>0</v>
      </c>
      <c r="E425" s="20">
        <f t="shared" si="208"/>
        <v>0</v>
      </c>
      <c r="F425" s="20">
        <f t="shared" si="208"/>
        <v>0</v>
      </c>
      <c r="G425" s="20">
        <f t="shared" si="208"/>
        <v>0</v>
      </c>
      <c r="H425" s="20">
        <f t="shared" si="208"/>
        <v>0</v>
      </c>
      <c r="I425" s="20">
        <f t="shared" si="208"/>
        <v>0</v>
      </c>
      <c r="J425" s="20">
        <f t="shared" si="208"/>
        <v>0</v>
      </c>
      <c r="K425" s="20">
        <f t="shared" si="208"/>
        <v>0</v>
      </c>
      <c r="L425" s="20">
        <f t="shared" si="208"/>
        <v>0</v>
      </c>
      <c r="M425" s="20">
        <f t="shared" si="208"/>
        <v>0</v>
      </c>
      <c r="N425" s="20">
        <f t="shared" si="208"/>
        <v>0</v>
      </c>
      <c r="O425" s="20">
        <f t="shared" si="208"/>
        <v>0</v>
      </c>
      <c r="P425" s="177">
        <f t="shared" si="208"/>
        <v>0</v>
      </c>
      <c r="Q425" s="177">
        <f t="shared" si="208"/>
        <v>0</v>
      </c>
      <c r="R425" s="177">
        <f t="shared" si="208"/>
        <v>0</v>
      </c>
      <c r="S425" s="177">
        <f t="shared" si="208"/>
        <v>0</v>
      </c>
      <c r="T425" s="177">
        <f t="shared" si="208"/>
        <v>0</v>
      </c>
      <c r="U425" s="177">
        <f t="shared" si="208"/>
        <v>0</v>
      </c>
      <c r="V425" s="177">
        <f t="shared" si="208"/>
        <v>0</v>
      </c>
      <c r="W425" s="177">
        <f t="shared" si="208"/>
        <v>0</v>
      </c>
      <c r="X425" s="177">
        <f t="shared" si="208"/>
        <v>0</v>
      </c>
      <c r="Y425" s="177">
        <f t="shared" si="208"/>
        <v>0</v>
      </c>
      <c r="Z425" s="177">
        <f t="shared" si="208"/>
        <v>0</v>
      </c>
      <c r="AA425" s="177">
        <f t="shared" si="208"/>
        <v>0</v>
      </c>
      <c r="AB425" s="186"/>
    </row>
    <row r="426" spans="1:28">
      <c r="A426" s="3"/>
      <c r="B426" s="3"/>
      <c r="C426" s="3" t="s">
        <v>2410</v>
      </c>
      <c r="D426" s="20">
        <f t="shared" ref="D426:AA426" si="209">D424*D425</f>
        <v>0</v>
      </c>
      <c r="E426" s="20">
        <f t="shared" si="209"/>
        <v>0</v>
      </c>
      <c r="F426" s="20">
        <f t="shared" si="209"/>
        <v>0</v>
      </c>
      <c r="G426" s="20">
        <f t="shared" si="209"/>
        <v>0</v>
      </c>
      <c r="H426" s="20">
        <f t="shared" si="209"/>
        <v>0</v>
      </c>
      <c r="I426" s="20">
        <f t="shared" si="209"/>
        <v>0</v>
      </c>
      <c r="J426" s="20">
        <f t="shared" si="209"/>
        <v>0</v>
      </c>
      <c r="K426" s="20">
        <f t="shared" si="209"/>
        <v>0</v>
      </c>
      <c r="L426" s="20">
        <f t="shared" si="209"/>
        <v>0</v>
      </c>
      <c r="M426" s="20">
        <f t="shared" si="209"/>
        <v>0</v>
      </c>
      <c r="N426" s="20">
        <f t="shared" si="209"/>
        <v>0</v>
      </c>
      <c r="O426" s="20">
        <f t="shared" si="209"/>
        <v>0</v>
      </c>
      <c r="P426" s="177">
        <f t="shared" si="209"/>
        <v>0</v>
      </c>
      <c r="Q426" s="177">
        <f t="shared" si="209"/>
        <v>0</v>
      </c>
      <c r="R426" s="177">
        <f t="shared" si="209"/>
        <v>0</v>
      </c>
      <c r="S426" s="177">
        <f t="shared" si="209"/>
        <v>0</v>
      </c>
      <c r="T426" s="177">
        <f t="shared" si="209"/>
        <v>0</v>
      </c>
      <c r="U426" s="177">
        <f t="shared" si="209"/>
        <v>0</v>
      </c>
      <c r="V426" s="177">
        <f t="shared" si="209"/>
        <v>0</v>
      </c>
      <c r="W426" s="177">
        <f t="shared" si="209"/>
        <v>0</v>
      </c>
      <c r="X426" s="177">
        <f t="shared" si="209"/>
        <v>0</v>
      </c>
      <c r="Y426" s="177">
        <f t="shared" si="209"/>
        <v>0</v>
      </c>
      <c r="Z426" s="177">
        <f t="shared" si="209"/>
        <v>0</v>
      </c>
      <c r="AA426" s="177">
        <f t="shared" si="209"/>
        <v>0</v>
      </c>
      <c r="AB426" s="186"/>
    </row>
    <row r="427" ht="20.25" spans="1:28">
      <c r="A427" s="156"/>
      <c r="B427" s="156" t="s">
        <v>1321</v>
      </c>
      <c r="C427" s="156" t="s">
        <v>114</v>
      </c>
      <c r="D427" s="157">
        <f t="shared" ref="D427:AA427" si="210">D408+D411+D414+D417+D420+D423+D426</f>
        <v>121.025684896851</v>
      </c>
      <c r="E427" s="157">
        <f t="shared" si="210"/>
        <v>156.612567602666</v>
      </c>
      <c r="F427" s="157">
        <f t="shared" si="210"/>
        <v>180.027413529071</v>
      </c>
      <c r="G427" s="157">
        <f t="shared" si="210"/>
        <v>221.952891661387</v>
      </c>
      <c r="H427" s="157">
        <f t="shared" si="210"/>
        <v>258.53448013193</v>
      </c>
      <c r="I427" s="157">
        <f t="shared" si="210"/>
        <v>175.243413529071</v>
      </c>
      <c r="J427" s="157">
        <f t="shared" si="210"/>
        <v>613.175847926019</v>
      </c>
      <c r="K427" s="157">
        <f t="shared" si="210"/>
        <v>388.430413529071</v>
      </c>
      <c r="L427" s="157">
        <f t="shared" si="210"/>
        <v>12.3902574558625</v>
      </c>
      <c r="M427" s="157">
        <f t="shared" si="210"/>
        <v>16.2007355881785</v>
      </c>
      <c r="N427" s="157">
        <f t="shared" si="210"/>
        <v>11.4302574558625</v>
      </c>
      <c r="O427" s="157">
        <f t="shared" si="210"/>
        <v>0</v>
      </c>
      <c r="P427" s="185">
        <f t="shared" si="210"/>
        <v>115.018317102762</v>
      </c>
      <c r="Q427" s="185">
        <f t="shared" si="210"/>
        <v>115.018317102762</v>
      </c>
      <c r="R427" s="185">
        <f t="shared" si="210"/>
        <v>141.955684896851</v>
      </c>
      <c r="S427" s="185">
        <f t="shared" si="210"/>
        <v>141.955684896851</v>
      </c>
      <c r="T427" s="185">
        <f t="shared" si="210"/>
        <v>227.834163029168</v>
      </c>
      <c r="U427" s="185">
        <f t="shared" si="210"/>
        <v>227.834163029168</v>
      </c>
      <c r="V427" s="185">
        <f t="shared" si="210"/>
        <v>0</v>
      </c>
      <c r="W427" s="185">
        <f t="shared" si="210"/>
        <v>0</v>
      </c>
      <c r="X427" s="185">
        <f t="shared" si="210"/>
        <v>0</v>
      </c>
      <c r="Y427" s="185">
        <f t="shared" si="210"/>
        <v>0</v>
      </c>
      <c r="Z427" s="185">
        <f t="shared" si="210"/>
        <v>0</v>
      </c>
      <c r="AA427" s="185">
        <f t="shared" si="210"/>
        <v>0</v>
      </c>
      <c r="AB427" s="187"/>
    </row>
    <row r="428" ht="20.25" spans="1:28">
      <c r="A428" s="156" t="s">
        <v>463</v>
      </c>
      <c r="B428" s="156"/>
      <c r="C428" s="156" t="s">
        <v>114</v>
      </c>
      <c r="D428" s="157">
        <f t="shared" ref="D428:AA428" si="211">D427+D405</f>
        <v>182.814276839412</v>
      </c>
      <c r="E428" s="157">
        <f t="shared" si="211"/>
        <v>238.041606294329</v>
      </c>
      <c r="F428" s="157">
        <f t="shared" si="211"/>
        <v>286.965267537846</v>
      </c>
      <c r="G428" s="157">
        <f t="shared" si="211"/>
        <v>357.20594311731</v>
      </c>
      <c r="H428" s="157">
        <f t="shared" si="211"/>
        <v>447.545409529616</v>
      </c>
      <c r="I428" s="157">
        <f t="shared" si="211"/>
        <v>258.241259560184</v>
      </c>
      <c r="J428" s="157">
        <f t="shared" si="211"/>
        <v>1029.63161178721</v>
      </c>
      <c r="K428" s="157">
        <f t="shared" si="211"/>
        <v>1498.77600587051</v>
      </c>
      <c r="L428" s="157">
        <f t="shared" si="211"/>
        <v>15.2937277390695</v>
      </c>
      <c r="M428" s="157">
        <f t="shared" si="211"/>
        <v>18.9592517429451</v>
      </c>
      <c r="N428" s="157">
        <f t="shared" si="211"/>
        <v>14.7999064387105</v>
      </c>
      <c r="O428" s="157">
        <f t="shared" si="211"/>
        <v>0.851136816912645</v>
      </c>
      <c r="P428" s="185">
        <f t="shared" si="211"/>
        <v>174.617200230006</v>
      </c>
      <c r="Q428" s="185">
        <f t="shared" si="211"/>
        <v>202.130961697896</v>
      </c>
      <c r="R428" s="185">
        <f t="shared" si="211"/>
        <v>215.219107314083</v>
      </c>
      <c r="S428" s="185">
        <f t="shared" si="211"/>
        <v>215.219107314083</v>
      </c>
      <c r="T428" s="185">
        <f t="shared" si="211"/>
        <v>335.627780899132</v>
      </c>
      <c r="U428" s="185">
        <f t="shared" si="211"/>
        <v>379.544653655414</v>
      </c>
      <c r="V428" s="185">
        <f t="shared" si="211"/>
        <v>0.57891902672517</v>
      </c>
      <c r="W428" s="185">
        <f t="shared" si="211"/>
        <v>0.757355404866374</v>
      </c>
      <c r="X428" s="185">
        <f t="shared" si="211"/>
        <v>0.685528520143598</v>
      </c>
      <c r="Y428" s="185">
        <f t="shared" si="211"/>
        <v>0.89970482648584</v>
      </c>
      <c r="Z428" s="185">
        <f t="shared" si="211"/>
        <v>0.90792181890706</v>
      </c>
      <c r="AA428" s="185">
        <f t="shared" si="211"/>
        <v>1.19309932189868</v>
      </c>
      <c r="AB428" s="187"/>
    </row>
    <row r="429" ht="20.25" spans="1:28">
      <c r="A429" s="156" t="s">
        <v>458</v>
      </c>
      <c r="B429" s="156"/>
      <c r="C429" s="156"/>
      <c r="D429" s="156">
        <v>6026</v>
      </c>
      <c r="E429" s="156">
        <v>6027</v>
      </c>
      <c r="F429" s="156">
        <v>6028</v>
      </c>
      <c r="G429" s="156">
        <v>6029</v>
      </c>
      <c r="H429" s="156">
        <v>6030</v>
      </c>
      <c r="I429" s="156">
        <v>6031</v>
      </c>
      <c r="J429" s="156">
        <v>6032</v>
      </c>
      <c r="K429" s="156">
        <v>6033</v>
      </c>
      <c r="L429" s="156">
        <v>6034</v>
      </c>
      <c r="M429" s="156">
        <v>6035</v>
      </c>
      <c r="N429" s="156">
        <v>6036</v>
      </c>
      <c r="O429" s="156">
        <v>6037</v>
      </c>
      <c r="P429" s="156">
        <v>6038</v>
      </c>
      <c r="Q429" s="156">
        <v>6039</v>
      </c>
      <c r="R429" s="156">
        <v>6040</v>
      </c>
      <c r="S429" s="156">
        <v>6041</v>
      </c>
      <c r="T429" s="156">
        <v>6042</v>
      </c>
      <c r="U429" s="156">
        <v>6043</v>
      </c>
      <c r="V429" s="156">
        <v>6044</v>
      </c>
      <c r="W429" s="156">
        <v>6045</v>
      </c>
      <c r="X429" s="156">
        <v>6046</v>
      </c>
      <c r="Y429" s="156">
        <v>6047</v>
      </c>
      <c r="Z429" s="156">
        <v>6048</v>
      </c>
      <c r="AA429" s="188">
        <v>6049</v>
      </c>
      <c r="AB429" s="189"/>
    </row>
    <row r="430" s="153" customFormat="1" spans="25:25">
      <c r="Y430" s="176"/>
    </row>
    <row r="431" spans="1:27">
      <c r="A431" s="3" t="s">
        <v>2388</v>
      </c>
      <c r="B431" s="3"/>
      <c r="C431" s="3" t="s">
        <v>55</v>
      </c>
      <c r="D431" s="3" t="s">
        <v>2507</v>
      </c>
      <c r="E431" s="3"/>
      <c r="F431" s="3"/>
      <c r="G431" s="3"/>
      <c r="H431" s="3" t="s">
        <v>2259</v>
      </c>
      <c r="I431" s="3"/>
      <c r="J431" s="3"/>
      <c r="K431" s="3"/>
      <c r="L431" s="3"/>
      <c r="M431" s="3"/>
      <c r="N431" s="3"/>
      <c r="O431" s="3"/>
      <c r="P431" s="3" t="s">
        <v>2268</v>
      </c>
      <c r="Q431" s="3"/>
      <c r="R431" s="3"/>
      <c r="S431" s="3"/>
      <c r="T431" s="3"/>
      <c r="U431" s="3" t="s">
        <v>2272</v>
      </c>
      <c r="V431" s="3"/>
      <c r="W431" s="3"/>
      <c r="X431" s="3"/>
      <c r="Y431" s="3"/>
      <c r="Z431" s="3" t="s">
        <v>2278</v>
      </c>
      <c r="AA431" s="3"/>
    </row>
    <row r="432" spans="1:27">
      <c r="A432" s="3"/>
      <c r="B432" s="3"/>
      <c r="C432" s="3"/>
      <c r="D432" s="3" t="s">
        <v>2508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 t="s">
        <v>2509</v>
      </c>
      <c r="AA432" s="3"/>
    </row>
    <row r="433" spans="1:27">
      <c r="A433" s="3"/>
      <c r="B433" s="3"/>
      <c r="C433" s="3"/>
      <c r="D433" s="3" t="s">
        <v>2510</v>
      </c>
      <c r="E433" s="3"/>
      <c r="F433" s="3" t="s">
        <v>2511</v>
      </c>
      <c r="G433" s="3"/>
      <c r="H433" s="3" t="s">
        <v>2398</v>
      </c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 t="s">
        <v>2512</v>
      </c>
      <c r="AA433" s="3"/>
    </row>
    <row r="434" spans="1:27">
      <c r="A434" s="3"/>
      <c r="B434" s="3"/>
      <c r="C434" s="3"/>
      <c r="D434" s="3" t="s">
        <v>2505</v>
      </c>
      <c r="E434" s="3" t="s">
        <v>2506</v>
      </c>
      <c r="F434" s="3" t="s">
        <v>2505</v>
      </c>
      <c r="G434" s="3" t="s">
        <v>2506</v>
      </c>
      <c r="H434" s="3">
        <v>37</v>
      </c>
      <c r="I434" s="3">
        <v>44</v>
      </c>
      <c r="J434" s="3">
        <v>75</v>
      </c>
      <c r="K434" s="3">
        <v>90</v>
      </c>
      <c r="L434" s="3">
        <v>110</v>
      </c>
      <c r="M434" s="3">
        <v>125</v>
      </c>
      <c r="N434" s="3">
        <v>147</v>
      </c>
      <c r="O434" s="3">
        <v>370</v>
      </c>
      <c r="P434" s="3" t="s">
        <v>2513</v>
      </c>
      <c r="Q434" s="3">
        <v>110</v>
      </c>
      <c r="R434" s="3">
        <v>118</v>
      </c>
      <c r="S434" s="3">
        <v>175</v>
      </c>
      <c r="T434" s="3">
        <v>200</v>
      </c>
      <c r="U434" s="3">
        <v>30</v>
      </c>
      <c r="V434" s="3">
        <v>50</v>
      </c>
      <c r="W434" s="3">
        <v>60</v>
      </c>
      <c r="X434" s="3" t="s">
        <v>2513</v>
      </c>
      <c r="Y434" s="125">
        <v>120</v>
      </c>
      <c r="Z434" s="3">
        <v>50</v>
      </c>
      <c r="AA434" s="3">
        <v>120</v>
      </c>
    </row>
    <row r="435" spans="1:27">
      <c r="A435" s="3" t="s">
        <v>2400</v>
      </c>
      <c r="B435" s="3" t="s">
        <v>2401</v>
      </c>
      <c r="C435" s="3" t="s">
        <v>114</v>
      </c>
      <c r="D435" s="20">
        <f>0.38/$AA$6</f>
        <v>0.330434782608696</v>
      </c>
      <c r="E435" s="20">
        <f>0.48/$AA$6</f>
        <v>0.417391304347826</v>
      </c>
      <c r="F435" s="20">
        <f>0.43/$AA$6</f>
        <v>0.373913043478261</v>
      </c>
      <c r="G435" s="20">
        <f>0.55/$AA$6</f>
        <v>0.478260869565217</v>
      </c>
      <c r="H435" s="20">
        <f>8.87/$AA$6</f>
        <v>7.71304347826087</v>
      </c>
      <c r="I435" s="20">
        <f>10.45/$AA$6</f>
        <v>9.08695652173913</v>
      </c>
      <c r="J435" s="20">
        <f>15.2/$AA$6</f>
        <v>13.2173913043478</v>
      </c>
      <c r="K435" s="20">
        <f>16.47/$AA$6</f>
        <v>14.3217391304348</v>
      </c>
      <c r="L435" s="20">
        <f>18.7/$AA$6</f>
        <v>16.2608695652174</v>
      </c>
      <c r="M435" s="20">
        <f>26.72/$AA$6</f>
        <v>23.2347826086957</v>
      </c>
      <c r="N435" s="20">
        <f>32.66/$AA$6</f>
        <v>28.4</v>
      </c>
      <c r="O435" s="20">
        <f>89.39/$AA$6</f>
        <v>77.7304347826087</v>
      </c>
      <c r="P435" s="20">
        <f>23.15/$AA$6</f>
        <v>20.1304347826087</v>
      </c>
      <c r="Q435" s="20">
        <f>24.84/$AA$6</f>
        <v>21.6</v>
      </c>
      <c r="R435" s="20">
        <f>19/$AA$6</f>
        <v>16.5217391304348</v>
      </c>
      <c r="S435" s="20">
        <f>45.12/$AA$6</f>
        <v>39.2347826086957</v>
      </c>
      <c r="T435" s="20">
        <f>52.25/$AA$6</f>
        <v>45.4347826086957</v>
      </c>
      <c r="U435" s="20">
        <f>4.75/$AA$6</f>
        <v>4.1304347826087</v>
      </c>
      <c r="V435" s="20">
        <f>7.42/$AA$6</f>
        <v>6.45217391304348</v>
      </c>
      <c r="W435" s="20">
        <f>8.91/$AA$6</f>
        <v>7.74782608695652</v>
      </c>
      <c r="X435" s="20">
        <f>16.03/$AA$6</f>
        <v>13.9391304347826</v>
      </c>
      <c r="Y435" s="20">
        <f>21.38/$AA$6</f>
        <v>18.5913043478261</v>
      </c>
      <c r="Z435" s="20">
        <f>19.79/$AA$6</f>
        <v>17.2086956521739</v>
      </c>
      <c r="AA435" s="20">
        <f>26.67/$AA$6</f>
        <v>23.1913043478261</v>
      </c>
    </row>
    <row r="436" spans="1:27">
      <c r="A436" s="3"/>
      <c r="B436" s="3" t="s">
        <v>2403</v>
      </c>
      <c r="C436" s="3" t="s">
        <v>114</v>
      </c>
      <c r="D436" s="20">
        <f>0.05/$AA$7</f>
        <v>0.0458715596330275</v>
      </c>
      <c r="E436" s="20">
        <f>0.07/$AA$7</f>
        <v>0.0642201834862385</v>
      </c>
      <c r="F436" s="20">
        <f>0.06/$AA$7</f>
        <v>0.055045871559633</v>
      </c>
      <c r="G436" s="20">
        <f>0.08/$AA$7</f>
        <v>0.073394495412844</v>
      </c>
      <c r="H436" s="20">
        <f>10.64/$AA$7</f>
        <v>9.76146788990826</v>
      </c>
      <c r="I436" s="20">
        <f>12.54/$AA$7</f>
        <v>11.5045871559633</v>
      </c>
      <c r="J436" s="20">
        <f>17.48/$AA$7</f>
        <v>16.0366972477064</v>
      </c>
      <c r="K436" s="20">
        <f>18.94/$AA$7</f>
        <v>17.3761467889908</v>
      </c>
      <c r="L436" s="20">
        <f>20.57/$AA$7</f>
        <v>18.8715596330275</v>
      </c>
      <c r="M436" s="20">
        <f>26.72/$AA$7</f>
        <v>24.5137614678899</v>
      </c>
      <c r="N436" s="20">
        <f>32.66/$AA$7</f>
        <v>29.9633027522936</v>
      </c>
      <c r="O436" s="20">
        <f>80.45/$AA$7</f>
        <v>73.8073394495413</v>
      </c>
      <c r="P436" s="20">
        <f>31.32/$AA$7</f>
        <v>28.7339449541284</v>
      </c>
      <c r="Q436" s="20">
        <f>33.12/$AA$7</f>
        <v>30.3853211009174</v>
      </c>
      <c r="R436" s="20">
        <f>26.18/$AA$7</f>
        <v>24.0183486238532</v>
      </c>
      <c r="S436" s="20">
        <f>47.01/$AA$7</f>
        <v>43.1284403669725</v>
      </c>
      <c r="T436" s="20">
        <f>55.69/$AA$7</f>
        <v>51.091743119266</v>
      </c>
      <c r="U436" s="20">
        <f>8.99/$AA$7</f>
        <v>8.24770642201835</v>
      </c>
      <c r="V436" s="20">
        <f>9.89/$AA$7</f>
        <v>9.07339449541284</v>
      </c>
      <c r="W436" s="20">
        <f>11.33/$AA$7</f>
        <v>10.394495412844</v>
      </c>
      <c r="X436" s="20">
        <f>19.66/$AA$7</f>
        <v>18.0366972477064</v>
      </c>
      <c r="Y436" s="20">
        <f>25.66/$AA$7</f>
        <v>23.5412844036697</v>
      </c>
      <c r="Z436" s="20">
        <f>11.66/$AA$7</f>
        <v>10.697247706422</v>
      </c>
      <c r="AA436" s="20">
        <f>31.33/$AA$7</f>
        <v>28.743119266055</v>
      </c>
    </row>
    <row r="437" spans="1:27">
      <c r="A437" s="3"/>
      <c r="B437" s="3" t="s">
        <v>2405</v>
      </c>
      <c r="C437" s="3" t="s">
        <v>114</v>
      </c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ht="20.25" spans="1:27">
      <c r="A438" s="156"/>
      <c r="B438" s="156" t="s">
        <v>1321</v>
      </c>
      <c r="C438" s="156" t="s">
        <v>114</v>
      </c>
      <c r="D438" s="157">
        <f t="shared" ref="D438:AA438" si="212">SUM(D435:D437)</f>
        <v>0.376306342241723</v>
      </c>
      <c r="E438" s="157">
        <f t="shared" si="212"/>
        <v>0.481611487834065</v>
      </c>
      <c r="F438" s="157">
        <f t="shared" si="212"/>
        <v>0.428958915037894</v>
      </c>
      <c r="G438" s="157">
        <f t="shared" si="212"/>
        <v>0.551655364978061</v>
      </c>
      <c r="H438" s="157">
        <f t="shared" si="212"/>
        <v>17.4745113681691</v>
      </c>
      <c r="I438" s="157">
        <f t="shared" si="212"/>
        <v>20.5915436777024</v>
      </c>
      <c r="J438" s="157">
        <f t="shared" si="212"/>
        <v>29.2540885520542</v>
      </c>
      <c r="K438" s="157">
        <f t="shared" si="212"/>
        <v>31.6978859194256</v>
      </c>
      <c r="L438" s="157">
        <f t="shared" si="212"/>
        <v>35.1324291982449</v>
      </c>
      <c r="M438" s="157">
        <f t="shared" si="212"/>
        <v>47.7485440765856</v>
      </c>
      <c r="N438" s="157">
        <f t="shared" si="212"/>
        <v>58.3633027522936</v>
      </c>
      <c r="O438" s="157">
        <f t="shared" si="212"/>
        <v>151.53777423215</v>
      </c>
      <c r="P438" s="157">
        <f t="shared" si="212"/>
        <v>48.8643797367371</v>
      </c>
      <c r="Q438" s="157">
        <f t="shared" si="212"/>
        <v>51.9853211009174</v>
      </c>
      <c r="R438" s="157">
        <f t="shared" si="212"/>
        <v>40.540087754288</v>
      </c>
      <c r="S438" s="157">
        <f t="shared" si="212"/>
        <v>82.3632229756681</v>
      </c>
      <c r="T438" s="157">
        <f t="shared" si="212"/>
        <v>96.5265257279617</v>
      </c>
      <c r="U438" s="157">
        <f t="shared" si="212"/>
        <v>12.378141204627</v>
      </c>
      <c r="V438" s="157">
        <f t="shared" si="212"/>
        <v>15.5255684084563</v>
      </c>
      <c r="W438" s="157">
        <f t="shared" si="212"/>
        <v>18.1423214998006</v>
      </c>
      <c r="X438" s="157">
        <f t="shared" si="212"/>
        <v>31.975827682489</v>
      </c>
      <c r="Y438" s="157">
        <f t="shared" si="212"/>
        <v>42.1325887514958</v>
      </c>
      <c r="Z438" s="157">
        <f t="shared" si="212"/>
        <v>27.9059433585959</v>
      </c>
      <c r="AA438" s="157">
        <f t="shared" si="212"/>
        <v>51.9344236138811</v>
      </c>
    </row>
    <row r="439" spans="1:27">
      <c r="A439" s="3" t="s">
        <v>2408</v>
      </c>
      <c r="B439" s="3" t="s">
        <v>600</v>
      </c>
      <c r="C439" s="3" t="s">
        <v>2409</v>
      </c>
      <c r="D439" s="20"/>
      <c r="E439" s="20"/>
      <c r="F439" s="20"/>
      <c r="G439" s="20"/>
      <c r="H439" s="20">
        <v>3.9</v>
      </c>
      <c r="I439" s="20">
        <v>3.9</v>
      </c>
      <c r="J439" s="20">
        <v>5</v>
      </c>
      <c r="K439" s="20">
        <v>5</v>
      </c>
      <c r="L439" s="20">
        <v>6.3</v>
      </c>
      <c r="M439" s="20">
        <v>6.3</v>
      </c>
      <c r="N439" s="20">
        <v>6.3</v>
      </c>
      <c r="O439" s="20">
        <v>9.7</v>
      </c>
      <c r="P439" s="20">
        <v>3.9</v>
      </c>
      <c r="Q439" s="20">
        <v>3.9</v>
      </c>
      <c r="R439" s="20">
        <v>3.9</v>
      </c>
      <c r="S439" s="20">
        <v>3.9</v>
      </c>
      <c r="T439" s="20">
        <v>5</v>
      </c>
      <c r="U439" s="20">
        <v>3.9</v>
      </c>
      <c r="V439" s="20">
        <v>3.9</v>
      </c>
      <c r="W439" s="20">
        <v>5</v>
      </c>
      <c r="X439" s="20">
        <v>5</v>
      </c>
      <c r="Y439" s="20">
        <v>6.3</v>
      </c>
      <c r="Z439" s="20">
        <v>6.3</v>
      </c>
      <c r="AA439" s="20">
        <v>8.9</v>
      </c>
    </row>
    <row r="440" spans="1:27">
      <c r="A440" s="3"/>
      <c r="B440" s="3"/>
      <c r="C440" s="3" t="s">
        <v>834</v>
      </c>
      <c r="D440" s="20">
        <f t="shared" ref="D440:I440" si="213">D407</f>
        <v>8.10036779408924</v>
      </c>
      <c r="E440" s="20">
        <f t="shared" si="213"/>
        <v>8.10036779408924</v>
      </c>
      <c r="F440" s="20">
        <f t="shared" si="213"/>
        <v>8.10036779408924</v>
      </c>
      <c r="G440" s="20">
        <f t="shared" si="213"/>
        <v>8.10036779408924</v>
      </c>
      <c r="H440" s="20">
        <f t="shared" si="213"/>
        <v>8.10036779408924</v>
      </c>
      <c r="I440" s="20">
        <f t="shared" si="213"/>
        <v>8.10036779408924</v>
      </c>
      <c r="J440" s="20">
        <f t="shared" ref="J440:AA440" si="214">I440</f>
        <v>8.10036779408924</v>
      </c>
      <c r="K440" s="20">
        <f t="shared" si="214"/>
        <v>8.10036779408924</v>
      </c>
      <c r="L440" s="20">
        <f t="shared" si="214"/>
        <v>8.10036779408924</v>
      </c>
      <c r="M440" s="20">
        <f t="shared" si="214"/>
        <v>8.10036779408924</v>
      </c>
      <c r="N440" s="20">
        <f t="shared" si="214"/>
        <v>8.10036779408924</v>
      </c>
      <c r="O440" s="20">
        <f t="shared" si="214"/>
        <v>8.10036779408924</v>
      </c>
      <c r="P440" s="20">
        <f t="shared" si="214"/>
        <v>8.10036779408924</v>
      </c>
      <c r="Q440" s="20">
        <f t="shared" si="214"/>
        <v>8.10036779408924</v>
      </c>
      <c r="R440" s="20">
        <f t="shared" si="214"/>
        <v>8.10036779408924</v>
      </c>
      <c r="S440" s="20">
        <f t="shared" si="214"/>
        <v>8.10036779408924</v>
      </c>
      <c r="T440" s="20">
        <f t="shared" si="214"/>
        <v>8.10036779408924</v>
      </c>
      <c r="U440" s="20">
        <f t="shared" si="214"/>
        <v>8.10036779408924</v>
      </c>
      <c r="V440" s="20">
        <f t="shared" si="214"/>
        <v>8.10036779408924</v>
      </c>
      <c r="W440" s="20">
        <f t="shared" si="214"/>
        <v>8.10036779408924</v>
      </c>
      <c r="X440" s="20">
        <f t="shared" si="214"/>
        <v>8.10036779408924</v>
      </c>
      <c r="Y440" s="20">
        <f t="shared" si="214"/>
        <v>8.10036779408924</v>
      </c>
      <c r="Z440" s="20">
        <f t="shared" si="214"/>
        <v>8.10036779408924</v>
      </c>
      <c r="AA440" s="20">
        <f t="shared" si="214"/>
        <v>8.10036779408924</v>
      </c>
    </row>
    <row r="441" spans="1:27">
      <c r="A441" s="3"/>
      <c r="B441" s="3"/>
      <c r="C441" s="3" t="s">
        <v>2410</v>
      </c>
      <c r="D441" s="20">
        <f t="shared" ref="D441:AA441" si="215">D439*D440</f>
        <v>0</v>
      </c>
      <c r="E441" s="20">
        <f t="shared" si="215"/>
        <v>0</v>
      </c>
      <c r="F441" s="20">
        <f t="shared" si="215"/>
        <v>0</v>
      </c>
      <c r="G441" s="20">
        <f t="shared" si="215"/>
        <v>0</v>
      </c>
      <c r="H441" s="20">
        <f t="shared" si="215"/>
        <v>31.5914343969481</v>
      </c>
      <c r="I441" s="20">
        <f t="shared" si="215"/>
        <v>31.5914343969481</v>
      </c>
      <c r="J441" s="20">
        <f t="shared" si="215"/>
        <v>40.5018389704462</v>
      </c>
      <c r="K441" s="20">
        <f t="shared" si="215"/>
        <v>40.5018389704462</v>
      </c>
      <c r="L441" s="20">
        <f t="shared" si="215"/>
        <v>51.0323171027622</v>
      </c>
      <c r="M441" s="20">
        <f t="shared" si="215"/>
        <v>51.0323171027622</v>
      </c>
      <c r="N441" s="20">
        <f t="shared" si="215"/>
        <v>51.0323171027622</v>
      </c>
      <c r="O441" s="20">
        <f t="shared" si="215"/>
        <v>78.5735676026657</v>
      </c>
      <c r="P441" s="20">
        <f t="shared" si="215"/>
        <v>31.5914343969481</v>
      </c>
      <c r="Q441" s="20">
        <f t="shared" si="215"/>
        <v>31.5914343969481</v>
      </c>
      <c r="R441" s="20">
        <f t="shared" si="215"/>
        <v>31.5914343969481</v>
      </c>
      <c r="S441" s="20">
        <f t="shared" si="215"/>
        <v>31.5914343969481</v>
      </c>
      <c r="T441" s="20">
        <f t="shared" si="215"/>
        <v>40.5018389704462</v>
      </c>
      <c r="U441" s="20">
        <f t="shared" si="215"/>
        <v>31.5914343969481</v>
      </c>
      <c r="V441" s="20">
        <f t="shared" si="215"/>
        <v>31.5914343969481</v>
      </c>
      <c r="W441" s="20">
        <f t="shared" si="215"/>
        <v>40.5018389704462</v>
      </c>
      <c r="X441" s="20">
        <f t="shared" si="215"/>
        <v>40.5018389704462</v>
      </c>
      <c r="Y441" s="20">
        <f t="shared" si="215"/>
        <v>51.0323171027622</v>
      </c>
      <c r="Z441" s="20">
        <f t="shared" si="215"/>
        <v>51.0323171027622</v>
      </c>
      <c r="AA441" s="20">
        <f t="shared" si="215"/>
        <v>72.0932733673943</v>
      </c>
    </row>
    <row r="442" spans="1:27">
      <c r="A442" s="3"/>
      <c r="B442" s="3" t="s">
        <v>1825</v>
      </c>
      <c r="C442" s="3" t="s">
        <v>550</v>
      </c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>
      <c r="A443" s="3"/>
      <c r="B443" s="3"/>
      <c r="C443" s="3" t="s">
        <v>834</v>
      </c>
      <c r="D443" s="20">
        <f t="shared" ref="D443:I443" si="216">D410</f>
        <v>3.075</v>
      </c>
      <c r="E443" s="20">
        <f t="shared" si="216"/>
        <v>3.075</v>
      </c>
      <c r="F443" s="20">
        <f t="shared" si="216"/>
        <v>3.075</v>
      </c>
      <c r="G443" s="20">
        <f t="shared" si="216"/>
        <v>3.075</v>
      </c>
      <c r="H443" s="20">
        <f t="shared" si="216"/>
        <v>3.075</v>
      </c>
      <c r="I443" s="20">
        <f t="shared" si="216"/>
        <v>3.075</v>
      </c>
      <c r="J443" s="20">
        <f t="shared" ref="J443:AA443" si="217">I443</f>
        <v>3.075</v>
      </c>
      <c r="K443" s="20">
        <f t="shared" si="217"/>
        <v>3.075</v>
      </c>
      <c r="L443" s="20">
        <f t="shared" si="217"/>
        <v>3.075</v>
      </c>
      <c r="M443" s="20">
        <f t="shared" si="217"/>
        <v>3.075</v>
      </c>
      <c r="N443" s="20">
        <f t="shared" si="217"/>
        <v>3.075</v>
      </c>
      <c r="O443" s="20">
        <f t="shared" si="217"/>
        <v>3.075</v>
      </c>
      <c r="P443" s="20">
        <f t="shared" si="217"/>
        <v>3.075</v>
      </c>
      <c r="Q443" s="20">
        <f t="shared" si="217"/>
        <v>3.075</v>
      </c>
      <c r="R443" s="20">
        <f t="shared" si="217"/>
        <v>3.075</v>
      </c>
      <c r="S443" s="20">
        <f t="shared" si="217"/>
        <v>3.075</v>
      </c>
      <c r="T443" s="20">
        <f t="shared" si="217"/>
        <v>3.075</v>
      </c>
      <c r="U443" s="20">
        <f t="shared" si="217"/>
        <v>3.075</v>
      </c>
      <c r="V443" s="20">
        <f t="shared" si="217"/>
        <v>3.075</v>
      </c>
      <c r="W443" s="20">
        <f t="shared" si="217"/>
        <v>3.075</v>
      </c>
      <c r="X443" s="20">
        <f t="shared" si="217"/>
        <v>3.075</v>
      </c>
      <c r="Y443" s="20">
        <f t="shared" si="217"/>
        <v>3.075</v>
      </c>
      <c r="Z443" s="20">
        <f t="shared" si="217"/>
        <v>3.075</v>
      </c>
      <c r="AA443" s="20">
        <f t="shared" si="217"/>
        <v>3.075</v>
      </c>
    </row>
    <row r="444" spans="1:27">
      <c r="A444" s="3"/>
      <c r="B444" s="3"/>
      <c r="C444" s="3" t="s">
        <v>2410</v>
      </c>
      <c r="D444" s="20">
        <f t="shared" ref="D444:AA444" si="218">D442*D443</f>
        <v>0</v>
      </c>
      <c r="E444" s="20">
        <f t="shared" si="218"/>
        <v>0</v>
      </c>
      <c r="F444" s="20">
        <f t="shared" si="218"/>
        <v>0</v>
      </c>
      <c r="G444" s="20">
        <f t="shared" si="218"/>
        <v>0</v>
      </c>
      <c r="H444" s="20">
        <f t="shared" si="218"/>
        <v>0</v>
      </c>
      <c r="I444" s="20">
        <f t="shared" si="218"/>
        <v>0</v>
      </c>
      <c r="J444" s="20">
        <f t="shared" si="218"/>
        <v>0</v>
      </c>
      <c r="K444" s="20">
        <f t="shared" si="218"/>
        <v>0</v>
      </c>
      <c r="L444" s="20">
        <f t="shared" si="218"/>
        <v>0</v>
      </c>
      <c r="M444" s="20">
        <f t="shared" si="218"/>
        <v>0</v>
      </c>
      <c r="N444" s="20">
        <f t="shared" si="218"/>
        <v>0</v>
      </c>
      <c r="O444" s="20">
        <f t="shared" si="218"/>
        <v>0</v>
      </c>
      <c r="P444" s="20">
        <f t="shared" si="218"/>
        <v>0</v>
      </c>
      <c r="Q444" s="20">
        <f t="shared" si="218"/>
        <v>0</v>
      </c>
      <c r="R444" s="20">
        <f t="shared" si="218"/>
        <v>0</v>
      </c>
      <c r="S444" s="20">
        <f t="shared" si="218"/>
        <v>0</v>
      </c>
      <c r="T444" s="20">
        <f t="shared" si="218"/>
        <v>0</v>
      </c>
      <c r="U444" s="20">
        <f t="shared" si="218"/>
        <v>0</v>
      </c>
      <c r="V444" s="20">
        <f t="shared" si="218"/>
        <v>0</v>
      </c>
      <c r="W444" s="20">
        <f t="shared" si="218"/>
        <v>0</v>
      </c>
      <c r="X444" s="20">
        <f t="shared" si="218"/>
        <v>0</v>
      </c>
      <c r="Y444" s="20">
        <f t="shared" si="218"/>
        <v>0</v>
      </c>
      <c r="Z444" s="20">
        <f t="shared" si="218"/>
        <v>0</v>
      </c>
      <c r="AA444" s="20">
        <f t="shared" si="218"/>
        <v>0</v>
      </c>
    </row>
    <row r="445" spans="1:27">
      <c r="A445" s="3"/>
      <c r="B445" s="3" t="s">
        <v>1822</v>
      </c>
      <c r="C445" s="3" t="s">
        <v>550</v>
      </c>
      <c r="D445" s="20"/>
      <c r="E445" s="20"/>
      <c r="F445" s="20"/>
      <c r="G445" s="20"/>
      <c r="H445" s="20">
        <v>4.7</v>
      </c>
      <c r="I445" s="20">
        <v>5.4</v>
      </c>
      <c r="J445" s="20">
        <v>9</v>
      </c>
      <c r="K445" s="20">
        <v>10.8</v>
      </c>
      <c r="L445" s="20">
        <v>13.5</v>
      </c>
      <c r="M445" s="20">
        <v>15.3</v>
      </c>
      <c r="N445" s="20">
        <v>18</v>
      </c>
      <c r="O445" s="20">
        <v>45.3</v>
      </c>
      <c r="P445" s="20">
        <v>17.3</v>
      </c>
      <c r="Q445" s="20">
        <v>18.5</v>
      </c>
      <c r="R445" s="20">
        <v>14.2</v>
      </c>
      <c r="S445" s="20">
        <v>24.1</v>
      </c>
      <c r="T445" s="20">
        <v>28.8</v>
      </c>
      <c r="U445" s="20">
        <v>5.8</v>
      </c>
      <c r="V445" s="20">
        <v>14.9</v>
      </c>
      <c r="W445" s="20">
        <v>14.9</v>
      </c>
      <c r="X445" s="20">
        <v>16</v>
      </c>
      <c r="Y445" s="20">
        <v>17.3</v>
      </c>
      <c r="Z445" s="20">
        <v>17.5</v>
      </c>
      <c r="AA445" s="20">
        <v>21.2</v>
      </c>
    </row>
    <row r="446" spans="1:27">
      <c r="A446" s="3"/>
      <c r="B446" s="3"/>
      <c r="C446" s="3" t="s">
        <v>834</v>
      </c>
      <c r="D446" s="20">
        <f t="shared" ref="D446:I446" si="219">D413</f>
        <v>2.99</v>
      </c>
      <c r="E446" s="20">
        <f t="shared" si="219"/>
        <v>2.99</v>
      </c>
      <c r="F446" s="20">
        <f t="shared" si="219"/>
        <v>2.99</v>
      </c>
      <c r="G446" s="20">
        <f t="shared" si="219"/>
        <v>2.99</v>
      </c>
      <c r="H446" s="20">
        <f t="shared" si="219"/>
        <v>2.99</v>
      </c>
      <c r="I446" s="20">
        <f t="shared" si="219"/>
        <v>2.99</v>
      </c>
      <c r="J446" s="20">
        <f t="shared" ref="J446:AA446" si="220">I446</f>
        <v>2.99</v>
      </c>
      <c r="K446" s="20">
        <f t="shared" si="220"/>
        <v>2.99</v>
      </c>
      <c r="L446" s="20">
        <f t="shared" si="220"/>
        <v>2.99</v>
      </c>
      <c r="M446" s="20">
        <f t="shared" si="220"/>
        <v>2.99</v>
      </c>
      <c r="N446" s="20">
        <f t="shared" si="220"/>
        <v>2.99</v>
      </c>
      <c r="O446" s="20">
        <f t="shared" si="220"/>
        <v>2.99</v>
      </c>
      <c r="P446" s="20">
        <f t="shared" si="220"/>
        <v>2.99</v>
      </c>
      <c r="Q446" s="20">
        <f t="shared" si="220"/>
        <v>2.99</v>
      </c>
      <c r="R446" s="20">
        <f t="shared" si="220"/>
        <v>2.99</v>
      </c>
      <c r="S446" s="20">
        <f t="shared" si="220"/>
        <v>2.99</v>
      </c>
      <c r="T446" s="20">
        <f t="shared" si="220"/>
        <v>2.99</v>
      </c>
      <c r="U446" s="20">
        <f t="shared" si="220"/>
        <v>2.99</v>
      </c>
      <c r="V446" s="20">
        <f t="shared" si="220"/>
        <v>2.99</v>
      </c>
      <c r="W446" s="20">
        <f t="shared" si="220"/>
        <v>2.99</v>
      </c>
      <c r="X446" s="20">
        <f t="shared" si="220"/>
        <v>2.99</v>
      </c>
      <c r="Y446" s="20">
        <f t="shared" si="220"/>
        <v>2.99</v>
      </c>
      <c r="Z446" s="20">
        <f t="shared" si="220"/>
        <v>2.99</v>
      </c>
      <c r="AA446" s="20">
        <f t="shared" si="220"/>
        <v>2.99</v>
      </c>
    </row>
    <row r="447" spans="1:27">
      <c r="A447" s="3"/>
      <c r="B447" s="3"/>
      <c r="C447" s="3" t="s">
        <v>2410</v>
      </c>
      <c r="D447" s="20">
        <f t="shared" ref="D447:AA447" si="221">D445*D446</f>
        <v>0</v>
      </c>
      <c r="E447" s="20">
        <f t="shared" si="221"/>
        <v>0</v>
      </c>
      <c r="F447" s="20">
        <f t="shared" si="221"/>
        <v>0</v>
      </c>
      <c r="G447" s="20">
        <f t="shared" si="221"/>
        <v>0</v>
      </c>
      <c r="H447" s="20">
        <f t="shared" si="221"/>
        <v>14.053</v>
      </c>
      <c r="I447" s="20">
        <f t="shared" si="221"/>
        <v>16.146</v>
      </c>
      <c r="J447" s="20">
        <f t="shared" si="221"/>
        <v>26.91</v>
      </c>
      <c r="K447" s="20">
        <f t="shared" si="221"/>
        <v>32.292</v>
      </c>
      <c r="L447" s="20">
        <f t="shared" si="221"/>
        <v>40.365</v>
      </c>
      <c r="M447" s="20">
        <f t="shared" si="221"/>
        <v>45.747</v>
      </c>
      <c r="N447" s="20">
        <f t="shared" si="221"/>
        <v>53.82</v>
      </c>
      <c r="O447" s="20">
        <f t="shared" si="221"/>
        <v>135.447</v>
      </c>
      <c r="P447" s="20">
        <f t="shared" si="221"/>
        <v>51.727</v>
      </c>
      <c r="Q447" s="20">
        <f t="shared" si="221"/>
        <v>55.315</v>
      </c>
      <c r="R447" s="20">
        <f t="shared" si="221"/>
        <v>42.458</v>
      </c>
      <c r="S447" s="20">
        <f t="shared" si="221"/>
        <v>72.059</v>
      </c>
      <c r="T447" s="20">
        <f t="shared" si="221"/>
        <v>86.112</v>
      </c>
      <c r="U447" s="20">
        <f t="shared" si="221"/>
        <v>17.342</v>
      </c>
      <c r="V447" s="20">
        <f t="shared" si="221"/>
        <v>44.551</v>
      </c>
      <c r="W447" s="20">
        <f t="shared" si="221"/>
        <v>44.551</v>
      </c>
      <c r="X447" s="20">
        <f t="shared" si="221"/>
        <v>47.84</v>
      </c>
      <c r="Y447" s="20">
        <f t="shared" si="221"/>
        <v>51.727</v>
      </c>
      <c r="Z447" s="20">
        <f t="shared" si="221"/>
        <v>52.325</v>
      </c>
      <c r="AA447" s="20">
        <f t="shared" si="221"/>
        <v>63.388</v>
      </c>
    </row>
    <row r="448" spans="1:27">
      <c r="A448" s="3"/>
      <c r="B448" s="3" t="s">
        <v>2411</v>
      </c>
      <c r="C448" s="3" t="s">
        <v>1834</v>
      </c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>
      <c r="A449" s="3"/>
      <c r="B449" s="3"/>
      <c r="C449" s="3" t="s">
        <v>834</v>
      </c>
      <c r="D449" s="20">
        <f t="shared" ref="D449:I449" si="222">D416</f>
        <v>0.48</v>
      </c>
      <c r="E449" s="20">
        <f t="shared" si="222"/>
        <v>0.48</v>
      </c>
      <c r="F449" s="20">
        <f t="shared" si="222"/>
        <v>0.48</v>
      </c>
      <c r="G449" s="20">
        <f t="shared" si="222"/>
        <v>0.48</v>
      </c>
      <c r="H449" s="20">
        <f t="shared" si="222"/>
        <v>0.48</v>
      </c>
      <c r="I449" s="20">
        <f t="shared" si="222"/>
        <v>0.48</v>
      </c>
      <c r="J449" s="20">
        <f t="shared" ref="J449:AA449" si="223">I449</f>
        <v>0.48</v>
      </c>
      <c r="K449" s="20">
        <f t="shared" si="223"/>
        <v>0.48</v>
      </c>
      <c r="L449" s="20">
        <f t="shared" si="223"/>
        <v>0.48</v>
      </c>
      <c r="M449" s="20">
        <f t="shared" si="223"/>
        <v>0.48</v>
      </c>
      <c r="N449" s="20">
        <f t="shared" si="223"/>
        <v>0.48</v>
      </c>
      <c r="O449" s="20">
        <f t="shared" si="223"/>
        <v>0.48</v>
      </c>
      <c r="P449" s="20">
        <f t="shared" si="223"/>
        <v>0.48</v>
      </c>
      <c r="Q449" s="20">
        <f t="shared" si="223"/>
        <v>0.48</v>
      </c>
      <c r="R449" s="20">
        <f t="shared" si="223"/>
        <v>0.48</v>
      </c>
      <c r="S449" s="20">
        <f t="shared" si="223"/>
        <v>0.48</v>
      </c>
      <c r="T449" s="20">
        <f t="shared" si="223"/>
        <v>0.48</v>
      </c>
      <c r="U449" s="20">
        <f t="shared" si="223"/>
        <v>0.48</v>
      </c>
      <c r="V449" s="20">
        <f t="shared" si="223"/>
        <v>0.48</v>
      </c>
      <c r="W449" s="20">
        <f t="shared" si="223"/>
        <v>0.48</v>
      </c>
      <c r="X449" s="20">
        <f t="shared" si="223"/>
        <v>0.48</v>
      </c>
      <c r="Y449" s="20">
        <f t="shared" si="223"/>
        <v>0.48</v>
      </c>
      <c r="Z449" s="20">
        <f t="shared" si="223"/>
        <v>0.48</v>
      </c>
      <c r="AA449" s="20">
        <f t="shared" si="223"/>
        <v>0.48</v>
      </c>
    </row>
    <row r="450" spans="1:27">
      <c r="A450" s="3"/>
      <c r="B450" s="3"/>
      <c r="C450" s="3" t="s">
        <v>2410</v>
      </c>
      <c r="D450" s="20">
        <f t="shared" ref="D450:AA450" si="224">D448*D449</f>
        <v>0</v>
      </c>
      <c r="E450" s="20">
        <f t="shared" si="224"/>
        <v>0</v>
      </c>
      <c r="F450" s="20">
        <f t="shared" si="224"/>
        <v>0</v>
      </c>
      <c r="G450" s="20">
        <f t="shared" si="224"/>
        <v>0</v>
      </c>
      <c r="H450" s="20">
        <f t="shared" si="224"/>
        <v>0</v>
      </c>
      <c r="I450" s="20">
        <f t="shared" si="224"/>
        <v>0</v>
      </c>
      <c r="J450" s="20">
        <f t="shared" si="224"/>
        <v>0</v>
      </c>
      <c r="K450" s="20">
        <f t="shared" si="224"/>
        <v>0</v>
      </c>
      <c r="L450" s="20">
        <f t="shared" si="224"/>
        <v>0</v>
      </c>
      <c r="M450" s="20">
        <f t="shared" si="224"/>
        <v>0</v>
      </c>
      <c r="N450" s="20">
        <f t="shared" si="224"/>
        <v>0</v>
      </c>
      <c r="O450" s="20">
        <f t="shared" si="224"/>
        <v>0</v>
      </c>
      <c r="P450" s="20">
        <f t="shared" si="224"/>
        <v>0</v>
      </c>
      <c r="Q450" s="20">
        <f t="shared" si="224"/>
        <v>0</v>
      </c>
      <c r="R450" s="20">
        <f t="shared" si="224"/>
        <v>0</v>
      </c>
      <c r="S450" s="20">
        <f t="shared" si="224"/>
        <v>0</v>
      </c>
      <c r="T450" s="20">
        <f t="shared" si="224"/>
        <v>0</v>
      </c>
      <c r="U450" s="20">
        <f t="shared" si="224"/>
        <v>0</v>
      </c>
      <c r="V450" s="20">
        <f t="shared" si="224"/>
        <v>0</v>
      </c>
      <c r="W450" s="20">
        <f t="shared" si="224"/>
        <v>0</v>
      </c>
      <c r="X450" s="20">
        <f t="shared" si="224"/>
        <v>0</v>
      </c>
      <c r="Y450" s="20">
        <f t="shared" si="224"/>
        <v>0</v>
      </c>
      <c r="Z450" s="20">
        <f t="shared" si="224"/>
        <v>0</v>
      </c>
      <c r="AA450" s="20">
        <f t="shared" si="224"/>
        <v>0</v>
      </c>
    </row>
    <row r="451" spans="1:27">
      <c r="A451" s="3"/>
      <c r="B451" s="3" t="s">
        <v>2412</v>
      </c>
      <c r="C451" s="3" t="s">
        <v>632</v>
      </c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>
      <c r="A452" s="3"/>
      <c r="B452" s="3"/>
      <c r="C452" s="3" t="s">
        <v>834</v>
      </c>
      <c r="D452" s="20">
        <f t="shared" ref="D452:I452" si="225">D419</f>
        <v>0.12</v>
      </c>
      <c r="E452" s="20">
        <f t="shared" si="225"/>
        <v>0.12</v>
      </c>
      <c r="F452" s="20">
        <f t="shared" si="225"/>
        <v>0.12</v>
      </c>
      <c r="G452" s="20">
        <f t="shared" si="225"/>
        <v>0.12</v>
      </c>
      <c r="H452" s="20">
        <f t="shared" si="225"/>
        <v>0.12</v>
      </c>
      <c r="I452" s="20">
        <f t="shared" si="225"/>
        <v>0.12</v>
      </c>
      <c r="J452" s="20">
        <f t="shared" ref="J452:AA452" si="226">I452</f>
        <v>0.12</v>
      </c>
      <c r="K452" s="20">
        <f t="shared" si="226"/>
        <v>0.12</v>
      </c>
      <c r="L452" s="20">
        <f t="shared" si="226"/>
        <v>0.12</v>
      </c>
      <c r="M452" s="20">
        <f t="shared" si="226"/>
        <v>0.12</v>
      </c>
      <c r="N452" s="20">
        <f t="shared" si="226"/>
        <v>0.12</v>
      </c>
      <c r="O452" s="20">
        <f t="shared" si="226"/>
        <v>0.12</v>
      </c>
      <c r="P452" s="20">
        <f t="shared" si="226"/>
        <v>0.12</v>
      </c>
      <c r="Q452" s="20">
        <f t="shared" si="226"/>
        <v>0.12</v>
      </c>
      <c r="R452" s="20">
        <f t="shared" si="226"/>
        <v>0.12</v>
      </c>
      <c r="S452" s="20">
        <f t="shared" si="226"/>
        <v>0.12</v>
      </c>
      <c r="T452" s="20">
        <f t="shared" si="226"/>
        <v>0.12</v>
      </c>
      <c r="U452" s="20">
        <f t="shared" si="226"/>
        <v>0.12</v>
      </c>
      <c r="V452" s="20">
        <f t="shared" si="226"/>
        <v>0.12</v>
      </c>
      <c r="W452" s="20">
        <f t="shared" si="226"/>
        <v>0.12</v>
      </c>
      <c r="X452" s="20">
        <f t="shared" si="226"/>
        <v>0.12</v>
      </c>
      <c r="Y452" s="20">
        <f t="shared" si="226"/>
        <v>0.12</v>
      </c>
      <c r="Z452" s="20">
        <f t="shared" si="226"/>
        <v>0.12</v>
      </c>
      <c r="AA452" s="20">
        <f t="shared" si="226"/>
        <v>0.12</v>
      </c>
    </row>
    <row r="453" spans="1:27">
      <c r="A453" s="3"/>
      <c r="B453" s="3"/>
      <c r="C453" s="3" t="s">
        <v>2410</v>
      </c>
      <c r="D453" s="20">
        <f t="shared" ref="D453:AA453" si="227">D451*D452</f>
        <v>0</v>
      </c>
      <c r="E453" s="20">
        <f t="shared" si="227"/>
        <v>0</v>
      </c>
      <c r="F453" s="20">
        <f t="shared" si="227"/>
        <v>0</v>
      </c>
      <c r="G453" s="20">
        <f t="shared" si="227"/>
        <v>0</v>
      </c>
      <c r="H453" s="20">
        <f t="shared" si="227"/>
        <v>0</v>
      </c>
      <c r="I453" s="20">
        <f t="shared" si="227"/>
        <v>0</v>
      </c>
      <c r="J453" s="20">
        <f t="shared" si="227"/>
        <v>0</v>
      </c>
      <c r="K453" s="20">
        <f t="shared" si="227"/>
        <v>0</v>
      </c>
      <c r="L453" s="20">
        <f t="shared" si="227"/>
        <v>0</v>
      </c>
      <c r="M453" s="20">
        <f t="shared" si="227"/>
        <v>0</v>
      </c>
      <c r="N453" s="20">
        <f t="shared" si="227"/>
        <v>0</v>
      </c>
      <c r="O453" s="20">
        <f t="shared" si="227"/>
        <v>0</v>
      </c>
      <c r="P453" s="20">
        <f t="shared" si="227"/>
        <v>0</v>
      </c>
      <c r="Q453" s="20">
        <f t="shared" si="227"/>
        <v>0</v>
      </c>
      <c r="R453" s="20">
        <f t="shared" si="227"/>
        <v>0</v>
      </c>
      <c r="S453" s="20">
        <f t="shared" si="227"/>
        <v>0</v>
      </c>
      <c r="T453" s="20">
        <f t="shared" si="227"/>
        <v>0</v>
      </c>
      <c r="U453" s="20">
        <f t="shared" si="227"/>
        <v>0</v>
      </c>
      <c r="V453" s="20">
        <f t="shared" si="227"/>
        <v>0</v>
      </c>
      <c r="W453" s="20">
        <f t="shared" si="227"/>
        <v>0</v>
      </c>
      <c r="X453" s="20">
        <f t="shared" si="227"/>
        <v>0</v>
      </c>
      <c r="Y453" s="20">
        <f t="shared" si="227"/>
        <v>0</v>
      </c>
      <c r="Z453" s="20">
        <f t="shared" si="227"/>
        <v>0</v>
      </c>
      <c r="AA453" s="20">
        <f t="shared" si="227"/>
        <v>0</v>
      </c>
    </row>
    <row r="454" spans="1:27">
      <c r="A454" s="3"/>
      <c r="B454" s="3" t="s">
        <v>2413</v>
      </c>
      <c r="C454" s="3" t="s">
        <v>632</v>
      </c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>
      <c r="A455" s="3"/>
      <c r="B455" s="3"/>
      <c r="C455" s="3" t="s">
        <v>834</v>
      </c>
      <c r="D455" s="20">
        <f t="shared" ref="D455:I455" si="228">D422</f>
        <v>3.88349514563107</v>
      </c>
      <c r="E455" s="20">
        <f t="shared" si="228"/>
        <v>3.88349514563107</v>
      </c>
      <c r="F455" s="20">
        <f t="shared" si="228"/>
        <v>3.88349514563107</v>
      </c>
      <c r="G455" s="20">
        <f t="shared" si="228"/>
        <v>3.88349514563107</v>
      </c>
      <c r="H455" s="20">
        <f t="shared" si="228"/>
        <v>3.88349514563107</v>
      </c>
      <c r="I455" s="20">
        <f t="shared" si="228"/>
        <v>3.88349514563107</v>
      </c>
      <c r="J455" s="20">
        <f t="shared" ref="J455:AA455" si="229">I455</f>
        <v>3.88349514563107</v>
      </c>
      <c r="K455" s="20">
        <f t="shared" si="229"/>
        <v>3.88349514563107</v>
      </c>
      <c r="L455" s="20">
        <f t="shared" si="229"/>
        <v>3.88349514563107</v>
      </c>
      <c r="M455" s="20">
        <f t="shared" si="229"/>
        <v>3.88349514563107</v>
      </c>
      <c r="N455" s="20">
        <f t="shared" si="229"/>
        <v>3.88349514563107</v>
      </c>
      <c r="O455" s="20">
        <f t="shared" si="229"/>
        <v>3.88349514563107</v>
      </c>
      <c r="P455" s="20">
        <f t="shared" si="229"/>
        <v>3.88349514563107</v>
      </c>
      <c r="Q455" s="20">
        <f t="shared" si="229"/>
        <v>3.88349514563107</v>
      </c>
      <c r="R455" s="20">
        <f t="shared" si="229"/>
        <v>3.88349514563107</v>
      </c>
      <c r="S455" s="20">
        <f t="shared" si="229"/>
        <v>3.88349514563107</v>
      </c>
      <c r="T455" s="20">
        <f t="shared" si="229"/>
        <v>3.88349514563107</v>
      </c>
      <c r="U455" s="20">
        <f t="shared" si="229"/>
        <v>3.88349514563107</v>
      </c>
      <c r="V455" s="20">
        <f t="shared" si="229"/>
        <v>3.88349514563107</v>
      </c>
      <c r="W455" s="20">
        <f t="shared" si="229"/>
        <v>3.88349514563107</v>
      </c>
      <c r="X455" s="20">
        <f t="shared" si="229"/>
        <v>3.88349514563107</v>
      </c>
      <c r="Y455" s="20">
        <f t="shared" si="229"/>
        <v>3.88349514563107</v>
      </c>
      <c r="Z455" s="20">
        <f t="shared" si="229"/>
        <v>3.88349514563107</v>
      </c>
      <c r="AA455" s="20">
        <f t="shared" si="229"/>
        <v>3.88349514563107</v>
      </c>
    </row>
    <row r="456" spans="1:27">
      <c r="A456" s="3"/>
      <c r="B456" s="3"/>
      <c r="C456" s="3" t="s">
        <v>2410</v>
      </c>
      <c r="D456" s="20">
        <f t="shared" ref="D456:AA456" si="230">D454*D455</f>
        <v>0</v>
      </c>
      <c r="E456" s="20">
        <f t="shared" si="230"/>
        <v>0</v>
      </c>
      <c r="F456" s="20">
        <f t="shared" si="230"/>
        <v>0</v>
      </c>
      <c r="G456" s="20">
        <f t="shared" si="230"/>
        <v>0</v>
      </c>
      <c r="H456" s="20">
        <f t="shared" si="230"/>
        <v>0</v>
      </c>
      <c r="I456" s="20">
        <f t="shared" si="230"/>
        <v>0</v>
      </c>
      <c r="J456" s="20">
        <f t="shared" si="230"/>
        <v>0</v>
      </c>
      <c r="K456" s="20">
        <f t="shared" si="230"/>
        <v>0</v>
      </c>
      <c r="L456" s="20">
        <f t="shared" si="230"/>
        <v>0</v>
      </c>
      <c r="M456" s="20">
        <f t="shared" si="230"/>
        <v>0</v>
      </c>
      <c r="N456" s="20">
        <f t="shared" si="230"/>
        <v>0</v>
      </c>
      <c r="O456" s="20">
        <f t="shared" si="230"/>
        <v>0</v>
      </c>
      <c r="P456" s="20">
        <f t="shared" si="230"/>
        <v>0</v>
      </c>
      <c r="Q456" s="20">
        <f t="shared" si="230"/>
        <v>0</v>
      </c>
      <c r="R456" s="20">
        <f t="shared" si="230"/>
        <v>0</v>
      </c>
      <c r="S456" s="20">
        <f t="shared" si="230"/>
        <v>0</v>
      </c>
      <c r="T456" s="20">
        <f t="shared" si="230"/>
        <v>0</v>
      </c>
      <c r="U456" s="20">
        <f t="shared" si="230"/>
        <v>0</v>
      </c>
      <c r="V456" s="20">
        <f t="shared" si="230"/>
        <v>0</v>
      </c>
      <c r="W456" s="20">
        <f t="shared" si="230"/>
        <v>0</v>
      </c>
      <c r="X456" s="20">
        <f t="shared" si="230"/>
        <v>0</v>
      </c>
      <c r="Y456" s="20">
        <f t="shared" si="230"/>
        <v>0</v>
      </c>
      <c r="Z456" s="20">
        <f t="shared" si="230"/>
        <v>0</v>
      </c>
      <c r="AA456" s="20">
        <f t="shared" si="230"/>
        <v>0</v>
      </c>
    </row>
    <row r="457" spans="1:27">
      <c r="A457" s="3"/>
      <c r="B457" s="3" t="s">
        <v>2414</v>
      </c>
      <c r="C457" s="3" t="s">
        <v>550</v>
      </c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>
      <c r="A458" s="3"/>
      <c r="B458" s="3"/>
      <c r="C458" s="3" t="s">
        <v>834</v>
      </c>
      <c r="D458" s="20">
        <f t="shared" ref="D458:AA458" si="231">D425</f>
        <v>0</v>
      </c>
      <c r="E458" s="20">
        <f t="shared" si="231"/>
        <v>0</v>
      </c>
      <c r="F458" s="20">
        <f t="shared" si="231"/>
        <v>0</v>
      </c>
      <c r="G458" s="20">
        <f t="shared" si="231"/>
        <v>0</v>
      </c>
      <c r="H458" s="20">
        <f t="shared" si="231"/>
        <v>0</v>
      </c>
      <c r="I458" s="20">
        <f t="shared" si="231"/>
        <v>0</v>
      </c>
      <c r="J458" s="20">
        <f t="shared" si="231"/>
        <v>0</v>
      </c>
      <c r="K458" s="20">
        <f t="shared" si="231"/>
        <v>0</v>
      </c>
      <c r="L458" s="20">
        <f t="shared" si="231"/>
        <v>0</v>
      </c>
      <c r="M458" s="20">
        <f t="shared" si="231"/>
        <v>0</v>
      </c>
      <c r="N458" s="20">
        <f t="shared" si="231"/>
        <v>0</v>
      </c>
      <c r="O458" s="20">
        <f t="shared" si="231"/>
        <v>0</v>
      </c>
      <c r="P458" s="20">
        <f t="shared" si="231"/>
        <v>0</v>
      </c>
      <c r="Q458" s="20">
        <f t="shared" si="231"/>
        <v>0</v>
      </c>
      <c r="R458" s="20">
        <f t="shared" si="231"/>
        <v>0</v>
      </c>
      <c r="S458" s="20">
        <f t="shared" si="231"/>
        <v>0</v>
      </c>
      <c r="T458" s="20">
        <f t="shared" si="231"/>
        <v>0</v>
      </c>
      <c r="U458" s="20">
        <f t="shared" si="231"/>
        <v>0</v>
      </c>
      <c r="V458" s="20">
        <f t="shared" si="231"/>
        <v>0</v>
      </c>
      <c r="W458" s="20">
        <f t="shared" si="231"/>
        <v>0</v>
      </c>
      <c r="X458" s="20">
        <f t="shared" si="231"/>
        <v>0</v>
      </c>
      <c r="Y458" s="20">
        <f t="shared" si="231"/>
        <v>0</v>
      </c>
      <c r="Z458" s="20">
        <f t="shared" si="231"/>
        <v>0</v>
      </c>
      <c r="AA458" s="20">
        <f t="shared" si="231"/>
        <v>0</v>
      </c>
    </row>
    <row r="459" spans="1:27">
      <c r="A459" s="3"/>
      <c r="B459" s="3"/>
      <c r="C459" s="3" t="s">
        <v>2410</v>
      </c>
      <c r="D459" s="20">
        <f t="shared" ref="D459:AA459" si="232">D457*D458</f>
        <v>0</v>
      </c>
      <c r="E459" s="20">
        <f t="shared" si="232"/>
        <v>0</v>
      </c>
      <c r="F459" s="20">
        <f t="shared" si="232"/>
        <v>0</v>
      </c>
      <c r="G459" s="20">
        <f t="shared" si="232"/>
        <v>0</v>
      </c>
      <c r="H459" s="20">
        <f t="shared" si="232"/>
        <v>0</v>
      </c>
      <c r="I459" s="20">
        <f t="shared" si="232"/>
        <v>0</v>
      </c>
      <c r="J459" s="20">
        <f t="shared" si="232"/>
        <v>0</v>
      </c>
      <c r="K459" s="20">
        <f t="shared" si="232"/>
        <v>0</v>
      </c>
      <c r="L459" s="20">
        <f t="shared" si="232"/>
        <v>0</v>
      </c>
      <c r="M459" s="20">
        <f t="shared" si="232"/>
        <v>0</v>
      </c>
      <c r="N459" s="20">
        <f t="shared" si="232"/>
        <v>0</v>
      </c>
      <c r="O459" s="20">
        <f t="shared" si="232"/>
        <v>0</v>
      </c>
      <c r="P459" s="20">
        <f t="shared" si="232"/>
        <v>0</v>
      </c>
      <c r="Q459" s="20">
        <f t="shared" si="232"/>
        <v>0</v>
      </c>
      <c r="R459" s="20">
        <f t="shared" si="232"/>
        <v>0</v>
      </c>
      <c r="S459" s="20">
        <f t="shared" si="232"/>
        <v>0</v>
      </c>
      <c r="T459" s="20">
        <f t="shared" si="232"/>
        <v>0</v>
      </c>
      <c r="U459" s="20">
        <f t="shared" si="232"/>
        <v>0</v>
      </c>
      <c r="V459" s="20">
        <f t="shared" si="232"/>
        <v>0</v>
      </c>
      <c r="W459" s="20">
        <f t="shared" si="232"/>
        <v>0</v>
      </c>
      <c r="X459" s="20">
        <f t="shared" si="232"/>
        <v>0</v>
      </c>
      <c r="Y459" s="20">
        <f t="shared" si="232"/>
        <v>0</v>
      </c>
      <c r="Z459" s="20">
        <f t="shared" si="232"/>
        <v>0</v>
      </c>
      <c r="AA459" s="20">
        <f t="shared" si="232"/>
        <v>0</v>
      </c>
    </row>
    <row r="460" ht="20.25" spans="1:27">
      <c r="A460" s="156"/>
      <c r="B460" s="156" t="s">
        <v>1321</v>
      </c>
      <c r="C460" s="156" t="s">
        <v>114</v>
      </c>
      <c r="D460" s="157">
        <f t="shared" ref="D460:AA460" si="233">D441+D444+D447+D450+D453+D456+D459</f>
        <v>0</v>
      </c>
      <c r="E460" s="157">
        <f t="shared" si="233"/>
        <v>0</v>
      </c>
      <c r="F460" s="157">
        <f t="shared" si="233"/>
        <v>0</v>
      </c>
      <c r="G460" s="157">
        <f t="shared" si="233"/>
        <v>0</v>
      </c>
      <c r="H460" s="157">
        <f t="shared" si="233"/>
        <v>45.6444343969481</v>
      </c>
      <c r="I460" s="157">
        <f t="shared" si="233"/>
        <v>47.7374343969481</v>
      </c>
      <c r="J460" s="157">
        <f t="shared" si="233"/>
        <v>67.4118389704462</v>
      </c>
      <c r="K460" s="157">
        <f t="shared" si="233"/>
        <v>72.7938389704462</v>
      </c>
      <c r="L460" s="157">
        <f t="shared" si="233"/>
        <v>91.3973171027622</v>
      </c>
      <c r="M460" s="157">
        <f t="shared" si="233"/>
        <v>96.7793171027622</v>
      </c>
      <c r="N460" s="157">
        <f t="shared" si="233"/>
        <v>104.852317102762</v>
      </c>
      <c r="O460" s="157">
        <f t="shared" si="233"/>
        <v>214.020567602666</v>
      </c>
      <c r="P460" s="157">
        <f t="shared" si="233"/>
        <v>83.318434396948</v>
      </c>
      <c r="Q460" s="157">
        <f t="shared" si="233"/>
        <v>86.9064343969481</v>
      </c>
      <c r="R460" s="157">
        <f t="shared" si="233"/>
        <v>74.049434396948</v>
      </c>
      <c r="S460" s="157">
        <f t="shared" si="233"/>
        <v>103.650434396948</v>
      </c>
      <c r="T460" s="157">
        <f t="shared" si="233"/>
        <v>126.613838970446</v>
      </c>
      <c r="U460" s="157">
        <f t="shared" si="233"/>
        <v>48.9334343969481</v>
      </c>
      <c r="V460" s="157">
        <f t="shared" si="233"/>
        <v>76.1424343969481</v>
      </c>
      <c r="W460" s="157">
        <f t="shared" si="233"/>
        <v>85.0528389704462</v>
      </c>
      <c r="X460" s="157">
        <f t="shared" si="233"/>
        <v>88.3418389704462</v>
      </c>
      <c r="Y460" s="157">
        <f t="shared" si="233"/>
        <v>102.759317102762</v>
      </c>
      <c r="Z460" s="157">
        <f t="shared" si="233"/>
        <v>103.357317102762</v>
      </c>
      <c r="AA460" s="157">
        <f t="shared" si="233"/>
        <v>135.481273367394</v>
      </c>
    </row>
    <row r="461" ht="20.25" spans="1:27">
      <c r="A461" s="156" t="s">
        <v>463</v>
      </c>
      <c r="B461" s="156"/>
      <c r="C461" s="156" t="s">
        <v>114</v>
      </c>
      <c r="D461" s="157">
        <f t="shared" ref="D461:AA461" si="234">D460+D438</f>
        <v>0.376306342241723</v>
      </c>
      <c r="E461" s="157">
        <f t="shared" si="234"/>
        <v>0.481611487834065</v>
      </c>
      <c r="F461" s="157">
        <f t="shared" si="234"/>
        <v>0.428958915037894</v>
      </c>
      <c r="G461" s="157">
        <f t="shared" si="234"/>
        <v>0.551655364978061</v>
      </c>
      <c r="H461" s="157">
        <f t="shared" si="234"/>
        <v>63.1189457651172</v>
      </c>
      <c r="I461" s="157">
        <f t="shared" si="234"/>
        <v>68.3289780746505</v>
      </c>
      <c r="J461" s="157">
        <f t="shared" si="234"/>
        <v>96.6659275225005</v>
      </c>
      <c r="K461" s="157">
        <f t="shared" si="234"/>
        <v>104.491724889872</v>
      </c>
      <c r="L461" s="157">
        <f t="shared" si="234"/>
        <v>126.529746301007</v>
      </c>
      <c r="M461" s="157">
        <f t="shared" si="234"/>
        <v>144.527861179348</v>
      </c>
      <c r="N461" s="157">
        <f t="shared" si="234"/>
        <v>163.215619855056</v>
      </c>
      <c r="O461" s="157">
        <f t="shared" si="234"/>
        <v>365.558341834816</v>
      </c>
      <c r="P461" s="157">
        <f t="shared" si="234"/>
        <v>132.182814133685</v>
      </c>
      <c r="Q461" s="157">
        <f t="shared" si="234"/>
        <v>138.891755497865</v>
      </c>
      <c r="R461" s="157">
        <f t="shared" si="234"/>
        <v>114.589522151236</v>
      </c>
      <c r="S461" s="157">
        <f t="shared" si="234"/>
        <v>186.013657372616</v>
      </c>
      <c r="T461" s="157">
        <f t="shared" si="234"/>
        <v>223.140364698408</v>
      </c>
      <c r="U461" s="157">
        <f t="shared" si="234"/>
        <v>61.3115756015751</v>
      </c>
      <c r="V461" s="157">
        <f t="shared" si="234"/>
        <v>91.6680028054044</v>
      </c>
      <c r="W461" s="157">
        <f t="shared" si="234"/>
        <v>103.195160470247</v>
      </c>
      <c r="X461" s="157">
        <f t="shared" si="234"/>
        <v>120.317666652935</v>
      </c>
      <c r="Y461" s="157">
        <f t="shared" si="234"/>
        <v>144.891905854258</v>
      </c>
      <c r="Z461" s="157">
        <f t="shared" si="234"/>
        <v>131.263260461358</v>
      </c>
      <c r="AA461" s="157">
        <f t="shared" si="234"/>
        <v>187.415696981275</v>
      </c>
    </row>
    <row r="462" ht="20.25" spans="1:27">
      <c r="A462" s="156" t="s">
        <v>458</v>
      </c>
      <c r="B462" s="156"/>
      <c r="C462" s="156"/>
      <c r="D462" s="156">
        <v>6050</v>
      </c>
      <c r="E462" s="156">
        <v>6051</v>
      </c>
      <c r="F462" s="156">
        <v>6052</v>
      </c>
      <c r="G462" s="156">
        <v>6053</v>
      </c>
      <c r="H462" s="156">
        <v>6054</v>
      </c>
      <c r="I462" s="156">
        <v>6055</v>
      </c>
      <c r="J462" s="156">
        <v>6056</v>
      </c>
      <c r="K462" s="156">
        <v>6057</v>
      </c>
      <c r="L462" s="156">
        <v>6058</v>
      </c>
      <c r="M462" s="156">
        <v>6059</v>
      </c>
      <c r="N462" s="156">
        <v>6060</v>
      </c>
      <c r="O462" s="156">
        <v>6061</v>
      </c>
      <c r="P462" s="190">
        <v>6062</v>
      </c>
      <c r="Q462" s="156">
        <v>6063</v>
      </c>
      <c r="R462" s="156">
        <v>6064</v>
      </c>
      <c r="S462" s="156">
        <v>6065</v>
      </c>
      <c r="T462" s="156">
        <v>6066</v>
      </c>
      <c r="U462" s="156">
        <v>6067</v>
      </c>
      <c r="V462" s="156">
        <v>6068</v>
      </c>
      <c r="W462" s="156">
        <v>6069</v>
      </c>
      <c r="X462" s="156">
        <v>6070</v>
      </c>
      <c r="Y462" s="156">
        <v>6071</v>
      </c>
      <c r="Z462" s="156">
        <v>6072</v>
      </c>
      <c r="AA462" s="156">
        <v>6073</v>
      </c>
    </row>
    <row r="463" s="153" customFormat="1" spans="25:25">
      <c r="Y463" s="176"/>
    </row>
    <row r="464" spans="1:15">
      <c r="A464" s="3" t="s">
        <v>2388</v>
      </c>
      <c r="B464" s="3"/>
      <c r="C464" s="3" t="s">
        <v>55</v>
      </c>
      <c r="D464" s="3" t="s">
        <v>2514</v>
      </c>
      <c r="E464" s="3"/>
      <c r="F464" s="3"/>
      <c r="G464" s="3"/>
      <c r="H464" s="3"/>
      <c r="I464" s="3"/>
      <c r="J464" s="3"/>
      <c r="K464" s="3" t="s">
        <v>2515</v>
      </c>
      <c r="L464" s="3"/>
      <c r="M464" s="3"/>
      <c r="N464" s="3"/>
      <c r="O464" s="3"/>
    </row>
    <row r="465" spans="1:15">
      <c r="A465" s="3"/>
      <c r="B465" s="3"/>
      <c r="C465" s="3"/>
      <c r="D465" s="3" t="s">
        <v>2516</v>
      </c>
      <c r="E465" s="3"/>
      <c r="F465" s="3"/>
      <c r="G465" s="3"/>
      <c r="H465" s="3"/>
      <c r="I465" s="3"/>
      <c r="J465" s="3"/>
      <c r="K465" s="3" t="s">
        <v>2509</v>
      </c>
      <c r="L465" s="3" t="s">
        <v>2516</v>
      </c>
      <c r="M465" s="3"/>
      <c r="N465" s="3"/>
      <c r="O465" s="3"/>
    </row>
    <row r="466" spans="1:15">
      <c r="A466" s="3"/>
      <c r="B466" s="3"/>
      <c r="C466" s="3"/>
      <c r="D466" s="3" t="s">
        <v>2512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</row>
    <row r="467" spans="1:15">
      <c r="A467" s="3"/>
      <c r="B467" s="3"/>
      <c r="C467" s="3"/>
      <c r="D467" s="3">
        <v>30</v>
      </c>
      <c r="E467" s="3">
        <v>40</v>
      </c>
      <c r="F467" s="3">
        <v>50</v>
      </c>
      <c r="G467" s="3">
        <v>60</v>
      </c>
      <c r="H467" s="3">
        <v>100</v>
      </c>
      <c r="I467" s="3">
        <v>180</v>
      </c>
      <c r="J467" s="3">
        <v>280</v>
      </c>
      <c r="K467" s="3">
        <v>60</v>
      </c>
      <c r="L467" s="3">
        <v>40</v>
      </c>
      <c r="M467" s="3">
        <v>60</v>
      </c>
      <c r="N467" s="3">
        <v>100</v>
      </c>
      <c r="O467" s="3">
        <v>280</v>
      </c>
    </row>
    <row r="468" spans="1:15">
      <c r="A468" s="3" t="s">
        <v>2400</v>
      </c>
      <c r="B468" s="3" t="s">
        <v>2401</v>
      </c>
      <c r="C468" s="3" t="s">
        <v>114</v>
      </c>
      <c r="D468" s="20">
        <f>4.51/$AA$6</f>
        <v>3.92173913043478</v>
      </c>
      <c r="E468" s="20">
        <f>6.53/$AA$6</f>
        <v>5.67826086956522</v>
      </c>
      <c r="F468" s="20">
        <f>8.31/$AA$6</f>
        <v>7.22608695652174</v>
      </c>
      <c r="G468" s="20">
        <f>9.5/$AA$6</f>
        <v>8.26086956521739</v>
      </c>
      <c r="H468" s="20">
        <f>16.63/$AA$6</f>
        <v>14.4608695652174</v>
      </c>
      <c r="I468" s="20">
        <f>27.77/$AA$6</f>
        <v>24.1478260869565</v>
      </c>
      <c r="J468" s="20">
        <f>43.12/$AA$6</f>
        <v>37.495652173913</v>
      </c>
      <c r="K468" s="20">
        <f>13.46/$AA$6</f>
        <v>11.704347826087</v>
      </c>
      <c r="L468" s="20">
        <f>4.75/$AA$6</f>
        <v>4.1304347826087</v>
      </c>
      <c r="M468" s="20">
        <f>6.33/$AA$6</f>
        <v>5.50434782608696</v>
      </c>
      <c r="N468" s="20">
        <f>9.9/$AA$6</f>
        <v>8.60869565217391</v>
      </c>
      <c r="O468" s="20">
        <f>26.31/$AA$6</f>
        <v>22.8782608695652</v>
      </c>
    </row>
    <row r="469" spans="1:15">
      <c r="A469" s="3"/>
      <c r="B469" s="3" t="s">
        <v>2403</v>
      </c>
      <c r="C469" s="3" t="s">
        <v>114</v>
      </c>
      <c r="D469" s="20">
        <f>7.85/$AA$7</f>
        <v>7.20183486238532</v>
      </c>
      <c r="E469" s="20">
        <f>10.26/$AA$7</f>
        <v>9.41284403669725</v>
      </c>
      <c r="F469" s="20">
        <f>11.66/$AA$7</f>
        <v>10.697247706422</v>
      </c>
      <c r="G469" s="20">
        <f>19.46/$AA$7</f>
        <v>17.8532110091743</v>
      </c>
      <c r="H469" s="20">
        <f>27.81/$AA$7</f>
        <v>25.5137614678899</v>
      </c>
      <c r="I469" s="20">
        <f>33.01/$AA$7</f>
        <v>30.2844036697248</v>
      </c>
      <c r="J469" s="20">
        <f>35.56/$AA$7</f>
        <v>32.6238532110092</v>
      </c>
      <c r="K469" s="20">
        <f>11.34/$AA$7</f>
        <v>10.4036697247706</v>
      </c>
      <c r="L469" s="20">
        <f>6.37/$AA$7</f>
        <v>5.84403669724771</v>
      </c>
      <c r="M469" s="20">
        <f>9.65/$AA$7</f>
        <v>8.85321100917431</v>
      </c>
      <c r="N469" s="20">
        <f>12.58/$AA$7</f>
        <v>11.5412844036697</v>
      </c>
      <c r="O469" s="20">
        <f>23.31/$AA$7</f>
        <v>21.3853211009174</v>
      </c>
    </row>
    <row r="470" spans="1:15">
      <c r="A470" s="3"/>
      <c r="B470" s="3" t="s">
        <v>2405</v>
      </c>
      <c r="C470" s="3" t="s">
        <v>114</v>
      </c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ht="20.25" spans="1:15">
      <c r="A471" s="156"/>
      <c r="B471" s="156" t="s">
        <v>1321</v>
      </c>
      <c r="C471" s="156" t="s">
        <v>114</v>
      </c>
      <c r="D471" s="157">
        <f t="shared" ref="D471:O471" si="235">SUM(D468:D470)</f>
        <v>11.1235739928201</v>
      </c>
      <c r="E471" s="157">
        <f t="shared" si="235"/>
        <v>15.0911049062625</v>
      </c>
      <c r="F471" s="157">
        <f t="shared" si="235"/>
        <v>17.9233346629438</v>
      </c>
      <c r="G471" s="157">
        <f t="shared" si="235"/>
        <v>26.1140805743917</v>
      </c>
      <c r="H471" s="157">
        <f t="shared" si="235"/>
        <v>39.9746310331073</v>
      </c>
      <c r="I471" s="157">
        <f t="shared" si="235"/>
        <v>54.4322297566813</v>
      </c>
      <c r="J471" s="157">
        <f t="shared" si="235"/>
        <v>70.1195053849222</v>
      </c>
      <c r="K471" s="157">
        <f t="shared" si="235"/>
        <v>22.1080175508576</v>
      </c>
      <c r="L471" s="157">
        <f t="shared" si="235"/>
        <v>9.9744714798564</v>
      </c>
      <c r="M471" s="157">
        <f t="shared" si="235"/>
        <v>14.3575588352613</v>
      </c>
      <c r="N471" s="157">
        <f t="shared" si="235"/>
        <v>20.1499800558436</v>
      </c>
      <c r="O471" s="157">
        <f t="shared" si="235"/>
        <v>44.2635819704826</v>
      </c>
    </row>
    <row r="472" spans="1:15">
      <c r="A472" s="3" t="s">
        <v>2408</v>
      </c>
      <c r="B472" s="3" t="s">
        <v>600</v>
      </c>
      <c r="C472" s="3" t="s">
        <v>2409</v>
      </c>
      <c r="D472" s="20">
        <v>3.9</v>
      </c>
      <c r="E472" s="20">
        <v>3.9</v>
      </c>
      <c r="F472" s="20">
        <v>3.9</v>
      </c>
      <c r="G472" s="20">
        <v>3.9</v>
      </c>
      <c r="H472" s="20">
        <v>5</v>
      </c>
      <c r="I472" s="20">
        <v>6.3</v>
      </c>
      <c r="J472" s="20">
        <v>7.3</v>
      </c>
      <c r="K472" s="20">
        <v>6.3</v>
      </c>
      <c r="L472" s="20">
        <v>3.9</v>
      </c>
      <c r="M472" s="20">
        <v>5</v>
      </c>
      <c r="N472" s="20">
        <v>6.3</v>
      </c>
      <c r="O472" s="20">
        <v>7.3</v>
      </c>
    </row>
    <row r="473" spans="1:15">
      <c r="A473" s="3"/>
      <c r="B473" s="3"/>
      <c r="C473" s="3" t="s">
        <v>834</v>
      </c>
      <c r="D473" s="20">
        <f t="shared" ref="D473:O473" si="236">D440</f>
        <v>8.10036779408924</v>
      </c>
      <c r="E473" s="20">
        <f t="shared" si="236"/>
        <v>8.10036779408924</v>
      </c>
      <c r="F473" s="20">
        <f t="shared" si="236"/>
        <v>8.10036779408924</v>
      </c>
      <c r="G473" s="20">
        <f t="shared" si="236"/>
        <v>8.10036779408924</v>
      </c>
      <c r="H473" s="20">
        <f t="shared" si="236"/>
        <v>8.10036779408924</v>
      </c>
      <c r="I473" s="20">
        <f t="shared" si="236"/>
        <v>8.10036779408924</v>
      </c>
      <c r="J473" s="20">
        <f t="shared" si="236"/>
        <v>8.10036779408924</v>
      </c>
      <c r="K473" s="20">
        <f t="shared" si="236"/>
        <v>8.10036779408924</v>
      </c>
      <c r="L473" s="20">
        <f t="shared" si="236"/>
        <v>8.10036779408924</v>
      </c>
      <c r="M473" s="20">
        <f t="shared" si="236"/>
        <v>8.10036779408924</v>
      </c>
      <c r="N473" s="20">
        <f t="shared" si="236"/>
        <v>8.10036779408924</v>
      </c>
      <c r="O473" s="20">
        <f t="shared" si="236"/>
        <v>8.10036779408924</v>
      </c>
    </row>
    <row r="474" spans="1:15">
      <c r="A474" s="3"/>
      <c r="B474" s="3"/>
      <c r="C474" s="3" t="s">
        <v>2410</v>
      </c>
      <c r="D474" s="20">
        <f t="shared" ref="D474:O474" si="237">D472*D473</f>
        <v>31.5914343969481</v>
      </c>
      <c r="E474" s="20">
        <f t="shared" si="237"/>
        <v>31.5914343969481</v>
      </c>
      <c r="F474" s="20">
        <f t="shared" si="237"/>
        <v>31.5914343969481</v>
      </c>
      <c r="G474" s="20">
        <f t="shared" si="237"/>
        <v>31.5914343969481</v>
      </c>
      <c r="H474" s="20">
        <f t="shared" si="237"/>
        <v>40.5018389704462</v>
      </c>
      <c r="I474" s="20">
        <f t="shared" si="237"/>
        <v>51.0323171027622</v>
      </c>
      <c r="J474" s="20">
        <f t="shared" si="237"/>
        <v>59.1326848968515</v>
      </c>
      <c r="K474" s="20">
        <f t="shared" si="237"/>
        <v>51.0323171027622</v>
      </c>
      <c r="L474" s="20">
        <f t="shared" si="237"/>
        <v>31.5914343969481</v>
      </c>
      <c r="M474" s="20">
        <f t="shared" si="237"/>
        <v>40.5018389704462</v>
      </c>
      <c r="N474" s="20">
        <f t="shared" si="237"/>
        <v>51.0323171027622</v>
      </c>
      <c r="O474" s="20">
        <f t="shared" si="237"/>
        <v>59.1326848968515</v>
      </c>
    </row>
    <row r="475" spans="1:15">
      <c r="A475" s="3"/>
      <c r="B475" s="3" t="s">
        <v>1825</v>
      </c>
      <c r="C475" s="3" t="s">
        <v>550</v>
      </c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1:15">
      <c r="A476" s="3"/>
      <c r="B476" s="3"/>
      <c r="C476" s="3" t="s">
        <v>834</v>
      </c>
      <c r="D476" s="20">
        <f t="shared" ref="D476:O476" si="238">D443</f>
        <v>3.075</v>
      </c>
      <c r="E476" s="20">
        <f t="shared" si="238"/>
        <v>3.075</v>
      </c>
      <c r="F476" s="20">
        <f t="shared" si="238"/>
        <v>3.075</v>
      </c>
      <c r="G476" s="20">
        <f t="shared" si="238"/>
        <v>3.075</v>
      </c>
      <c r="H476" s="20">
        <f t="shared" si="238"/>
        <v>3.075</v>
      </c>
      <c r="I476" s="20">
        <f t="shared" si="238"/>
        <v>3.075</v>
      </c>
      <c r="J476" s="20">
        <f t="shared" si="238"/>
        <v>3.075</v>
      </c>
      <c r="K476" s="20">
        <f t="shared" si="238"/>
        <v>3.075</v>
      </c>
      <c r="L476" s="20">
        <f t="shared" si="238"/>
        <v>3.075</v>
      </c>
      <c r="M476" s="20">
        <f t="shared" si="238"/>
        <v>3.075</v>
      </c>
      <c r="N476" s="20">
        <f t="shared" si="238"/>
        <v>3.075</v>
      </c>
      <c r="O476" s="20">
        <f t="shared" si="238"/>
        <v>3.075</v>
      </c>
    </row>
    <row r="477" spans="1:15">
      <c r="A477" s="3"/>
      <c r="B477" s="3"/>
      <c r="C477" s="3" t="s">
        <v>2410</v>
      </c>
      <c r="D477" s="20">
        <f t="shared" ref="D477:O477" si="239">D475*D476</f>
        <v>0</v>
      </c>
      <c r="E477" s="20">
        <f t="shared" si="239"/>
        <v>0</v>
      </c>
      <c r="F477" s="20">
        <f t="shared" si="239"/>
        <v>0</v>
      </c>
      <c r="G477" s="20">
        <f t="shared" si="239"/>
        <v>0</v>
      </c>
      <c r="H477" s="20">
        <f t="shared" si="239"/>
        <v>0</v>
      </c>
      <c r="I477" s="20">
        <f t="shared" si="239"/>
        <v>0</v>
      </c>
      <c r="J477" s="20">
        <f t="shared" si="239"/>
        <v>0</v>
      </c>
      <c r="K477" s="20">
        <f t="shared" si="239"/>
        <v>0</v>
      </c>
      <c r="L477" s="20">
        <f t="shared" si="239"/>
        <v>0</v>
      </c>
      <c r="M477" s="20">
        <f t="shared" si="239"/>
        <v>0</v>
      </c>
      <c r="N477" s="20">
        <f t="shared" si="239"/>
        <v>0</v>
      </c>
      <c r="O477" s="20">
        <f t="shared" si="239"/>
        <v>0</v>
      </c>
    </row>
    <row r="478" spans="1:15">
      <c r="A478" s="3"/>
      <c r="B478" s="3" t="s">
        <v>1822</v>
      </c>
      <c r="C478" s="3" t="s">
        <v>550</v>
      </c>
      <c r="D478" s="20">
        <v>0.9</v>
      </c>
      <c r="E478" s="20">
        <v>0.9</v>
      </c>
      <c r="F478" s="20">
        <v>0.9</v>
      </c>
      <c r="G478" s="20">
        <v>0.9</v>
      </c>
      <c r="H478" s="20">
        <v>0.9</v>
      </c>
      <c r="I478" s="20">
        <v>0.9</v>
      </c>
      <c r="J478" s="20">
        <v>1.8</v>
      </c>
      <c r="K478" s="20">
        <v>22.6</v>
      </c>
      <c r="L478" s="20">
        <v>0.7</v>
      </c>
      <c r="M478" s="20">
        <v>0.7</v>
      </c>
      <c r="N478" s="20">
        <v>0.7</v>
      </c>
      <c r="O478" s="20">
        <v>1.8</v>
      </c>
    </row>
    <row r="479" spans="1:15">
      <c r="A479" s="3"/>
      <c r="B479" s="3"/>
      <c r="C479" s="3" t="s">
        <v>834</v>
      </c>
      <c r="D479" s="20">
        <f t="shared" ref="D479:O479" si="240">D446</f>
        <v>2.99</v>
      </c>
      <c r="E479" s="20">
        <f t="shared" si="240"/>
        <v>2.99</v>
      </c>
      <c r="F479" s="20">
        <f t="shared" si="240"/>
        <v>2.99</v>
      </c>
      <c r="G479" s="20">
        <f t="shared" si="240"/>
        <v>2.99</v>
      </c>
      <c r="H479" s="20">
        <f t="shared" si="240"/>
        <v>2.99</v>
      </c>
      <c r="I479" s="20">
        <f t="shared" si="240"/>
        <v>2.99</v>
      </c>
      <c r="J479" s="20">
        <f t="shared" si="240"/>
        <v>2.99</v>
      </c>
      <c r="K479" s="20">
        <f t="shared" si="240"/>
        <v>2.99</v>
      </c>
      <c r="L479" s="20">
        <f t="shared" si="240"/>
        <v>2.99</v>
      </c>
      <c r="M479" s="20">
        <f t="shared" si="240"/>
        <v>2.99</v>
      </c>
      <c r="N479" s="20">
        <f t="shared" si="240"/>
        <v>2.99</v>
      </c>
      <c r="O479" s="20">
        <f t="shared" si="240"/>
        <v>2.99</v>
      </c>
    </row>
    <row r="480" spans="1:15">
      <c r="A480" s="3"/>
      <c r="B480" s="3"/>
      <c r="C480" s="3" t="s">
        <v>2410</v>
      </c>
      <c r="D480" s="20">
        <f t="shared" ref="D480:O480" si="241">D478*D479</f>
        <v>2.691</v>
      </c>
      <c r="E480" s="20">
        <f t="shared" si="241"/>
        <v>2.691</v>
      </c>
      <c r="F480" s="20">
        <f t="shared" si="241"/>
        <v>2.691</v>
      </c>
      <c r="G480" s="20">
        <f t="shared" si="241"/>
        <v>2.691</v>
      </c>
      <c r="H480" s="20">
        <f t="shared" si="241"/>
        <v>2.691</v>
      </c>
      <c r="I480" s="20">
        <f t="shared" si="241"/>
        <v>2.691</v>
      </c>
      <c r="J480" s="20">
        <f t="shared" si="241"/>
        <v>5.382</v>
      </c>
      <c r="K480" s="20">
        <f t="shared" si="241"/>
        <v>67.574</v>
      </c>
      <c r="L480" s="20">
        <f t="shared" si="241"/>
        <v>2.093</v>
      </c>
      <c r="M480" s="20">
        <f t="shared" si="241"/>
        <v>2.093</v>
      </c>
      <c r="N480" s="20">
        <f t="shared" si="241"/>
        <v>2.093</v>
      </c>
      <c r="O480" s="20">
        <f t="shared" si="241"/>
        <v>5.382</v>
      </c>
    </row>
    <row r="481" spans="1:15">
      <c r="A481" s="3"/>
      <c r="B481" s="3" t="s">
        <v>2411</v>
      </c>
      <c r="C481" s="3" t="s">
        <v>1834</v>
      </c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1:15">
      <c r="A482" s="3"/>
      <c r="B482" s="3"/>
      <c r="C482" s="3" t="s">
        <v>834</v>
      </c>
      <c r="D482" s="20">
        <f t="shared" ref="D482:O482" si="242">D449</f>
        <v>0.48</v>
      </c>
      <c r="E482" s="20">
        <f t="shared" si="242"/>
        <v>0.48</v>
      </c>
      <c r="F482" s="20">
        <f t="shared" si="242"/>
        <v>0.48</v>
      </c>
      <c r="G482" s="20">
        <f t="shared" si="242"/>
        <v>0.48</v>
      </c>
      <c r="H482" s="20">
        <f t="shared" si="242"/>
        <v>0.48</v>
      </c>
      <c r="I482" s="20">
        <f t="shared" si="242"/>
        <v>0.48</v>
      </c>
      <c r="J482" s="20">
        <f t="shared" si="242"/>
        <v>0.48</v>
      </c>
      <c r="K482" s="20">
        <f t="shared" si="242"/>
        <v>0.48</v>
      </c>
      <c r="L482" s="20">
        <f t="shared" si="242"/>
        <v>0.48</v>
      </c>
      <c r="M482" s="20">
        <f t="shared" si="242"/>
        <v>0.48</v>
      </c>
      <c r="N482" s="20">
        <f t="shared" si="242"/>
        <v>0.48</v>
      </c>
      <c r="O482" s="20">
        <f t="shared" si="242"/>
        <v>0.48</v>
      </c>
    </row>
    <row r="483" spans="1:15">
      <c r="A483" s="3"/>
      <c r="B483" s="3"/>
      <c r="C483" s="3" t="s">
        <v>2410</v>
      </c>
      <c r="D483" s="20">
        <f t="shared" ref="D483:O483" si="243">D481*D482</f>
        <v>0</v>
      </c>
      <c r="E483" s="20">
        <f t="shared" si="243"/>
        <v>0</v>
      </c>
      <c r="F483" s="20">
        <f t="shared" si="243"/>
        <v>0</v>
      </c>
      <c r="G483" s="20">
        <f t="shared" si="243"/>
        <v>0</v>
      </c>
      <c r="H483" s="20">
        <f t="shared" si="243"/>
        <v>0</v>
      </c>
      <c r="I483" s="20">
        <f t="shared" si="243"/>
        <v>0</v>
      </c>
      <c r="J483" s="20">
        <f t="shared" si="243"/>
        <v>0</v>
      </c>
      <c r="K483" s="20">
        <f t="shared" si="243"/>
        <v>0</v>
      </c>
      <c r="L483" s="20">
        <f t="shared" si="243"/>
        <v>0</v>
      </c>
      <c r="M483" s="20">
        <f t="shared" si="243"/>
        <v>0</v>
      </c>
      <c r="N483" s="20">
        <f t="shared" si="243"/>
        <v>0</v>
      </c>
      <c r="O483" s="20">
        <f t="shared" si="243"/>
        <v>0</v>
      </c>
    </row>
    <row r="484" spans="1:15">
      <c r="A484" s="3"/>
      <c r="B484" s="3" t="s">
        <v>2412</v>
      </c>
      <c r="C484" s="3" t="s">
        <v>632</v>
      </c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1:15">
      <c r="A485" s="3"/>
      <c r="B485" s="3"/>
      <c r="C485" s="3" t="s">
        <v>834</v>
      </c>
      <c r="D485" s="20">
        <f t="shared" ref="D485:O485" si="244">D452</f>
        <v>0.12</v>
      </c>
      <c r="E485" s="20">
        <f t="shared" si="244"/>
        <v>0.12</v>
      </c>
      <c r="F485" s="20">
        <f t="shared" si="244"/>
        <v>0.12</v>
      </c>
      <c r="G485" s="20">
        <f t="shared" si="244"/>
        <v>0.12</v>
      </c>
      <c r="H485" s="20">
        <f t="shared" si="244"/>
        <v>0.12</v>
      </c>
      <c r="I485" s="20">
        <f t="shared" si="244"/>
        <v>0.12</v>
      </c>
      <c r="J485" s="20">
        <f t="shared" si="244"/>
        <v>0.12</v>
      </c>
      <c r="K485" s="20">
        <f t="shared" si="244"/>
        <v>0.12</v>
      </c>
      <c r="L485" s="20">
        <f t="shared" si="244"/>
        <v>0.12</v>
      </c>
      <c r="M485" s="20">
        <f t="shared" si="244"/>
        <v>0.12</v>
      </c>
      <c r="N485" s="20">
        <f t="shared" si="244"/>
        <v>0.12</v>
      </c>
      <c r="O485" s="20">
        <f t="shared" si="244"/>
        <v>0.12</v>
      </c>
    </row>
    <row r="486" spans="1:15">
      <c r="A486" s="3"/>
      <c r="B486" s="3"/>
      <c r="C486" s="3" t="s">
        <v>2410</v>
      </c>
      <c r="D486" s="20">
        <f t="shared" ref="D486:O486" si="245">D484*D485</f>
        <v>0</v>
      </c>
      <c r="E486" s="20">
        <f t="shared" si="245"/>
        <v>0</v>
      </c>
      <c r="F486" s="20">
        <f t="shared" si="245"/>
        <v>0</v>
      </c>
      <c r="G486" s="20">
        <f t="shared" si="245"/>
        <v>0</v>
      </c>
      <c r="H486" s="20">
        <f t="shared" si="245"/>
        <v>0</v>
      </c>
      <c r="I486" s="20">
        <f t="shared" si="245"/>
        <v>0</v>
      </c>
      <c r="J486" s="20">
        <f t="shared" si="245"/>
        <v>0</v>
      </c>
      <c r="K486" s="20">
        <f t="shared" si="245"/>
        <v>0</v>
      </c>
      <c r="L486" s="20">
        <f t="shared" si="245"/>
        <v>0</v>
      </c>
      <c r="M486" s="20">
        <f t="shared" si="245"/>
        <v>0</v>
      </c>
      <c r="N486" s="20">
        <f t="shared" si="245"/>
        <v>0</v>
      </c>
      <c r="O486" s="20">
        <f t="shared" si="245"/>
        <v>0</v>
      </c>
    </row>
    <row r="487" spans="1:15">
      <c r="A487" s="3"/>
      <c r="B487" s="3" t="s">
        <v>2413</v>
      </c>
      <c r="C487" s="3" t="s">
        <v>632</v>
      </c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1:15">
      <c r="A488" s="3"/>
      <c r="B488" s="3"/>
      <c r="C488" s="3" t="s">
        <v>834</v>
      </c>
      <c r="D488" s="20">
        <f t="shared" ref="D488:O488" si="246">D455</f>
        <v>3.88349514563107</v>
      </c>
      <c r="E488" s="20">
        <f t="shared" si="246"/>
        <v>3.88349514563107</v>
      </c>
      <c r="F488" s="20">
        <f t="shared" si="246"/>
        <v>3.88349514563107</v>
      </c>
      <c r="G488" s="20">
        <f t="shared" si="246"/>
        <v>3.88349514563107</v>
      </c>
      <c r="H488" s="20">
        <f t="shared" si="246"/>
        <v>3.88349514563107</v>
      </c>
      <c r="I488" s="20">
        <f t="shared" si="246"/>
        <v>3.88349514563107</v>
      </c>
      <c r="J488" s="20">
        <f t="shared" si="246"/>
        <v>3.88349514563107</v>
      </c>
      <c r="K488" s="20">
        <f t="shared" si="246"/>
        <v>3.88349514563107</v>
      </c>
      <c r="L488" s="20">
        <f t="shared" si="246"/>
        <v>3.88349514563107</v>
      </c>
      <c r="M488" s="20">
        <f t="shared" si="246"/>
        <v>3.88349514563107</v>
      </c>
      <c r="N488" s="20">
        <f t="shared" si="246"/>
        <v>3.88349514563107</v>
      </c>
      <c r="O488" s="20">
        <f t="shared" si="246"/>
        <v>3.88349514563107</v>
      </c>
    </row>
    <row r="489" spans="1:15">
      <c r="A489" s="3"/>
      <c r="B489" s="3"/>
      <c r="C489" s="3" t="s">
        <v>2410</v>
      </c>
      <c r="D489" s="20">
        <f t="shared" ref="D489:O489" si="247">D487*D488</f>
        <v>0</v>
      </c>
      <c r="E489" s="20">
        <f t="shared" si="247"/>
        <v>0</v>
      </c>
      <c r="F489" s="20">
        <f t="shared" si="247"/>
        <v>0</v>
      </c>
      <c r="G489" s="20">
        <f t="shared" si="247"/>
        <v>0</v>
      </c>
      <c r="H489" s="20">
        <f t="shared" si="247"/>
        <v>0</v>
      </c>
      <c r="I489" s="20">
        <f t="shared" si="247"/>
        <v>0</v>
      </c>
      <c r="J489" s="20">
        <f t="shared" si="247"/>
        <v>0</v>
      </c>
      <c r="K489" s="20">
        <f t="shared" si="247"/>
        <v>0</v>
      </c>
      <c r="L489" s="20">
        <f t="shared" si="247"/>
        <v>0</v>
      </c>
      <c r="M489" s="20">
        <f t="shared" si="247"/>
        <v>0</v>
      </c>
      <c r="N489" s="20">
        <f t="shared" si="247"/>
        <v>0</v>
      </c>
      <c r="O489" s="20">
        <f t="shared" si="247"/>
        <v>0</v>
      </c>
    </row>
    <row r="490" spans="1:15">
      <c r="A490" s="3"/>
      <c r="B490" s="3" t="s">
        <v>2414</v>
      </c>
      <c r="C490" s="3" t="s">
        <v>550</v>
      </c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1:15">
      <c r="A491" s="3"/>
      <c r="B491" s="3"/>
      <c r="C491" s="3" t="s">
        <v>834</v>
      </c>
      <c r="D491" s="20">
        <f t="shared" ref="D491:O491" si="248">D458</f>
        <v>0</v>
      </c>
      <c r="E491" s="20">
        <f t="shared" si="248"/>
        <v>0</v>
      </c>
      <c r="F491" s="20">
        <f t="shared" si="248"/>
        <v>0</v>
      </c>
      <c r="G491" s="20">
        <f t="shared" si="248"/>
        <v>0</v>
      </c>
      <c r="H491" s="20">
        <f t="shared" si="248"/>
        <v>0</v>
      </c>
      <c r="I491" s="20">
        <f t="shared" si="248"/>
        <v>0</v>
      </c>
      <c r="J491" s="20">
        <f t="shared" si="248"/>
        <v>0</v>
      </c>
      <c r="K491" s="20">
        <f t="shared" si="248"/>
        <v>0</v>
      </c>
      <c r="L491" s="20">
        <f t="shared" si="248"/>
        <v>0</v>
      </c>
      <c r="M491" s="20">
        <f t="shared" si="248"/>
        <v>0</v>
      </c>
      <c r="N491" s="20">
        <f t="shared" si="248"/>
        <v>0</v>
      </c>
      <c r="O491" s="20">
        <f t="shared" si="248"/>
        <v>0</v>
      </c>
    </row>
    <row r="492" spans="1:15">
      <c r="A492" s="3"/>
      <c r="B492" s="3"/>
      <c r="C492" s="3" t="s">
        <v>2410</v>
      </c>
      <c r="D492" s="20">
        <f t="shared" ref="D492:O492" si="249">D490*D491</f>
        <v>0</v>
      </c>
      <c r="E492" s="20">
        <f t="shared" si="249"/>
        <v>0</v>
      </c>
      <c r="F492" s="20">
        <f t="shared" si="249"/>
        <v>0</v>
      </c>
      <c r="G492" s="20">
        <f t="shared" si="249"/>
        <v>0</v>
      </c>
      <c r="H492" s="20">
        <f t="shared" si="249"/>
        <v>0</v>
      </c>
      <c r="I492" s="20">
        <f t="shared" si="249"/>
        <v>0</v>
      </c>
      <c r="J492" s="20">
        <f t="shared" si="249"/>
        <v>0</v>
      </c>
      <c r="K492" s="20">
        <f t="shared" si="249"/>
        <v>0</v>
      </c>
      <c r="L492" s="20">
        <f t="shared" si="249"/>
        <v>0</v>
      </c>
      <c r="M492" s="20">
        <f t="shared" si="249"/>
        <v>0</v>
      </c>
      <c r="N492" s="20">
        <f t="shared" si="249"/>
        <v>0</v>
      </c>
      <c r="O492" s="20">
        <f t="shared" si="249"/>
        <v>0</v>
      </c>
    </row>
    <row r="493" ht="20.25" spans="1:15">
      <c r="A493" s="156"/>
      <c r="B493" s="156" t="s">
        <v>1321</v>
      </c>
      <c r="C493" s="156" t="s">
        <v>114</v>
      </c>
      <c r="D493" s="157">
        <f t="shared" ref="D493:O493" si="250">D474+D477+D480+D483+D486+D489+D492</f>
        <v>34.2824343969481</v>
      </c>
      <c r="E493" s="157">
        <f t="shared" si="250"/>
        <v>34.2824343969481</v>
      </c>
      <c r="F493" s="157">
        <f t="shared" si="250"/>
        <v>34.2824343969481</v>
      </c>
      <c r="G493" s="157">
        <f t="shared" si="250"/>
        <v>34.2824343969481</v>
      </c>
      <c r="H493" s="157">
        <f t="shared" si="250"/>
        <v>43.1928389704462</v>
      </c>
      <c r="I493" s="157">
        <f t="shared" si="250"/>
        <v>53.7233171027622</v>
      </c>
      <c r="J493" s="157">
        <f t="shared" si="250"/>
        <v>64.5146848968515</v>
      </c>
      <c r="K493" s="157">
        <f t="shared" si="250"/>
        <v>118.606317102762</v>
      </c>
      <c r="L493" s="157">
        <f t="shared" si="250"/>
        <v>33.684434396948</v>
      </c>
      <c r="M493" s="157">
        <f t="shared" si="250"/>
        <v>42.5948389704462</v>
      </c>
      <c r="N493" s="157">
        <f t="shared" si="250"/>
        <v>53.1253171027622</v>
      </c>
      <c r="O493" s="157">
        <f t="shared" si="250"/>
        <v>64.5146848968515</v>
      </c>
    </row>
    <row r="494" ht="20.25" spans="1:15">
      <c r="A494" s="156" t="s">
        <v>463</v>
      </c>
      <c r="B494" s="156"/>
      <c r="C494" s="156" t="s">
        <v>114</v>
      </c>
      <c r="D494" s="157">
        <f t="shared" ref="D494:O494" si="251">D493+D471</f>
        <v>45.4060083897682</v>
      </c>
      <c r="E494" s="157">
        <f t="shared" si="251"/>
        <v>49.3735393032105</v>
      </c>
      <c r="F494" s="157">
        <f t="shared" si="251"/>
        <v>52.2057690598918</v>
      </c>
      <c r="G494" s="157">
        <f t="shared" si="251"/>
        <v>60.3965149713398</v>
      </c>
      <c r="H494" s="157">
        <f t="shared" si="251"/>
        <v>83.1674700035535</v>
      </c>
      <c r="I494" s="157">
        <f t="shared" si="251"/>
        <v>108.155546859444</v>
      </c>
      <c r="J494" s="157">
        <f t="shared" si="251"/>
        <v>134.634190281774</v>
      </c>
      <c r="K494" s="157">
        <f t="shared" si="251"/>
        <v>140.71433465362</v>
      </c>
      <c r="L494" s="157">
        <f t="shared" si="251"/>
        <v>43.6589058768045</v>
      </c>
      <c r="M494" s="157">
        <f t="shared" si="251"/>
        <v>56.9523978057075</v>
      </c>
      <c r="N494" s="157">
        <f t="shared" si="251"/>
        <v>73.2752971586059</v>
      </c>
      <c r="O494" s="157">
        <f t="shared" si="251"/>
        <v>108.778266867334</v>
      </c>
    </row>
    <row r="495" ht="20.25" spans="1:15">
      <c r="A495" s="156" t="s">
        <v>458</v>
      </c>
      <c r="B495" s="156"/>
      <c r="C495" s="156"/>
      <c r="D495" s="156">
        <v>6074</v>
      </c>
      <c r="E495" s="156">
        <v>6075</v>
      </c>
      <c r="F495" s="156">
        <v>6076</v>
      </c>
      <c r="G495" s="156">
        <v>6077</v>
      </c>
      <c r="H495" s="156">
        <v>6078</v>
      </c>
      <c r="I495" s="156">
        <v>6079</v>
      </c>
      <c r="J495" s="156">
        <v>6080</v>
      </c>
      <c r="K495" s="156">
        <v>6081</v>
      </c>
      <c r="L495" s="156">
        <v>6082</v>
      </c>
      <c r="M495" s="156">
        <v>6083</v>
      </c>
      <c r="N495" s="156">
        <v>6084</v>
      </c>
      <c r="O495" s="156">
        <v>6085</v>
      </c>
    </row>
    <row r="496" s="122" customFormat="1" ht="15" spans="1:25">
      <c r="A496" s="154" t="s">
        <v>2290</v>
      </c>
      <c r="B496" s="154"/>
      <c r="Y496" s="168"/>
    </row>
    <row r="497" spans="1:26">
      <c r="A497" s="3" t="s">
        <v>2388</v>
      </c>
      <c r="B497" s="3"/>
      <c r="C497" s="3" t="s">
        <v>55</v>
      </c>
      <c r="D497" s="137" t="s">
        <v>2517</v>
      </c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7"/>
      <c r="P497" s="3" t="s">
        <v>2302</v>
      </c>
      <c r="Q497" s="3"/>
      <c r="R497" s="3" t="s">
        <v>2305</v>
      </c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3"/>
      <c r="D498" s="137" t="s">
        <v>2518</v>
      </c>
      <c r="E498" s="166"/>
      <c r="F498" s="166"/>
      <c r="G498" s="167"/>
      <c r="H498" s="137" t="s">
        <v>2519</v>
      </c>
      <c r="I498" s="166"/>
      <c r="J498" s="166"/>
      <c r="K498" s="166"/>
      <c r="L498" s="167"/>
      <c r="M498" s="137" t="s">
        <v>2520</v>
      </c>
      <c r="N498" s="167"/>
      <c r="O498" s="3" t="s">
        <v>2521</v>
      </c>
      <c r="P498" s="3" t="s">
        <v>2522</v>
      </c>
      <c r="Q498" s="3" t="s">
        <v>2523</v>
      </c>
      <c r="R498" s="3" t="s">
        <v>2522</v>
      </c>
      <c r="S498" s="3"/>
      <c r="T498" s="3"/>
      <c r="U498" s="3"/>
      <c r="V498" s="3"/>
      <c r="W498" s="3"/>
      <c r="X498" s="3" t="s">
        <v>2523</v>
      </c>
      <c r="Y498" s="3"/>
      <c r="Z498" s="3"/>
    </row>
    <row r="499" spans="1:26">
      <c r="A499" s="3"/>
      <c r="B499" s="3"/>
      <c r="C499" s="3"/>
      <c r="D499" s="3" t="s">
        <v>2524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 t="s">
        <v>2398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3"/>
      <c r="D500" s="3">
        <v>0.6</v>
      </c>
      <c r="E500" s="3">
        <v>3</v>
      </c>
      <c r="F500" s="3">
        <v>6</v>
      </c>
      <c r="G500" s="3">
        <v>9</v>
      </c>
      <c r="H500" s="3">
        <v>3</v>
      </c>
      <c r="I500" s="3">
        <v>6</v>
      </c>
      <c r="J500" s="3">
        <v>9</v>
      </c>
      <c r="K500" s="3">
        <v>17</v>
      </c>
      <c r="L500" s="3">
        <v>20</v>
      </c>
      <c r="M500" s="3">
        <v>9</v>
      </c>
      <c r="N500" s="3">
        <v>15</v>
      </c>
      <c r="O500" s="3">
        <v>12</v>
      </c>
      <c r="P500" s="3">
        <v>15</v>
      </c>
      <c r="Q500" s="3">
        <v>55</v>
      </c>
      <c r="R500" s="3">
        <v>20</v>
      </c>
      <c r="S500" s="3">
        <v>30</v>
      </c>
      <c r="T500" s="3">
        <v>40</v>
      </c>
      <c r="U500" s="3">
        <v>50</v>
      </c>
      <c r="V500" s="3">
        <v>60</v>
      </c>
      <c r="W500" s="3">
        <v>85</v>
      </c>
      <c r="X500" s="3">
        <v>160</v>
      </c>
      <c r="Y500" s="125">
        <v>200</v>
      </c>
      <c r="Z500" s="3">
        <v>250</v>
      </c>
    </row>
    <row r="501" spans="1:26">
      <c r="A501" s="3" t="s">
        <v>2400</v>
      </c>
      <c r="B501" s="3" t="s">
        <v>2401</v>
      </c>
      <c r="C501" s="3" t="s">
        <v>114</v>
      </c>
      <c r="D501" s="20">
        <f>0.32/$AA$6</f>
        <v>0.278260869565217</v>
      </c>
      <c r="E501" s="20">
        <f>1.52/$AA$6</f>
        <v>1.32173913043478</v>
      </c>
      <c r="F501" s="20">
        <f>2.24/$AA$6</f>
        <v>1.94782608695652</v>
      </c>
      <c r="G501" s="20">
        <f>3.4/$AA$6</f>
        <v>2.95652173913043</v>
      </c>
      <c r="H501" s="20">
        <f>1.8/$AA$6</f>
        <v>1.56521739130435</v>
      </c>
      <c r="I501" s="20">
        <f>3.98/$AA$6</f>
        <v>3.46086956521739</v>
      </c>
      <c r="J501" s="20">
        <f>5.53/$AA$6</f>
        <v>4.80869565217391</v>
      </c>
      <c r="K501" s="20">
        <f>11.89/$AA$6</f>
        <v>10.3391304347826</v>
      </c>
      <c r="L501" s="20">
        <f>19.08/$AA$6</f>
        <v>16.5913043478261</v>
      </c>
      <c r="M501" s="20">
        <f>2.93/$AA$6</f>
        <v>2.54782608695652</v>
      </c>
      <c r="N501" s="20">
        <f>4.09/$AA$6</f>
        <v>3.55652173913043</v>
      </c>
      <c r="O501" s="20">
        <f>4.7/$AA$6</f>
        <v>4.08695652173913</v>
      </c>
      <c r="P501" s="20">
        <f>3.98/$AA$6</f>
        <v>3.46086956521739</v>
      </c>
      <c r="Q501" s="20">
        <f>3.62/$AA$6</f>
        <v>3.14782608695652</v>
      </c>
      <c r="R501" s="20">
        <f>1.44/$AA$6</f>
        <v>1.25217391304348</v>
      </c>
      <c r="S501" s="20">
        <f>2.05/$AA$6</f>
        <v>1.78260869565217</v>
      </c>
      <c r="T501" s="20">
        <f>2.25/$AA$6</f>
        <v>1.95652173913044</v>
      </c>
      <c r="U501" s="20">
        <f>2.59/$AA$6</f>
        <v>2.25217391304348</v>
      </c>
      <c r="V501" s="20">
        <f>3.26/$AA$6</f>
        <v>2.83478260869565</v>
      </c>
      <c r="W501" s="20">
        <f>3.79/$AA$6</f>
        <v>3.29565217391304</v>
      </c>
      <c r="X501" s="20">
        <f>6.53/$AA$6</f>
        <v>5.67826086956522</v>
      </c>
      <c r="Y501" s="20">
        <f>9.14/$AA$6</f>
        <v>7.94782608695652</v>
      </c>
      <c r="Z501" s="20">
        <f>11.75/$AA$6</f>
        <v>10.2173913043478</v>
      </c>
    </row>
    <row r="502" spans="1:26">
      <c r="A502" s="3"/>
      <c r="B502" s="3" t="s">
        <v>2403</v>
      </c>
      <c r="C502" s="3" t="s">
        <v>114</v>
      </c>
      <c r="D502" s="20">
        <f>0.89/$AA$7</f>
        <v>0.81651376146789</v>
      </c>
      <c r="E502" s="20">
        <f>3.13/$AA$7</f>
        <v>2.87155963302752</v>
      </c>
      <c r="F502" s="20">
        <f>4.59/$AA$7</f>
        <v>4.21100917431193</v>
      </c>
      <c r="G502" s="20">
        <f>4.91/$AA$7</f>
        <v>4.5045871559633</v>
      </c>
      <c r="H502" s="20">
        <f>3.51/$AA$7</f>
        <v>3.22018348623853</v>
      </c>
      <c r="I502" s="20">
        <f>7.14/$AA$7</f>
        <v>6.55045871559633</v>
      </c>
      <c r="J502" s="20">
        <f>8.83/$AA$7</f>
        <v>8.10091743119266</v>
      </c>
      <c r="K502" s="20">
        <f>18.38/$AA$7</f>
        <v>16.8623853211009</v>
      </c>
      <c r="L502" s="20">
        <f>25.65/$AA$7</f>
        <v>23.5321100917431</v>
      </c>
      <c r="M502" s="20">
        <f>3.8/$AA$7</f>
        <v>3.48623853211009</v>
      </c>
      <c r="N502" s="20">
        <f>4.79/$AA$7</f>
        <v>4.39449541284404</v>
      </c>
      <c r="O502" s="20">
        <f>7.66/$AA$7</f>
        <v>7.02752293577982</v>
      </c>
      <c r="P502" s="20">
        <f>11.43/$AA$7</f>
        <v>10.4862385321101</v>
      </c>
      <c r="Q502" s="20">
        <f>5.28/$AA$7</f>
        <v>4.84403669724771</v>
      </c>
      <c r="R502" s="20">
        <f>3.08/$AA$7</f>
        <v>2.8256880733945</v>
      </c>
      <c r="S502" s="20">
        <f>4.36/$AA$7</f>
        <v>4</v>
      </c>
      <c r="T502" s="20">
        <f>5.33/$AA$7</f>
        <v>4.88990825688073</v>
      </c>
      <c r="U502" s="20">
        <f>5.53/$AA$7</f>
        <v>5.07339449541284</v>
      </c>
      <c r="V502" s="20">
        <f>6.74/$AA$7</f>
        <v>6.18348623853211</v>
      </c>
      <c r="W502" s="20">
        <f>7.51/$AA$7</f>
        <v>6.88990825688073</v>
      </c>
      <c r="X502" s="20">
        <f>9.7/$AA$7</f>
        <v>8.89908256880734</v>
      </c>
      <c r="Y502" s="20">
        <f>11.7/$AA$7</f>
        <v>10.7339449541284</v>
      </c>
      <c r="Z502" s="20">
        <f>12.85/$AA$7</f>
        <v>11.7889908256881</v>
      </c>
    </row>
    <row r="503" spans="1:26">
      <c r="A503" s="3"/>
      <c r="B503" s="3" t="s">
        <v>2405</v>
      </c>
      <c r="C503" s="3" t="s">
        <v>114</v>
      </c>
      <c r="D503" s="20">
        <f>0.1</f>
        <v>0.1</v>
      </c>
      <c r="E503" s="20">
        <f>0.43</f>
        <v>0.43</v>
      </c>
      <c r="F503" s="20">
        <f>0.67</f>
        <v>0.67</v>
      </c>
      <c r="G503" s="20">
        <f>0.85</f>
        <v>0.85</v>
      </c>
      <c r="H503" s="20">
        <f>0.58</f>
        <v>0.58</v>
      </c>
      <c r="I503" s="20">
        <f>1.05</f>
        <v>1.05</v>
      </c>
      <c r="J503" s="20">
        <f>1.39</f>
        <v>1.39</v>
      </c>
      <c r="K503" s="20">
        <f>3.12</f>
        <v>3.12</v>
      </c>
      <c r="L503" s="20">
        <f>5.01</f>
        <v>5.01</v>
      </c>
      <c r="M503" s="20">
        <f>0.54</f>
        <v>0.54</v>
      </c>
      <c r="N503" s="20">
        <f>0.75</f>
        <v>0.75</v>
      </c>
      <c r="O503" s="20">
        <f>1.1</f>
        <v>1.1</v>
      </c>
      <c r="P503" s="20">
        <f>1.32</f>
        <v>1.32</v>
      </c>
      <c r="Q503" s="20">
        <f>0.84</f>
        <v>0.84</v>
      </c>
      <c r="R503" s="20">
        <f>0.5</f>
        <v>0.5</v>
      </c>
      <c r="S503" s="20">
        <f>0.59</f>
        <v>0.59</v>
      </c>
      <c r="T503" s="20">
        <f>0.79</f>
        <v>0.79</v>
      </c>
      <c r="U503" s="20">
        <f>0.89</f>
        <v>0.89</v>
      </c>
      <c r="V503" s="20">
        <f>1.02</f>
        <v>1.02</v>
      </c>
      <c r="W503" s="20">
        <f>1.14</f>
        <v>1.14</v>
      </c>
      <c r="X503" s="20">
        <f>1.72</f>
        <v>1.72</v>
      </c>
      <c r="Y503" s="20">
        <f>1.9</f>
        <v>1.9</v>
      </c>
      <c r="Z503" s="20">
        <f>2.35</f>
        <v>2.35</v>
      </c>
    </row>
    <row r="504" ht="20.25" spans="1:26">
      <c r="A504" s="156"/>
      <c r="B504" s="156" t="s">
        <v>1321</v>
      </c>
      <c r="C504" s="156" t="s">
        <v>114</v>
      </c>
      <c r="D504" s="157">
        <f t="shared" ref="D504:Z504" si="252">SUM(D501:D503)</f>
        <v>1.19477463103311</v>
      </c>
      <c r="E504" s="157">
        <f t="shared" si="252"/>
        <v>4.62329876346231</v>
      </c>
      <c r="F504" s="157">
        <f t="shared" si="252"/>
        <v>6.82883526126845</v>
      </c>
      <c r="G504" s="157">
        <f t="shared" si="252"/>
        <v>8.31110889509374</v>
      </c>
      <c r="H504" s="157">
        <f t="shared" si="252"/>
        <v>5.36540087754288</v>
      </c>
      <c r="I504" s="157">
        <f t="shared" si="252"/>
        <v>11.0613282808137</v>
      </c>
      <c r="J504" s="157">
        <f t="shared" si="252"/>
        <v>14.2996130833666</v>
      </c>
      <c r="K504" s="157">
        <f t="shared" si="252"/>
        <v>30.3215157558835</v>
      </c>
      <c r="L504" s="157">
        <f t="shared" si="252"/>
        <v>45.1334144395692</v>
      </c>
      <c r="M504" s="157">
        <f t="shared" si="252"/>
        <v>6.57406461906661</v>
      </c>
      <c r="N504" s="157">
        <f t="shared" si="252"/>
        <v>8.70101715197447</v>
      </c>
      <c r="O504" s="157">
        <f t="shared" si="252"/>
        <v>12.2144794575189</v>
      </c>
      <c r="P504" s="157">
        <f t="shared" si="252"/>
        <v>15.2671080973275</v>
      </c>
      <c r="Q504" s="157">
        <f t="shared" si="252"/>
        <v>8.83186278420423</v>
      </c>
      <c r="R504" s="157">
        <f t="shared" si="252"/>
        <v>4.57786198643797</v>
      </c>
      <c r="S504" s="157">
        <f t="shared" si="252"/>
        <v>6.37260869565217</v>
      </c>
      <c r="T504" s="157">
        <f t="shared" si="252"/>
        <v>7.63642999601117</v>
      </c>
      <c r="U504" s="157">
        <f t="shared" si="252"/>
        <v>8.21556840845632</v>
      </c>
      <c r="V504" s="157">
        <f t="shared" si="252"/>
        <v>10.0382688472278</v>
      </c>
      <c r="W504" s="157">
        <f t="shared" si="252"/>
        <v>11.3255604307938</v>
      </c>
      <c r="X504" s="157">
        <f t="shared" si="252"/>
        <v>16.2973434383726</v>
      </c>
      <c r="Y504" s="157">
        <f t="shared" si="252"/>
        <v>20.581771041085</v>
      </c>
      <c r="Z504" s="157">
        <f t="shared" si="252"/>
        <v>24.3563821300359</v>
      </c>
    </row>
    <row r="505" spans="1:26">
      <c r="A505" s="3" t="s">
        <v>2408</v>
      </c>
      <c r="B505" s="3" t="s">
        <v>600</v>
      </c>
      <c r="C505" s="3" t="s">
        <v>2409</v>
      </c>
      <c r="D505" s="20">
        <f>1.3</f>
        <v>1.3</v>
      </c>
      <c r="E505" s="20">
        <v>1.3</v>
      </c>
      <c r="F505" s="20">
        <v>1.3</v>
      </c>
      <c r="G505" s="20">
        <v>1.3</v>
      </c>
      <c r="H505" s="20">
        <v>1.3</v>
      </c>
      <c r="I505" s="20">
        <v>1.3</v>
      </c>
      <c r="J505" s="20">
        <v>2.4</v>
      </c>
      <c r="K505" s="20">
        <v>2.4</v>
      </c>
      <c r="L505" s="20">
        <v>2.4</v>
      </c>
      <c r="M505" s="20">
        <v>1.3</v>
      </c>
      <c r="N505" s="20">
        <v>1.3</v>
      </c>
      <c r="O505" s="20">
        <v>2.4</v>
      </c>
      <c r="P505" s="20">
        <v>1.3</v>
      </c>
      <c r="Q505" s="20">
        <v>1.8</v>
      </c>
      <c r="R505" s="20">
        <v>1.8</v>
      </c>
      <c r="S505" s="20">
        <v>1.8</v>
      </c>
      <c r="T505" s="20">
        <v>1.8</v>
      </c>
      <c r="U505" s="20">
        <v>1.8</v>
      </c>
      <c r="V505" s="20">
        <v>2.4</v>
      </c>
      <c r="W505" s="20">
        <v>2.4</v>
      </c>
      <c r="X505" s="20">
        <v>3.9</v>
      </c>
      <c r="Y505" s="20">
        <v>3.9</v>
      </c>
      <c r="Z505" s="20">
        <v>3.9</v>
      </c>
    </row>
    <row r="506" spans="1:26">
      <c r="A506" s="3"/>
      <c r="B506" s="3"/>
      <c r="C506" s="3" t="s">
        <v>834</v>
      </c>
      <c r="D506" s="20">
        <f>D473</f>
        <v>8.10036779408924</v>
      </c>
      <c r="E506" s="20">
        <f>D506</f>
        <v>8.10036779408924</v>
      </c>
      <c r="F506" s="20">
        <f t="shared" ref="F506:Z506" si="253">E506</f>
        <v>8.10036779408924</v>
      </c>
      <c r="G506" s="20">
        <f t="shared" si="253"/>
        <v>8.10036779408924</v>
      </c>
      <c r="H506" s="20">
        <f t="shared" si="253"/>
        <v>8.10036779408924</v>
      </c>
      <c r="I506" s="20">
        <f t="shared" si="253"/>
        <v>8.10036779408924</v>
      </c>
      <c r="J506" s="20">
        <f t="shared" si="253"/>
        <v>8.10036779408924</v>
      </c>
      <c r="K506" s="20">
        <f t="shared" si="253"/>
        <v>8.10036779408924</v>
      </c>
      <c r="L506" s="20">
        <f t="shared" si="253"/>
        <v>8.10036779408924</v>
      </c>
      <c r="M506" s="20">
        <f t="shared" si="253"/>
        <v>8.10036779408924</v>
      </c>
      <c r="N506" s="20">
        <f t="shared" si="253"/>
        <v>8.10036779408924</v>
      </c>
      <c r="O506" s="20">
        <f t="shared" si="253"/>
        <v>8.10036779408924</v>
      </c>
      <c r="P506" s="20">
        <f t="shared" si="253"/>
        <v>8.10036779408924</v>
      </c>
      <c r="Q506" s="20">
        <f t="shared" si="253"/>
        <v>8.10036779408924</v>
      </c>
      <c r="R506" s="20">
        <f t="shared" si="253"/>
        <v>8.10036779408924</v>
      </c>
      <c r="S506" s="20">
        <f t="shared" si="253"/>
        <v>8.10036779408924</v>
      </c>
      <c r="T506" s="20">
        <f t="shared" si="253"/>
        <v>8.10036779408924</v>
      </c>
      <c r="U506" s="20">
        <f t="shared" si="253"/>
        <v>8.10036779408924</v>
      </c>
      <c r="V506" s="20">
        <f t="shared" si="253"/>
        <v>8.10036779408924</v>
      </c>
      <c r="W506" s="20">
        <f t="shared" si="253"/>
        <v>8.10036779408924</v>
      </c>
      <c r="X506" s="20">
        <f t="shared" si="253"/>
        <v>8.10036779408924</v>
      </c>
      <c r="Y506" s="20">
        <f t="shared" si="253"/>
        <v>8.10036779408924</v>
      </c>
      <c r="Z506" s="20">
        <f t="shared" si="253"/>
        <v>8.10036779408924</v>
      </c>
    </row>
    <row r="507" spans="1:26">
      <c r="A507" s="3"/>
      <c r="B507" s="3"/>
      <c r="C507" s="3" t="s">
        <v>2410</v>
      </c>
      <c r="D507" s="20">
        <f t="shared" ref="D507:Z507" si="254">D505*D506</f>
        <v>10.530478132316</v>
      </c>
      <c r="E507" s="20">
        <f t="shared" si="254"/>
        <v>10.530478132316</v>
      </c>
      <c r="F507" s="20">
        <f t="shared" si="254"/>
        <v>10.530478132316</v>
      </c>
      <c r="G507" s="20">
        <f t="shared" si="254"/>
        <v>10.530478132316</v>
      </c>
      <c r="H507" s="20">
        <f t="shared" si="254"/>
        <v>10.530478132316</v>
      </c>
      <c r="I507" s="20">
        <f t="shared" si="254"/>
        <v>10.530478132316</v>
      </c>
      <c r="J507" s="20">
        <f t="shared" si="254"/>
        <v>19.4408827058142</v>
      </c>
      <c r="K507" s="20">
        <f t="shared" si="254"/>
        <v>19.4408827058142</v>
      </c>
      <c r="L507" s="20">
        <f t="shared" si="254"/>
        <v>19.4408827058142</v>
      </c>
      <c r="M507" s="20">
        <f t="shared" si="254"/>
        <v>10.530478132316</v>
      </c>
      <c r="N507" s="20">
        <f t="shared" si="254"/>
        <v>10.530478132316</v>
      </c>
      <c r="O507" s="20">
        <f t="shared" si="254"/>
        <v>19.4408827058142</v>
      </c>
      <c r="P507" s="20">
        <f t="shared" si="254"/>
        <v>10.530478132316</v>
      </c>
      <c r="Q507" s="20">
        <f t="shared" si="254"/>
        <v>14.5806620293606</v>
      </c>
      <c r="R507" s="20">
        <f t="shared" si="254"/>
        <v>14.5806620293606</v>
      </c>
      <c r="S507" s="20">
        <f t="shared" si="254"/>
        <v>14.5806620293606</v>
      </c>
      <c r="T507" s="20">
        <f t="shared" si="254"/>
        <v>14.5806620293606</v>
      </c>
      <c r="U507" s="20">
        <f t="shared" si="254"/>
        <v>14.5806620293606</v>
      </c>
      <c r="V507" s="20">
        <f t="shared" si="254"/>
        <v>19.4408827058142</v>
      </c>
      <c r="W507" s="20">
        <f t="shared" si="254"/>
        <v>19.4408827058142</v>
      </c>
      <c r="X507" s="20">
        <f t="shared" si="254"/>
        <v>31.5914343969481</v>
      </c>
      <c r="Y507" s="20">
        <f t="shared" si="254"/>
        <v>31.5914343969481</v>
      </c>
      <c r="Z507" s="20">
        <f t="shared" si="254"/>
        <v>31.5914343969481</v>
      </c>
    </row>
    <row r="508" spans="1:26">
      <c r="A508" s="3"/>
      <c r="B508" s="3" t="s">
        <v>1825</v>
      </c>
      <c r="C508" s="3" t="s">
        <v>550</v>
      </c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>
        <v>3.7</v>
      </c>
      <c r="Q508" s="20">
        <v>13.5</v>
      </c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>
      <c r="A509" s="3"/>
      <c r="B509" s="3"/>
      <c r="C509" s="3" t="s">
        <v>834</v>
      </c>
      <c r="D509" s="20">
        <f>D476</f>
        <v>3.075</v>
      </c>
      <c r="E509" s="20">
        <f>D509</f>
        <v>3.075</v>
      </c>
      <c r="F509" s="20">
        <f t="shared" ref="F509:Z509" si="255">E509</f>
        <v>3.075</v>
      </c>
      <c r="G509" s="20">
        <f t="shared" si="255"/>
        <v>3.075</v>
      </c>
      <c r="H509" s="20">
        <f t="shared" si="255"/>
        <v>3.075</v>
      </c>
      <c r="I509" s="20">
        <f t="shared" si="255"/>
        <v>3.075</v>
      </c>
      <c r="J509" s="20">
        <f t="shared" si="255"/>
        <v>3.075</v>
      </c>
      <c r="K509" s="20">
        <f t="shared" si="255"/>
        <v>3.075</v>
      </c>
      <c r="L509" s="20">
        <f t="shared" si="255"/>
        <v>3.075</v>
      </c>
      <c r="M509" s="20">
        <f t="shared" si="255"/>
        <v>3.075</v>
      </c>
      <c r="N509" s="20">
        <f t="shared" si="255"/>
        <v>3.075</v>
      </c>
      <c r="O509" s="20">
        <f t="shared" si="255"/>
        <v>3.075</v>
      </c>
      <c r="P509" s="20">
        <f t="shared" si="255"/>
        <v>3.075</v>
      </c>
      <c r="Q509" s="20">
        <f t="shared" si="255"/>
        <v>3.075</v>
      </c>
      <c r="R509" s="20">
        <f t="shared" si="255"/>
        <v>3.075</v>
      </c>
      <c r="S509" s="20">
        <f t="shared" si="255"/>
        <v>3.075</v>
      </c>
      <c r="T509" s="20">
        <f t="shared" si="255"/>
        <v>3.075</v>
      </c>
      <c r="U509" s="20">
        <f t="shared" si="255"/>
        <v>3.075</v>
      </c>
      <c r="V509" s="20">
        <f t="shared" si="255"/>
        <v>3.075</v>
      </c>
      <c r="W509" s="20">
        <f t="shared" si="255"/>
        <v>3.075</v>
      </c>
      <c r="X509" s="20">
        <f t="shared" si="255"/>
        <v>3.075</v>
      </c>
      <c r="Y509" s="20">
        <f t="shared" si="255"/>
        <v>3.075</v>
      </c>
      <c r="Z509" s="20">
        <f t="shared" si="255"/>
        <v>3.075</v>
      </c>
    </row>
    <row r="510" spans="1:26">
      <c r="A510" s="3"/>
      <c r="B510" s="3"/>
      <c r="C510" s="3" t="s">
        <v>2410</v>
      </c>
      <c r="D510" s="20">
        <f t="shared" ref="D510:Z510" si="256">D508*D509</f>
        <v>0</v>
      </c>
      <c r="E510" s="20">
        <f t="shared" si="256"/>
        <v>0</v>
      </c>
      <c r="F510" s="20">
        <f t="shared" si="256"/>
        <v>0</v>
      </c>
      <c r="G510" s="20">
        <f t="shared" si="256"/>
        <v>0</v>
      </c>
      <c r="H510" s="20">
        <f t="shared" si="256"/>
        <v>0</v>
      </c>
      <c r="I510" s="20">
        <f t="shared" si="256"/>
        <v>0</v>
      </c>
      <c r="J510" s="20">
        <f t="shared" si="256"/>
        <v>0</v>
      </c>
      <c r="K510" s="20">
        <f t="shared" si="256"/>
        <v>0</v>
      </c>
      <c r="L510" s="20">
        <f t="shared" si="256"/>
        <v>0</v>
      </c>
      <c r="M510" s="20">
        <f t="shared" si="256"/>
        <v>0</v>
      </c>
      <c r="N510" s="20">
        <f t="shared" si="256"/>
        <v>0</v>
      </c>
      <c r="O510" s="20">
        <f t="shared" si="256"/>
        <v>0</v>
      </c>
      <c r="P510" s="20">
        <f t="shared" si="256"/>
        <v>11.3775</v>
      </c>
      <c r="Q510" s="20">
        <f t="shared" si="256"/>
        <v>41.5125</v>
      </c>
      <c r="R510" s="20">
        <f t="shared" si="256"/>
        <v>0</v>
      </c>
      <c r="S510" s="20">
        <f t="shared" si="256"/>
        <v>0</v>
      </c>
      <c r="T510" s="20">
        <f t="shared" si="256"/>
        <v>0</v>
      </c>
      <c r="U510" s="20">
        <f t="shared" si="256"/>
        <v>0</v>
      </c>
      <c r="V510" s="20">
        <f t="shared" si="256"/>
        <v>0</v>
      </c>
      <c r="W510" s="20">
        <f t="shared" si="256"/>
        <v>0</v>
      </c>
      <c r="X510" s="20">
        <f t="shared" si="256"/>
        <v>0</v>
      </c>
      <c r="Y510" s="20">
        <f t="shared" si="256"/>
        <v>0</v>
      </c>
      <c r="Z510" s="20">
        <f t="shared" si="256"/>
        <v>0</v>
      </c>
    </row>
    <row r="511" spans="1:26">
      <c r="A511" s="3"/>
      <c r="B511" s="3" t="s">
        <v>1822</v>
      </c>
      <c r="C511" s="3" t="s">
        <v>550</v>
      </c>
      <c r="D511" s="20"/>
      <c r="E511" s="20"/>
      <c r="F511" s="20"/>
      <c r="G511" s="20"/>
      <c r="H511" s="20">
        <v>4.9</v>
      </c>
      <c r="I511" s="20">
        <v>12</v>
      </c>
      <c r="J511" s="20">
        <v>17.1</v>
      </c>
      <c r="K511" s="20">
        <v>24.9</v>
      </c>
      <c r="L511" s="20">
        <v>38.9</v>
      </c>
      <c r="M511" s="20"/>
      <c r="N511" s="20"/>
      <c r="O511" s="20">
        <v>18.9</v>
      </c>
      <c r="P511" s="20"/>
      <c r="Q511" s="20"/>
      <c r="R511" s="20">
        <v>4.9</v>
      </c>
      <c r="S511" s="20">
        <v>7.4</v>
      </c>
      <c r="T511" s="20">
        <v>9.8</v>
      </c>
      <c r="U511" s="20">
        <v>11.5</v>
      </c>
      <c r="V511" s="20">
        <v>13.8</v>
      </c>
      <c r="W511" s="20">
        <v>18.6</v>
      </c>
      <c r="X511" s="20">
        <v>33.7</v>
      </c>
      <c r="Y511" s="20">
        <v>37.4</v>
      </c>
      <c r="Z511" s="20">
        <v>46.8</v>
      </c>
    </row>
    <row r="512" spans="1:26">
      <c r="A512" s="3"/>
      <c r="B512" s="3"/>
      <c r="C512" s="3" t="s">
        <v>834</v>
      </c>
      <c r="D512" s="20">
        <f>D479</f>
        <v>2.99</v>
      </c>
      <c r="E512" s="20">
        <f>D512</f>
        <v>2.99</v>
      </c>
      <c r="F512" s="20">
        <f t="shared" ref="F512:Z512" si="257">E512</f>
        <v>2.99</v>
      </c>
      <c r="G512" s="20">
        <f t="shared" si="257"/>
        <v>2.99</v>
      </c>
      <c r="H512" s="20">
        <f t="shared" si="257"/>
        <v>2.99</v>
      </c>
      <c r="I512" s="20">
        <f t="shared" si="257"/>
        <v>2.99</v>
      </c>
      <c r="J512" s="20">
        <f t="shared" si="257"/>
        <v>2.99</v>
      </c>
      <c r="K512" s="20">
        <f t="shared" si="257"/>
        <v>2.99</v>
      </c>
      <c r="L512" s="20">
        <f t="shared" si="257"/>
        <v>2.99</v>
      </c>
      <c r="M512" s="20">
        <f t="shared" si="257"/>
        <v>2.99</v>
      </c>
      <c r="N512" s="20">
        <f t="shared" si="257"/>
        <v>2.99</v>
      </c>
      <c r="O512" s="20">
        <f t="shared" si="257"/>
        <v>2.99</v>
      </c>
      <c r="P512" s="20">
        <f t="shared" si="257"/>
        <v>2.99</v>
      </c>
      <c r="Q512" s="20">
        <f t="shared" si="257"/>
        <v>2.99</v>
      </c>
      <c r="R512" s="20">
        <f t="shared" si="257"/>
        <v>2.99</v>
      </c>
      <c r="S512" s="20">
        <f t="shared" si="257"/>
        <v>2.99</v>
      </c>
      <c r="T512" s="20">
        <f t="shared" si="257"/>
        <v>2.99</v>
      </c>
      <c r="U512" s="20">
        <f t="shared" si="257"/>
        <v>2.99</v>
      </c>
      <c r="V512" s="20">
        <f t="shared" si="257"/>
        <v>2.99</v>
      </c>
      <c r="W512" s="20">
        <f t="shared" si="257"/>
        <v>2.99</v>
      </c>
      <c r="X512" s="20">
        <f t="shared" si="257"/>
        <v>2.99</v>
      </c>
      <c r="Y512" s="20">
        <f t="shared" si="257"/>
        <v>2.99</v>
      </c>
      <c r="Z512" s="20">
        <f t="shared" si="257"/>
        <v>2.99</v>
      </c>
    </row>
    <row r="513" spans="1:26">
      <c r="A513" s="3"/>
      <c r="B513" s="3"/>
      <c r="C513" s="3" t="s">
        <v>2410</v>
      </c>
      <c r="D513" s="20">
        <f t="shared" ref="D513:Z513" si="258">D511*D512</f>
        <v>0</v>
      </c>
      <c r="E513" s="20">
        <f t="shared" si="258"/>
        <v>0</v>
      </c>
      <c r="F513" s="20">
        <f t="shared" si="258"/>
        <v>0</v>
      </c>
      <c r="G513" s="20">
        <f t="shared" si="258"/>
        <v>0</v>
      </c>
      <c r="H513" s="20">
        <f t="shared" si="258"/>
        <v>14.651</v>
      </c>
      <c r="I513" s="20">
        <f t="shared" si="258"/>
        <v>35.88</v>
      </c>
      <c r="J513" s="20">
        <f t="shared" si="258"/>
        <v>51.129</v>
      </c>
      <c r="K513" s="20">
        <f t="shared" si="258"/>
        <v>74.451</v>
      </c>
      <c r="L513" s="20">
        <f t="shared" si="258"/>
        <v>116.311</v>
      </c>
      <c r="M513" s="20">
        <f t="shared" si="258"/>
        <v>0</v>
      </c>
      <c r="N513" s="20">
        <f t="shared" si="258"/>
        <v>0</v>
      </c>
      <c r="O513" s="20">
        <f t="shared" si="258"/>
        <v>56.511</v>
      </c>
      <c r="P513" s="20">
        <f t="shared" si="258"/>
        <v>0</v>
      </c>
      <c r="Q513" s="20">
        <f t="shared" si="258"/>
        <v>0</v>
      </c>
      <c r="R513" s="20">
        <f t="shared" si="258"/>
        <v>14.651</v>
      </c>
      <c r="S513" s="20">
        <f t="shared" si="258"/>
        <v>22.126</v>
      </c>
      <c r="T513" s="20">
        <f t="shared" si="258"/>
        <v>29.302</v>
      </c>
      <c r="U513" s="20">
        <f t="shared" si="258"/>
        <v>34.385</v>
      </c>
      <c r="V513" s="20">
        <f t="shared" si="258"/>
        <v>41.262</v>
      </c>
      <c r="W513" s="20">
        <f t="shared" si="258"/>
        <v>55.614</v>
      </c>
      <c r="X513" s="20">
        <f t="shared" si="258"/>
        <v>100.763</v>
      </c>
      <c r="Y513" s="20">
        <f t="shared" si="258"/>
        <v>111.826</v>
      </c>
      <c r="Z513" s="20">
        <f t="shared" si="258"/>
        <v>139.932</v>
      </c>
    </row>
    <row r="514" spans="1:26">
      <c r="A514" s="3"/>
      <c r="B514" s="3" t="s">
        <v>2411</v>
      </c>
      <c r="C514" s="3" t="s">
        <v>1834</v>
      </c>
      <c r="D514" s="20">
        <v>4.2</v>
      </c>
      <c r="E514" s="20">
        <v>15.1</v>
      </c>
      <c r="F514" s="20">
        <v>30.2</v>
      </c>
      <c r="G514" s="20">
        <v>45.4</v>
      </c>
      <c r="H514" s="20"/>
      <c r="I514" s="20"/>
      <c r="J514" s="20"/>
      <c r="K514" s="20"/>
      <c r="L514" s="20"/>
      <c r="M514" s="20">
        <v>56.7</v>
      </c>
      <c r="N514" s="20">
        <v>71.8</v>
      </c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>
      <c r="A515" s="3"/>
      <c r="B515" s="3"/>
      <c r="C515" s="3" t="s">
        <v>834</v>
      </c>
      <c r="D515" s="20">
        <f>D482</f>
        <v>0.48</v>
      </c>
      <c r="E515" s="20">
        <f>D515</f>
        <v>0.48</v>
      </c>
      <c r="F515" s="20">
        <f t="shared" ref="F515:Z515" si="259">E515</f>
        <v>0.48</v>
      </c>
      <c r="G515" s="20">
        <f t="shared" si="259"/>
        <v>0.48</v>
      </c>
      <c r="H515" s="20">
        <f t="shared" si="259"/>
        <v>0.48</v>
      </c>
      <c r="I515" s="20">
        <f t="shared" si="259"/>
        <v>0.48</v>
      </c>
      <c r="J515" s="20">
        <f t="shared" si="259"/>
        <v>0.48</v>
      </c>
      <c r="K515" s="20">
        <f t="shared" si="259"/>
        <v>0.48</v>
      </c>
      <c r="L515" s="20">
        <f t="shared" si="259"/>
        <v>0.48</v>
      </c>
      <c r="M515" s="20">
        <f t="shared" si="259"/>
        <v>0.48</v>
      </c>
      <c r="N515" s="20">
        <f t="shared" si="259"/>
        <v>0.48</v>
      </c>
      <c r="O515" s="20">
        <f t="shared" si="259"/>
        <v>0.48</v>
      </c>
      <c r="P515" s="20">
        <f t="shared" si="259"/>
        <v>0.48</v>
      </c>
      <c r="Q515" s="20">
        <f t="shared" si="259"/>
        <v>0.48</v>
      </c>
      <c r="R515" s="20">
        <f t="shared" si="259"/>
        <v>0.48</v>
      </c>
      <c r="S515" s="20">
        <f t="shared" si="259"/>
        <v>0.48</v>
      </c>
      <c r="T515" s="20">
        <f t="shared" si="259"/>
        <v>0.48</v>
      </c>
      <c r="U515" s="20">
        <f t="shared" si="259"/>
        <v>0.48</v>
      </c>
      <c r="V515" s="20">
        <f t="shared" si="259"/>
        <v>0.48</v>
      </c>
      <c r="W515" s="20">
        <f t="shared" si="259"/>
        <v>0.48</v>
      </c>
      <c r="X515" s="20">
        <f t="shared" si="259"/>
        <v>0.48</v>
      </c>
      <c r="Y515" s="20">
        <f t="shared" si="259"/>
        <v>0.48</v>
      </c>
      <c r="Z515" s="20">
        <f t="shared" si="259"/>
        <v>0.48</v>
      </c>
    </row>
    <row r="516" spans="1:26">
      <c r="A516" s="3"/>
      <c r="B516" s="3"/>
      <c r="C516" s="3" t="s">
        <v>2410</v>
      </c>
      <c r="D516" s="20">
        <f t="shared" ref="D516:Z516" si="260">D514*D515</f>
        <v>2.016</v>
      </c>
      <c r="E516" s="20">
        <f t="shared" si="260"/>
        <v>7.248</v>
      </c>
      <c r="F516" s="20">
        <f t="shared" si="260"/>
        <v>14.496</v>
      </c>
      <c r="G516" s="20">
        <f t="shared" si="260"/>
        <v>21.792</v>
      </c>
      <c r="H516" s="20">
        <f t="shared" si="260"/>
        <v>0</v>
      </c>
      <c r="I516" s="20">
        <f t="shared" si="260"/>
        <v>0</v>
      </c>
      <c r="J516" s="20">
        <f t="shared" si="260"/>
        <v>0</v>
      </c>
      <c r="K516" s="20">
        <f t="shared" si="260"/>
        <v>0</v>
      </c>
      <c r="L516" s="20">
        <f t="shared" si="260"/>
        <v>0</v>
      </c>
      <c r="M516" s="20">
        <f t="shared" si="260"/>
        <v>27.216</v>
      </c>
      <c r="N516" s="20">
        <f t="shared" si="260"/>
        <v>34.464</v>
      </c>
      <c r="O516" s="20">
        <f t="shared" si="260"/>
        <v>0</v>
      </c>
      <c r="P516" s="20">
        <f t="shared" si="260"/>
        <v>0</v>
      </c>
      <c r="Q516" s="20">
        <f t="shared" si="260"/>
        <v>0</v>
      </c>
      <c r="R516" s="20">
        <f t="shared" si="260"/>
        <v>0</v>
      </c>
      <c r="S516" s="20">
        <f t="shared" si="260"/>
        <v>0</v>
      </c>
      <c r="T516" s="20">
        <f t="shared" si="260"/>
        <v>0</v>
      </c>
      <c r="U516" s="20">
        <f t="shared" si="260"/>
        <v>0</v>
      </c>
      <c r="V516" s="20">
        <f t="shared" si="260"/>
        <v>0</v>
      </c>
      <c r="W516" s="20">
        <f t="shared" si="260"/>
        <v>0</v>
      </c>
      <c r="X516" s="20">
        <f t="shared" si="260"/>
        <v>0</v>
      </c>
      <c r="Y516" s="20">
        <f t="shared" si="260"/>
        <v>0</v>
      </c>
      <c r="Z516" s="20">
        <f t="shared" si="260"/>
        <v>0</v>
      </c>
    </row>
    <row r="517" spans="1:26">
      <c r="A517" s="3"/>
      <c r="B517" s="3" t="s">
        <v>2412</v>
      </c>
      <c r="C517" s="3" t="s">
        <v>632</v>
      </c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>
      <c r="A518" s="3"/>
      <c r="B518" s="3"/>
      <c r="C518" s="3" t="s">
        <v>834</v>
      </c>
      <c r="D518" s="20">
        <f>D485</f>
        <v>0.12</v>
      </c>
      <c r="E518" s="20">
        <f>D518</f>
        <v>0.12</v>
      </c>
      <c r="F518" s="20">
        <f t="shared" ref="F518:Z518" si="261">E518</f>
        <v>0.12</v>
      </c>
      <c r="G518" s="20">
        <f t="shared" si="261"/>
        <v>0.12</v>
      </c>
      <c r="H518" s="20">
        <f t="shared" si="261"/>
        <v>0.12</v>
      </c>
      <c r="I518" s="20">
        <f t="shared" si="261"/>
        <v>0.12</v>
      </c>
      <c r="J518" s="20">
        <f t="shared" si="261"/>
        <v>0.12</v>
      </c>
      <c r="K518" s="20">
        <f t="shared" si="261"/>
        <v>0.12</v>
      </c>
      <c r="L518" s="20">
        <f t="shared" si="261"/>
        <v>0.12</v>
      </c>
      <c r="M518" s="20">
        <f t="shared" si="261"/>
        <v>0.12</v>
      </c>
      <c r="N518" s="20">
        <f t="shared" si="261"/>
        <v>0.12</v>
      </c>
      <c r="O518" s="20">
        <f t="shared" si="261"/>
        <v>0.12</v>
      </c>
      <c r="P518" s="20">
        <f t="shared" si="261"/>
        <v>0.12</v>
      </c>
      <c r="Q518" s="20">
        <f t="shared" si="261"/>
        <v>0.12</v>
      </c>
      <c r="R518" s="20">
        <f t="shared" si="261"/>
        <v>0.12</v>
      </c>
      <c r="S518" s="20">
        <f t="shared" si="261"/>
        <v>0.12</v>
      </c>
      <c r="T518" s="20">
        <f t="shared" si="261"/>
        <v>0.12</v>
      </c>
      <c r="U518" s="20">
        <f t="shared" si="261"/>
        <v>0.12</v>
      </c>
      <c r="V518" s="20">
        <f t="shared" si="261"/>
        <v>0.12</v>
      </c>
      <c r="W518" s="20">
        <f t="shared" si="261"/>
        <v>0.12</v>
      </c>
      <c r="X518" s="20">
        <f t="shared" si="261"/>
        <v>0.12</v>
      </c>
      <c r="Y518" s="20">
        <f t="shared" si="261"/>
        <v>0.12</v>
      </c>
      <c r="Z518" s="20">
        <f t="shared" si="261"/>
        <v>0.12</v>
      </c>
    </row>
    <row r="519" spans="1:26">
      <c r="A519" s="3"/>
      <c r="B519" s="3"/>
      <c r="C519" s="3" t="s">
        <v>2410</v>
      </c>
      <c r="D519" s="20">
        <f t="shared" ref="D519:Z519" si="262">D517*D518</f>
        <v>0</v>
      </c>
      <c r="E519" s="20">
        <f t="shared" si="262"/>
        <v>0</v>
      </c>
      <c r="F519" s="20">
        <f t="shared" si="262"/>
        <v>0</v>
      </c>
      <c r="G519" s="20">
        <f t="shared" si="262"/>
        <v>0</v>
      </c>
      <c r="H519" s="20">
        <f t="shared" si="262"/>
        <v>0</v>
      </c>
      <c r="I519" s="20">
        <f t="shared" si="262"/>
        <v>0</v>
      </c>
      <c r="J519" s="20">
        <f t="shared" si="262"/>
        <v>0</v>
      </c>
      <c r="K519" s="20">
        <f t="shared" si="262"/>
        <v>0</v>
      </c>
      <c r="L519" s="20">
        <f t="shared" si="262"/>
        <v>0</v>
      </c>
      <c r="M519" s="20">
        <f t="shared" si="262"/>
        <v>0</v>
      </c>
      <c r="N519" s="20">
        <f t="shared" si="262"/>
        <v>0</v>
      </c>
      <c r="O519" s="20">
        <f t="shared" si="262"/>
        <v>0</v>
      </c>
      <c r="P519" s="20">
        <f t="shared" si="262"/>
        <v>0</v>
      </c>
      <c r="Q519" s="20">
        <f t="shared" si="262"/>
        <v>0</v>
      </c>
      <c r="R519" s="20">
        <f t="shared" si="262"/>
        <v>0</v>
      </c>
      <c r="S519" s="20">
        <f t="shared" si="262"/>
        <v>0</v>
      </c>
      <c r="T519" s="20">
        <f t="shared" si="262"/>
        <v>0</v>
      </c>
      <c r="U519" s="20">
        <f t="shared" si="262"/>
        <v>0</v>
      </c>
      <c r="V519" s="20">
        <f t="shared" si="262"/>
        <v>0</v>
      </c>
      <c r="W519" s="20">
        <f t="shared" si="262"/>
        <v>0</v>
      </c>
      <c r="X519" s="20">
        <f t="shared" si="262"/>
        <v>0</v>
      </c>
      <c r="Y519" s="20">
        <f t="shared" si="262"/>
        <v>0</v>
      </c>
      <c r="Z519" s="20">
        <f t="shared" si="262"/>
        <v>0</v>
      </c>
    </row>
    <row r="520" spans="1:26">
      <c r="A520" s="3"/>
      <c r="B520" s="3" t="s">
        <v>2413</v>
      </c>
      <c r="C520" s="3" t="s">
        <v>632</v>
      </c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>
      <c r="A521" s="3"/>
      <c r="B521" s="3"/>
      <c r="C521" s="3" t="s">
        <v>834</v>
      </c>
      <c r="D521" s="20">
        <f>D488</f>
        <v>3.88349514563107</v>
      </c>
      <c r="E521" s="20">
        <f>D521</f>
        <v>3.88349514563107</v>
      </c>
      <c r="F521" s="20">
        <f t="shared" ref="F521:Z521" si="263">E521</f>
        <v>3.88349514563107</v>
      </c>
      <c r="G521" s="20">
        <f t="shared" si="263"/>
        <v>3.88349514563107</v>
      </c>
      <c r="H521" s="20">
        <f t="shared" si="263"/>
        <v>3.88349514563107</v>
      </c>
      <c r="I521" s="20">
        <f t="shared" si="263"/>
        <v>3.88349514563107</v>
      </c>
      <c r="J521" s="20">
        <f t="shared" si="263"/>
        <v>3.88349514563107</v>
      </c>
      <c r="K521" s="20">
        <f t="shared" si="263"/>
        <v>3.88349514563107</v>
      </c>
      <c r="L521" s="20">
        <f t="shared" si="263"/>
        <v>3.88349514563107</v>
      </c>
      <c r="M521" s="20">
        <f t="shared" si="263"/>
        <v>3.88349514563107</v>
      </c>
      <c r="N521" s="20">
        <f t="shared" si="263"/>
        <v>3.88349514563107</v>
      </c>
      <c r="O521" s="20">
        <f t="shared" si="263"/>
        <v>3.88349514563107</v>
      </c>
      <c r="P521" s="20">
        <f t="shared" si="263"/>
        <v>3.88349514563107</v>
      </c>
      <c r="Q521" s="20">
        <f t="shared" si="263"/>
        <v>3.88349514563107</v>
      </c>
      <c r="R521" s="20">
        <f t="shared" si="263"/>
        <v>3.88349514563107</v>
      </c>
      <c r="S521" s="20">
        <f t="shared" si="263"/>
        <v>3.88349514563107</v>
      </c>
      <c r="T521" s="20">
        <f t="shared" si="263"/>
        <v>3.88349514563107</v>
      </c>
      <c r="U521" s="20">
        <f t="shared" si="263"/>
        <v>3.88349514563107</v>
      </c>
      <c r="V521" s="20">
        <f t="shared" si="263"/>
        <v>3.88349514563107</v>
      </c>
      <c r="W521" s="20">
        <f t="shared" si="263"/>
        <v>3.88349514563107</v>
      </c>
      <c r="X521" s="20">
        <f t="shared" si="263"/>
        <v>3.88349514563107</v>
      </c>
      <c r="Y521" s="20">
        <f t="shared" si="263"/>
        <v>3.88349514563107</v>
      </c>
      <c r="Z521" s="20">
        <f t="shared" si="263"/>
        <v>3.88349514563107</v>
      </c>
    </row>
    <row r="522" spans="1:26">
      <c r="A522" s="3"/>
      <c r="B522" s="3"/>
      <c r="C522" s="3" t="s">
        <v>2410</v>
      </c>
      <c r="D522" s="20">
        <f t="shared" ref="D522:Z522" si="264">D520*D521</f>
        <v>0</v>
      </c>
      <c r="E522" s="20">
        <f t="shared" si="264"/>
        <v>0</v>
      </c>
      <c r="F522" s="20">
        <f t="shared" si="264"/>
        <v>0</v>
      </c>
      <c r="G522" s="20">
        <f t="shared" si="264"/>
        <v>0</v>
      </c>
      <c r="H522" s="20">
        <f t="shared" si="264"/>
        <v>0</v>
      </c>
      <c r="I522" s="20">
        <f t="shared" si="264"/>
        <v>0</v>
      </c>
      <c r="J522" s="20">
        <f t="shared" si="264"/>
        <v>0</v>
      </c>
      <c r="K522" s="20">
        <f t="shared" si="264"/>
        <v>0</v>
      </c>
      <c r="L522" s="20">
        <f t="shared" si="264"/>
        <v>0</v>
      </c>
      <c r="M522" s="20">
        <f t="shared" si="264"/>
        <v>0</v>
      </c>
      <c r="N522" s="20">
        <f t="shared" si="264"/>
        <v>0</v>
      </c>
      <c r="O522" s="20">
        <f t="shared" si="264"/>
        <v>0</v>
      </c>
      <c r="P522" s="20">
        <f t="shared" si="264"/>
        <v>0</v>
      </c>
      <c r="Q522" s="20">
        <f t="shared" si="264"/>
        <v>0</v>
      </c>
      <c r="R522" s="20">
        <f t="shared" si="264"/>
        <v>0</v>
      </c>
      <c r="S522" s="20">
        <f t="shared" si="264"/>
        <v>0</v>
      </c>
      <c r="T522" s="20">
        <f t="shared" si="264"/>
        <v>0</v>
      </c>
      <c r="U522" s="20">
        <f t="shared" si="264"/>
        <v>0</v>
      </c>
      <c r="V522" s="20">
        <f t="shared" si="264"/>
        <v>0</v>
      </c>
      <c r="W522" s="20">
        <f t="shared" si="264"/>
        <v>0</v>
      </c>
      <c r="X522" s="20">
        <f t="shared" si="264"/>
        <v>0</v>
      </c>
      <c r="Y522" s="20">
        <f t="shared" si="264"/>
        <v>0</v>
      </c>
      <c r="Z522" s="20">
        <f t="shared" si="264"/>
        <v>0</v>
      </c>
    </row>
    <row r="523" spans="1:26">
      <c r="A523" s="3"/>
      <c r="B523" s="3" t="s">
        <v>2414</v>
      </c>
      <c r="C523" s="3" t="s">
        <v>550</v>
      </c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>
      <c r="A524" s="3"/>
      <c r="B524" s="3"/>
      <c r="C524" s="3" t="s">
        <v>834</v>
      </c>
      <c r="D524" s="20">
        <f>D491</f>
        <v>0</v>
      </c>
      <c r="E524" s="20">
        <f>D524</f>
        <v>0</v>
      </c>
      <c r="F524" s="20">
        <f t="shared" ref="F524:Z524" si="265">E524</f>
        <v>0</v>
      </c>
      <c r="G524" s="20">
        <f t="shared" si="265"/>
        <v>0</v>
      </c>
      <c r="H524" s="20">
        <f t="shared" si="265"/>
        <v>0</v>
      </c>
      <c r="I524" s="20">
        <f t="shared" si="265"/>
        <v>0</v>
      </c>
      <c r="J524" s="20">
        <f t="shared" si="265"/>
        <v>0</v>
      </c>
      <c r="K524" s="20">
        <f t="shared" si="265"/>
        <v>0</v>
      </c>
      <c r="L524" s="20">
        <f t="shared" si="265"/>
        <v>0</v>
      </c>
      <c r="M524" s="20">
        <f t="shared" si="265"/>
        <v>0</v>
      </c>
      <c r="N524" s="20">
        <f t="shared" si="265"/>
        <v>0</v>
      </c>
      <c r="O524" s="20">
        <f t="shared" si="265"/>
        <v>0</v>
      </c>
      <c r="P524" s="20">
        <f t="shared" si="265"/>
        <v>0</v>
      </c>
      <c r="Q524" s="20">
        <f t="shared" si="265"/>
        <v>0</v>
      </c>
      <c r="R524" s="20">
        <f t="shared" si="265"/>
        <v>0</v>
      </c>
      <c r="S524" s="20">
        <f t="shared" si="265"/>
        <v>0</v>
      </c>
      <c r="T524" s="20">
        <f t="shared" si="265"/>
        <v>0</v>
      </c>
      <c r="U524" s="20">
        <f t="shared" si="265"/>
        <v>0</v>
      </c>
      <c r="V524" s="20">
        <f t="shared" si="265"/>
        <v>0</v>
      </c>
      <c r="W524" s="20">
        <f t="shared" si="265"/>
        <v>0</v>
      </c>
      <c r="X524" s="20">
        <f t="shared" si="265"/>
        <v>0</v>
      </c>
      <c r="Y524" s="20">
        <f t="shared" si="265"/>
        <v>0</v>
      </c>
      <c r="Z524" s="20">
        <f t="shared" si="265"/>
        <v>0</v>
      </c>
    </row>
    <row r="525" spans="1:26">
      <c r="A525" s="3"/>
      <c r="B525" s="3"/>
      <c r="C525" s="3" t="s">
        <v>2410</v>
      </c>
      <c r="D525" s="20">
        <f t="shared" ref="D525:Z525" si="266">D523*D524</f>
        <v>0</v>
      </c>
      <c r="E525" s="20">
        <f t="shared" si="266"/>
        <v>0</v>
      </c>
      <c r="F525" s="20">
        <f t="shared" si="266"/>
        <v>0</v>
      </c>
      <c r="G525" s="20">
        <f t="shared" si="266"/>
        <v>0</v>
      </c>
      <c r="H525" s="20">
        <f t="shared" si="266"/>
        <v>0</v>
      </c>
      <c r="I525" s="20">
        <f t="shared" si="266"/>
        <v>0</v>
      </c>
      <c r="J525" s="20">
        <f t="shared" si="266"/>
        <v>0</v>
      </c>
      <c r="K525" s="20">
        <f t="shared" si="266"/>
        <v>0</v>
      </c>
      <c r="L525" s="20">
        <f t="shared" si="266"/>
        <v>0</v>
      </c>
      <c r="M525" s="20">
        <f t="shared" si="266"/>
        <v>0</v>
      </c>
      <c r="N525" s="20">
        <f t="shared" si="266"/>
        <v>0</v>
      </c>
      <c r="O525" s="20">
        <f t="shared" si="266"/>
        <v>0</v>
      </c>
      <c r="P525" s="20">
        <f t="shared" si="266"/>
        <v>0</v>
      </c>
      <c r="Q525" s="20">
        <f t="shared" si="266"/>
        <v>0</v>
      </c>
      <c r="R525" s="20">
        <f t="shared" si="266"/>
        <v>0</v>
      </c>
      <c r="S525" s="20">
        <f t="shared" si="266"/>
        <v>0</v>
      </c>
      <c r="T525" s="20">
        <f t="shared" si="266"/>
        <v>0</v>
      </c>
      <c r="U525" s="20">
        <f t="shared" si="266"/>
        <v>0</v>
      </c>
      <c r="V525" s="20">
        <f t="shared" si="266"/>
        <v>0</v>
      </c>
      <c r="W525" s="20">
        <f t="shared" si="266"/>
        <v>0</v>
      </c>
      <c r="X525" s="20">
        <f t="shared" si="266"/>
        <v>0</v>
      </c>
      <c r="Y525" s="20">
        <f t="shared" si="266"/>
        <v>0</v>
      </c>
      <c r="Z525" s="20">
        <f t="shared" si="266"/>
        <v>0</v>
      </c>
    </row>
    <row r="526" ht="20.25" spans="1:26">
      <c r="A526" s="156"/>
      <c r="B526" s="156" t="s">
        <v>1321</v>
      </c>
      <c r="C526" s="156" t="s">
        <v>114</v>
      </c>
      <c r="D526" s="157">
        <f t="shared" ref="D526:Z526" si="267">D507+D510+D513+D516+D519+D522+D525</f>
        <v>12.546478132316</v>
      </c>
      <c r="E526" s="157">
        <f t="shared" si="267"/>
        <v>17.778478132316</v>
      </c>
      <c r="F526" s="157">
        <f t="shared" si="267"/>
        <v>25.026478132316</v>
      </c>
      <c r="G526" s="157">
        <f t="shared" si="267"/>
        <v>32.322478132316</v>
      </c>
      <c r="H526" s="157">
        <f t="shared" si="267"/>
        <v>25.181478132316</v>
      </c>
      <c r="I526" s="157">
        <f t="shared" si="267"/>
        <v>46.410478132316</v>
      </c>
      <c r="J526" s="157">
        <f t="shared" si="267"/>
        <v>70.5698827058142</v>
      </c>
      <c r="K526" s="157">
        <f t="shared" si="267"/>
        <v>93.8918827058142</v>
      </c>
      <c r="L526" s="157">
        <f t="shared" si="267"/>
        <v>135.751882705814</v>
      </c>
      <c r="M526" s="157">
        <f t="shared" si="267"/>
        <v>37.746478132316</v>
      </c>
      <c r="N526" s="157">
        <f t="shared" si="267"/>
        <v>44.994478132316</v>
      </c>
      <c r="O526" s="157">
        <f t="shared" si="267"/>
        <v>75.9518827058142</v>
      </c>
      <c r="P526" s="157">
        <f t="shared" si="267"/>
        <v>21.907978132316</v>
      </c>
      <c r="Q526" s="157">
        <f t="shared" si="267"/>
        <v>56.0931620293606</v>
      </c>
      <c r="R526" s="157">
        <f t="shared" si="267"/>
        <v>29.2316620293606</v>
      </c>
      <c r="S526" s="157">
        <f t="shared" si="267"/>
        <v>36.7066620293606</v>
      </c>
      <c r="T526" s="157">
        <f t="shared" si="267"/>
        <v>43.8826620293606</v>
      </c>
      <c r="U526" s="157">
        <f t="shared" si="267"/>
        <v>48.9656620293606</v>
      </c>
      <c r="V526" s="157">
        <f t="shared" si="267"/>
        <v>60.7028827058142</v>
      </c>
      <c r="W526" s="157">
        <f t="shared" si="267"/>
        <v>75.0548827058142</v>
      </c>
      <c r="X526" s="157">
        <f t="shared" si="267"/>
        <v>132.354434396948</v>
      </c>
      <c r="Y526" s="157">
        <f t="shared" si="267"/>
        <v>143.417434396948</v>
      </c>
      <c r="Z526" s="157">
        <f t="shared" si="267"/>
        <v>171.523434396948</v>
      </c>
    </row>
    <row r="527" ht="20.25" spans="1:26">
      <c r="A527" s="156" t="s">
        <v>463</v>
      </c>
      <c r="B527" s="156"/>
      <c r="C527" s="156" t="s">
        <v>114</v>
      </c>
      <c r="D527" s="157">
        <f t="shared" ref="D527:Z527" si="268">D526+D504</f>
        <v>13.7412527633491</v>
      </c>
      <c r="E527" s="157">
        <f t="shared" si="268"/>
        <v>22.4017768957783</v>
      </c>
      <c r="F527" s="157">
        <f t="shared" si="268"/>
        <v>31.8553133935845</v>
      </c>
      <c r="G527" s="157">
        <f t="shared" si="268"/>
        <v>40.6335870274098</v>
      </c>
      <c r="H527" s="157">
        <f t="shared" si="268"/>
        <v>30.5468790098589</v>
      </c>
      <c r="I527" s="157">
        <f t="shared" si="268"/>
        <v>57.4718064131297</v>
      </c>
      <c r="J527" s="157">
        <f t="shared" si="268"/>
        <v>84.8694957891808</v>
      </c>
      <c r="K527" s="157">
        <f t="shared" si="268"/>
        <v>124.213398461698</v>
      </c>
      <c r="L527" s="157">
        <f t="shared" si="268"/>
        <v>180.885297145383</v>
      </c>
      <c r="M527" s="157">
        <f t="shared" si="268"/>
        <v>44.3205427513826</v>
      </c>
      <c r="N527" s="157">
        <f t="shared" si="268"/>
        <v>53.6954952842905</v>
      </c>
      <c r="O527" s="157">
        <f t="shared" si="268"/>
        <v>88.1663621633331</v>
      </c>
      <c r="P527" s="157">
        <f t="shared" si="268"/>
        <v>37.1750862296435</v>
      </c>
      <c r="Q527" s="157">
        <f t="shared" si="268"/>
        <v>64.9250248135649</v>
      </c>
      <c r="R527" s="157">
        <f t="shared" si="268"/>
        <v>33.8095240157986</v>
      </c>
      <c r="S527" s="157">
        <f t="shared" si="268"/>
        <v>43.0792707250128</v>
      </c>
      <c r="T527" s="157">
        <f t="shared" si="268"/>
        <v>51.5190920253718</v>
      </c>
      <c r="U527" s="157">
        <f t="shared" si="268"/>
        <v>57.181230437817</v>
      </c>
      <c r="V527" s="157">
        <f t="shared" si="268"/>
        <v>70.741151553042</v>
      </c>
      <c r="W527" s="157">
        <f t="shared" si="268"/>
        <v>86.380443136608</v>
      </c>
      <c r="X527" s="157">
        <f t="shared" si="268"/>
        <v>148.651777835321</v>
      </c>
      <c r="Y527" s="157">
        <f t="shared" si="268"/>
        <v>163.999205438033</v>
      </c>
      <c r="Z527" s="157">
        <f t="shared" si="268"/>
        <v>195.879816526984</v>
      </c>
    </row>
    <row r="528" ht="20.25" spans="1:26">
      <c r="A528" s="156" t="s">
        <v>458</v>
      </c>
      <c r="B528" s="156"/>
      <c r="C528" s="156"/>
      <c r="D528" s="156">
        <v>7001</v>
      </c>
      <c r="E528" s="156">
        <v>7002</v>
      </c>
      <c r="F528" s="156">
        <v>7003</v>
      </c>
      <c r="G528" s="156">
        <v>7004</v>
      </c>
      <c r="H528" s="156">
        <v>7005</v>
      </c>
      <c r="I528" s="156">
        <v>7006</v>
      </c>
      <c r="J528" s="156">
        <v>7007</v>
      </c>
      <c r="K528" s="156">
        <v>7008</v>
      </c>
      <c r="L528" s="156">
        <v>7009</v>
      </c>
      <c r="M528" s="156">
        <v>7010</v>
      </c>
      <c r="N528" s="156">
        <v>7011</v>
      </c>
      <c r="O528" s="156">
        <v>7012</v>
      </c>
      <c r="P528" s="156">
        <v>7013</v>
      </c>
      <c r="Q528" s="156">
        <v>7014</v>
      </c>
      <c r="R528" s="156">
        <v>7015</v>
      </c>
      <c r="S528" s="156">
        <v>7016</v>
      </c>
      <c r="T528" s="156">
        <v>7017</v>
      </c>
      <c r="U528" s="156">
        <v>7018</v>
      </c>
      <c r="V528" s="156">
        <v>7019</v>
      </c>
      <c r="W528" s="156">
        <v>7020</v>
      </c>
      <c r="X528" s="156">
        <v>7021</v>
      </c>
      <c r="Y528" s="156">
        <v>7022</v>
      </c>
      <c r="Z528" s="156">
        <v>7023</v>
      </c>
    </row>
    <row r="529" s="122" customFormat="1" ht="15" spans="1:25">
      <c r="A529" s="154" t="s">
        <v>2315</v>
      </c>
      <c r="B529" s="154"/>
      <c r="Y529" s="168"/>
    </row>
    <row r="530" spans="1:26">
      <c r="A530" s="3" t="s">
        <v>2388</v>
      </c>
      <c r="B530" s="3"/>
      <c r="C530" s="3" t="s">
        <v>55</v>
      </c>
      <c r="D530" s="3" t="s">
        <v>2316</v>
      </c>
      <c r="E530" s="3"/>
      <c r="F530" s="3"/>
      <c r="G530" s="3" t="s">
        <v>2320</v>
      </c>
      <c r="H530" s="3"/>
      <c r="I530" s="3"/>
      <c r="J530" s="3"/>
      <c r="K530" s="3"/>
      <c r="L530" s="3"/>
      <c r="M530" s="3"/>
      <c r="N530" s="3"/>
      <c r="O530" s="3" t="s">
        <v>2329</v>
      </c>
      <c r="P530" s="3" t="s">
        <v>2331</v>
      </c>
      <c r="Q530" s="3"/>
      <c r="R530" s="3"/>
      <c r="S530" s="3" t="s">
        <v>2525</v>
      </c>
      <c r="T530" s="3"/>
      <c r="U530" s="3"/>
      <c r="V530" s="3" t="s">
        <v>2337</v>
      </c>
      <c r="W530" s="3" t="s">
        <v>2339</v>
      </c>
      <c r="X530" s="3" t="s">
        <v>2341</v>
      </c>
      <c r="Y530" s="3"/>
      <c r="Z530" s="3"/>
    </row>
    <row r="531" spans="1:26">
      <c r="A531" s="3"/>
      <c r="B531" s="3"/>
      <c r="C531" s="3"/>
      <c r="D531" s="3" t="s">
        <v>2526</v>
      </c>
      <c r="E531" s="3"/>
      <c r="F531" s="3"/>
      <c r="G531" s="3" t="s">
        <v>2527</v>
      </c>
      <c r="H531" s="3"/>
      <c r="I531" s="3"/>
      <c r="J531" s="3"/>
      <c r="K531" s="3"/>
      <c r="L531" s="3"/>
      <c r="M531" s="3" t="s">
        <v>2528</v>
      </c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3"/>
      <c r="D532" s="137" t="s">
        <v>2450</v>
      </c>
      <c r="E532" s="166"/>
      <c r="F532" s="167"/>
      <c r="G532" s="3" t="s">
        <v>2398</v>
      </c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3"/>
      <c r="D533" s="3">
        <v>20</v>
      </c>
      <c r="E533" s="3">
        <v>30</v>
      </c>
      <c r="F533" s="3">
        <v>50</v>
      </c>
      <c r="G533" s="3" t="s">
        <v>2529</v>
      </c>
      <c r="H533" s="3" t="s">
        <v>2530</v>
      </c>
      <c r="I533" s="3">
        <v>22</v>
      </c>
      <c r="J533" s="3">
        <v>30</v>
      </c>
      <c r="K533" s="3">
        <v>55</v>
      </c>
      <c r="L533" s="3">
        <v>75</v>
      </c>
      <c r="M533" s="3">
        <v>20</v>
      </c>
      <c r="N533" s="3">
        <v>55</v>
      </c>
      <c r="O533" s="3" t="s">
        <v>2531</v>
      </c>
      <c r="P533" s="191">
        <v>2.2</v>
      </c>
      <c r="Q533" s="3">
        <v>7</v>
      </c>
      <c r="R533" s="3">
        <v>34</v>
      </c>
      <c r="S533" s="3">
        <v>4</v>
      </c>
      <c r="T533" s="3">
        <v>7.5</v>
      </c>
      <c r="U533" s="3">
        <v>22</v>
      </c>
      <c r="V533" s="3">
        <v>14</v>
      </c>
      <c r="W533" s="3">
        <v>3</v>
      </c>
      <c r="X533" s="3">
        <v>4.5</v>
      </c>
      <c r="Y533" s="125">
        <v>10</v>
      </c>
      <c r="Z533" s="3">
        <v>28</v>
      </c>
    </row>
    <row r="534" spans="1:26">
      <c r="A534" s="3" t="s">
        <v>2400</v>
      </c>
      <c r="B534" s="3" t="s">
        <v>2401</v>
      </c>
      <c r="C534" s="3" t="s">
        <v>114</v>
      </c>
      <c r="D534" s="20">
        <f>0.08/$AA$6</f>
        <v>0.0695652173913043</v>
      </c>
      <c r="E534" s="20">
        <f>0.1/$AA$6</f>
        <v>0.0869565217391304</v>
      </c>
      <c r="F534" s="20">
        <f>0.16/$AA$6</f>
        <v>0.139130434782609</v>
      </c>
      <c r="G534" s="20">
        <f>0.19/$AA$6</f>
        <v>0.165217391304348</v>
      </c>
      <c r="H534" s="20">
        <f>0.31/$AA$6</f>
        <v>0.269565217391304</v>
      </c>
      <c r="I534" s="20">
        <f>0.43/$AA$6</f>
        <v>0.373913043478261</v>
      </c>
      <c r="J534" s="20">
        <f>0.64/$AA$6</f>
        <v>0.556521739130435</v>
      </c>
      <c r="K534" s="20">
        <f>1.08/$AA$6</f>
        <v>0.939130434782609</v>
      </c>
      <c r="L534" s="20">
        <f>1.37/$AA$6</f>
        <v>1.19130434782609</v>
      </c>
      <c r="M534" s="20">
        <f>1.07/$AA$6</f>
        <v>0.930434782608696</v>
      </c>
      <c r="N534" s="20">
        <f>1.41/$AA$6</f>
        <v>1.22608695652174</v>
      </c>
      <c r="O534" s="20">
        <f>0.25/$AA$6</f>
        <v>0.217391304347826</v>
      </c>
      <c r="P534" s="192">
        <f>0.4/$AA$6</f>
        <v>0.347826086956522</v>
      </c>
      <c r="Q534" s="20">
        <f>0.62/$AA$6</f>
        <v>0.539130434782609</v>
      </c>
      <c r="R534" s="20">
        <f>1.8/$AA$6</f>
        <v>1.56521739130435</v>
      </c>
      <c r="S534" s="20">
        <f>0.27/$AA$6</f>
        <v>0.234782608695652</v>
      </c>
      <c r="T534" s="20">
        <f>0.48/$AA$6</f>
        <v>0.417391304347826</v>
      </c>
      <c r="U534" s="20">
        <f>1.1/$AA$6</f>
        <v>0.956521739130435</v>
      </c>
      <c r="V534" s="20">
        <f>1.28/$AA$6</f>
        <v>1.11304347826087</v>
      </c>
      <c r="W534" s="20">
        <f>0.25/$AA$6</f>
        <v>0.217391304347826</v>
      </c>
      <c r="X534" s="20">
        <f>0.11/$AA$6</f>
        <v>0.0956521739130435</v>
      </c>
      <c r="Y534" s="20">
        <f>0.34/$AA$6</f>
        <v>0.295652173913044</v>
      </c>
      <c r="Z534" s="20">
        <f>1.02/$AA$6</f>
        <v>0.886956521739131</v>
      </c>
    </row>
    <row r="535" spans="1:26">
      <c r="A535" s="3"/>
      <c r="B535" s="3" t="s">
        <v>2403</v>
      </c>
      <c r="C535" s="3" t="s">
        <v>114</v>
      </c>
      <c r="D535" s="20">
        <f>0.01/$AA$7</f>
        <v>0.0091743119266055</v>
      </c>
      <c r="E535" s="20">
        <f>0.01/$AA$7</f>
        <v>0.0091743119266055</v>
      </c>
      <c r="F535" s="20">
        <f>0.01/$AA$7</f>
        <v>0.0091743119266055</v>
      </c>
      <c r="G535" s="20">
        <f>1.08/$AA$7</f>
        <v>0.990825688073394</v>
      </c>
      <c r="H535" s="20">
        <f>1.76/$AA$7</f>
        <v>1.61467889908257</v>
      </c>
      <c r="I535" s="20">
        <f>2.4/$AA$7</f>
        <v>2.20183486238532</v>
      </c>
      <c r="J535" s="20">
        <f>3.6/$AA$7</f>
        <v>3.30275229357798</v>
      </c>
      <c r="K535" s="20">
        <f>4.36/$AA$7</f>
        <v>4</v>
      </c>
      <c r="L535" s="20">
        <f>5.49/$AA$7</f>
        <v>5.03669724770642</v>
      </c>
      <c r="M535" s="20">
        <f>4.37/$AA$7</f>
        <v>4.00917431192661</v>
      </c>
      <c r="N535" s="20">
        <f>7.75/$AA$7</f>
        <v>7.11009174311927</v>
      </c>
      <c r="O535" s="20">
        <f>0.96/$AA$7</f>
        <v>0.880733944954128</v>
      </c>
      <c r="P535" s="192">
        <f>1.99/$AA$7</f>
        <v>1.8256880733945</v>
      </c>
      <c r="Q535" s="20">
        <f>2.87/$AA$7</f>
        <v>2.63302752293578</v>
      </c>
      <c r="R535" s="20">
        <f>5.07/$AA$7</f>
        <v>4.65137614678899</v>
      </c>
      <c r="S535" s="20">
        <f>1.84/$AA$7</f>
        <v>1.68807339449541</v>
      </c>
      <c r="T535" s="20">
        <f>2.61/$AA$7</f>
        <v>2.39449541284404</v>
      </c>
      <c r="U535" s="20">
        <f>4.45/$AA$7</f>
        <v>4.08256880733945</v>
      </c>
      <c r="V535" s="20">
        <f>2.37/$AA$7</f>
        <v>2.1743119266055</v>
      </c>
      <c r="W535" s="20">
        <f>1.36/$AA$7</f>
        <v>1.24770642201835</v>
      </c>
      <c r="X535" s="20">
        <f>0.69/$AA$7</f>
        <v>0.63302752293578</v>
      </c>
      <c r="Y535" s="20">
        <f>1.39/$AA$7</f>
        <v>1.27522935779817</v>
      </c>
      <c r="Z535" s="20">
        <f>2.86/$AA$7</f>
        <v>2.62385321100917</v>
      </c>
    </row>
    <row r="536" spans="1:26">
      <c r="A536" s="3"/>
      <c r="B536" s="3" t="s">
        <v>2405</v>
      </c>
      <c r="C536" s="3" t="s">
        <v>114</v>
      </c>
      <c r="D536" s="20"/>
      <c r="E536" s="20"/>
      <c r="F536" s="20"/>
      <c r="G536" s="20">
        <f>0.32</f>
        <v>0.32</v>
      </c>
      <c r="H536" s="20">
        <f>0.51</f>
        <v>0.51</v>
      </c>
      <c r="I536" s="20">
        <f>0.7</f>
        <v>0.7</v>
      </c>
      <c r="J536" s="20">
        <f>1.05</f>
        <v>1.05</v>
      </c>
      <c r="K536" s="20">
        <f>1.24</f>
        <v>1.24</v>
      </c>
      <c r="L536" s="20">
        <f>1.56</f>
        <v>1.56</v>
      </c>
      <c r="M536" s="20">
        <f>1.23</f>
        <v>1.23</v>
      </c>
      <c r="N536" s="20">
        <f>2.2</f>
        <v>2.2</v>
      </c>
      <c r="O536" s="20">
        <f>0.23</f>
        <v>0.23</v>
      </c>
      <c r="P536" s="192">
        <f>0.66</f>
        <v>0.66</v>
      </c>
      <c r="Q536" s="20">
        <f>1.02</f>
        <v>1.02</v>
      </c>
      <c r="R536" s="20">
        <f>2.2</f>
        <v>2.2</v>
      </c>
      <c r="S536" s="20">
        <f>0.78</f>
        <v>0.78</v>
      </c>
      <c r="T536" s="20">
        <f>0.95</f>
        <v>0.95</v>
      </c>
      <c r="U536" s="20">
        <f>1.2</f>
        <v>1.2</v>
      </c>
      <c r="V536" s="20">
        <f>1.01</f>
        <v>1.01</v>
      </c>
      <c r="W536" s="20"/>
      <c r="X536" s="20">
        <f>0.04</f>
        <v>0.04</v>
      </c>
      <c r="Y536" s="20">
        <f>0.11</f>
        <v>0.11</v>
      </c>
      <c r="Z536" s="20">
        <f>0.32</f>
        <v>0.32</v>
      </c>
    </row>
    <row r="537" ht="20.25" spans="1:26">
      <c r="A537" s="156"/>
      <c r="B537" s="156" t="s">
        <v>1321</v>
      </c>
      <c r="C537" s="156" t="s">
        <v>114</v>
      </c>
      <c r="D537" s="157">
        <f t="shared" ref="D537:Z537" si="269">SUM(D534:D536)</f>
        <v>0.0787395293179099</v>
      </c>
      <c r="E537" s="157">
        <f t="shared" si="269"/>
        <v>0.096130833665736</v>
      </c>
      <c r="F537" s="157">
        <f t="shared" si="269"/>
        <v>0.148304746709214</v>
      </c>
      <c r="G537" s="157">
        <f t="shared" si="269"/>
        <v>1.47604307937774</v>
      </c>
      <c r="H537" s="157">
        <f t="shared" si="269"/>
        <v>2.39424411647387</v>
      </c>
      <c r="I537" s="157">
        <f t="shared" si="269"/>
        <v>3.27574790586358</v>
      </c>
      <c r="J537" s="157">
        <f t="shared" si="269"/>
        <v>4.90927403270842</v>
      </c>
      <c r="K537" s="157">
        <f t="shared" si="269"/>
        <v>6.17913043478261</v>
      </c>
      <c r="L537" s="157">
        <f t="shared" si="269"/>
        <v>7.78800159553251</v>
      </c>
      <c r="M537" s="157">
        <f t="shared" si="269"/>
        <v>6.1696090945353</v>
      </c>
      <c r="N537" s="157">
        <f t="shared" si="269"/>
        <v>10.536178699641</v>
      </c>
      <c r="O537" s="157">
        <f t="shared" si="269"/>
        <v>1.32812524930195</v>
      </c>
      <c r="P537" s="193">
        <f t="shared" si="269"/>
        <v>2.83351416035102</v>
      </c>
      <c r="Q537" s="157">
        <f t="shared" si="269"/>
        <v>4.19215795771839</v>
      </c>
      <c r="R537" s="157">
        <f t="shared" si="269"/>
        <v>8.41659353809334</v>
      </c>
      <c r="S537" s="157">
        <f t="shared" si="269"/>
        <v>2.70285600319106</v>
      </c>
      <c r="T537" s="157">
        <f t="shared" si="269"/>
        <v>3.76188671719186</v>
      </c>
      <c r="U537" s="157">
        <f t="shared" si="269"/>
        <v>6.23909054646988</v>
      </c>
      <c r="V537" s="157">
        <f t="shared" si="269"/>
        <v>4.29735540486637</v>
      </c>
      <c r="W537" s="157">
        <f t="shared" si="269"/>
        <v>1.46509772636617</v>
      </c>
      <c r="X537" s="157">
        <f t="shared" si="269"/>
        <v>0.768679696848823</v>
      </c>
      <c r="Y537" s="157">
        <f t="shared" si="269"/>
        <v>1.68088153171121</v>
      </c>
      <c r="Z537" s="157">
        <f t="shared" si="269"/>
        <v>3.8308097327483</v>
      </c>
    </row>
    <row r="538" spans="1:26">
      <c r="A538" s="3" t="s">
        <v>2408</v>
      </c>
      <c r="B538" s="3" t="s">
        <v>600</v>
      </c>
      <c r="C538" s="3" t="s">
        <v>2409</v>
      </c>
      <c r="D538" s="20"/>
      <c r="E538" s="20"/>
      <c r="F538" s="20"/>
      <c r="G538" s="20">
        <v>1.3</v>
      </c>
      <c r="H538" s="20">
        <v>1.3</v>
      </c>
      <c r="I538" s="20">
        <v>1.3</v>
      </c>
      <c r="J538" s="20">
        <v>1.3</v>
      </c>
      <c r="K538" s="20">
        <v>1.3</v>
      </c>
      <c r="L538" s="20">
        <v>1.3</v>
      </c>
      <c r="M538" s="20">
        <v>1.3</v>
      </c>
      <c r="N538" s="20">
        <v>1.3</v>
      </c>
      <c r="O538" s="20">
        <v>1.3</v>
      </c>
      <c r="P538" s="192">
        <v>0.5</v>
      </c>
      <c r="Q538" s="20">
        <v>1.3</v>
      </c>
      <c r="R538" s="20">
        <v>1.3</v>
      </c>
      <c r="S538" s="20">
        <v>1.3</v>
      </c>
      <c r="T538" s="20">
        <v>1.3</v>
      </c>
      <c r="U538" s="20">
        <v>1.3</v>
      </c>
      <c r="V538" s="20">
        <v>1.3</v>
      </c>
      <c r="W538" s="20">
        <v>1.3</v>
      </c>
      <c r="X538" s="20">
        <v>0.7</v>
      </c>
      <c r="Y538" s="20">
        <v>0.7</v>
      </c>
      <c r="Z538" s="20">
        <v>0.7</v>
      </c>
    </row>
    <row r="539" spans="1:26">
      <c r="A539" s="3"/>
      <c r="B539" s="3"/>
      <c r="C539" s="3" t="s">
        <v>834</v>
      </c>
      <c r="D539" s="20">
        <f>D506</f>
        <v>8.10036779408924</v>
      </c>
      <c r="E539" s="20">
        <f t="shared" ref="E539:Z539" si="270">D539</f>
        <v>8.10036779408924</v>
      </c>
      <c r="F539" s="20">
        <f t="shared" si="270"/>
        <v>8.10036779408924</v>
      </c>
      <c r="G539" s="20">
        <f t="shared" si="270"/>
        <v>8.10036779408924</v>
      </c>
      <c r="H539" s="20">
        <f t="shared" si="270"/>
        <v>8.10036779408924</v>
      </c>
      <c r="I539" s="20">
        <f t="shared" si="270"/>
        <v>8.10036779408924</v>
      </c>
      <c r="J539" s="20">
        <f t="shared" si="270"/>
        <v>8.10036779408924</v>
      </c>
      <c r="K539" s="20">
        <f t="shared" si="270"/>
        <v>8.10036779408924</v>
      </c>
      <c r="L539" s="20">
        <f t="shared" si="270"/>
        <v>8.10036779408924</v>
      </c>
      <c r="M539" s="20">
        <f t="shared" si="270"/>
        <v>8.10036779408924</v>
      </c>
      <c r="N539" s="20">
        <f t="shared" si="270"/>
        <v>8.10036779408924</v>
      </c>
      <c r="O539" s="20">
        <f t="shared" si="270"/>
        <v>8.10036779408924</v>
      </c>
      <c r="P539" s="192">
        <f t="shared" si="270"/>
        <v>8.10036779408924</v>
      </c>
      <c r="Q539" s="20">
        <f t="shared" si="270"/>
        <v>8.10036779408924</v>
      </c>
      <c r="R539" s="20">
        <f t="shared" si="270"/>
        <v>8.10036779408924</v>
      </c>
      <c r="S539" s="20">
        <f t="shared" si="270"/>
        <v>8.10036779408924</v>
      </c>
      <c r="T539" s="20">
        <f t="shared" si="270"/>
        <v>8.10036779408924</v>
      </c>
      <c r="U539" s="20">
        <f t="shared" si="270"/>
        <v>8.10036779408924</v>
      </c>
      <c r="V539" s="20">
        <f t="shared" si="270"/>
        <v>8.10036779408924</v>
      </c>
      <c r="W539" s="20">
        <f t="shared" si="270"/>
        <v>8.10036779408924</v>
      </c>
      <c r="X539" s="20">
        <f t="shared" si="270"/>
        <v>8.10036779408924</v>
      </c>
      <c r="Y539" s="20">
        <f t="shared" si="270"/>
        <v>8.10036779408924</v>
      </c>
      <c r="Z539" s="20">
        <f t="shared" si="270"/>
        <v>8.10036779408924</v>
      </c>
    </row>
    <row r="540" spans="1:26">
      <c r="A540" s="3"/>
      <c r="B540" s="3"/>
      <c r="C540" s="3" t="s">
        <v>2410</v>
      </c>
      <c r="D540" s="20">
        <f t="shared" ref="D540:Z540" si="271">D538*D539</f>
        <v>0</v>
      </c>
      <c r="E540" s="20">
        <f t="shared" si="271"/>
        <v>0</v>
      </c>
      <c r="F540" s="20">
        <f t="shared" si="271"/>
        <v>0</v>
      </c>
      <c r="G540" s="20">
        <f t="shared" si="271"/>
        <v>10.530478132316</v>
      </c>
      <c r="H540" s="20">
        <f t="shared" si="271"/>
        <v>10.530478132316</v>
      </c>
      <c r="I540" s="20">
        <f t="shared" si="271"/>
        <v>10.530478132316</v>
      </c>
      <c r="J540" s="20">
        <f t="shared" si="271"/>
        <v>10.530478132316</v>
      </c>
      <c r="K540" s="20">
        <f t="shared" si="271"/>
        <v>10.530478132316</v>
      </c>
      <c r="L540" s="20">
        <f t="shared" si="271"/>
        <v>10.530478132316</v>
      </c>
      <c r="M540" s="20">
        <f t="shared" si="271"/>
        <v>10.530478132316</v>
      </c>
      <c r="N540" s="20">
        <f t="shared" si="271"/>
        <v>10.530478132316</v>
      </c>
      <c r="O540" s="20">
        <f t="shared" si="271"/>
        <v>10.530478132316</v>
      </c>
      <c r="P540" s="192">
        <f t="shared" si="271"/>
        <v>4.05018389704462</v>
      </c>
      <c r="Q540" s="20">
        <f t="shared" si="271"/>
        <v>10.530478132316</v>
      </c>
      <c r="R540" s="20">
        <f t="shared" si="271"/>
        <v>10.530478132316</v>
      </c>
      <c r="S540" s="20">
        <f t="shared" si="271"/>
        <v>10.530478132316</v>
      </c>
      <c r="T540" s="20">
        <f t="shared" si="271"/>
        <v>10.530478132316</v>
      </c>
      <c r="U540" s="20">
        <f t="shared" si="271"/>
        <v>10.530478132316</v>
      </c>
      <c r="V540" s="20">
        <f t="shared" si="271"/>
        <v>10.530478132316</v>
      </c>
      <c r="W540" s="20">
        <f t="shared" si="271"/>
        <v>10.530478132316</v>
      </c>
      <c r="X540" s="20">
        <f t="shared" si="271"/>
        <v>5.67025745586247</v>
      </c>
      <c r="Y540" s="20">
        <f t="shared" si="271"/>
        <v>5.67025745586247</v>
      </c>
      <c r="Z540" s="20">
        <f t="shared" si="271"/>
        <v>5.67025745586247</v>
      </c>
    </row>
    <row r="541" spans="1:26">
      <c r="A541" s="3"/>
      <c r="B541" s="3" t="s">
        <v>1825</v>
      </c>
      <c r="C541" s="3" t="s">
        <v>550</v>
      </c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>
        <v>1</v>
      </c>
      <c r="P541" s="192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>
      <c r="A542" s="3"/>
      <c r="B542" s="3"/>
      <c r="C542" s="3" t="s">
        <v>834</v>
      </c>
      <c r="D542" s="20">
        <f>D509</f>
        <v>3.075</v>
      </c>
      <c r="E542" s="20">
        <f t="shared" ref="E542:Z542" si="272">D542</f>
        <v>3.075</v>
      </c>
      <c r="F542" s="20">
        <f t="shared" si="272"/>
        <v>3.075</v>
      </c>
      <c r="G542" s="20">
        <f t="shared" si="272"/>
        <v>3.075</v>
      </c>
      <c r="H542" s="20">
        <f t="shared" si="272"/>
        <v>3.075</v>
      </c>
      <c r="I542" s="20">
        <f t="shared" si="272"/>
        <v>3.075</v>
      </c>
      <c r="J542" s="20">
        <f t="shared" si="272"/>
        <v>3.075</v>
      </c>
      <c r="K542" s="20">
        <f t="shared" si="272"/>
        <v>3.075</v>
      </c>
      <c r="L542" s="20">
        <f t="shared" si="272"/>
        <v>3.075</v>
      </c>
      <c r="M542" s="20">
        <f t="shared" si="272"/>
        <v>3.075</v>
      </c>
      <c r="N542" s="20">
        <f t="shared" si="272"/>
        <v>3.075</v>
      </c>
      <c r="O542" s="20">
        <f t="shared" si="272"/>
        <v>3.075</v>
      </c>
      <c r="P542" s="192">
        <f t="shared" si="272"/>
        <v>3.075</v>
      </c>
      <c r="Q542" s="20">
        <f t="shared" si="272"/>
        <v>3.075</v>
      </c>
      <c r="R542" s="20">
        <f t="shared" si="272"/>
        <v>3.075</v>
      </c>
      <c r="S542" s="20">
        <f t="shared" si="272"/>
        <v>3.075</v>
      </c>
      <c r="T542" s="20">
        <f t="shared" si="272"/>
        <v>3.075</v>
      </c>
      <c r="U542" s="20">
        <f t="shared" si="272"/>
        <v>3.075</v>
      </c>
      <c r="V542" s="20">
        <f t="shared" si="272"/>
        <v>3.075</v>
      </c>
      <c r="W542" s="20">
        <f t="shared" si="272"/>
        <v>3.075</v>
      </c>
      <c r="X542" s="20">
        <f t="shared" si="272"/>
        <v>3.075</v>
      </c>
      <c r="Y542" s="20">
        <f t="shared" si="272"/>
        <v>3.075</v>
      </c>
      <c r="Z542" s="20">
        <f t="shared" si="272"/>
        <v>3.075</v>
      </c>
    </row>
    <row r="543" spans="1:26">
      <c r="A543" s="3"/>
      <c r="B543" s="3"/>
      <c r="C543" s="3" t="s">
        <v>2410</v>
      </c>
      <c r="D543" s="20">
        <f t="shared" ref="D543:Z543" si="273">D541*D542</f>
        <v>0</v>
      </c>
      <c r="E543" s="20">
        <f t="shared" si="273"/>
        <v>0</v>
      </c>
      <c r="F543" s="20">
        <f t="shared" si="273"/>
        <v>0</v>
      </c>
      <c r="G543" s="20">
        <f t="shared" si="273"/>
        <v>0</v>
      </c>
      <c r="H543" s="20">
        <f t="shared" si="273"/>
        <v>0</v>
      </c>
      <c r="I543" s="20">
        <f t="shared" si="273"/>
        <v>0</v>
      </c>
      <c r="J543" s="20">
        <f t="shared" si="273"/>
        <v>0</v>
      </c>
      <c r="K543" s="20">
        <f t="shared" si="273"/>
        <v>0</v>
      </c>
      <c r="L543" s="20">
        <f t="shared" si="273"/>
        <v>0</v>
      </c>
      <c r="M543" s="20">
        <f t="shared" si="273"/>
        <v>0</v>
      </c>
      <c r="N543" s="20">
        <f t="shared" si="273"/>
        <v>0</v>
      </c>
      <c r="O543" s="20">
        <f t="shared" si="273"/>
        <v>3.075</v>
      </c>
      <c r="P543" s="192">
        <f t="shared" si="273"/>
        <v>0</v>
      </c>
      <c r="Q543" s="20">
        <f t="shared" si="273"/>
        <v>0</v>
      </c>
      <c r="R543" s="20">
        <f t="shared" si="273"/>
        <v>0</v>
      </c>
      <c r="S543" s="20">
        <f t="shared" si="273"/>
        <v>0</v>
      </c>
      <c r="T543" s="20">
        <f t="shared" si="273"/>
        <v>0</v>
      </c>
      <c r="U543" s="20">
        <f t="shared" si="273"/>
        <v>0</v>
      </c>
      <c r="V543" s="20">
        <f t="shared" si="273"/>
        <v>0</v>
      </c>
      <c r="W543" s="20">
        <f t="shared" si="273"/>
        <v>0</v>
      </c>
      <c r="X543" s="20">
        <f t="shared" si="273"/>
        <v>0</v>
      </c>
      <c r="Y543" s="20">
        <f t="shared" si="273"/>
        <v>0</v>
      </c>
      <c r="Z543" s="20">
        <f t="shared" si="273"/>
        <v>0</v>
      </c>
    </row>
    <row r="544" spans="1:26">
      <c r="A544" s="3"/>
      <c r="B544" s="3" t="s">
        <v>1822</v>
      </c>
      <c r="C544" s="3" t="s">
        <v>550</v>
      </c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192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>
      <c r="A545" s="3"/>
      <c r="B545" s="3"/>
      <c r="C545" s="3" t="s">
        <v>834</v>
      </c>
      <c r="D545" s="20">
        <f>D512</f>
        <v>2.99</v>
      </c>
      <c r="E545" s="20">
        <f t="shared" ref="E545:Z545" si="274">D545</f>
        <v>2.99</v>
      </c>
      <c r="F545" s="20">
        <f t="shared" si="274"/>
        <v>2.99</v>
      </c>
      <c r="G545" s="20">
        <f t="shared" si="274"/>
        <v>2.99</v>
      </c>
      <c r="H545" s="20">
        <f t="shared" si="274"/>
        <v>2.99</v>
      </c>
      <c r="I545" s="20">
        <f t="shared" si="274"/>
        <v>2.99</v>
      </c>
      <c r="J545" s="20">
        <f t="shared" si="274"/>
        <v>2.99</v>
      </c>
      <c r="K545" s="20">
        <f t="shared" si="274"/>
        <v>2.99</v>
      </c>
      <c r="L545" s="20">
        <f t="shared" si="274"/>
        <v>2.99</v>
      </c>
      <c r="M545" s="20">
        <f t="shared" si="274"/>
        <v>2.99</v>
      </c>
      <c r="N545" s="20">
        <f t="shared" si="274"/>
        <v>2.99</v>
      </c>
      <c r="O545" s="20">
        <f t="shared" si="274"/>
        <v>2.99</v>
      </c>
      <c r="P545" s="192">
        <f t="shared" si="274"/>
        <v>2.99</v>
      </c>
      <c r="Q545" s="20">
        <f t="shared" si="274"/>
        <v>2.99</v>
      </c>
      <c r="R545" s="20">
        <f t="shared" si="274"/>
        <v>2.99</v>
      </c>
      <c r="S545" s="20">
        <f t="shared" si="274"/>
        <v>2.99</v>
      </c>
      <c r="T545" s="20">
        <f t="shared" si="274"/>
        <v>2.99</v>
      </c>
      <c r="U545" s="20">
        <f t="shared" si="274"/>
        <v>2.99</v>
      </c>
      <c r="V545" s="20">
        <f t="shared" si="274"/>
        <v>2.99</v>
      </c>
      <c r="W545" s="20">
        <f t="shared" si="274"/>
        <v>2.99</v>
      </c>
      <c r="X545" s="20">
        <f t="shared" si="274"/>
        <v>2.99</v>
      </c>
      <c r="Y545" s="20">
        <f t="shared" si="274"/>
        <v>2.99</v>
      </c>
      <c r="Z545" s="20">
        <f t="shared" si="274"/>
        <v>2.99</v>
      </c>
    </row>
    <row r="546" spans="1:26">
      <c r="A546" s="3"/>
      <c r="B546" s="3"/>
      <c r="C546" s="3" t="s">
        <v>2410</v>
      </c>
      <c r="D546" s="20">
        <f t="shared" ref="D546:Z546" si="275">D544*D545</f>
        <v>0</v>
      </c>
      <c r="E546" s="20">
        <f t="shared" si="275"/>
        <v>0</v>
      </c>
      <c r="F546" s="20">
        <f t="shared" si="275"/>
        <v>0</v>
      </c>
      <c r="G546" s="20">
        <f t="shared" si="275"/>
        <v>0</v>
      </c>
      <c r="H546" s="20">
        <f t="shared" si="275"/>
        <v>0</v>
      </c>
      <c r="I546" s="20">
        <f t="shared" si="275"/>
        <v>0</v>
      </c>
      <c r="J546" s="20">
        <f t="shared" si="275"/>
        <v>0</v>
      </c>
      <c r="K546" s="20">
        <f t="shared" si="275"/>
        <v>0</v>
      </c>
      <c r="L546" s="20">
        <f t="shared" si="275"/>
        <v>0</v>
      </c>
      <c r="M546" s="20">
        <f t="shared" si="275"/>
        <v>0</v>
      </c>
      <c r="N546" s="20">
        <f t="shared" si="275"/>
        <v>0</v>
      </c>
      <c r="O546" s="20">
        <f t="shared" si="275"/>
        <v>0</v>
      </c>
      <c r="P546" s="192">
        <f t="shared" si="275"/>
        <v>0</v>
      </c>
      <c r="Q546" s="20">
        <f t="shared" si="275"/>
        <v>0</v>
      </c>
      <c r="R546" s="20">
        <f t="shared" si="275"/>
        <v>0</v>
      </c>
      <c r="S546" s="20">
        <f t="shared" si="275"/>
        <v>0</v>
      </c>
      <c r="T546" s="20">
        <f t="shared" si="275"/>
        <v>0</v>
      </c>
      <c r="U546" s="20">
        <f t="shared" si="275"/>
        <v>0</v>
      </c>
      <c r="V546" s="20">
        <f t="shared" si="275"/>
        <v>0</v>
      </c>
      <c r="W546" s="20">
        <f t="shared" si="275"/>
        <v>0</v>
      </c>
      <c r="X546" s="20">
        <f t="shared" si="275"/>
        <v>0</v>
      </c>
      <c r="Y546" s="20">
        <f t="shared" si="275"/>
        <v>0</v>
      </c>
      <c r="Z546" s="20">
        <f t="shared" si="275"/>
        <v>0</v>
      </c>
    </row>
    <row r="547" spans="1:26">
      <c r="A547" s="3"/>
      <c r="B547" s="3" t="s">
        <v>2411</v>
      </c>
      <c r="C547" s="3" t="s">
        <v>1834</v>
      </c>
      <c r="D547" s="20"/>
      <c r="E547" s="20"/>
      <c r="F547" s="20"/>
      <c r="G547" s="20">
        <v>9.1</v>
      </c>
      <c r="H547" s="20">
        <v>15.5</v>
      </c>
      <c r="I547" s="20">
        <v>20.1</v>
      </c>
      <c r="J547" s="20">
        <v>27.4</v>
      </c>
      <c r="K547" s="20">
        <v>50.2</v>
      </c>
      <c r="L547" s="20">
        <v>68.5</v>
      </c>
      <c r="M547" s="20">
        <v>19.3</v>
      </c>
      <c r="N547" s="20">
        <v>53.2</v>
      </c>
      <c r="O547" s="20"/>
      <c r="P547" s="192">
        <v>1.9</v>
      </c>
      <c r="Q547" s="20">
        <v>6</v>
      </c>
      <c r="R547" s="20">
        <v>29.2</v>
      </c>
      <c r="S547" s="20">
        <v>3.9</v>
      </c>
      <c r="T547" s="20">
        <v>7.5</v>
      </c>
      <c r="U547" s="20">
        <v>21.3</v>
      </c>
      <c r="V547" s="20">
        <v>12</v>
      </c>
      <c r="W547" s="20">
        <v>2.9</v>
      </c>
      <c r="X547" s="20">
        <v>3.4</v>
      </c>
      <c r="Y547" s="20">
        <v>7.6</v>
      </c>
      <c r="Z547" s="20">
        <v>21.2</v>
      </c>
    </row>
    <row r="548" spans="1:26">
      <c r="A548" s="3"/>
      <c r="B548" s="3"/>
      <c r="C548" s="3" t="s">
        <v>834</v>
      </c>
      <c r="D548" s="20">
        <f>D515</f>
        <v>0.48</v>
      </c>
      <c r="E548" s="20">
        <f t="shared" ref="E548:Z548" si="276">D548</f>
        <v>0.48</v>
      </c>
      <c r="F548" s="20">
        <f t="shared" si="276"/>
        <v>0.48</v>
      </c>
      <c r="G548" s="20">
        <f t="shared" si="276"/>
        <v>0.48</v>
      </c>
      <c r="H548" s="20">
        <f t="shared" si="276"/>
        <v>0.48</v>
      </c>
      <c r="I548" s="20">
        <f t="shared" si="276"/>
        <v>0.48</v>
      </c>
      <c r="J548" s="20">
        <f t="shared" si="276"/>
        <v>0.48</v>
      </c>
      <c r="K548" s="20">
        <f t="shared" si="276"/>
        <v>0.48</v>
      </c>
      <c r="L548" s="20">
        <f t="shared" si="276"/>
        <v>0.48</v>
      </c>
      <c r="M548" s="20">
        <f t="shared" si="276"/>
        <v>0.48</v>
      </c>
      <c r="N548" s="20">
        <f t="shared" si="276"/>
        <v>0.48</v>
      </c>
      <c r="O548" s="20">
        <f t="shared" si="276"/>
        <v>0.48</v>
      </c>
      <c r="P548" s="192">
        <f t="shared" si="276"/>
        <v>0.48</v>
      </c>
      <c r="Q548" s="20">
        <f t="shared" si="276"/>
        <v>0.48</v>
      </c>
      <c r="R548" s="20">
        <f t="shared" si="276"/>
        <v>0.48</v>
      </c>
      <c r="S548" s="20">
        <f t="shared" si="276"/>
        <v>0.48</v>
      </c>
      <c r="T548" s="20">
        <f t="shared" si="276"/>
        <v>0.48</v>
      </c>
      <c r="U548" s="20">
        <f t="shared" si="276"/>
        <v>0.48</v>
      </c>
      <c r="V548" s="20">
        <f t="shared" si="276"/>
        <v>0.48</v>
      </c>
      <c r="W548" s="20">
        <f t="shared" si="276"/>
        <v>0.48</v>
      </c>
      <c r="X548" s="20">
        <f t="shared" si="276"/>
        <v>0.48</v>
      </c>
      <c r="Y548" s="20">
        <f t="shared" si="276"/>
        <v>0.48</v>
      </c>
      <c r="Z548" s="20">
        <f t="shared" si="276"/>
        <v>0.48</v>
      </c>
    </row>
    <row r="549" spans="1:26">
      <c r="A549" s="3"/>
      <c r="B549" s="3"/>
      <c r="C549" s="3" t="s">
        <v>2410</v>
      </c>
      <c r="D549" s="20">
        <f t="shared" ref="D549:Z549" si="277">D547*D548</f>
        <v>0</v>
      </c>
      <c r="E549" s="20">
        <f t="shared" si="277"/>
        <v>0</v>
      </c>
      <c r="F549" s="20">
        <f t="shared" si="277"/>
        <v>0</v>
      </c>
      <c r="G549" s="20">
        <f t="shared" si="277"/>
        <v>4.368</v>
      </c>
      <c r="H549" s="20">
        <f t="shared" si="277"/>
        <v>7.44</v>
      </c>
      <c r="I549" s="20">
        <f t="shared" si="277"/>
        <v>9.648</v>
      </c>
      <c r="J549" s="20">
        <f t="shared" si="277"/>
        <v>13.152</v>
      </c>
      <c r="K549" s="20">
        <f t="shared" si="277"/>
        <v>24.096</v>
      </c>
      <c r="L549" s="20">
        <f t="shared" si="277"/>
        <v>32.88</v>
      </c>
      <c r="M549" s="20">
        <f t="shared" si="277"/>
        <v>9.264</v>
      </c>
      <c r="N549" s="20">
        <f t="shared" si="277"/>
        <v>25.536</v>
      </c>
      <c r="O549" s="20">
        <f t="shared" si="277"/>
        <v>0</v>
      </c>
      <c r="P549" s="192">
        <f t="shared" si="277"/>
        <v>0.912</v>
      </c>
      <c r="Q549" s="20">
        <f t="shared" si="277"/>
        <v>2.88</v>
      </c>
      <c r="R549" s="20">
        <f t="shared" si="277"/>
        <v>14.016</v>
      </c>
      <c r="S549" s="20">
        <f t="shared" si="277"/>
        <v>1.872</v>
      </c>
      <c r="T549" s="20">
        <f t="shared" si="277"/>
        <v>3.6</v>
      </c>
      <c r="U549" s="20">
        <f t="shared" si="277"/>
        <v>10.224</v>
      </c>
      <c r="V549" s="20">
        <f t="shared" si="277"/>
        <v>5.76</v>
      </c>
      <c r="W549" s="20">
        <f t="shared" si="277"/>
        <v>1.392</v>
      </c>
      <c r="X549" s="20">
        <f t="shared" si="277"/>
        <v>1.632</v>
      </c>
      <c r="Y549" s="20">
        <f t="shared" si="277"/>
        <v>3.648</v>
      </c>
      <c r="Z549" s="20">
        <f t="shared" si="277"/>
        <v>10.176</v>
      </c>
    </row>
    <row r="550" spans="1:26">
      <c r="A550" s="3"/>
      <c r="B550" s="3" t="s">
        <v>2412</v>
      </c>
      <c r="C550" s="3" t="s">
        <v>632</v>
      </c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192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>
      <c r="A551" s="3"/>
      <c r="B551" s="3"/>
      <c r="C551" s="3" t="s">
        <v>834</v>
      </c>
      <c r="D551" s="20">
        <f>D518</f>
        <v>0.12</v>
      </c>
      <c r="E551" s="20">
        <f t="shared" ref="E551:Z551" si="278">D551</f>
        <v>0.12</v>
      </c>
      <c r="F551" s="20">
        <f t="shared" si="278"/>
        <v>0.12</v>
      </c>
      <c r="G551" s="20">
        <f t="shared" si="278"/>
        <v>0.12</v>
      </c>
      <c r="H551" s="20">
        <f t="shared" si="278"/>
        <v>0.12</v>
      </c>
      <c r="I551" s="20">
        <f t="shared" si="278"/>
        <v>0.12</v>
      </c>
      <c r="J551" s="20">
        <f t="shared" si="278"/>
        <v>0.12</v>
      </c>
      <c r="K551" s="20">
        <f t="shared" si="278"/>
        <v>0.12</v>
      </c>
      <c r="L551" s="20">
        <f t="shared" si="278"/>
        <v>0.12</v>
      </c>
      <c r="M551" s="20">
        <f t="shared" si="278"/>
        <v>0.12</v>
      </c>
      <c r="N551" s="20">
        <f t="shared" si="278"/>
        <v>0.12</v>
      </c>
      <c r="O551" s="20">
        <f t="shared" si="278"/>
        <v>0.12</v>
      </c>
      <c r="P551" s="192">
        <f t="shared" si="278"/>
        <v>0.12</v>
      </c>
      <c r="Q551" s="20">
        <f t="shared" si="278"/>
        <v>0.12</v>
      </c>
      <c r="R551" s="20">
        <f t="shared" si="278"/>
        <v>0.12</v>
      </c>
      <c r="S551" s="20">
        <f t="shared" si="278"/>
        <v>0.12</v>
      </c>
      <c r="T551" s="20">
        <f t="shared" si="278"/>
        <v>0.12</v>
      </c>
      <c r="U551" s="20">
        <f t="shared" si="278"/>
        <v>0.12</v>
      </c>
      <c r="V551" s="20">
        <f t="shared" si="278"/>
        <v>0.12</v>
      </c>
      <c r="W551" s="20">
        <f t="shared" si="278"/>
        <v>0.12</v>
      </c>
      <c r="X551" s="20">
        <f t="shared" si="278"/>
        <v>0.12</v>
      </c>
      <c r="Y551" s="20">
        <f t="shared" si="278"/>
        <v>0.12</v>
      </c>
      <c r="Z551" s="20">
        <f t="shared" si="278"/>
        <v>0.12</v>
      </c>
    </row>
    <row r="552" spans="1:26">
      <c r="A552" s="3"/>
      <c r="B552" s="3"/>
      <c r="C552" s="3" t="s">
        <v>2410</v>
      </c>
      <c r="D552" s="20">
        <f t="shared" ref="D552:Z552" si="279">D550*D551</f>
        <v>0</v>
      </c>
      <c r="E552" s="20">
        <f t="shared" si="279"/>
        <v>0</v>
      </c>
      <c r="F552" s="20">
        <f t="shared" si="279"/>
        <v>0</v>
      </c>
      <c r="G552" s="20">
        <f t="shared" si="279"/>
        <v>0</v>
      </c>
      <c r="H552" s="20">
        <f t="shared" si="279"/>
        <v>0</v>
      </c>
      <c r="I552" s="20">
        <f t="shared" si="279"/>
        <v>0</v>
      </c>
      <c r="J552" s="20">
        <f t="shared" si="279"/>
        <v>0</v>
      </c>
      <c r="K552" s="20">
        <f t="shared" si="279"/>
        <v>0</v>
      </c>
      <c r="L552" s="20">
        <f t="shared" si="279"/>
        <v>0</v>
      </c>
      <c r="M552" s="20">
        <f t="shared" si="279"/>
        <v>0</v>
      </c>
      <c r="N552" s="20">
        <f t="shared" si="279"/>
        <v>0</v>
      </c>
      <c r="O552" s="20">
        <f t="shared" si="279"/>
        <v>0</v>
      </c>
      <c r="P552" s="192">
        <f t="shared" si="279"/>
        <v>0</v>
      </c>
      <c r="Q552" s="20">
        <f t="shared" si="279"/>
        <v>0</v>
      </c>
      <c r="R552" s="20">
        <f t="shared" si="279"/>
        <v>0</v>
      </c>
      <c r="S552" s="20">
        <f t="shared" si="279"/>
        <v>0</v>
      </c>
      <c r="T552" s="20">
        <f t="shared" si="279"/>
        <v>0</v>
      </c>
      <c r="U552" s="20">
        <f t="shared" si="279"/>
        <v>0</v>
      </c>
      <c r="V552" s="20">
        <f t="shared" si="279"/>
        <v>0</v>
      </c>
      <c r="W552" s="20">
        <f t="shared" si="279"/>
        <v>0</v>
      </c>
      <c r="X552" s="20">
        <f t="shared" si="279"/>
        <v>0</v>
      </c>
      <c r="Y552" s="20">
        <f t="shared" si="279"/>
        <v>0</v>
      </c>
      <c r="Z552" s="20">
        <f t="shared" si="279"/>
        <v>0</v>
      </c>
    </row>
    <row r="553" spans="1:26">
      <c r="A553" s="3"/>
      <c r="B553" s="3" t="s">
        <v>2413</v>
      </c>
      <c r="C553" s="3" t="s">
        <v>632</v>
      </c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192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>
      <c r="A554" s="3"/>
      <c r="B554" s="3"/>
      <c r="C554" s="3" t="s">
        <v>834</v>
      </c>
      <c r="D554" s="20">
        <f>D521</f>
        <v>3.88349514563107</v>
      </c>
      <c r="E554" s="20">
        <f t="shared" ref="E554:Z554" si="280">D554</f>
        <v>3.88349514563107</v>
      </c>
      <c r="F554" s="20">
        <f t="shared" si="280"/>
        <v>3.88349514563107</v>
      </c>
      <c r="G554" s="20">
        <f t="shared" si="280"/>
        <v>3.88349514563107</v>
      </c>
      <c r="H554" s="20">
        <f t="shared" si="280"/>
        <v>3.88349514563107</v>
      </c>
      <c r="I554" s="20">
        <f t="shared" si="280"/>
        <v>3.88349514563107</v>
      </c>
      <c r="J554" s="20">
        <f t="shared" si="280"/>
        <v>3.88349514563107</v>
      </c>
      <c r="K554" s="20">
        <f t="shared" si="280"/>
        <v>3.88349514563107</v>
      </c>
      <c r="L554" s="20">
        <f t="shared" si="280"/>
        <v>3.88349514563107</v>
      </c>
      <c r="M554" s="20">
        <f t="shared" si="280"/>
        <v>3.88349514563107</v>
      </c>
      <c r="N554" s="20">
        <f t="shared" si="280"/>
        <v>3.88349514563107</v>
      </c>
      <c r="O554" s="20">
        <f t="shared" si="280"/>
        <v>3.88349514563107</v>
      </c>
      <c r="P554" s="192">
        <f t="shared" si="280"/>
        <v>3.88349514563107</v>
      </c>
      <c r="Q554" s="20">
        <f t="shared" si="280"/>
        <v>3.88349514563107</v>
      </c>
      <c r="R554" s="20">
        <f t="shared" si="280"/>
        <v>3.88349514563107</v>
      </c>
      <c r="S554" s="20">
        <f t="shared" si="280"/>
        <v>3.88349514563107</v>
      </c>
      <c r="T554" s="20">
        <f t="shared" si="280"/>
        <v>3.88349514563107</v>
      </c>
      <c r="U554" s="20">
        <f t="shared" si="280"/>
        <v>3.88349514563107</v>
      </c>
      <c r="V554" s="20">
        <f t="shared" si="280"/>
        <v>3.88349514563107</v>
      </c>
      <c r="W554" s="20">
        <f t="shared" si="280"/>
        <v>3.88349514563107</v>
      </c>
      <c r="X554" s="20">
        <f t="shared" si="280"/>
        <v>3.88349514563107</v>
      </c>
      <c r="Y554" s="20">
        <f t="shared" si="280"/>
        <v>3.88349514563107</v>
      </c>
      <c r="Z554" s="20">
        <f t="shared" si="280"/>
        <v>3.88349514563107</v>
      </c>
    </row>
    <row r="555" spans="1:26">
      <c r="A555" s="3"/>
      <c r="B555" s="3"/>
      <c r="C555" s="3" t="s">
        <v>2410</v>
      </c>
      <c r="D555" s="20">
        <f t="shared" ref="D555:Z555" si="281">D553*D554</f>
        <v>0</v>
      </c>
      <c r="E555" s="20">
        <f t="shared" si="281"/>
        <v>0</v>
      </c>
      <c r="F555" s="20">
        <f t="shared" si="281"/>
        <v>0</v>
      </c>
      <c r="G555" s="20">
        <f t="shared" si="281"/>
        <v>0</v>
      </c>
      <c r="H555" s="20">
        <f t="shared" si="281"/>
        <v>0</v>
      </c>
      <c r="I555" s="20">
        <f t="shared" si="281"/>
        <v>0</v>
      </c>
      <c r="J555" s="20">
        <f t="shared" si="281"/>
        <v>0</v>
      </c>
      <c r="K555" s="20">
        <f t="shared" si="281"/>
        <v>0</v>
      </c>
      <c r="L555" s="20">
        <f t="shared" si="281"/>
        <v>0</v>
      </c>
      <c r="M555" s="20">
        <f t="shared" si="281"/>
        <v>0</v>
      </c>
      <c r="N555" s="20">
        <f t="shared" si="281"/>
        <v>0</v>
      </c>
      <c r="O555" s="20">
        <f t="shared" si="281"/>
        <v>0</v>
      </c>
      <c r="P555" s="192">
        <f t="shared" si="281"/>
        <v>0</v>
      </c>
      <c r="Q555" s="20">
        <f t="shared" si="281"/>
        <v>0</v>
      </c>
      <c r="R555" s="20">
        <f t="shared" si="281"/>
        <v>0</v>
      </c>
      <c r="S555" s="20">
        <f t="shared" si="281"/>
        <v>0</v>
      </c>
      <c r="T555" s="20">
        <f t="shared" si="281"/>
        <v>0</v>
      </c>
      <c r="U555" s="20">
        <f t="shared" si="281"/>
        <v>0</v>
      </c>
      <c r="V555" s="20">
        <f t="shared" si="281"/>
        <v>0</v>
      </c>
      <c r="W555" s="20">
        <f t="shared" si="281"/>
        <v>0</v>
      </c>
      <c r="X555" s="20">
        <f t="shared" si="281"/>
        <v>0</v>
      </c>
      <c r="Y555" s="20">
        <f t="shared" si="281"/>
        <v>0</v>
      </c>
      <c r="Z555" s="20">
        <f t="shared" si="281"/>
        <v>0</v>
      </c>
    </row>
    <row r="556" spans="1:26">
      <c r="A556" s="3"/>
      <c r="B556" s="3" t="s">
        <v>2414</v>
      </c>
      <c r="C556" s="3" t="s">
        <v>550</v>
      </c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192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>
      <c r="A557" s="3"/>
      <c r="B557" s="3"/>
      <c r="C557" s="3" t="s">
        <v>834</v>
      </c>
      <c r="D557" s="20">
        <f>D524</f>
        <v>0</v>
      </c>
      <c r="E557" s="20">
        <f t="shared" ref="E557:Z557" si="282">D557</f>
        <v>0</v>
      </c>
      <c r="F557" s="20">
        <f t="shared" si="282"/>
        <v>0</v>
      </c>
      <c r="G557" s="20">
        <f t="shared" si="282"/>
        <v>0</v>
      </c>
      <c r="H557" s="20">
        <f t="shared" si="282"/>
        <v>0</v>
      </c>
      <c r="I557" s="20">
        <f t="shared" si="282"/>
        <v>0</v>
      </c>
      <c r="J557" s="20">
        <f t="shared" si="282"/>
        <v>0</v>
      </c>
      <c r="K557" s="20">
        <f t="shared" si="282"/>
        <v>0</v>
      </c>
      <c r="L557" s="20">
        <f t="shared" si="282"/>
        <v>0</v>
      </c>
      <c r="M557" s="20">
        <f t="shared" si="282"/>
        <v>0</v>
      </c>
      <c r="N557" s="20">
        <f t="shared" si="282"/>
        <v>0</v>
      </c>
      <c r="O557" s="20">
        <f t="shared" si="282"/>
        <v>0</v>
      </c>
      <c r="P557" s="192">
        <f t="shared" si="282"/>
        <v>0</v>
      </c>
      <c r="Q557" s="20">
        <f t="shared" si="282"/>
        <v>0</v>
      </c>
      <c r="R557" s="20">
        <f t="shared" si="282"/>
        <v>0</v>
      </c>
      <c r="S557" s="20">
        <f t="shared" si="282"/>
        <v>0</v>
      </c>
      <c r="T557" s="20">
        <f t="shared" si="282"/>
        <v>0</v>
      </c>
      <c r="U557" s="20">
        <f t="shared" si="282"/>
        <v>0</v>
      </c>
      <c r="V557" s="20">
        <f t="shared" si="282"/>
        <v>0</v>
      </c>
      <c r="W557" s="20">
        <f t="shared" si="282"/>
        <v>0</v>
      </c>
      <c r="X557" s="20">
        <f t="shared" si="282"/>
        <v>0</v>
      </c>
      <c r="Y557" s="20">
        <f t="shared" si="282"/>
        <v>0</v>
      </c>
      <c r="Z557" s="20">
        <f t="shared" si="282"/>
        <v>0</v>
      </c>
    </row>
    <row r="558" spans="1:26">
      <c r="A558" s="3"/>
      <c r="B558" s="3"/>
      <c r="C558" s="3" t="s">
        <v>2410</v>
      </c>
      <c r="D558" s="20">
        <f t="shared" ref="D558:Z558" si="283">D556*D557</f>
        <v>0</v>
      </c>
      <c r="E558" s="20">
        <f t="shared" si="283"/>
        <v>0</v>
      </c>
      <c r="F558" s="20">
        <f t="shared" si="283"/>
        <v>0</v>
      </c>
      <c r="G558" s="20">
        <f t="shared" si="283"/>
        <v>0</v>
      </c>
      <c r="H558" s="20">
        <f t="shared" si="283"/>
        <v>0</v>
      </c>
      <c r="I558" s="20">
        <f t="shared" si="283"/>
        <v>0</v>
      </c>
      <c r="J558" s="20">
        <f t="shared" si="283"/>
        <v>0</v>
      </c>
      <c r="K558" s="20">
        <f t="shared" si="283"/>
        <v>0</v>
      </c>
      <c r="L558" s="20">
        <f t="shared" si="283"/>
        <v>0</v>
      </c>
      <c r="M558" s="20">
        <f t="shared" si="283"/>
        <v>0</v>
      </c>
      <c r="N558" s="20">
        <f t="shared" si="283"/>
        <v>0</v>
      </c>
      <c r="O558" s="20">
        <f t="shared" si="283"/>
        <v>0</v>
      </c>
      <c r="P558" s="192">
        <f t="shared" si="283"/>
        <v>0</v>
      </c>
      <c r="Q558" s="20">
        <f t="shared" si="283"/>
        <v>0</v>
      </c>
      <c r="R558" s="20">
        <f t="shared" si="283"/>
        <v>0</v>
      </c>
      <c r="S558" s="20">
        <f t="shared" si="283"/>
        <v>0</v>
      </c>
      <c r="T558" s="20">
        <f t="shared" si="283"/>
        <v>0</v>
      </c>
      <c r="U558" s="20">
        <f t="shared" si="283"/>
        <v>0</v>
      </c>
      <c r="V558" s="20">
        <f t="shared" si="283"/>
        <v>0</v>
      </c>
      <c r="W558" s="20">
        <f t="shared" si="283"/>
        <v>0</v>
      </c>
      <c r="X558" s="20">
        <f t="shared" si="283"/>
        <v>0</v>
      </c>
      <c r="Y558" s="20">
        <f t="shared" si="283"/>
        <v>0</v>
      </c>
      <c r="Z558" s="20">
        <f t="shared" si="283"/>
        <v>0</v>
      </c>
    </row>
    <row r="559" ht="20.25" spans="1:26">
      <c r="A559" s="156"/>
      <c r="B559" s="156" t="s">
        <v>1321</v>
      </c>
      <c r="C559" s="156" t="s">
        <v>114</v>
      </c>
      <c r="D559" s="157">
        <f t="shared" ref="D559:Z559" si="284">D540+D543+D546+D549+D552+D555+D558</f>
        <v>0</v>
      </c>
      <c r="E559" s="157">
        <f t="shared" si="284"/>
        <v>0</v>
      </c>
      <c r="F559" s="157">
        <f t="shared" si="284"/>
        <v>0</v>
      </c>
      <c r="G559" s="157">
        <f t="shared" si="284"/>
        <v>14.898478132316</v>
      </c>
      <c r="H559" s="157">
        <f t="shared" si="284"/>
        <v>17.970478132316</v>
      </c>
      <c r="I559" s="157">
        <f t="shared" si="284"/>
        <v>20.178478132316</v>
      </c>
      <c r="J559" s="157">
        <f t="shared" si="284"/>
        <v>23.682478132316</v>
      </c>
      <c r="K559" s="157">
        <f t="shared" si="284"/>
        <v>34.626478132316</v>
      </c>
      <c r="L559" s="157">
        <f t="shared" si="284"/>
        <v>43.410478132316</v>
      </c>
      <c r="M559" s="157">
        <f t="shared" si="284"/>
        <v>19.794478132316</v>
      </c>
      <c r="N559" s="157">
        <f t="shared" si="284"/>
        <v>36.066478132316</v>
      </c>
      <c r="O559" s="157">
        <f t="shared" si="284"/>
        <v>13.605478132316</v>
      </c>
      <c r="P559" s="193">
        <f t="shared" si="284"/>
        <v>4.96218389704462</v>
      </c>
      <c r="Q559" s="157">
        <f t="shared" si="284"/>
        <v>13.410478132316</v>
      </c>
      <c r="R559" s="157">
        <f t="shared" si="284"/>
        <v>24.546478132316</v>
      </c>
      <c r="S559" s="157">
        <f t="shared" si="284"/>
        <v>12.402478132316</v>
      </c>
      <c r="T559" s="157">
        <f t="shared" si="284"/>
        <v>14.130478132316</v>
      </c>
      <c r="U559" s="157">
        <f t="shared" si="284"/>
        <v>20.754478132316</v>
      </c>
      <c r="V559" s="157">
        <f t="shared" si="284"/>
        <v>16.290478132316</v>
      </c>
      <c r="W559" s="157">
        <f t="shared" si="284"/>
        <v>11.922478132316</v>
      </c>
      <c r="X559" s="157">
        <f t="shared" si="284"/>
        <v>7.30225745586247</v>
      </c>
      <c r="Y559" s="157">
        <f t="shared" si="284"/>
        <v>9.31825745586247</v>
      </c>
      <c r="Z559" s="157">
        <f t="shared" si="284"/>
        <v>15.8462574558625</v>
      </c>
    </row>
    <row r="560" ht="20.25" spans="1:26">
      <c r="A560" s="156" t="s">
        <v>463</v>
      </c>
      <c r="B560" s="156"/>
      <c r="C560" s="156" t="s">
        <v>114</v>
      </c>
      <c r="D560" s="157">
        <f t="shared" ref="D560:Z560" si="285">D559+D537</f>
        <v>0.0787395293179099</v>
      </c>
      <c r="E560" s="157">
        <f t="shared" si="285"/>
        <v>0.096130833665736</v>
      </c>
      <c r="F560" s="157">
        <f t="shared" si="285"/>
        <v>0.148304746709214</v>
      </c>
      <c r="G560" s="157">
        <f t="shared" si="285"/>
        <v>16.3745212116938</v>
      </c>
      <c r="H560" s="157">
        <f t="shared" si="285"/>
        <v>20.3647222487899</v>
      </c>
      <c r="I560" s="157">
        <f t="shared" si="285"/>
        <v>23.4542260381796</v>
      </c>
      <c r="J560" s="157">
        <f t="shared" si="285"/>
        <v>28.5917521650244</v>
      </c>
      <c r="K560" s="157">
        <f t="shared" si="285"/>
        <v>40.8056085670986</v>
      </c>
      <c r="L560" s="157">
        <f t="shared" si="285"/>
        <v>51.1984797278485</v>
      </c>
      <c r="M560" s="157">
        <f t="shared" si="285"/>
        <v>25.9640872268513</v>
      </c>
      <c r="N560" s="157">
        <f t="shared" si="285"/>
        <v>46.602656831957</v>
      </c>
      <c r="O560" s="157">
        <f t="shared" si="285"/>
        <v>14.933603381618</v>
      </c>
      <c r="P560" s="193">
        <f t="shared" si="285"/>
        <v>7.79569805739564</v>
      </c>
      <c r="Q560" s="157">
        <f t="shared" si="285"/>
        <v>17.6026360900344</v>
      </c>
      <c r="R560" s="157">
        <f t="shared" si="285"/>
        <v>32.9630716704094</v>
      </c>
      <c r="S560" s="157">
        <f t="shared" si="285"/>
        <v>15.1053341355071</v>
      </c>
      <c r="T560" s="157">
        <f t="shared" si="285"/>
        <v>17.8923648495079</v>
      </c>
      <c r="U560" s="157">
        <f t="shared" si="285"/>
        <v>26.9935686787859</v>
      </c>
      <c r="V560" s="157">
        <f t="shared" si="285"/>
        <v>20.5878335371824</v>
      </c>
      <c r="W560" s="157">
        <f t="shared" si="285"/>
        <v>13.3875758586822</v>
      </c>
      <c r="X560" s="157">
        <f t="shared" si="285"/>
        <v>8.07093715271129</v>
      </c>
      <c r="Y560" s="157">
        <f t="shared" si="285"/>
        <v>10.9991389875737</v>
      </c>
      <c r="Z560" s="157">
        <f t="shared" si="285"/>
        <v>19.6770671886108</v>
      </c>
    </row>
    <row r="561" ht="20.25" spans="1:26">
      <c r="A561" s="156" t="s">
        <v>458</v>
      </c>
      <c r="B561" s="156"/>
      <c r="C561" s="156"/>
      <c r="D561" s="156">
        <v>8001</v>
      </c>
      <c r="E561" s="156">
        <v>8002</v>
      </c>
      <c r="F561" s="156">
        <v>8003</v>
      </c>
      <c r="G561" s="156">
        <v>8004</v>
      </c>
      <c r="H561" s="156">
        <v>8005</v>
      </c>
      <c r="I561" s="156">
        <v>8006</v>
      </c>
      <c r="J561" s="156">
        <v>8007</v>
      </c>
      <c r="K561" s="156">
        <v>8008</v>
      </c>
      <c r="L561" s="156">
        <v>8009</v>
      </c>
      <c r="M561" s="156">
        <v>8010</v>
      </c>
      <c r="N561" s="156">
        <v>8011</v>
      </c>
      <c r="O561" s="156">
        <v>8012</v>
      </c>
      <c r="P561" s="156">
        <v>8013</v>
      </c>
      <c r="Q561" s="156">
        <v>8014</v>
      </c>
      <c r="R561" s="156">
        <v>8015</v>
      </c>
      <c r="S561" s="156">
        <v>8016</v>
      </c>
      <c r="T561" s="156">
        <v>8017</v>
      </c>
      <c r="U561" s="156">
        <v>8018</v>
      </c>
      <c r="V561" s="156">
        <v>8019</v>
      </c>
      <c r="W561" s="156">
        <v>8020</v>
      </c>
      <c r="X561" s="156">
        <v>8021</v>
      </c>
      <c r="Y561" s="156">
        <v>8022</v>
      </c>
      <c r="Z561" s="156">
        <v>8023</v>
      </c>
    </row>
    <row r="562" s="153" customFormat="1" spans="25:25">
      <c r="Y562" s="176"/>
    </row>
    <row r="563" spans="1:23">
      <c r="A563" s="3" t="s">
        <v>2388</v>
      </c>
      <c r="B563" s="3"/>
      <c r="C563" s="3" t="s">
        <v>55</v>
      </c>
      <c r="D563" s="3" t="s">
        <v>2345</v>
      </c>
      <c r="E563" s="3"/>
      <c r="F563" s="3"/>
      <c r="G563" s="3"/>
      <c r="H563" s="3"/>
      <c r="I563" s="3"/>
      <c r="J563" s="3" t="s">
        <v>2347</v>
      </c>
      <c r="K563" s="3"/>
      <c r="L563" s="3"/>
      <c r="M563" s="3" t="s">
        <v>2349</v>
      </c>
      <c r="N563" s="3"/>
      <c r="O563" s="3"/>
      <c r="P563" s="3"/>
      <c r="Q563" s="3" t="s">
        <v>2354</v>
      </c>
      <c r="R563" s="3"/>
      <c r="S563" s="3"/>
      <c r="T563" s="3" t="s">
        <v>2358</v>
      </c>
      <c r="U563" s="3"/>
      <c r="V563" s="3"/>
      <c r="W563" s="3" t="s">
        <v>2532</v>
      </c>
    </row>
    <row r="564" spans="1:2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>
      <c r="A565" s="3"/>
      <c r="B565" s="3"/>
      <c r="C565" s="3"/>
      <c r="D565" s="3" t="s">
        <v>2398</v>
      </c>
      <c r="E565" s="3"/>
      <c r="F565" s="3"/>
      <c r="G565" s="3"/>
      <c r="H565" s="3"/>
      <c r="I565" s="3"/>
      <c r="J565" s="3"/>
      <c r="K565" s="3"/>
      <c r="L565" s="3"/>
      <c r="M565" s="3" t="s">
        <v>2533</v>
      </c>
      <c r="N565" s="3"/>
      <c r="O565" s="3" t="s">
        <v>2534</v>
      </c>
      <c r="P565" s="3"/>
      <c r="Q565" s="3" t="s">
        <v>2533</v>
      </c>
      <c r="R565" s="3"/>
      <c r="S565" s="3"/>
      <c r="T565" s="3" t="s">
        <v>2535</v>
      </c>
      <c r="U565" s="3"/>
      <c r="V565" s="3" t="s">
        <v>2536</v>
      </c>
      <c r="W565" s="3"/>
    </row>
    <row r="566" spans="1:23">
      <c r="A566" s="3"/>
      <c r="B566" s="3"/>
      <c r="C566" s="3"/>
      <c r="D566" s="3">
        <v>7.5</v>
      </c>
      <c r="E566" s="3">
        <v>14</v>
      </c>
      <c r="F566" s="3">
        <v>28</v>
      </c>
      <c r="G566" s="3">
        <v>37</v>
      </c>
      <c r="H566" s="3">
        <v>55</v>
      </c>
      <c r="I566" s="3" t="s">
        <v>2537</v>
      </c>
      <c r="J566" s="3">
        <v>4.5</v>
      </c>
      <c r="K566" s="3">
        <v>10</v>
      </c>
      <c r="L566" s="3">
        <v>20</v>
      </c>
      <c r="M566" s="3">
        <v>25</v>
      </c>
      <c r="N566" s="3">
        <v>50</v>
      </c>
      <c r="O566" s="3">
        <v>20</v>
      </c>
      <c r="P566" s="3">
        <v>30</v>
      </c>
      <c r="Q566" s="3">
        <v>20</v>
      </c>
      <c r="R566" s="3">
        <v>30</v>
      </c>
      <c r="S566" s="3">
        <v>75</v>
      </c>
      <c r="T566" s="3">
        <v>75</v>
      </c>
      <c r="U566" s="3">
        <v>150</v>
      </c>
      <c r="V566" s="3">
        <v>150</v>
      </c>
      <c r="W566" s="3" t="s">
        <v>2538</v>
      </c>
    </row>
    <row r="567" spans="1:23">
      <c r="A567" s="3" t="s">
        <v>2400</v>
      </c>
      <c r="B567" s="3" t="s">
        <v>2401</v>
      </c>
      <c r="C567" s="3" t="s">
        <v>114</v>
      </c>
      <c r="D567" s="20">
        <f>0.43/$AA$6</f>
        <v>0.373913043478261</v>
      </c>
      <c r="E567" s="20">
        <f>2.45/$AA$6</f>
        <v>2.1304347826087</v>
      </c>
      <c r="F567" s="20">
        <f>3.66/$AA$6</f>
        <v>3.18260869565217</v>
      </c>
      <c r="G567" s="20">
        <f>4.18/$AA$6</f>
        <v>3.63478260869565</v>
      </c>
      <c r="H567" s="20">
        <f>7.31/$AA$6</f>
        <v>6.35652173913043</v>
      </c>
      <c r="I567" s="20">
        <f>12.19/$AA$6</f>
        <v>10.6</v>
      </c>
      <c r="J567" s="20">
        <f>0.37/$AA$6</f>
        <v>0.321739130434783</v>
      </c>
      <c r="K567" s="20">
        <f>0.55/$AA$6</f>
        <v>0.478260869565217</v>
      </c>
      <c r="L567" s="20">
        <f>0.86/$AA$6</f>
        <v>0.747826086956522</v>
      </c>
      <c r="M567" s="20">
        <f>0.33/$AA$6</f>
        <v>0.28695652173913</v>
      </c>
      <c r="N567" s="20">
        <f>0.54/$AA$6</f>
        <v>0.469565217391304</v>
      </c>
      <c r="O567" s="20">
        <f>0.94/$AA$6</f>
        <v>0.817391304347826</v>
      </c>
      <c r="P567" s="20">
        <f>1.03/$AA$6</f>
        <v>0.895652173913044</v>
      </c>
      <c r="Q567" s="20">
        <f>0.38/$AA$6</f>
        <v>0.330434782608696</v>
      </c>
      <c r="R567" s="20">
        <f>0.75/$AA$6</f>
        <v>0.652173913043478</v>
      </c>
      <c r="S567" s="20">
        <f>1.63/$AA$6</f>
        <v>1.41739130434783</v>
      </c>
      <c r="T567" s="20">
        <f>0.94/$AA$6</f>
        <v>0.817391304347826</v>
      </c>
      <c r="U567" s="20">
        <f>1.35/$AA$6</f>
        <v>1.17391304347826</v>
      </c>
      <c r="V567" s="20">
        <f>1.69/$AA$6</f>
        <v>1.4695652173913</v>
      </c>
      <c r="W567" s="20">
        <f>0.06/$AA$6</f>
        <v>0.0521739130434783</v>
      </c>
    </row>
    <row r="568" spans="1:23">
      <c r="A568" s="3"/>
      <c r="B568" s="3" t="s">
        <v>2403</v>
      </c>
      <c r="C568" s="3" t="s">
        <v>114</v>
      </c>
      <c r="D568" s="20">
        <f>0.65/$AA$7</f>
        <v>0.596330275229358</v>
      </c>
      <c r="E568" s="20">
        <f>3.77/$AA$7</f>
        <v>3.45871559633027</v>
      </c>
      <c r="F568" s="20">
        <f>6.08/$AA$7</f>
        <v>5.57798165137615</v>
      </c>
      <c r="G568" s="20">
        <f>6.95/$AA$7</f>
        <v>6.37614678899082</v>
      </c>
      <c r="H568" s="20">
        <f>10.97/$AA$7</f>
        <v>10.0642201834862</v>
      </c>
      <c r="I568" s="20">
        <f>14.26/$AA$7</f>
        <v>13.0825688073394</v>
      </c>
      <c r="J568" s="20">
        <f>1.17/$AA$7</f>
        <v>1.07339449541284</v>
      </c>
      <c r="K568" s="20">
        <f>1.77/$AA$7</f>
        <v>1.62385321100917</v>
      </c>
      <c r="L568" s="20">
        <f>2.6/$AA$7</f>
        <v>2.38532110091743</v>
      </c>
      <c r="M568" s="20">
        <f>0.3/$AA$7</f>
        <v>0.275229357798165</v>
      </c>
      <c r="N568" s="20">
        <f>0.51/$AA$7</f>
        <v>0.467889908256881</v>
      </c>
      <c r="O568" s="20">
        <f>0.6/$AA$7</f>
        <v>0.55045871559633</v>
      </c>
      <c r="P568" s="20">
        <f>0.68/$AA$7</f>
        <v>0.623853211009174</v>
      </c>
      <c r="Q568" s="20">
        <f>0.91/$AA$7</f>
        <v>0.834862385321101</v>
      </c>
      <c r="R568" s="20">
        <f>1.83/$AA$7</f>
        <v>1.67889908256881</v>
      </c>
      <c r="S568" s="20">
        <f>2.91/$AA$7</f>
        <v>2.6697247706422</v>
      </c>
      <c r="T568" s="20">
        <f>2.22/$AA$7</f>
        <v>2.03669724770642</v>
      </c>
      <c r="U568" s="20">
        <f>3.2/$AA$7</f>
        <v>2.93577981651376</v>
      </c>
      <c r="V568" s="20">
        <f>2.56/$AA$7</f>
        <v>2.34862385321101</v>
      </c>
      <c r="W568" s="20">
        <f>0.11/$AA$7</f>
        <v>0.100917431192661</v>
      </c>
    </row>
    <row r="569" spans="1:23">
      <c r="A569" s="3"/>
      <c r="B569" s="3" t="s">
        <v>2405</v>
      </c>
      <c r="C569" s="3" t="s">
        <v>114</v>
      </c>
      <c r="D569" s="20">
        <f>0.08</f>
        <v>0.08</v>
      </c>
      <c r="E569" s="20">
        <f>0.58</f>
        <v>0.58</v>
      </c>
      <c r="F569" s="20">
        <f>0.94</f>
        <v>0.94</v>
      </c>
      <c r="G569" s="20">
        <f>1.11</f>
        <v>1.11</v>
      </c>
      <c r="H569" s="20">
        <f>1.53</f>
        <v>1.53</v>
      </c>
      <c r="I569" s="20">
        <f>2.32</f>
        <v>2.32</v>
      </c>
      <c r="J569" s="20">
        <f>0.2</f>
        <v>0.2</v>
      </c>
      <c r="K569" s="20">
        <f>0.26</f>
        <v>0.26</v>
      </c>
      <c r="L569" s="20">
        <f>0.27</f>
        <v>0.27</v>
      </c>
      <c r="M569" s="20">
        <f>0.09</f>
        <v>0.09</v>
      </c>
      <c r="N569" s="20">
        <f>0.16</f>
        <v>0.16</v>
      </c>
      <c r="O569" s="20">
        <f>0.17</f>
        <v>0.17</v>
      </c>
      <c r="P569" s="20">
        <f>0.19</f>
        <v>0.19</v>
      </c>
      <c r="Q569" s="20">
        <f>0.18</f>
        <v>0.18</v>
      </c>
      <c r="R569" s="20">
        <f>0.37</f>
        <v>0.37</v>
      </c>
      <c r="S569" s="20">
        <f>0.67</f>
        <v>0.67</v>
      </c>
      <c r="T569" s="20">
        <f>0.45</f>
        <v>0.45</v>
      </c>
      <c r="U569" s="20">
        <f>0.65</f>
        <v>0.65</v>
      </c>
      <c r="V569" s="20">
        <f>0.76</f>
        <v>0.76</v>
      </c>
      <c r="W569" s="20"/>
    </row>
    <row r="570" ht="20.25" spans="1:23">
      <c r="A570" s="156"/>
      <c r="B570" s="156" t="s">
        <v>1321</v>
      </c>
      <c r="C570" s="156" t="s">
        <v>114</v>
      </c>
      <c r="D570" s="157">
        <f t="shared" ref="D570:W570" si="286">SUM(D567:D569)</f>
        <v>1.05024331870762</v>
      </c>
      <c r="E570" s="157">
        <f t="shared" si="286"/>
        <v>6.16915037893897</v>
      </c>
      <c r="F570" s="157">
        <f t="shared" si="286"/>
        <v>9.70059034702832</v>
      </c>
      <c r="G570" s="157">
        <f t="shared" si="286"/>
        <v>11.1209293976865</v>
      </c>
      <c r="H570" s="157">
        <f t="shared" si="286"/>
        <v>17.9507419226167</v>
      </c>
      <c r="I570" s="157">
        <f t="shared" si="286"/>
        <v>26.0025688073395</v>
      </c>
      <c r="J570" s="157">
        <f t="shared" si="286"/>
        <v>1.59513362584763</v>
      </c>
      <c r="K570" s="157">
        <f t="shared" si="286"/>
        <v>2.36211408057439</v>
      </c>
      <c r="L570" s="157">
        <f t="shared" si="286"/>
        <v>3.40314718787395</v>
      </c>
      <c r="M570" s="157">
        <f t="shared" si="286"/>
        <v>0.652185879537296</v>
      </c>
      <c r="N570" s="157">
        <f t="shared" si="286"/>
        <v>1.09745512564819</v>
      </c>
      <c r="O570" s="157">
        <f t="shared" si="286"/>
        <v>1.53785001994416</v>
      </c>
      <c r="P570" s="157">
        <f t="shared" si="286"/>
        <v>1.70950538492222</v>
      </c>
      <c r="Q570" s="157">
        <f t="shared" si="286"/>
        <v>1.3452971679298</v>
      </c>
      <c r="R570" s="157">
        <f t="shared" si="286"/>
        <v>2.70107299561229</v>
      </c>
      <c r="S570" s="157">
        <f t="shared" si="286"/>
        <v>4.75711607499003</v>
      </c>
      <c r="T570" s="157">
        <f t="shared" si="286"/>
        <v>3.30408855205425</v>
      </c>
      <c r="U570" s="157">
        <f t="shared" si="286"/>
        <v>4.75969285999202</v>
      </c>
      <c r="V570" s="157">
        <f t="shared" si="286"/>
        <v>4.57818907060231</v>
      </c>
      <c r="W570" s="157">
        <f t="shared" si="286"/>
        <v>0.153091344236139</v>
      </c>
    </row>
    <row r="571" spans="1:23">
      <c r="A571" s="3" t="s">
        <v>2408</v>
      </c>
      <c r="B571" s="3" t="s">
        <v>600</v>
      </c>
      <c r="C571" s="3" t="s">
        <v>2409</v>
      </c>
      <c r="D571" s="20">
        <v>0.7</v>
      </c>
      <c r="E571" s="20">
        <v>0.7</v>
      </c>
      <c r="F571" s="20">
        <v>0.7</v>
      </c>
      <c r="G571" s="20">
        <v>0.7</v>
      </c>
      <c r="H571" s="20">
        <v>0.7</v>
      </c>
      <c r="I571" s="20">
        <v>1.3</v>
      </c>
      <c r="J571" s="20">
        <v>0.7</v>
      </c>
      <c r="K571" s="20">
        <v>0.7</v>
      </c>
      <c r="L571" s="20">
        <v>0.7</v>
      </c>
      <c r="M571" s="20"/>
      <c r="N571" s="20"/>
      <c r="O571" s="20"/>
      <c r="P571" s="20"/>
      <c r="Q571" s="20">
        <v>1.3</v>
      </c>
      <c r="R571" s="20">
        <v>1.3</v>
      </c>
      <c r="S571" s="20">
        <v>1.3</v>
      </c>
      <c r="T571" s="20">
        <v>1.3</v>
      </c>
      <c r="U571" s="20">
        <v>1.3</v>
      </c>
      <c r="V571" s="20">
        <v>1.3</v>
      </c>
      <c r="W571" s="20">
        <v>1.3</v>
      </c>
    </row>
    <row r="572" spans="1:23">
      <c r="A572" s="3"/>
      <c r="B572" s="3"/>
      <c r="C572" s="3" t="s">
        <v>834</v>
      </c>
      <c r="D572" s="20">
        <f>D539</f>
        <v>8.10036779408924</v>
      </c>
      <c r="E572" s="20">
        <f t="shared" ref="E572:W572" si="287">D572</f>
        <v>8.10036779408924</v>
      </c>
      <c r="F572" s="20">
        <f t="shared" si="287"/>
        <v>8.10036779408924</v>
      </c>
      <c r="G572" s="20">
        <f t="shared" si="287"/>
        <v>8.10036779408924</v>
      </c>
      <c r="H572" s="20">
        <f t="shared" si="287"/>
        <v>8.10036779408924</v>
      </c>
      <c r="I572" s="20">
        <f t="shared" si="287"/>
        <v>8.10036779408924</v>
      </c>
      <c r="J572" s="20">
        <f t="shared" si="287"/>
        <v>8.10036779408924</v>
      </c>
      <c r="K572" s="20">
        <f t="shared" si="287"/>
        <v>8.10036779408924</v>
      </c>
      <c r="L572" s="20">
        <f t="shared" si="287"/>
        <v>8.10036779408924</v>
      </c>
      <c r="M572" s="20">
        <f t="shared" si="287"/>
        <v>8.10036779408924</v>
      </c>
      <c r="N572" s="20">
        <f t="shared" si="287"/>
        <v>8.10036779408924</v>
      </c>
      <c r="O572" s="20">
        <f t="shared" si="287"/>
        <v>8.10036779408924</v>
      </c>
      <c r="P572" s="20">
        <f t="shared" si="287"/>
        <v>8.10036779408924</v>
      </c>
      <c r="Q572" s="20">
        <f t="shared" si="287"/>
        <v>8.10036779408924</v>
      </c>
      <c r="R572" s="20">
        <f t="shared" si="287"/>
        <v>8.10036779408924</v>
      </c>
      <c r="S572" s="20">
        <f t="shared" si="287"/>
        <v>8.10036779408924</v>
      </c>
      <c r="T572" s="20">
        <f t="shared" si="287"/>
        <v>8.10036779408924</v>
      </c>
      <c r="U572" s="20">
        <f t="shared" si="287"/>
        <v>8.10036779408924</v>
      </c>
      <c r="V572" s="20">
        <f t="shared" si="287"/>
        <v>8.10036779408924</v>
      </c>
      <c r="W572" s="20">
        <f t="shared" si="287"/>
        <v>8.10036779408924</v>
      </c>
    </row>
    <row r="573" spans="1:23">
      <c r="A573" s="3"/>
      <c r="B573" s="3"/>
      <c r="C573" s="3" t="s">
        <v>2410</v>
      </c>
      <c r="D573" s="20">
        <f t="shared" ref="D573:W573" si="288">D571*D572</f>
        <v>5.67025745586247</v>
      </c>
      <c r="E573" s="20">
        <f t="shared" si="288"/>
        <v>5.67025745586247</v>
      </c>
      <c r="F573" s="20">
        <f t="shared" si="288"/>
        <v>5.67025745586247</v>
      </c>
      <c r="G573" s="20">
        <f t="shared" si="288"/>
        <v>5.67025745586247</v>
      </c>
      <c r="H573" s="20">
        <f t="shared" si="288"/>
        <v>5.67025745586247</v>
      </c>
      <c r="I573" s="20">
        <f t="shared" si="288"/>
        <v>10.530478132316</v>
      </c>
      <c r="J573" s="20">
        <f t="shared" si="288"/>
        <v>5.67025745586247</v>
      </c>
      <c r="K573" s="20">
        <f t="shared" si="288"/>
        <v>5.67025745586247</v>
      </c>
      <c r="L573" s="20">
        <f t="shared" si="288"/>
        <v>5.67025745586247</v>
      </c>
      <c r="M573" s="20">
        <f t="shared" si="288"/>
        <v>0</v>
      </c>
      <c r="N573" s="20">
        <f t="shared" si="288"/>
        <v>0</v>
      </c>
      <c r="O573" s="20">
        <f t="shared" si="288"/>
        <v>0</v>
      </c>
      <c r="P573" s="20">
        <f t="shared" si="288"/>
        <v>0</v>
      </c>
      <c r="Q573" s="20">
        <f t="shared" si="288"/>
        <v>10.530478132316</v>
      </c>
      <c r="R573" s="20">
        <f t="shared" si="288"/>
        <v>10.530478132316</v>
      </c>
      <c r="S573" s="20">
        <f t="shared" si="288"/>
        <v>10.530478132316</v>
      </c>
      <c r="T573" s="20">
        <f t="shared" si="288"/>
        <v>10.530478132316</v>
      </c>
      <c r="U573" s="20">
        <f t="shared" si="288"/>
        <v>10.530478132316</v>
      </c>
      <c r="V573" s="20">
        <f t="shared" si="288"/>
        <v>10.530478132316</v>
      </c>
      <c r="W573" s="20">
        <f t="shared" si="288"/>
        <v>10.530478132316</v>
      </c>
    </row>
    <row r="574" spans="1:23">
      <c r="A574" s="3"/>
      <c r="B574" s="3" t="s">
        <v>1825</v>
      </c>
      <c r="C574" s="3" t="s">
        <v>550</v>
      </c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</row>
    <row r="575" spans="1:23">
      <c r="A575" s="3"/>
      <c r="B575" s="3"/>
      <c r="C575" s="3" t="s">
        <v>834</v>
      </c>
      <c r="D575" s="20">
        <f>D542</f>
        <v>3.075</v>
      </c>
      <c r="E575" s="20">
        <f t="shared" ref="E575:W575" si="289">D575</f>
        <v>3.075</v>
      </c>
      <c r="F575" s="20">
        <f t="shared" si="289"/>
        <v>3.075</v>
      </c>
      <c r="G575" s="20">
        <f t="shared" si="289"/>
        <v>3.075</v>
      </c>
      <c r="H575" s="20">
        <f t="shared" si="289"/>
        <v>3.075</v>
      </c>
      <c r="I575" s="20">
        <f t="shared" si="289"/>
        <v>3.075</v>
      </c>
      <c r="J575" s="20">
        <f t="shared" si="289"/>
        <v>3.075</v>
      </c>
      <c r="K575" s="20">
        <f t="shared" si="289"/>
        <v>3.075</v>
      </c>
      <c r="L575" s="20">
        <f t="shared" si="289"/>
        <v>3.075</v>
      </c>
      <c r="M575" s="20">
        <f t="shared" si="289"/>
        <v>3.075</v>
      </c>
      <c r="N575" s="20">
        <f t="shared" si="289"/>
        <v>3.075</v>
      </c>
      <c r="O575" s="20">
        <f t="shared" si="289"/>
        <v>3.075</v>
      </c>
      <c r="P575" s="20">
        <f t="shared" si="289"/>
        <v>3.075</v>
      </c>
      <c r="Q575" s="20">
        <f t="shared" si="289"/>
        <v>3.075</v>
      </c>
      <c r="R575" s="20">
        <f t="shared" si="289"/>
        <v>3.075</v>
      </c>
      <c r="S575" s="20">
        <f t="shared" si="289"/>
        <v>3.075</v>
      </c>
      <c r="T575" s="20">
        <f t="shared" si="289"/>
        <v>3.075</v>
      </c>
      <c r="U575" s="20">
        <f t="shared" si="289"/>
        <v>3.075</v>
      </c>
      <c r="V575" s="20">
        <f t="shared" si="289"/>
        <v>3.075</v>
      </c>
      <c r="W575" s="20">
        <f t="shared" si="289"/>
        <v>3.075</v>
      </c>
    </row>
    <row r="576" spans="1:23">
      <c r="A576" s="3"/>
      <c r="B576" s="3"/>
      <c r="C576" s="3" t="s">
        <v>2410</v>
      </c>
      <c r="D576" s="20">
        <f t="shared" ref="D576:W576" si="290">D574*D575</f>
        <v>0</v>
      </c>
      <c r="E576" s="20">
        <f t="shared" si="290"/>
        <v>0</v>
      </c>
      <c r="F576" s="20">
        <f t="shared" si="290"/>
        <v>0</v>
      </c>
      <c r="G576" s="20">
        <f t="shared" si="290"/>
        <v>0</v>
      </c>
      <c r="H576" s="20">
        <f t="shared" si="290"/>
        <v>0</v>
      </c>
      <c r="I576" s="20">
        <f t="shared" si="290"/>
        <v>0</v>
      </c>
      <c r="J576" s="20">
        <f t="shared" si="290"/>
        <v>0</v>
      </c>
      <c r="K576" s="20">
        <f t="shared" si="290"/>
        <v>0</v>
      </c>
      <c r="L576" s="20">
        <f t="shared" si="290"/>
        <v>0</v>
      </c>
      <c r="M576" s="20">
        <f t="shared" si="290"/>
        <v>0</v>
      </c>
      <c r="N576" s="20">
        <f t="shared" si="290"/>
        <v>0</v>
      </c>
      <c r="O576" s="20">
        <f t="shared" si="290"/>
        <v>0</v>
      </c>
      <c r="P576" s="20">
        <f t="shared" si="290"/>
        <v>0</v>
      </c>
      <c r="Q576" s="20">
        <f t="shared" si="290"/>
        <v>0</v>
      </c>
      <c r="R576" s="20">
        <f t="shared" si="290"/>
        <v>0</v>
      </c>
      <c r="S576" s="20">
        <f t="shared" si="290"/>
        <v>0</v>
      </c>
      <c r="T576" s="20">
        <f t="shared" si="290"/>
        <v>0</v>
      </c>
      <c r="U576" s="20">
        <f t="shared" si="290"/>
        <v>0</v>
      </c>
      <c r="V576" s="20">
        <f t="shared" si="290"/>
        <v>0</v>
      </c>
      <c r="W576" s="20">
        <f t="shared" si="290"/>
        <v>0</v>
      </c>
    </row>
    <row r="577" spans="1:23">
      <c r="A577" s="3"/>
      <c r="B577" s="3" t="s">
        <v>1822</v>
      </c>
      <c r="C577" s="3" t="s">
        <v>550</v>
      </c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</row>
    <row r="578" spans="1:23">
      <c r="A578" s="3"/>
      <c r="B578" s="3"/>
      <c r="C578" s="3" t="s">
        <v>834</v>
      </c>
      <c r="D578" s="20">
        <f>D545</f>
        <v>2.99</v>
      </c>
      <c r="E578" s="20">
        <f t="shared" ref="E578:W578" si="291">D578</f>
        <v>2.99</v>
      </c>
      <c r="F578" s="20">
        <f t="shared" si="291"/>
        <v>2.99</v>
      </c>
      <c r="G578" s="20">
        <f t="shared" si="291"/>
        <v>2.99</v>
      </c>
      <c r="H578" s="20">
        <f t="shared" si="291"/>
        <v>2.99</v>
      </c>
      <c r="I578" s="20">
        <f t="shared" si="291"/>
        <v>2.99</v>
      </c>
      <c r="J578" s="20">
        <f t="shared" si="291"/>
        <v>2.99</v>
      </c>
      <c r="K578" s="20">
        <f t="shared" si="291"/>
        <v>2.99</v>
      </c>
      <c r="L578" s="20">
        <f t="shared" si="291"/>
        <v>2.99</v>
      </c>
      <c r="M578" s="20">
        <f t="shared" si="291"/>
        <v>2.99</v>
      </c>
      <c r="N578" s="20">
        <f t="shared" si="291"/>
        <v>2.99</v>
      </c>
      <c r="O578" s="20">
        <f t="shared" si="291"/>
        <v>2.99</v>
      </c>
      <c r="P578" s="20">
        <f t="shared" si="291"/>
        <v>2.99</v>
      </c>
      <c r="Q578" s="20">
        <f t="shared" si="291"/>
        <v>2.99</v>
      </c>
      <c r="R578" s="20">
        <f t="shared" si="291"/>
        <v>2.99</v>
      </c>
      <c r="S578" s="20">
        <f t="shared" si="291"/>
        <v>2.99</v>
      </c>
      <c r="T578" s="20">
        <f t="shared" si="291"/>
        <v>2.99</v>
      </c>
      <c r="U578" s="20">
        <f t="shared" si="291"/>
        <v>2.99</v>
      </c>
      <c r="V578" s="20">
        <f t="shared" si="291"/>
        <v>2.99</v>
      </c>
      <c r="W578" s="20">
        <f t="shared" si="291"/>
        <v>2.99</v>
      </c>
    </row>
    <row r="579" spans="1:23">
      <c r="A579" s="3"/>
      <c r="B579" s="3"/>
      <c r="C579" s="3" t="s">
        <v>2410</v>
      </c>
      <c r="D579" s="20">
        <f t="shared" ref="D579:W579" si="292">D577*D578</f>
        <v>0</v>
      </c>
      <c r="E579" s="20">
        <f t="shared" si="292"/>
        <v>0</v>
      </c>
      <c r="F579" s="20">
        <f t="shared" si="292"/>
        <v>0</v>
      </c>
      <c r="G579" s="20">
        <f t="shared" si="292"/>
        <v>0</v>
      </c>
      <c r="H579" s="20">
        <f t="shared" si="292"/>
        <v>0</v>
      </c>
      <c r="I579" s="20">
        <f t="shared" si="292"/>
        <v>0</v>
      </c>
      <c r="J579" s="20">
        <f t="shared" si="292"/>
        <v>0</v>
      </c>
      <c r="K579" s="20">
        <f t="shared" si="292"/>
        <v>0</v>
      </c>
      <c r="L579" s="20">
        <f t="shared" si="292"/>
        <v>0</v>
      </c>
      <c r="M579" s="20">
        <f t="shared" si="292"/>
        <v>0</v>
      </c>
      <c r="N579" s="20">
        <f t="shared" si="292"/>
        <v>0</v>
      </c>
      <c r="O579" s="20">
        <f t="shared" si="292"/>
        <v>0</v>
      </c>
      <c r="P579" s="20">
        <f t="shared" si="292"/>
        <v>0</v>
      </c>
      <c r="Q579" s="20">
        <f t="shared" si="292"/>
        <v>0</v>
      </c>
      <c r="R579" s="20">
        <f t="shared" si="292"/>
        <v>0</v>
      </c>
      <c r="S579" s="20">
        <f t="shared" si="292"/>
        <v>0</v>
      </c>
      <c r="T579" s="20">
        <f t="shared" si="292"/>
        <v>0</v>
      </c>
      <c r="U579" s="20">
        <f t="shared" si="292"/>
        <v>0</v>
      </c>
      <c r="V579" s="20">
        <f t="shared" si="292"/>
        <v>0</v>
      </c>
      <c r="W579" s="20">
        <f t="shared" si="292"/>
        <v>0</v>
      </c>
    </row>
    <row r="580" spans="1:23">
      <c r="A580" s="3"/>
      <c r="B580" s="3" t="s">
        <v>2411</v>
      </c>
      <c r="C580" s="3" t="s">
        <v>1834</v>
      </c>
      <c r="D580" s="20">
        <v>5.7</v>
      </c>
      <c r="E580" s="20">
        <v>10.6</v>
      </c>
      <c r="F580" s="20">
        <v>21.2</v>
      </c>
      <c r="G580" s="20">
        <v>28</v>
      </c>
      <c r="H580" s="20">
        <v>41.6</v>
      </c>
      <c r="I580" s="20">
        <v>67.3</v>
      </c>
      <c r="J580" s="20">
        <v>4</v>
      </c>
      <c r="K580" s="20">
        <v>7.6</v>
      </c>
      <c r="L580" s="20">
        <v>15.1</v>
      </c>
      <c r="M580" s="20">
        <v>14.5</v>
      </c>
      <c r="N580" s="20">
        <v>36.1</v>
      </c>
      <c r="O580" s="20">
        <v>20</v>
      </c>
      <c r="P580" s="20">
        <v>30</v>
      </c>
      <c r="Q580" s="20">
        <v>12.2</v>
      </c>
      <c r="R580" s="20">
        <v>18.3</v>
      </c>
      <c r="S580" s="20">
        <v>45.9</v>
      </c>
      <c r="T580" s="20">
        <v>36.7</v>
      </c>
      <c r="U580" s="20">
        <v>80.1</v>
      </c>
      <c r="V580" s="20">
        <v>80.1</v>
      </c>
      <c r="W580" s="20"/>
    </row>
    <row r="581" spans="1:23">
      <c r="A581" s="3"/>
      <c r="B581" s="3"/>
      <c r="C581" s="3" t="s">
        <v>834</v>
      </c>
      <c r="D581" s="20">
        <f>D548</f>
        <v>0.48</v>
      </c>
      <c r="E581" s="20">
        <f t="shared" ref="E581:W581" si="293">D581</f>
        <v>0.48</v>
      </c>
      <c r="F581" s="20">
        <f t="shared" si="293"/>
        <v>0.48</v>
      </c>
      <c r="G581" s="20">
        <f t="shared" si="293"/>
        <v>0.48</v>
      </c>
      <c r="H581" s="20">
        <f t="shared" si="293"/>
        <v>0.48</v>
      </c>
      <c r="I581" s="20">
        <f t="shared" si="293"/>
        <v>0.48</v>
      </c>
      <c r="J581" s="20">
        <f t="shared" si="293"/>
        <v>0.48</v>
      </c>
      <c r="K581" s="20">
        <f t="shared" si="293"/>
        <v>0.48</v>
      </c>
      <c r="L581" s="20">
        <f t="shared" si="293"/>
        <v>0.48</v>
      </c>
      <c r="M581" s="20">
        <f t="shared" si="293"/>
        <v>0.48</v>
      </c>
      <c r="N581" s="20">
        <f t="shared" si="293"/>
        <v>0.48</v>
      </c>
      <c r="O581" s="20">
        <f t="shared" si="293"/>
        <v>0.48</v>
      </c>
      <c r="P581" s="20">
        <f t="shared" si="293"/>
        <v>0.48</v>
      </c>
      <c r="Q581" s="20">
        <f t="shared" si="293"/>
        <v>0.48</v>
      </c>
      <c r="R581" s="20">
        <f t="shared" si="293"/>
        <v>0.48</v>
      </c>
      <c r="S581" s="20">
        <f t="shared" si="293"/>
        <v>0.48</v>
      </c>
      <c r="T581" s="20">
        <f t="shared" si="293"/>
        <v>0.48</v>
      </c>
      <c r="U581" s="20">
        <f t="shared" si="293"/>
        <v>0.48</v>
      </c>
      <c r="V581" s="20">
        <f t="shared" si="293"/>
        <v>0.48</v>
      </c>
      <c r="W581" s="20">
        <f t="shared" si="293"/>
        <v>0.48</v>
      </c>
    </row>
    <row r="582" spans="1:23">
      <c r="A582" s="3"/>
      <c r="B582" s="3"/>
      <c r="C582" s="3" t="s">
        <v>2410</v>
      </c>
      <c r="D582" s="20">
        <f t="shared" ref="D582:W582" si="294">D580*D581</f>
        <v>2.736</v>
      </c>
      <c r="E582" s="20">
        <f t="shared" si="294"/>
        <v>5.088</v>
      </c>
      <c r="F582" s="20">
        <f t="shared" si="294"/>
        <v>10.176</v>
      </c>
      <c r="G582" s="20">
        <f t="shared" si="294"/>
        <v>13.44</v>
      </c>
      <c r="H582" s="20">
        <f t="shared" si="294"/>
        <v>19.968</v>
      </c>
      <c r="I582" s="20">
        <f t="shared" si="294"/>
        <v>32.304</v>
      </c>
      <c r="J582" s="20">
        <f t="shared" si="294"/>
        <v>1.92</v>
      </c>
      <c r="K582" s="20">
        <f t="shared" si="294"/>
        <v>3.648</v>
      </c>
      <c r="L582" s="20">
        <f t="shared" si="294"/>
        <v>7.248</v>
      </c>
      <c r="M582" s="20">
        <f t="shared" si="294"/>
        <v>6.96</v>
      </c>
      <c r="N582" s="20">
        <f t="shared" si="294"/>
        <v>17.328</v>
      </c>
      <c r="O582" s="20">
        <f t="shared" si="294"/>
        <v>9.6</v>
      </c>
      <c r="P582" s="20">
        <f t="shared" si="294"/>
        <v>14.4</v>
      </c>
      <c r="Q582" s="20">
        <f t="shared" si="294"/>
        <v>5.856</v>
      </c>
      <c r="R582" s="20">
        <f t="shared" si="294"/>
        <v>8.784</v>
      </c>
      <c r="S582" s="20">
        <f t="shared" si="294"/>
        <v>22.032</v>
      </c>
      <c r="T582" s="20">
        <f t="shared" si="294"/>
        <v>17.616</v>
      </c>
      <c r="U582" s="20">
        <f t="shared" si="294"/>
        <v>38.448</v>
      </c>
      <c r="V582" s="20">
        <f t="shared" si="294"/>
        <v>38.448</v>
      </c>
      <c r="W582" s="20">
        <f t="shared" si="294"/>
        <v>0</v>
      </c>
    </row>
    <row r="583" spans="1:23">
      <c r="A583" s="3"/>
      <c r="B583" s="3" t="s">
        <v>2412</v>
      </c>
      <c r="C583" s="3" t="s">
        <v>632</v>
      </c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>
        <v>8.1</v>
      </c>
      <c r="W583" s="20"/>
    </row>
    <row r="584" spans="1:23">
      <c r="A584" s="3"/>
      <c r="B584" s="3"/>
      <c r="C584" s="3" t="s">
        <v>834</v>
      </c>
      <c r="D584" s="20">
        <f>D551</f>
        <v>0.12</v>
      </c>
      <c r="E584" s="20">
        <f t="shared" ref="E584:W584" si="295">D584</f>
        <v>0.12</v>
      </c>
      <c r="F584" s="20">
        <f t="shared" si="295"/>
        <v>0.12</v>
      </c>
      <c r="G584" s="20">
        <f t="shared" si="295"/>
        <v>0.12</v>
      </c>
      <c r="H584" s="20">
        <f t="shared" si="295"/>
        <v>0.12</v>
      </c>
      <c r="I584" s="20">
        <f t="shared" si="295"/>
        <v>0.12</v>
      </c>
      <c r="J584" s="20">
        <f t="shared" si="295"/>
        <v>0.12</v>
      </c>
      <c r="K584" s="20">
        <f t="shared" si="295"/>
        <v>0.12</v>
      </c>
      <c r="L584" s="20">
        <f t="shared" si="295"/>
        <v>0.12</v>
      </c>
      <c r="M584" s="20">
        <f t="shared" si="295"/>
        <v>0.12</v>
      </c>
      <c r="N584" s="20">
        <f t="shared" si="295"/>
        <v>0.12</v>
      </c>
      <c r="O584" s="20">
        <f t="shared" si="295"/>
        <v>0.12</v>
      </c>
      <c r="P584" s="20">
        <f t="shared" si="295"/>
        <v>0.12</v>
      </c>
      <c r="Q584" s="20">
        <f t="shared" si="295"/>
        <v>0.12</v>
      </c>
      <c r="R584" s="20">
        <f t="shared" si="295"/>
        <v>0.12</v>
      </c>
      <c r="S584" s="20">
        <f t="shared" si="295"/>
        <v>0.12</v>
      </c>
      <c r="T584" s="20">
        <f t="shared" si="295"/>
        <v>0.12</v>
      </c>
      <c r="U584" s="20">
        <f t="shared" si="295"/>
        <v>0.12</v>
      </c>
      <c r="V584" s="20">
        <f t="shared" si="295"/>
        <v>0.12</v>
      </c>
      <c r="W584" s="20">
        <f t="shared" si="295"/>
        <v>0.12</v>
      </c>
    </row>
    <row r="585" spans="1:23">
      <c r="A585" s="3"/>
      <c r="B585" s="3"/>
      <c r="C585" s="3" t="s">
        <v>2410</v>
      </c>
      <c r="D585" s="20">
        <f t="shared" ref="D585:W585" si="296">D583*D584</f>
        <v>0</v>
      </c>
      <c r="E585" s="20">
        <f t="shared" si="296"/>
        <v>0</v>
      </c>
      <c r="F585" s="20">
        <f t="shared" si="296"/>
        <v>0</v>
      </c>
      <c r="G585" s="20">
        <f t="shared" si="296"/>
        <v>0</v>
      </c>
      <c r="H585" s="20">
        <f t="shared" si="296"/>
        <v>0</v>
      </c>
      <c r="I585" s="20">
        <f t="shared" si="296"/>
        <v>0</v>
      </c>
      <c r="J585" s="20">
        <f t="shared" si="296"/>
        <v>0</v>
      </c>
      <c r="K585" s="20">
        <f t="shared" si="296"/>
        <v>0</v>
      </c>
      <c r="L585" s="20">
        <f t="shared" si="296"/>
        <v>0</v>
      </c>
      <c r="M585" s="20">
        <f t="shared" si="296"/>
        <v>0</v>
      </c>
      <c r="N585" s="20">
        <f t="shared" si="296"/>
        <v>0</v>
      </c>
      <c r="O585" s="20">
        <f t="shared" si="296"/>
        <v>0</v>
      </c>
      <c r="P585" s="20">
        <f t="shared" si="296"/>
        <v>0</v>
      </c>
      <c r="Q585" s="20">
        <f t="shared" si="296"/>
        <v>0</v>
      </c>
      <c r="R585" s="20">
        <f t="shared" si="296"/>
        <v>0</v>
      </c>
      <c r="S585" s="20">
        <f t="shared" si="296"/>
        <v>0</v>
      </c>
      <c r="T585" s="20">
        <f t="shared" si="296"/>
        <v>0</v>
      </c>
      <c r="U585" s="20">
        <f t="shared" si="296"/>
        <v>0</v>
      </c>
      <c r="V585" s="20">
        <f t="shared" si="296"/>
        <v>0.972</v>
      </c>
      <c r="W585" s="20">
        <f t="shared" si="296"/>
        <v>0</v>
      </c>
    </row>
    <row r="586" spans="1:23">
      <c r="A586" s="3"/>
      <c r="B586" s="3" t="s">
        <v>2413</v>
      </c>
      <c r="C586" s="3" t="s">
        <v>632</v>
      </c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>
        <v>3.2</v>
      </c>
      <c r="W586" s="20"/>
    </row>
    <row r="587" spans="1:23">
      <c r="A587" s="3"/>
      <c r="B587" s="3"/>
      <c r="C587" s="3" t="s">
        <v>834</v>
      </c>
      <c r="D587" s="20">
        <f>D554</f>
        <v>3.88349514563107</v>
      </c>
      <c r="E587" s="20">
        <f t="shared" ref="E587:W587" si="297">D587</f>
        <v>3.88349514563107</v>
      </c>
      <c r="F587" s="20">
        <f t="shared" si="297"/>
        <v>3.88349514563107</v>
      </c>
      <c r="G587" s="20">
        <f t="shared" si="297"/>
        <v>3.88349514563107</v>
      </c>
      <c r="H587" s="20">
        <f t="shared" si="297"/>
        <v>3.88349514563107</v>
      </c>
      <c r="I587" s="20">
        <f t="shared" si="297"/>
        <v>3.88349514563107</v>
      </c>
      <c r="J587" s="20">
        <f t="shared" si="297"/>
        <v>3.88349514563107</v>
      </c>
      <c r="K587" s="20">
        <f t="shared" si="297"/>
        <v>3.88349514563107</v>
      </c>
      <c r="L587" s="20">
        <f t="shared" si="297"/>
        <v>3.88349514563107</v>
      </c>
      <c r="M587" s="20">
        <f t="shared" si="297"/>
        <v>3.88349514563107</v>
      </c>
      <c r="N587" s="20">
        <f t="shared" si="297"/>
        <v>3.88349514563107</v>
      </c>
      <c r="O587" s="20">
        <f t="shared" si="297"/>
        <v>3.88349514563107</v>
      </c>
      <c r="P587" s="20">
        <f t="shared" si="297"/>
        <v>3.88349514563107</v>
      </c>
      <c r="Q587" s="20">
        <f t="shared" si="297"/>
        <v>3.88349514563107</v>
      </c>
      <c r="R587" s="20">
        <f t="shared" si="297"/>
        <v>3.88349514563107</v>
      </c>
      <c r="S587" s="20">
        <f t="shared" si="297"/>
        <v>3.88349514563107</v>
      </c>
      <c r="T587" s="20">
        <f t="shared" si="297"/>
        <v>3.88349514563107</v>
      </c>
      <c r="U587" s="20">
        <f t="shared" si="297"/>
        <v>3.88349514563107</v>
      </c>
      <c r="V587" s="20">
        <f t="shared" si="297"/>
        <v>3.88349514563107</v>
      </c>
      <c r="W587" s="20">
        <f t="shared" si="297"/>
        <v>3.88349514563107</v>
      </c>
    </row>
    <row r="588" spans="1:23">
      <c r="A588" s="3"/>
      <c r="B588" s="3"/>
      <c r="C588" s="3" t="s">
        <v>2410</v>
      </c>
      <c r="D588" s="20">
        <f t="shared" ref="D588:W588" si="298">D586*D587</f>
        <v>0</v>
      </c>
      <c r="E588" s="20">
        <f t="shared" si="298"/>
        <v>0</v>
      </c>
      <c r="F588" s="20">
        <f t="shared" si="298"/>
        <v>0</v>
      </c>
      <c r="G588" s="20">
        <f t="shared" si="298"/>
        <v>0</v>
      </c>
      <c r="H588" s="20">
        <f t="shared" si="298"/>
        <v>0</v>
      </c>
      <c r="I588" s="20">
        <f t="shared" si="298"/>
        <v>0</v>
      </c>
      <c r="J588" s="20">
        <f t="shared" si="298"/>
        <v>0</v>
      </c>
      <c r="K588" s="20">
        <f t="shared" si="298"/>
        <v>0</v>
      </c>
      <c r="L588" s="20">
        <f t="shared" si="298"/>
        <v>0</v>
      </c>
      <c r="M588" s="20">
        <f t="shared" si="298"/>
        <v>0</v>
      </c>
      <c r="N588" s="20">
        <f t="shared" si="298"/>
        <v>0</v>
      </c>
      <c r="O588" s="20">
        <f t="shared" si="298"/>
        <v>0</v>
      </c>
      <c r="P588" s="20">
        <f t="shared" si="298"/>
        <v>0</v>
      </c>
      <c r="Q588" s="20">
        <f t="shared" si="298"/>
        <v>0</v>
      </c>
      <c r="R588" s="20">
        <f t="shared" si="298"/>
        <v>0</v>
      </c>
      <c r="S588" s="20">
        <f t="shared" si="298"/>
        <v>0</v>
      </c>
      <c r="T588" s="20">
        <f t="shared" si="298"/>
        <v>0</v>
      </c>
      <c r="U588" s="20">
        <f t="shared" si="298"/>
        <v>0</v>
      </c>
      <c r="V588" s="20">
        <f t="shared" si="298"/>
        <v>12.4271844660194</v>
      </c>
      <c r="W588" s="20">
        <f t="shared" si="298"/>
        <v>0</v>
      </c>
    </row>
    <row r="589" spans="1:23">
      <c r="A589" s="3"/>
      <c r="B589" s="3" t="s">
        <v>2414</v>
      </c>
      <c r="C589" s="3" t="s">
        <v>550</v>
      </c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</row>
    <row r="590" spans="1:23">
      <c r="A590" s="3"/>
      <c r="B590" s="3"/>
      <c r="C590" s="3" t="s">
        <v>834</v>
      </c>
      <c r="D590" s="20">
        <f>D557</f>
        <v>0</v>
      </c>
      <c r="E590" s="20">
        <f t="shared" ref="E590:W590" si="299">D590</f>
        <v>0</v>
      </c>
      <c r="F590" s="20">
        <f t="shared" si="299"/>
        <v>0</v>
      </c>
      <c r="G590" s="20">
        <f t="shared" si="299"/>
        <v>0</v>
      </c>
      <c r="H590" s="20">
        <f t="shared" si="299"/>
        <v>0</v>
      </c>
      <c r="I590" s="20">
        <f t="shared" si="299"/>
        <v>0</v>
      </c>
      <c r="J590" s="20">
        <f t="shared" si="299"/>
        <v>0</v>
      </c>
      <c r="K590" s="20">
        <f t="shared" si="299"/>
        <v>0</v>
      </c>
      <c r="L590" s="20">
        <f t="shared" si="299"/>
        <v>0</v>
      </c>
      <c r="M590" s="20">
        <f t="shared" si="299"/>
        <v>0</v>
      </c>
      <c r="N590" s="20">
        <f t="shared" si="299"/>
        <v>0</v>
      </c>
      <c r="O590" s="20">
        <f t="shared" si="299"/>
        <v>0</v>
      </c>
      <c r="P590" s="20">
        <f t="shared" si="299"/>
        <v>0</v>
      </c>
      <c r="Q590" s="20">
        <f t="shared" si="299"/>
        <v>0</v>
      </c>
      <c r="R590" s="20">
        <f t="shared" si="299"/>
        <v>0</v>
      </c>
      <c r="S590" s="20">
        <f t="shared" si="299"/>
        <v>0</v>
      </c>
      <c r="T590" s="20">
        <f t="shared" si="299"/>
        <v>0</v>
      </c>
      <c r="U590" s="20">
        <f t="shared" si="299"/>
        <v>0</v>
      </c>
      <c r="V590" s="20">
        <f t="shared" si="299"/>
        <v>0</v>
      </c>
      <c r="W590" s="20">
        <f t="shared" si="299"/>
        <v>0</v>
      </c>
    </row>
    <row r="591" spans="1:23">
      <c r="A591" s="3"/>
      <c r="B591" s="3"/>
      <c r="C591" s="3" t="s">
        <v>2410</v>
      </c>
      <c r="D591" s="20">
        <f t="shared" ref="D591:W591" si="300">D589*D590</f>
        <v>0</v>
      </c>
      <c r="E591" s="20">
        <f t="shared" si="300"/>
        <v>0</v>
      </c>
      <c r="F591" s="20">
        <f t="shared" si="300"/>
        <v>0</v>
      </c>
      <c r="G591" s="20">
        <f t="shared" si="300"/>
        <v>0</v>
      </c>
      <c r="H591" s="20">
        <f t="shared" si="300"/>
        <v>0</v>
      </c>
      <c r="I591" s="20">
        <f t="shared" si="300"/>
        <v>0</v>
      </c>
      <c r="J591" s="20">
        <f t="shared" si="300"/>
        <v>0</v>
      </c>
      <c r="K591" s="20">
        <f t="shared" si="300"/>
        <v>0</v>
      </c>
      <c r="L591" s="20">
        <f t="shared" si="300"/>
        <v>0</v>
      </c>
      <c r="M591" s="20">
        <f t="shared" si="300"/>
        <v>0</v>
      </c>
      <c r="N591" s="20">
        <f t="shared" si="300"/>
        <v>0</v>
      </c>
      <c r="O591" s="20">
        <f t="shared" si="300"/>
        <v>0</v>
      </c>
      <c r="P591" s="20">
        <f t="shared" si="300"/>
        <v>0</v>
      </c>
      <c r="Q591" s="20">
        <f t="shared" si="300"/>
        <v>0</v>
      </c>
      <c r="R591" s="20">
        <f t="shared" si="300"/>
        <v>0</v>
      </c>
      <c r="S591" s="20">
        <f t="shared" si="300"/>
        <v>0</v>
      </c>
      <c r="T591" s="20">
        <f t="shared" si="300"/>
        <v>0</v>
      </c>
      <c r="U591" s="20">
        <f t="shared" si="300"/>
        <v>0</v>
      </c>
      <c r="V591" s="20">
        <f t="shared" si="300"/>
        <v>0</v>
      </c>
      <c r="W591" s="20">
        <f t="shared" si="300"/>
        <v>0</v>
      </c>
    </row>
    <row r="592" ht="20.25" spans="1:23">
      <c r="A592" s="156"/>
      <c r="B592" s="156" t="s">
        <v>1321</v>
      </c>
      <c r="C592" s="156" t="s">
        <v>114</v>
      </c>
      <c r="D592" s="157">
        <f t="shared" ref="D592:W592" si="301">D573+D576+D579+D582+D585+D588+D591</f>
        <v>8.40625745586247</v>
      </c>
      <c r="E592" s="157">
        <f t="shared" si="301"/>
        <v>10.7582574558625</v>
      </c>
      <c r="F592" s="157">
        <f t="shared" si="301"/>
        <v>15.8462574558625</v>
      </c>
      <c r="G592" s="157">
        <f t="shared" si="301"/>
        <v>19.1102574558625</v>
      </c>
      <c r="H592" s="157">
        <f t="shared" si="301"/>
        <v>25.6382574558625</v>
      </c>
      <c r="I592" s="157">
        <f t="shared" si="301"/>
        <v>42.834478132316</v>
      </c>
      <c r="J592" s="157">
        <f t="shared" si="301"/>
        <v>7.59025745586247</v>
      </c>
      <c r="K592" s="157">
        <f t="shared" si="301"/>
        <v>9.31825745586247</v>
      </c>
      <c r="L592" s="157">
        <f t="shared" si="301"/>
        <v>12.9182574558625</v>
      </c>
      <c r="M592" s="157">
        <f t="shared" si="301"/>
        <v>6.96</v>
      </c>
      <c r="N592" s="157">
        <f t="shared" si="301"/>
        <v>17.328</v>
      </c>
      <c r="O592" s="157">
        <f t="shared" si="301"/>
        <v>9.6</v>
      </c>
      <c r="P592" s="157">
        <f t="shared" si="301"/>
        <v>14.4</v>
      </c>
      <c r="Q592" s="157">
        <f t="shared" si="301"/>
        <v>16.386478132316</v>
      </c>
      <c r="R592" s="157">
        <f t="shared" si="301"/>
        <v>19.314478132316</v>
      </c>
      <c r="S592" s="157">
        <f t="shared" si="301"/>
        <v>32.562478132316</v>
      </c>
      <c r="T592" s="157">
        <f t="shared" si="301"/>
        <v>28.146478132316</v>
      </c>
      <c r="U592" s="157">
        <f t="shared" si="301"/>
        <v>48.978478132316</v>
      </c>
      <c r="V592" s="157">
        <f t="shared" si="301"/>
        <v>62.3776625983354</v>
      </c>
      <c r="W592" s="157">
        <f t="shared" si="301"/>
        <v>10.530478132316</v>
      </c>
    </row>
    <row r="593" ht="20.25" spans="1:23">
      <c r="A593" s="156" t="s">
        <v>463</v>
      </c>
      <c r="B593" s="156"/>
      <c r="C593" s="156" t="s">
        <v>114</v>
      </c>
      <c r="D593" s="157">
        <f t="shared" ref="D593:W593" si="302">D592+D570</f>
        <v>9.45650077457009</v>
      </c>
      <c r="E593" s="157">
        <f t="shared" si="302"/>
        <v>16.9274078348014</v>
      </c>
      <c r="F593" s="157">
        <f t="shared" si="302"/>
        <v>25.5468478028908</v>
      </c>
      <c r="G593" s="157">
        <f t="shared" si="302"/>
        <v>30.2311868535489</v>
      </c>
      <c r="H593" s="157">
        <f t="shared" si="302"/>
        <v>43.5889993784791</v>
      </c>
      <c r="I593" s="157">
        <f t="shared" si="302"/>
        <v>68.8370469396555</v>
      </c>
      <c r="J593" s="157">
        <f t="shared" si="302"/>
        <v>9.1853910817101</v>
      </c>
      <c r="K593" s="157">
        <f t="shared" si="302"/>
        <v>11.6803715364369</v>
      </c>
      <c r="L593" s="157">
        <f t="shared" si="302"/>
        <v>16.3214046437364</v>
      </c>
      <c r="M593" s="157">
        <f t="shared" si="302"/>
        <v>7.6121858795373</v>
      </c>
      <c r="N593" s="157">
        <f t="shared" si="302"/>
        <v>18.4254551256482</v>
      </c>
      <c r="O593" s="157">
        <f t="shared" si="302"/>
        <v>11.1378500199442</v>
      </c>
      <c r="P593" s="157">
        <f t="shared" si="302"/>
        <v>16.1095053849222</v>
      </c>
      <c r="Q593" s="157">
        <f t="shared" si="302"/>
        <v>17.7317753002458</v>
      </c>
      <c r="R593" s="157">
        <f t="shared" si="302"/>
        <v>22.0155511279283</v>
      </c>
      <c r="S593" s="157">
        <f t="shared" si="302"/>
        <v>37.319594207306</v>
      </c>
      <c r="T593" s="157">
        <f t="shared" si="302"/>
        <v>31.4505666843703</v>
      </c>
      <c r="U593" s="157">
        <f t="shared" si="302"/>
        <v>53.738170992308</v>
      </c>
      <c r="V593" s="157">
        <f t="shared" si="302"/>
        <v>66.9558516689378</v>
      </c>
      <c r="W593" s="157">
        <f t="shared" si="302"/>
        <v>10.6835694765522</v>
      </c>
    </row>
    <row r="594" ht="20.25" spans="1:23">
      <c r="A594" s="156" t="s">
        <v>458</v>
      </c>
      <c r="B594" s="156"/>
      <c r="C594" s="156"/>
      <c r="D594" s="156">
        <v>8024</v>
      </c>
      <c r="E594" s="156">
        <v>8025</v>
      </c>
      <c r="F594" s="156">
        <v>8026</v>
      </c>
      <c r="G594" s="156">
        <v>8027</v>
      </c>
      <c r="H594" s="156">
        <v>8028</v>
      </c>
      <c r="I594" s="156">
        <v>8029</v>
      </c>
      <c r="J594" s="156">
        <v>8030</v>
      </c>
      <c r="K594" s="156">
        <v>8031</v>
      </c>
      <c r="L594" s="156">
        <v>8032</v>
      </c>
      <c r="M594" s="156">
        <v>8033</v>
      </c>
      <c r="N594" s="156">
        <v>8034</v>
      </c>
      <c r="O594" s="156">
        <v>8035</v>
      </c>
      <c r="P594" s="156">
        <v>8036</v>
      </c>
      <c r="Q594" s="156">
        <v>8037</v>
      </c>
      <c r="R594" s="156">
        <v>8038</v>
      </c>
      <c r="S594" s="156">
        <v>8039</v>
      </c>
      <c r="T594" s="156">
        <v>8040</v>
      </c>
      <c r="U594" s="156">
        <v>8041</v>
      </c>
      <c r="V594" s="156">
        <v>8042</v>
      </c>
      <c r="W594" s="156">
        <v>8043</v>
      </c>
    </row>
    <row r="595" s="153" customFormat="1" spans="25:25">
      <c r="Y595" s="176"/>
    </row>
    <row r="596" spans="1:21">
      <c r="A596" s="3" t="s">
        <v>2388</v>
      </c>
      <c r="B596" s="3"/>
      <c r="C596" s="3" t="s">
        <v>55</v>
      </c>
      <c r="D596" s="126" t="s">
        <v>2363</v>
      </c>
      <c r="E596" s="160" t="s">
        <v>2364</v>
      </c>
      <c r="F596" s="161"/>
      <c r="G596" s="162"/>
      <c r="H596" s="126" t="s">
        <v>2366</v>
      </c>
      <c r="I596" s="3" t="s">
        <v>2368</v>
      </c>
      <c r="J596" s="3"/>
      <c r="K596" s="3" t="s">
        <v>2371</v>
      </c>
      <c r="L596" s="3" t="s">
        <v>2373</v>
      </c>
      <c r="M596" s="3"/>
      <c r="N596" s="3" t="s">
        <v>2376</v>
      </c>
      <c r="O596" s="3"/>
      <c r="P596" s="3" t="s">
        <v>2379</v>
      </c>
      <c r="Q596" s="3"/>
      <c r="R596" s="3" t="s">
        <v>2382</v>
      </c>
      <c r="S596" s="3" t="s">
        <v>2384</v>
      </c>
      <c r="T596" s="3" t="s">
        <v>2539</v>
      </c>
      <c r="U596" s="3" t="s">
        <v>2387</v>
      </c>
    </row>
    <row r="597" spans="1:21">
      <c r="A597" s="3"/>
      <c r="B597" s="3"/>
      <c r="C597" s="3"/>
      <c r="D597" s="128"/>
      <c r="E597" s="163"/>
      <c r="F597" s="164"/>
      <c r="G597" s="165"/>
      <c r="H597" s="12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spans="1:21">
      <c r="A598" s="3"/>
      <c r="B598" s="3"/>
      <c r="C598" s="3"/>
      <c r="D598" s="129"/>
      <c r="E598" s="137" t="s">
        <v>2398</v>
      </c>
      <c r="F598" s="166"/>
      <c r="G598" s="166"/>
      <c r="H598" s="167"/>
      <c r="I598" s="3" t="s">
        <v>2540</v>
      </c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 t="s">
        <v>2541</v>
      </c>
    </row>
    <row r="599" spans="1:21">
      <c r="A599" s="3"/>
      <c r="B599" s="3"/>
      <c r="C599" s="3"/>
      <c r="D599" s="3" t="s">
        <v>2542</v>
      </c>
      <c r="E599" s="3">
        <v>7</v>
      </c>
      <c r="F599" s="3">
        <v>10</v>
      </c>
      <c r="G599" s="3">
        <v>20</v>
      </c>
      <c r="H599" s="3" t="s">
        <v>2543</v>
      </c>
      <c r="I599" s="3" t="s">
        <v>2544</v>
      </c>
      <c r="J599" s="3" t="s">
        <v>2545</v>
      </c>
      <c r="K599" s="3" t="s">
        <v>2546</v>
      </c>
      <c r="L599" s="3">
        <v>9</v>
      </c>
      <c r="M599" s="3">
        <v>12</v>
      </c>
      <c r="N599" s="3" t="s">
        <v>2547</v>
      </c>
      <c r="O599" s="3" t="s">
        <v>2548</v>
      </c>
      <c r="P599" s="3" t="s">
        <v>2549</v>
      </c>
      <c r="Q599" s="3" t="s">
        <v>2550</v>
      </c>
      <c r="R599" s="3" t="s">
        <v>2551</v>
      </c>
      <c r="S599" s="3" t="s">
        <v>2385</v>
      </c>
      <c r="T599" s="3" t="s">
        <v>2552</v>
      </c>
      <c r="U599" s="3" t="s">
        <v>2553</v>
      </c>
    </row>
    <row r="600" spans="1:21">
      <c r="A600" s="3" t="s">
        <v>2400</v>
      </c>
      <c r="B600" s="3" t="s">
        <v>2401</v>
      </c>
      <c r="C600" s="3" t="s">
        <v>114</v>
      </c>
      <c r="D600" s="20">
        <f>0.53/$AA$6</f>
        <v>0.460869565217391</v>
      </c>
      <c r="E600" s="20">
        <f>0.75/$AA$6</f>
        <v>0.652173913043478</v>
      </c>
      <c r="F600" s="20">
        <f>0.89/$AA$6</f>
        <v>0.773913043478261</v>
      </c>
      <c r="G600" s="20">
        <f>1.18/$AA$6</f>
        <v>1.02608695652174</v>
      </c>
      <c r="H600" s="20">
        <f>1.6/$AA$6</f>
        <v>1.39130434782609</v>
      </c>
      <c r="I600" s="20">
        <f>2.43/$AA$6</f>
        <v>2.11304347826087</v>
      </c>
      <c r="J600" s="20">
        <f>9.4/$AA$6</f>
        <v>8.17391304347826</v>
      </c>
      <c r="K600" s="20">
        <f>3.24/$AA$6</f>
        <v>2.81739130434783</v>
      </c>
      <c r="L600" s="20">
        <f>25.51/$AA$6</f>
        <v>22.1826086956522</v>
      </c>
      <c r="M600" s="20">
        <f>30.21/$AA$6</f>
        <v>26.2695652173913</v>
      </c>
      <c r="N600" s="20">
        <f>5.07/$AA$6</f>
        <v>4.40869565217391</v>
      </c>
      <c r="O600" s="20">
        <f>5.88/$AA$6</f>
        <v>5.11304347826087</v>
      </c>
      <c r="P600" s="20">
        <f>3.12/$AA$6</f>
        <v>2.71304347826087</v>
      </c>
      <c r="Q600" s="20">
        <f>4.45/$AA$6</f>
        <v>3.8695652173913</v>
      </c>
      <c r="R600" s="20">
        <f>0.43/$AA$6</f>
        <v>0.373913043478261</v>
      </c>
      <c r="S600" s="20">
        <f>2.26/$AA$6</f>
        <v>1.96521739130435</v>
      </c>
      <c r="T600" s="20">
        <f>3.26/$AA$6</f>
        <v>2.83478260869565</v>
      </c>
      <c r="U600" s="20">
        <f>1.08/$AA$6</f>
        <v>0.939130434782609</v>
      </c>
    </row>
    <row r="601" spans="1:21">
      <c r="A601" s="3"/>
      <c r="B601" s="3" t="s">
        <v>2403</v>
      </c>
      <c r="C601" s="3" t="s">
        <v>114</v>
      </c>
      <c r="D601" s="20">
        <f>1.45/$AA$7</f>
        <v>1.3302752293578</v>
      </c>
      <c r="E601" s="20">
        <f>1.13/$AA$7</f>
        <v>1.03669724770642</v>
      </c>
      <c r="F601" s="20">
        <f>1.32/$AA$7</f>
        <v>1.21100917431193</v>
      </c>
      <c r="G601" s="20">
        <f>1.71/$AA$7</f>
        <v>1.56880733944954</v>
      </c>
      <c r="H601" s="20">
        <f>2.69/$AA$7</f>
        <v>2.46788990825688</v>
      </c>
      <c r="I601" s="20">
        <f>0.64/$AA$7</f>
        <v>0.587155963302752</v>
      </c>
      <c r="J601" s="20">
        <f>1.72/$AA$7</f>
        <v>1.57798165137615</v>
      </c>
      <c r="K601" s="20">
        <f>2.58/$AA$7</f>
        <v>2.36697247706422</v>
      </c>
      <c r="L601" s="20">
        <f>8.55/$AA$7</f>
        <v>7.84403669724771</v>
      </c>
      <c r="M601" s="20">
        <f>10.12/$AA$7</f>
        <v>9.28440366972477</v>
      </c>
      <c r="N601" s="20">
        <f>4.77/$AA$7</f>
        <v>4.37614678899082</v>
      </c>
      <c r="O601" s="20">
        <f>4.91/$AA$7</f>
        <v>4.5045871559633</v>
      </c>
      <c r="P601" s="20">
        <f>1.9/$AA$7</f>
        <v>1.74311926605505</v>
      </c>
      <c r="Q601" s="20">
        <f>2.71/$AA$7</f>
        <v>2.48623853211009</v>
      </c>
      <c r="R601" s="20">
        <f>0.66/$AA$7</f>
        <v>0.605504587155963</v>
      </c>
      <c r="S601" s="20">
        <f>2.09/$AA$7</f>
        <v>1.91743119266055</v>
      </c>
      <c r="T601" s="20">
        <f>5.21/$AA$7</f>
        <v>4.77981651376147</v>
      </c>
      <c r="U601" s="20">
        <f>0.61/$AA$7</f>
        <v>0.559633027522936</v>
      </c>
    </row>
    <row r="602" spans="1:21">
      <c r="A602" s="3"/>
      <c r="B602" s="3" t="s">
        <v>2405</v>
      </c>
      <c r="C602" s="3" t="s">
        <v>114</v>
      </c>
      <c r="D602" s="20">
        <f>0.24</f>
        <v>0.24</v>
      </c>
      <c r="E602" s="20">
        <f>0.18</f>
        <v>0.18</v>
      </c>
      <c r="F602" s="20">
        <f>0.22</f>
        <v>0.22</v>
      </c>
      <c r="G602" s="20">
        <f>0.28</f>
        <v>0.28</v>
      </c>
      <c r="H602" s="20">
        <f>0.44</f>
        <v>0.44</v>
      </c>
      <c r="I602" s="20">
        <f>0.07</f>
        <v>0.07</v>
      </c>
      <c r="J602" s="20">
        <f>0.16</f>
        <v>0.16</v>
      </c>
      <c r="K602" s="20">
        <f>0.1</f>
        <v>0.1</v>
      </c>
      <c r="L602" s="20">
        <f>0.72</f>
        <v>0.72</v>
      </c>
      <c r="M602" s="20">
        <f>0.78</f>
        <v>0.78</v>
      </c>
      <c r="N602" s="20">
        <f>0.04</f>
        <v>0.04</v>
      </c>
      <c r="O602" s="20">
        <f>0.05</f>
        <v>0.05</v>
      </c>
      <c r="P602" s="20">
        <f>0.02</f>
        <v>0.02</v>
      </c>
      <c r="Q602" s="20">
        <f>0.03</f>
        <v>0.03</v>
      </c>
      <c r="R602" s="20"/>
      <c r="S602" s="20">
        <f>0.15</f>
        <v>0.15</v>
      </c>
      <c r="T602" s="20">
        <f>0.07</f>
        <v>0.07</v>
      </c>
      <c r="U602" s="20"/>
    </row>
    <row r="603" ht="20.25" spans="1:21">
      <c r="A603" s="156"/>
      <c r="B603" s="156" t="s">
        <v>1321</v>
      </c>
      <c r="C603" s="156" t="s">
        <v>114</v>
      </c>
      <c r="D603" s="157">
        <f t="shared" ref="D603:U603" si="303">SUM(D600:D602)</f>
        <v>2.03114479457519</v>
      </c>
      <c r="E603" s="157">
        <f t="shared" si="303"/>
        <v>1.8688711607499</v>
      </c>
      <c r="F603" s="157">
        <f t="shared" si="303"/>
        <v>2.20492221779019</v>
      </c>
      <c r="G603" s="157">
        <f t="shared" si="303"/>
        <v>2.87489429597128</v>
      </c>
      <c r="H603" s="157">
        <f t="shared" si="303"/>
        <v>4.29919425608297</v>
      </c>
      <c r="I603" s="157">
        <f t="shared" si="303"/>
        <v>2.77019944156362</v>
      </c>
      <c r="J603" s="157">
        <f t="shared" si="303"/>
        <v>9.91189469485441</v>
      </c>
      <c r="K603" s="157">
        <f t="shared" si="303"/>
        <v>5.28436378141205</v>
      </c>
      <c r="L603" s="157">
        <f t="shared" si="303"/>
        <v>30.7466453928999</v>
      </c>
      <c r="M603" s="157">
        <f t="shared" si="303"/>
        <v>36.3339688871161</v>
      </c>
      <c r="N603" s="157">
        <f t="shared" si="303"/>
        <v>8.82484244116474</v>
      </c>
      <c r="O603" s="157">
        <f t="shared" si="303"/>
        <v>9.66763063422417</v>
      </c>
      <c r="P603" s="157">
        <f t="shared" si="303"/>
        <v>4.47616274431592</v>
      </c>
      <c r="Q603" s="157">
        <f t="shared" si="303"/>
        <v>6.3858037495014</v>
      </c>
      <c r="R603" s="157">
        <f t="shared" si="303"/>
        <v>0.979417630634224</v>
      </c>
      <c r="S603" s="157">
        <f t="shared" si="303"/>
        <v>4.0326485839649</v>
      </c>
      <c r="T603" s="157">
        <f t="shared" si="303"/>
        <v>7.68459912245712</v>
      </c>
      <c r="U603" s="157">
        <f t="shared" si="303"/>
        <v>1.49876346230554</v>
      </c>
    </row>
    <row r="604" spans="1:21">
      <c r="A604" s="3" t="s">
        <v>2408</v>
      </c>
      <c r="B604" s="3" t="s">
        <v>600</v>
      </c>
      <c r="C604" s="3" t="s">
        <v>2409</v>
      </c>
      <c r="D604" s="20">
        <v>1.3</v>
      </c>
      <c r="E604" s="20">
        <v>1.3</v>
      </c>
      <c r="F604" s="20">
        <v>1.3</v>
      </c>
      <c r="G604" s="20">
        <v>1.3</v>
      </c>
      <c r="H604" s="20">
        <v>1.3</v>
      </c>
      <c r="I604" s="20">
        <v>2.4</v>
      </c>
      <c r="J604" s="20">
        <v>2.4</v>
      </c>
      <c r="K604" s="20">
        <v>2.4</v>
      </c>
      <c r="L604" s="20">
        <v>1.3</v>
      </c>
      <c r="M604" s="20">
        <v>1.3</v>
      </c>
      <c r="N604" s="20">
        <v>1.3</v>
      </c>
      <c r="O604" s="20">
        <v>1.3</v>
      </c>
      <c r="P604" s="20">
        <v>1.3</v>
      </c>
      <c r="Q604" s="20">
        <v>1.3</v>
      </c>
      <c r="R604" s="20">
        <v>1.3</v>
      </c>
      <c r="S604" s="20">
        <v>1.3</v>
      </c>
      <c r="T604" s="20">
        <v>1</v>
      </c>
      <c r="U604" s="20"/>
    </row>
    <row r="605" spans="1:21">
      <c r="A605" s="3"/>
      <c r="B605" s="3"/>
      <c r="C605" s="3" t="s">
        <v>834</v>
      </c>
      <c r="D605" s="20">
        <f>D572</f>
        <v>8.10036779408924</v>
      </c>
      <c r="E605" s="20">
        <f t="shared" ref="E605:U605" si="304">D605</f>
        <v>8.10036779408924</v>
      </c>
      <c r="F605" s="20">
        <f t="shared" si="304"/>
        <v>8.10036779408924</v>
      </c>
      <c r="G605" s="20">
        <f t="shared" si="304"/>
        <v>8.10036779408924</v>
      </c>
      <c r="H605" s="20">
        <f t="shared" si="304"/>
        <v>8.10036779408924</v>
      </c>
      <c r="I605" s="20">
        <f t="shared" si="304"/>
        <v>8.10036779408924</v>
      </c>
      <c r="J605" s="20">
        <f t="shared" si="304"/>
        <v>8.10036779408924</v>
      </c>
      <c r="K605" s="20">
        <f t="shared" si="304"/>
        <v>8.10036779408924</v>
      </c>
      <c r="L605" s="20">
        <f t="shared" si="304"/>
        <v>8.10036779408924</v>
      </c>
      <c r="M605" s="20">
        <f t="shared" si="304"/>
        <v>8.10036779408924</v>
      </c>
      <c r="N605" s="20">
        <f t="shared" si="304"/>
        <v>8.10036779408924</v>
      </c>
      <c r="O605" s="20">
        <f t="shared" si="304"/>
        <v>8.10036779408924</v>
      </c>
      <c r="P605" s="20">
        <f t="shared" si="304"/>
        <v>8.10036779408924</v>
      </c>
      <c r="Q605" s="20">
        <f t="shared" si="304"/>
        <v>8.10036779408924</v>
      </c>
      <c r="R605" s="20">
        <f t="shared" si="304"/>
        <v>8.10036779408924</v>
      </c>
      <c r="S605" s="20">
        <f t="shared" si="304"/>
        <v>8.10036779408924</v>
      </c>
      <c r="T605" s="20">
        <f t="shared" si="304"/>
        <v>8.10036779408924</v>
      </c>
      <c r="U605" s="20">
        <f t="shared" si="304"/>
        <v>8.10036779408924</v>
      </c>
    </row>
    <row r="606" spans="1:21">
      <c r="A606" s="3"/>
      <c r="B606" s="3"/>
      <c r="C606" s="3" t="s">
        <v>2410</v>
      </c>
      <c r="D606" s="20">
        <f t="shared" ref="D606:U606" si="305">D604*D605</f>
        <v>10.530478132316</v>
      </c>
      <c r="E606" s="20">
        <f t="shared" si="305"/>
        <v>10.530478132316</v>
      </c>
      <c r="F606" s="20">
        <f t="shared" si="305"/>
        <v>10.530478132316</v>
      </c>
      <c r="G606" s="20">
        <f t="shared" si="305"/>
        <v>10.530478132316</v>
      </c>
      <c r="H606" s="20">
        <f t="shared" si="305"/>
        <v>10.530478132316</v>
      </c>
      <c r="I606" s="20">
        <f t="shared" si="305"/>
        <v>19.4408827058142</v>
      </c>
      <c r="J606" s="20">
        <f t="shared" si="305"/>
        <v>19.4408827058142</v>
      </c>
      <c r="K606" s="20">
        <f t="shared" si="305"/>
        <v>19.4408827058142</v>
      </c>
      <c r="L606" s="20">
        <f t="shared" si="305"/>
        <v>10.530478132316</v>
      </c>
      <c r="M606" s="20">
        <f t="shared" si="305"/>
        <v>10.530478132316</v>
      </c>
      <c r="N606" s="20">
        <f t="shared" si="305"/>
        <v>10.530478132316</v>
      </c>
      <c r="O606" s="20">
        <f t="shared" si="305"/>
        <v>10.530478132316</v>
      </c>
      <c r="P606" s="20">
        <f t="shared" si="305"/>
        <v>10.530478132316</v>
      </c>
      <c r="Q606" s="20">
        <f t="shared" si="305"/>
        <v>10.530478132316</v>
      </c>
      <c r="R606" s="20">
        <f t="shared" si="305"/>
        <v>10.530478132316</v>
      </c>
      <c r="S606" s="20">
        <f t="shared" si="305"/>
        <v>10.530478132316</v>
      </c>
      <c r="T606" s="20">
        <f t="shared" si="305"/>
        <v>8.10036779408924</v>
      </c>
      <c r="U606" s="20">
        <f t="shared" si="305"/>
        <v>0</v>
      </c>
    </row>
    <row r="607" spans="1:21">
      <c r="A607" s="3"/>
      <c r="B607" s="3" t="s">
        <v>1825</v>
      </c>
      <c r="C607" s="3" t="s">
        <v>550</v>
      </c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</row>
    <row r="608" spans="1:21">
      <c r="A608" s="3"/>
      <c r="B608" s="3"/>
      <c r="C608" s="3" t="s">
        <v>834</v>
      </c>
      <c r="D608" s="20">
        <f>D575</f>
        <v>3.075</v>
      </c>
      <c r="E608" s="20">
        <f t="shared" ref="E608:U608" si="306">D608</f>
        <v>3.075</v>
      </c>
      <c r="F608" s="20">
        <f t="shared" si="306"/>
        <v>3.075</v>
      </c>
      <c r="G608" s="20">
        <f t="shared" si="306"/>
        <v>3.075</v>
      </c>
      <c r="H608" s="20">
        <f t="shared" si="306"/>
        <v>3.075</v>
      </c>
      <c r="I608" s="20">
        <f t="shared" si="306"/>
        <v>3.075</v>
      </c>
      <c r="J608" s="20">
        <f t="shared" si="306"/>
        <v>3.075</v>
      </c>
      <c r="K608" s="20">
        <f t="shared" si="306"/>
        <v>3.075</v>
      </c>
      <c r="L608" s="20">
        <f t="shared" si="306"/>
        <v>3.075</v>
      </c>
      <c r="M608" s="20">
        <f t="shared" si="306"/>
        <v>3.075</v>
      </c>
      <c r="N608" s="20">
        <f t="shared" si="306"/>
        <v>3.075</v>
      </c>
      <c r="O608" s="20">
        <f t="shared" si="306"/>
        <v>3.075</v>
      </c>
      <c r="P608" s="20">
        <f t="shared" si="306"/>
        <v>3.075</v>
      </c>
      <c r="Q608" s="20">
        <f t="shared" si="306"/>
        <v>3.075</v>
      </c>
      <c r="R608" s="20">
        <f t="shared" si="306"/>
        <v>3.075</v>
      </c>
      <c r="S608" s="20">
        <f t="shared" si="306"/>
        <v>3.075</v>
      </c>
      <c r="T608" s="20">
        <f t="shared" si="306"/>
        <v>3.075</v>
      </c>
      <c r="U608" s="20">
        <f t="shared" si="306"/>
        <v>3.075</v>
      </c>
    </row>
    <row r="609" spans="1:21">
      <c r="A609" s="3"/>
      <c r="B609" s="3"/>
      <c r="C609" s="3" t="s">
        <v>2410</v>
      </c>
      <c r="D609" s="20">
        <f t="shared" ref="D609:U609" si="307">D607*D608</f>
        <v>0</v>
      </c>
      <c r="E609" s="20">
        <f t="shared" si="307"/>
        <v>0</v>
      </c>
      <c r="F609" s="20">
        <f t="shared" si="307"/>
        <v>0</v>
      </c>
      <c r="G609" s="20">
        <f t="shared" si="307"/>
        <v>0</v>
      </c>
      <c r="H609" s="20">
        <f t="shared" si="307"/>
        <v>0</v>
      </c>
      <c r="I609" s="20">
        <f t="shared" si="307"/>
        <v>0</v>
      </c>
      <c r="J609" s="20">
        <f t="shared" si="307"/>
        <v>0</v>
      </c>
      <c r="K609" s="20">
        <f t="shared" si="307"/>
        <v>0</v>
      </c>
      <c r="L609" s="20">
        <f t="shared" si="307"/>
        <v>0</v>
      </c>
      <c r="M609" s="20">
        <f t="shared" si="307"/>
        <v>0</v>
      </c>
      <c r="N609" s="20">
        <f t="shared" si="307"/>
        <v>0</v>
      </c>
      <c r="O609" s="20">
        <f t="shared" si="307"/>
        <v>0</v>
      </c>
      <c r="P609" s="20">
        <f t="shared" si="307"/>
        <v>0</v>
      </c>
      <c r="Q609" s="20">
        <f t="shared" si="307"/>
        <v>0</v>
      </c>
      <c r="R609" s="20">
        <f t="shared" si="307"/>
        <v>0</v>
      </c>
      <c r="S609" s="20">
        <f t="shared" si="307"/>
        <v>0</v>
      </c>
      <c r="T609" s="20">
        <f t="shared" si="307"/>
        <v>0</v>
      </c>
      <c r="U609" s="20">
        <f t="shared" si="307"/>
        <v>0</v>
      </c>
    </row>
    <row r="610" spans="1:21">
      <c r="A610" s="3"/>
      <c r="B610" s="3" t="s">
        <v>1822</v>
      </c>
      <c r="C610" s="3" t="s">
        <v>550</v>
      </c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</row>
    <row r="611" spans="1:21">
      <c r="A611" s="3"/>
      <c r="B611" s="3"/>
      <c r="C611" s="3" t="s">
        <v>834</v>
      </c>
      <c r="D611" s="20">
        <f>D578</f>
        <v>2.99</v>
      </c>
      <c r="E611" s="20">
        <f t="shared" ref="E611:U611" si="308">D611</f>
        <v>2.99</v>
      </c>
      <c r="F611" s="20">
        <f t="shared" si="308"/>
        <v>2.99</v>
      </c>
      <c r="G611" s="20">
        <f t="shared" si="308"/>
        <v>2.99</v>
      </c>
      <c r="H611" s="20">
        <f t="shared" si="308"/>
        <v>2.99</v>
      </c>
      <c r="I611" s="20">
        <f t="shared" si="308"/>
        <v>2.99</v>
      </c>
      <c r="J611" s="20">
        <f t="shared" si="308"/>
        <v>2.99</v>
      </c>
      <c r="K611" s="20">
        <f t="shared" si="308"/>
        <v>2.99</v>
      </c>
      <c r="L611" s="20">
        <f t="shared" si="308"/>
        <v>2.99</v>
      </c>
      <c r="M611" s="20">
        <f t="shared" si="308"/>
        <v>2.99</v>
      </c>
      <c r="N611" s="20">
        <f t="shared" si="308"/>
        <v>2.99</v>
      </c>
      <c r="O611" s="20">
        <f t="shared" si="308"/>
        <v>2.99</v>
      </c>
      <c r="P611" s="20">
        <f t="shared" si="308"/>
        <v>2.99</v>
      </c>
      <c r="Q611" s="20">
        <f t="shared" si="308"/>
        <v>2.99</v>
      </c>
      <c r="R611" s="20">
        <f t="shared" si="308"/>
        <v>2.99</v>
      </c>
      <c r="S611" s="20">
        <f t="shared" si="308"/>
        <v>2.99</v>
      </c>
      <c r="T611" s="20">
        <f t="shared" si="308"/>
        <v>2.99</v>
      </c>
      <c r="U611" s="20">
        <f t="shared" si="308"/>
        <v>2.99</v>
      </c>
    </row>
    <row r="612" spans="1:21">
      <c r="A612" s="3"/>
      <c r="B612" s="3"/>
      <c r="C612" s="3" t="s">
        <v>2410</v>
      </c>
      <c r="D612" s="20">
        <f t="shared" ref="D612:U612" si="309">D610*D611</f>
        <v>0</v>
      </c>
      <c r="E612" s="20">
        <f t="shared" si="309"/>
        <v>0</v>
      </c>
      <c r="F612" s="20">
        <f t="shared" si="309"/>
        <v>0</v>
      </c>
      <c r="G612" s="20">
        <f t="shared" si="309"/>
        <v>0</v>
      </c>
      <c r="H612" s="20">
        <f t="shared" si="309"/>
        <v>0</v>
      </c>
      <c r="I612" s="20">
        <f t="shared" si="309"/>
        <v>0</v>
      </c>
      <c r="J612" s="20">
        <f t="shared" si="309"/>
        <v>0</v>
      </c>
      <c r="K612" s="20">
        <f t="shared" si="309"/>
        <v>0</v>
      </c>
      <c r="L612" s="20">
        <f t="shared" si="309"/>
        <v>0</v>
      </c>
      <c r="M612" s="20">
        <f t="shared" si="309"/>
        <v>0</v>
      </c>
      <c r="N612" s="20">
        <f t="shared" si="309"/>
        <v>0</v>
      </c>
      <c r="O612" s="20">
        <f t="shared" si="309"/>
        <v>0</v>
      </c>
      <c r="P612" s="20">
        <f t="shared" si="309"/>
        <v>0</v>
      </c>
      <c r="Q612" s="20">
        <f t="shared" si="309"/>
        <v>0</v>
      </c>
      <c r="R612" s="20">
        <f t="shared" si="309"/>
        <v>0</v>
      </c>
      <c r="S612" s="20">
        <f t="shared" si="309"/>
        <v>0</v>
      </c>
      <c r="T612" s="20">
        <f t="shared" si="309"/>
        <v>0</v>
      </c>
      <c r="U612" s="20">
        <f t="shared" si="309"/>
        <v>0</v>
      </c>
    </row>
    <row r="613" spans="1:21">
      <c r="A613" s="3"/>
      <c r="B613" s="3" t="s">
        <v>2411</v>
      </c>
      <c r="C613" s="3" t="s">
        <v>1834</v>
      </c>
      <c r="D613" s="20">
        <v>6</v>
      </c>
      <c r="E613" s="20">
        <v>6</v>
      </c>
      <c r="F613" s="20">
        <v>8.6</v>
      </c>
      <c r="G613" s="20">
        <v>17.2</v>
      </c>
      <c r="H613" s="20">
        <v>7.2</v>
      </c>
      <c r="I613" s="20">
        <v>3.1</v>
      </c>
      <c r="J613" s="20">
        <v>16.7</v>
      </c>
      <c r="K613" s="20">
        <v>8</v>
      </c>
      <c r="L613" s="20">
        <v>43.8</v>
      </c>
      <c r="M613" s="20">
        <v>73.4</v>
      </c>
      <c r="N613" s="20">
        <v>4</v>
      </c>
      <c r="O613" s="20">
        <v>8</v>
      </c>
      <c r="P613" s="20">
        <v>2.9</v>
      </c>
      <c r="Q613" s="20">
        <v>4.7</v>
      </c>
      <c r="R613" s="20">
        <v>2</v>
      </c>
      <c r="S613" s="20">
        <v>2.3</v>
      </c>
      <c r="T613" s="20">
        <v>1.7</v>
      </c>
      <c r="U613" s="20">
        <v>11.6</v>
      </c>
    </row>
    <row r="614" spans="1:21">
      <c r="A614" s="3"/>
      <c r="B614" s="3"/>
      <c r="C614" s="3" t="s">
        <v>834</v>
      </c>
      <c r="D614" s="20">
        <f>D581</f>
        <v>0.48</v>
      </c>
      <c r="E614" s="20">
        <f t="shared" ref="E614:U614" si="310">D614</f>
        <v>0.48</v>
      </c>
      <c r="F614" s="20">
        <f t="shared" si="310"/>
        <v>0.48</v>
      </c>
      <c r="G614" s="20">
        <f t="shared" si="310"/>
        <v>0.48</v>
      </c>
      <c r="H614" s="20">
        <f t="shared" si="310"/>
        <v>0.48</v>
      </c>
      <c r="I614" s="20">
        <f t="shared" si="310"/>
        <v>0.48</v>
      </c>
      <c r="J614" s="20">
        <f t="shared" si="310"/>
        <v>0.48</v>
      </c>
      <c r="K614" s="20">
        <f t="shared" si="310"/>
        <v>0.48</v>
      </c>
      <c r="L614" s="20">
        <f t="shared" si="310"/>
        <v>0.48</v>
      </c>
      <c r="M614" s="20">
        <f t="shared" si="310"/>
        <v>0.48</v>
      </c>
      <c r="N614" s="20">
        <f t="shared" si="310"/>
        <v>0.48</v>
      </c>
      <c r="O614" s="20">
        <f t="shared" si="310"/>
        <v>0.48</v>
      </c>
      <c r="P614" s="20">
        <f t="shared" si="310"/>
        <v>0.48</v>
      </c>
      <c r="Q614" s="20">
        <f t="shared" si="310"/>
        <v>0.48</v>
      </c>
      <c r="R614" s="20">
        <f t="shared" si="310"/>
        <v>0.48</v>
      </c>
      <c r="S614" s="20">
        <f t="shared" si="310"/>
        <v>0.48</v>
      </c>
      <c r="T614" s="20">
        <f t="shared" si="310"/>
        <v>0.48</v>
      </c>
      <c r="U614" s="20">
        <f t="shared" si="310"/>
        <v>0.48</v>
      </c>
    </row>
    <row r="615" spans="1:21">
      <c r="A615" s="3"/>
      <c r="B615" s="3"/>
      <c r="C615" s="3" t="s">
        <v>2410</v>
      </c>
      <c r="D615" s="20">
        <f t="shared" ref="D615:U615" si="311">D613*D614</f>
        <v>2.88</v>
      </c>
      <c r="E615" s="20">
        <f t="shared" si="311"/>
        <v>2.88</v>
      </c>
      <c r="F615" s="20">
        <f t="shared" si="311"/>
        <v>4.128</v>
      </c>
      <c r="G615" s="20">
        <f t="shared" si="311"/>
        <v>8.256</v>
      </c>
      <c r="H615" s="20">
        <f t="shared" si="311"/>
        <v>3.456</v>
      </c>
      <c r="I615" s="20">
        <f t="shared" si="311"/>
        <v>1.488</v>
      </c>
      <c r="J615" s="20">
        <f t="shared" si="311"/>
        <v>8.016</v>
      </c>
      <c r="K615" s="20">
        <f t="shared" si="311"/>
        <v>3.84</v>
      </c>
      <c r="L615" s="20">
        <f t="shared" si="311"/>
        <v>21.024</v>
      </c>
      <c r="M615" s="20">
        <f t="shared" si="311"/>
        <v>35.232</v>
      </c>
      <c r="N615" s="20">
        <f t="shared" si="311"/>
        <v>1.92</v>
      </c>
      <c r="O615" s="20">
        <f t="shared" si="311"/>
        <v>3.84</v>
      </c>
      <c r="P615" s="20">
        <f t="shared" si="311"/>
        <v>1.392</v>
      </c>
      <c r="Q615" s="20">
        <f t="shared" si="311"/>
        <v>2.256</v>
      </c>
      <c r="R615" s="20">
        <f t="shared" si="311"/>
        <v>0.96</v>
      </c>
      <c r="S615" s="20">
        <f t="shared" si="311"/>
        <v>1.104</v>
      </c>
      <c r="T615" s="20">
        <f t="shared" si="311"/>
        <v>0.816</v>
      </c>
      <c r="U615" s="20">
        <f t="shared" si="311"/>
        <v>5.568</v>
      </c>
    </row>
    <row r="616" spans="1:21">
      <c r="A616" s="3"/>
      <c r="B616" s="3" t="s">
        <v>2412</v>
      </c>
      <c r="C616" s="3" t="s">
        <v>632</v>
      </c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</row>
    <row r="617" spans="1:21">
      <c r="A617" s="3"/>
      <c r="B617" s="3"/>
      <c r="C617" s="3" t="s">
        <v>834</v>
      </c>
      <c r="D617" s="20">
        <f>D584</f>
        <v>0.12</v>
      </c>
      <c r="E617" s="20">
        <f t="shared" ref="E617:U617" si="312">D617</f>
        <v>0.12</v>
      </c>
      <c r="F617" s="20">
        <f t="shared" si="312"/>
        <v>0.12</v>
      </c>
      <c r="G617" s="20">
        <f t="shared" si="312"/>
        <v>0.12</v>
      </c>
      <c r="H617" s="20">
        <f t="shared" si="312"/>
        <v>0.12</v>
      </c>
      <c r="I617" s="20">
        <f t="shared" si="312"/>
        <v>0.12</v>
      </c>
      <c r="J617" s="20">
        <f t="shared" si="312"/>
        <v>0.12</v>
      </c>
      <c r="K617" s="20">
        <f t="shared" si="312"/>
        <v>0.12</v>
      </c>
      <c r="L617" s="20">
        <f t="shared" si="312"/>
        <v>0.12</v>
      </c>
      <c r="M617" s="20">
        <f t="shared" si="312"/>
        <v>0.12</v>
      </c>
      <c r="N617" s="20">
        <f t="shared" si="312"/>
        <v>0.12</v>
      </c>
      <c r="O617" s="20">
        <f t="shared" si="312"/>
        <v>0.12</v>
      </c>
      <c r="P617" s="20">
        <f t="shared" si="312"/>
        <v>0.12</v>
      </c>
      <c r="Q617" s="20">
        <f t="shared" si="312"/>
        <v>0.12</v>
      </c>
      <c r="R617" s="20">
        <f t="shared" si="312"/>
        <v>0.12</v>
      </c>
      <c r="S617" s="20">
        <f t="shared" si="312"/>
        <v>0.12</v>
      </c>
      <c r="T617" s="20">
        <f t="shared" si="312"/>
        <v>0.12</v>
      </c>
      <c r="U617" s="20">
        <f t="shared" si="312"/>
        <v>0.12</v>
      </c>
    </row>
    <row r="618" spans="1:21">
      <c r="A618" s="3"/>
      <c r="B618" s="3"/>
      <c r="C618" s="3" t="s">
        <v>2410</v>
      </c>
      <c r="D618" s="20">
        <f t="shared" ref="D618:U618" si="313">D616*D617</f>
        <v>0</v>
      </c>
      <c r="E618" s="20">
        <f t="shared" si="313"/>
        <v>0</v>
      </c>
      <c r="F618" s="20">
        <f t="shared" si="313"/>
        <v>0</v>
      </c>
      <c r="G618" s="20">
        <f t="shared" si="313"/>
        <v>0</v>
      </c>
      <c r="H618" s="20">
        <f t="shared" si="313"/>
        <v>0</v>
      </c>
      <c r="I618" s="20">
        <f t="shared" si="313"/>
        <v>0</v>
      </c>
      <c r="J618" s="20">
        <f t="shared" si="313"/>
        <v>0</v>
      </c>
      <c r="K618" s="20">
        <f t="shared" si="313"/>
        <v>0</v>
      </c>
      <c r="L618" s="20">
        <f t="shared" si="313"/>
        <v>0</v>
      </c>
      <c r="M618" s="20">
        <f t="shared" si="313"/>
        <v>0</v>
      </c>
      <c r="N618" s="20">
        <f t="shared" si="313"/>
        <v>0</v>
      </c>
      <c r="O618" s="20">
        <f t="shared" si="313"/>
        <v>0</v>
      </c>
      <c r="P618" s="20">
        <f t="shared" si="313"/>
        <v>0</v>
      </c>
      <c r="Q618" s="20">
        <f t="shared" si="313"/>
        <v>0</v>
      </c>
      <c r="R618" s="20">
        <f t="shared" si="313"/>
        <v>0</v>
      </c>
      <c r="S618" s="20">
        <f t="shared" si="313"/>
        <v>0</v>
      </c>
      <c r="T618" s="20">
        <f t="shared" si="313"/>
        <v>0</v>
      </c>
      <c r="U618" s="20">
        <f t="shared" si="313"/>
        <v>0</v>
      </c>
    </row>
    <row r="619" spans="1:21">
      <c r="A619" s="3"/>
      <c r="B619" s="3" t="s">
        <v>2413</v>
      </c>
      <c r="C619" s="3" t="s">
        <v>632</v>
      </c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</row>
    <row r="620" spans="1:21">
      <c r="A620" s="3"/>
      <c r="B620" s="3"/>
      <c r="C620" s="3" t="s">
        <v>834</v>
      </c>
      <c r="D620" s="20">
        <f>D587</f>
        <v>3.88349514563107</v>
      </c>
      <c r="E620" s="20">
        <f t="shared" ref="E620:U620" si="314">D620</f>
        <v>3.88349514563107</v>
      </c>
      <c r="F620" s="20">
        <f t="shared" si="314"/>
        <v>3.88349514563107</v>
      </c>
      <c r="G620" s="20">
        <f t="shared" si="314"/>
        <v>3.88349514563107</v>
      </c>
      <c r="H620" s="20">
        <f t="shared" si="314"/>
        <v>3.88349514563107</v>
      </c>
      <c r="I620" s="20">
        <f t="shared" si="314"/>
        <v>3.88349514563107</v>
      </c>
      <c r="J620" s="20">
        <f t="shared" si="314"/>
        <v>3.88349514563107</v>
      </c>
      <c r="K620" s="20">
        <f t="shared" si="314"/>
        <v>3.88349514563107</v>
      </c>
      <c r="L620" s="20">
        <f t="shared" si="314"/>
        <v>3.88349514563107</v>
      </c>
      <c r="M620" s="20">
        <f t="shared" si="314"/>
        <v>3.88349514563107</v>
      </c>
      <c r="N620" s="20">
        <f t="shared" si="314"/>
        <v>3.88349514563107</v>
      </c>
      <c r="O620" s="20">
        <f t="shared" si="314"/>
        <v>3.88349514563107</v>
      </c>
      <c r="P620" s="20">
        <f t="shared" si="314"/>
        <v>3.88349514563107</v>
      </c>
      <c r="Q620" s="20">
        <f t="shared" si="314"/>
        <v>3.88349514563107</v>
      </c>
      <c r="R620" s="20">
        <f t="shared" si="314"/>
        <v>3.88349514563107</v>
      </c>
      <c r="S620" s="20">
        <f t="shared" si="314"/>
        <v>3.88349514563107</v>
      </c>
      <c r="T620" s="20">
        <f t="shared" si="314"/>
        <v>3.88349514563107</v>
      </c>
      <c r="U620" s="20">
        <f t="shared" si="314"/>
        <v>3.88349514563107</v>
      </c>
    </row>
    <row r="621" spans="1:21">
      <c r="A621" s="3"/>
      <c r="B621" s="3"/>
      <c r="C621" s="3" t="s">
        <v>2410</v>
      </c>
      <c r="D621" s="20">
        <f t="shared" ref="D621:U621" si="315">D619*D620</f>
        <v>0</v>
      </c>
      <c r="E621" s="20">
        <f t="shared" si="315"/>
        <v>0</v>
      </c>
      <c r="F621" s="20">
        <f t="shared" si="315"/>
        <v>0</v>
      </c>
      <c r="G621" s="20">
        <f t="shared" si="315"/>
        <v>0</v>
      </c>
      <c r="H621" s="20">
        <f t="shared" si="315"/>
        <v>0</v>
      </c>
      <c r="I621" s="20">
        <f t="shared" si="315"/>
        <v>0</v>
      </c>
      <c r="J621" s="20">
        <f t="shared" si="315"/>
        <v>0</v>
      </c>
      <c r="K621" s="20">
        <f t="shared" si="315"/>
        <v>0</v>
      </c>
      <c r="L621" s="20">
        <f t="shared" si="315"/>
        <v>0</v>
      </c>
      <c r="M621" s="20">
        <f t="shared" si="315"/>
        <v>0</v>
      </c>
      <c r="N621" s="20">
        <f t="shared" si="315"/>
        <v>0</v>
      </c>
      <c r="O621" s="20">
        <f t="shared" si="315"/>
        <v>0</v>
      </c>
      <c r="P621" s="20">
        <f t="shared" si="315"/>
        <v>0</v>
      </c>
      <c r="Q621" s="20">
        <f t="shared" si="315"/>
        <v>0</v>
      </c>
      <c r="R621" s="20">
        <f t="shared" si="315"/>
        <v>0</v>
      </c>
      <c r="S621" s="20">
        <f t="shared" si="315"/>
        <v>0</v>
      </c>
      <c r="T621" s="20">
        <f t="shared" si="315"/>
        <v>0</v>
      </c>
      <c r="U621" s="20">
        <f t="shared" si="315"/>
        <v>0</v>
      </c>
    </row>
    <row r="622" spans="1:21">
      <c r="A622" s="3"/>
      <c r="B622" s="3" t="s">
        <v>2414</v>
      </c>
      <c r="C622" s="3" t="s">
        <v>550</v>
      </c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</row>
    <row r="623" spans="1:21">
      <c r="A623" s="3"/>
      <c r="B623" s="3"/>
      <c r="C623" s="3" t="s">
        <v>834</v>
      </c>
      <c r="D623" s="20">
        <f>D590</f>
        <v>0</v>
      </c>
      <c r="E623" s="20">
        <f t="shared" ref="E623:U623" si="316">D623</f>
        <v>0</v>
      </c>
      <c r="F623" s="20">
        <f t="shared" si="316"/>
        <v>0</v>
      </c>
      <c r="G623" s="20">
        <f t="shared" si="316"/>
        <v>0</v>
      </c>
      <c r="H623" s="20">
        <f t="shared" si="316"/>
        <v>0</v>
      </c>
      <c r="I623" s="20">
        <f t="shared" si="316"/>
        <v>0</v>
      </c>
      <c r="J623" s="20">
        <f t="shared" si="316"/>
        <v>0</v>
      </c>
      <c r="K623" s="20">
        <f t="shared" si="316"/>
        <v>0</v>
      </c>
      <c r="L623" s="20">
        <f t="shared" si="316"/>
        <v>0</v>
      </c>
      <c r="M623" s="20">
        <f t="shared" si="316"/>
        <v>0</v>
      </c>
      <c r="N623" s="20">
        <f t="shared" si="316"/>
        <v>0</v>
      </c>
      <c r="O623" s="20">
        <f t="shared" si="316"/>
        <v>0</v>
      </c>
      <c r="P623" s="20">
        <f t="shared" si="316"/>
        <v>0</v>
      </c>
      <c r="Q623" s="20">
        <f t="shared" si="316"/>
        <v>0</v>
      </c>
      <c r="R623" s="20">
        <f t="shared" si="316"/>
        <v>0</v>
      </c>
      <c r="S623" s="20">
        <f t="shared" si="316"/>
        <v>0</v>
      </c>
      <c r="T623" s="20">
        <f t="shared" si="316"/>
        <v>0</v>
      </c>
      <c r="U623" s="20">
        <f t="shared" si="316"/>
        <v>0</v>
      </c>
    </row>
    <row r="624" spans="1:21">
      <c r="A624" s="3"/>
      <c r="B624" s="3"/>
      <c r="C624" s="3" t="s">
        <v>2410</v>
      </c>
      <c r="D624" s="20">
        <f t="shared" ref="D624:U624" si="317">D622*D623</f>
        <v>0</v>
      </c>
      <c r="E624" s="20">
        <f t="shared" si="317"/>
        <v>0</v>
      </c>
      <c r="F624" s="20">
        <f t="shared" si="317"/>
        <v>0</v>
      </c>
      <c r="G624" s="20">
        <f t="shared" si="317"/>
        <v>0</v>
      </c>
      <c r="H624" s="20">
        <f t="shared" si="317"/>
        <v>0</v>
      </c>
      <c r="I624" s="20">
        <f t="shared" si="317"/>
        <v>0</v>
      </c>
      <c r="J624" s="20">
        <f t="shared" si="317"/>
        <v>0</v>
      </c>
      <c r="K624" s="20">
        <f t="shared" si="317"/>
        <v>0</v>
      </c>
      <c r="L624" s="20">
        <f t="shared" si="317"/>
        <v>0</v>
      </c>
      <c r="M624" s="20">
        <f t="shared" si="317"/>
        <v>0</v>
      </c>
      <c r="N624" s="20">
        <f t="shared" si="317"/>
        <v>0</v>
      </c>
      <c r="O624" s="20">
        <f t="shared" si="317"/>
        <v>0</v>
      </c>
      <c r="P624" s="20">
        <f t="shared" si="317"/>
        <v>0</v>
      </c>
      <c r="Q624" s="20">
        <f t="shared" si="317"/>
        <v>0</v>
      </c>
      <c r="R624" s="20">
        <f t="shared" si="317"/>
        <v>0</v>
      </c>
      <c r="S624" s="20">
        <f t="shared" si="317"/>
        <v>0</v>
      </c>
      <c r="T624" s="20">
        <f t="shared" si="317"/>
        <v>0</v>
      </c>
      <c r="U624" s="20">
        <f t="shared" si="317"/>
        <v>0</v>
      </c>
    </row>
    <row r="625" ht="20.25" spans="1:21">
      <c r="A625" s="156"/>
      <c r="B625" s="156" t="s">
        <v>1321</v>
      </c>
      <c r="C625" s="156" t="s">
        <v>114</v>
      </c>
      <c r="D625" s="157">
        <f t="shared" ref="D625:U625" si="318">D606+D609+D612+D615+D618+D621+D624</f>
        <v>13.410478132316</v>
      </c>
      <c r="E625" s="157">
        <f t="shared" si="318"/>
        <v>13.410478132316</v>
      </c>
      <c r="F625" s="157">
        <f t="shared" si="318"/>
        <v>14.658478132316</v>
      </c>
      <c r="G625" s="157">
        <f t="shared" si="318"/>
        <v>18.786478132316</v>
      </c>
      <c r="H625" s="157">
        <f t="shared" si="318"/>
        <v>13.986478132316</v>
      </c>
      <c r="I625" s="157">
        <f t="shared" si="318"/>
        <v>20.9288827058142</v>
      </c>
      <c r="J625" s="157">
        <f t="shared" si="318"/>
        <v>27.4568827058142</v>
      </c>
      <c r="K625" s="157">
        <f t="shared" si="318"/>
        <v>23.2808827058142</v>
      </c>
      <c r="L625" s="157">
        <f t="shared" si="318"/>
        <v>31.554478132316</v>
      </c>
      <c r="M625" s="157">
        <f t="shared" si="318"/>
        <v>45.762478132316</v>
      </c>
      <c r="N625" s="157">
        <f t="shared" si="318"/>
        <v>12.450478132316</v>
      </c>
      <c r="O625" s="157">
        <f t="shared" si="318"/>
        <v>14.370478132316</v>
      </c>
      <c r="P625" s="157">
        <f t="shared" si="318"/>
        <v>11.922478132316</v>
      </c>
      <c r="Q625" s="157">
        <f t="shared" si="318"/>
        <v>12.786478132316</v>
      </c>
      <c r="R625" s="157">
        <f t="shared" si="318"/>
        <v>11.490478132316</v>
      </c>
      <c r="S625" s="157">
        <f t="shared" si="318"/>
        <v>11.634478132316</v>
      </c>
      <c r="T625" s="157">
        <f t="shared" si="318"/>
        <v>8.91636779408925</v>
      </c>
      <c r="U625" s="157">
        <f t="shared" si="318"/>
        <v>5.568</v>
      </c>
    </row>
    <row r="626" ht="20.25" spans="1:21">
      <c r="A626" s="156" t="s">
        <v>463</v>
      </c>
      <c r="B626" s="156"/>
      <c r="C626" s="156" t="s">
        <v>114</v>
      </c>
      <c r="D626" s="157">
        <f t="shared" ref="D626:U626" si="319">D625+D603</f>
        <v>15.4416229268912</v>
      </c>
      <c r="E626" s="157">
        <f t="shared" si="319"/>
        <v>15.2793492930659</v>
      </c>
      <c r="F626" s="157">
        <f t="shared" si="319"/>
        <v>16.8634003501062</v>
      </c>
      <c r="G626" s="157">
        <f t="shared" si="319"/>
        <v>21.6613724282873</v>
      </c>
      <c r="H626" s="157">
        <f t="shared" si="319"/>
        <v>18.285672388399</v>
      </c>
      <c r="I626" s="157">
        <f t="shared" si="319"/>
        <v>23.6990821473778</v>
      </c>
      <c r="J626" s="157">
        <f t="shared" si="319"/>
        <v>37.3687774006686</v>
      </c>
      <c r="K626" s="157">
        <f t="shared" si="319"/>
        <v>28.5652464872262</v>
      </c>
      <c r="L626" s="157">
        <f t="shared" si="319"/>
        <v>62.3011235252159</v>
      </c>
      <c r="M626" s="157">
        <f t="shared" si="319"/>
        <v>82.0964470194321</v>
      </c>
      <c r="N626" s="157">
        <f t="shared" si="319"/>
        <v>21.2753205734808</v>
      </c>
      <c r="O626" s="157">
        <f t="shared" si="319"/>
        <v>24.0381087665402</v>
      </c>
      <c r="P626" s="157">
        <f t="shared" si="319"/>
        <v>16.3986408766319</v>
      </c>
      <c r="Q626" s="157">
        <f t="shared" si="319"/>
        <v>19.1722818818174</v>
      </c>
      <c r="R626" s="157">
        <f t="shared" si="319"/>
        <v>12.4698957629502</v>
      </c>
      <c r="S626" s="157">
        <f t="shared" si="319"/>
        <v>15.6671267162809</v>
      </c>
      <c r="T626" s="157">
        <f t="shared" si="319"/>
        <v>16.6009669165464</v>
      </c>
      <c r="U626" s="157">
        <f t="shared" si="319"/>
        <v>7.06676346230554</v>
      </c>
    </row>
    <row r="627" ht="20.25" spans="1:21">
      <c r="A627" s="156" t="s">
        <v>458</v>
      </c>
      <c r="B627" s="156"/>
      <c r="C627" s="156"/>
      <c r="D627" s="156">
        <v>8044</v>
      </c>
      <c r="E627" s="156">
        <v>8045</v>
      </c>
      <c r="F627" s="156">
        <v>8046</v>
      </c>
      <c r="G627" s="156">
        <v>8047</v>
      </c>
      <c r="H627" s="156">
        <v>8048</v>
      </c>
      <c r="I627" s="156">
        <v>8049</v>
      </c>
      <c r="J627" s="156">
        <v>8050</v>
      </c>
      <c r="K627" s="156">
        <v>8051</v>
      </c>
      <c r="L627" s="156">
        <v>8052</v>
      </c>
      <c r="M627" s="156">
        <v>8053</v>
      </c>
      <c r="N627" s="156">
        <v>8054</v>
      </c>
      <c r="O627" s="156">
        <v>8055</v>
      </c>
      <c r="P627" s="156">
        <v>8056</v>
      </c>
      <c r="Q627" s="156">
        <v>8057</v>
      </c>
      <c r="R627" s="156">
        <v>8058</v>
      </c>
      <c r="S627" s="156">
        <v>8059</v>
      </c>
      <c r="T627" s="156">
        <v>8060</v>
      </c>
      <c r="U627" s="156">
        <v>8061</v>
      </c>
    </row>
  </sheetData>
  <mergeCells count="473">
    <mergeCell ref="A1:B1"/>
    <mergeCell ref="D2:I2"/>
    <mergeCell ref="J2:L2"/>
    <mergeCell ref="M2:P2"/>
    <mergeCell ref="D3:E3"/>
    <mergeCell ref="F3:I3"/>
    <mergeCell ref="J3:L3"/>
    <mergeCell ref="M3:P3"/>
    <mergeCell ref="D4:I4"/>
    <mergeCell ref="J4:L4"/>
    <mergeCell ref="M4:P4"/>
    <mergeCell ref="Q4:V4"/>
    <mergeCell ref="W4:X4"/>
    <mergeCell ref="Z5:AA5"/>
    <mergeCell ref="A32:B32"/>
    <mergeCell ref="A33:C33"/>
    <mergeCell ref="I35:K35"/>
    <mergeCell ref="N35:O35"/>
    <mergeCell ref="V35:W35"/>
    <mergeCell ref="I36:K36"/>
    <mergeCell ref="N36:O36"/>
    <mergeCell ref="V36:W36"/>
    <mergeCell ref="D37:F37"/>
    <mergeCell ref="I37:K37"/>
    <mergeCell ref="L37:M37"/>
    <mergeCell ref="N37:O37"/>
    <mergeCell ref="T37:U37"/>
    <mergeCell ref="V37:X37"/>
    <mergeCell ref="A65:B65"/>
    <mergeCell ref="A66:C66"/>
    <mergeCell ref="E70:G70"/>
    <mergeCell ref="A98:B98"/>
    <mergeCell ref="A99:C99"/>
    <mergeCell ref="A100:B100"/>
    <mergeCell ref="L101:O101"/>
    <mergeCell ref="R101:W101"/>
    <mergeCell ref="L102:N102"/>
    <mergeCell ref="D103:I103"/>
    <mergeCell ref="J103:K103"/>
    <mergeCell ref="L103:O103"/>
    <mergeCell ref="A131:B131"/>
    <mergeCell ref="A132:C132"/>
    <mergeCell ref="A133:B133"/>
    <mergeCell ref="D136:T136"/>
    <mergeCell ref="U136:Z136"/>
    <mergeCell ref="A164:B164"/>
    <mergeCell ref="A165:C165"/>
    <mergeCell ref="O167:P167"/>
    <mergeCell ref="Q167:R167"/>
    <mergeCell ref="O168:R168"/>
    <mergeCell ref="D169:I169"/>
    <mergeCell ref="M169:N169"/>
    <mergeCell ref="O169:P169"/>
    <mergeCell ref="Q169:R169"/>
    <mergeCell ref="A197:B197"/>
    <mergeCell ref="A198:C198"/>
    <mergeCell ref="A199:B199"/>
    <mergeCell ref="O200:S200"/>
    <mergeCell ref="T200:AC200"/>
    <mergeCell ref="O201:S201"/>
    <mergeCell ref="T201:AC201"/>
    <mergeCell ref="D202:AC202"/>
    <mergeCell ref="A230:B230"/>
    <mergeCell ref="A231:C231"/>
    <mergeCell ref="D235:AA235"/>
    <mergeCell ref="A263:B263"/>
    <mergeCell ref="A264:C264"/>
    <mergeCell ref="D266:G266"/>
    <mergeCell ref="U266:X266"/>
    <mergeCell ref="D267:G267"/>
    <mergeCell ref="U267:X267"/>
    <mergeCell ref="D268:Z268"/>
    <mergeCell ref="A296:B296"/>
    <mergeCell ref="A297:C297"/>
    <mergeCell ref="D301:O301"/>
    <mergeCell ref="A329:B329"/>
    <mergeCell ref="A330:C330"/>
    <mergeCell ref="A331:B331"/>
    <mergeCell ref="M334:N334"/>
    <mergeCell ref="S334:V334"/>
    <mergeCell ref="A362:B362"/>
    <mergeCell ref="A363:C363"/>
    <mergeCell ref="A364:B364"/>
    <mergeCell ref="D365:P365"/>
    <mergeCell ref="Q365:AB365"/>
    <mergeCell ref="D366:AB366"/>
    <mergeCell ref="D367:E367"/>
    <mergeCell ref="F367:G367"/>
    <mergeCell ref="H367:I367"/>
    <mergeCell ref="J367:K367"/>
    <mergeCell ref="L367:M367"/>
    <mergeCell ref="N367:O367"/>
    <mergeCell ref="Q367:R367"/>
    <mergeCell ref="S367:T367"/>
    <mergeCell ref="U367:V367"/>
    <mergeCell ref="W367:X367"/>
    <mergeCell ref="Y367:Z367"/>
    <mergeCell ref="AA367:AB367"/>
    <mergeCell ref="A395:B395"/>
    <mergeCell ref="A396:C396"/>
    <mergeCell ref="P398:U398"/>
    <mergeCell ref="V398:AA398"/>
    <mergeCell ref="P399:U399"/>
    <mergeCell ref="V399:AA399"/>
    <mergeCell ref="D400:K400"/>
    <mergeCell ref="P400:Q400"/>
    <mergeCell ref="R400:S400"/>
    <mergeCell ref="T400:U400"/>
    <mergeCell ref="V400:W400"/>
    <mergeCell ref="X400:Y400"/>
    <mergeCell ref="Z400:AA400"/>
    <mergeCell ref="A428:B428"/>
    <mergeCell ref="A429:C429"/>
    <mergeCell ref="D431:G431"/>
    <mergeCell ref="Z431:AA431"/>
    <mergeCell ref="D432:G432"/>
    <mergeCell ref="Z432:AA432"/>
    <mergeCell ref="D433:E433"/>
    <mergeCell ref="F433:G433"/>
    <mergeCell ref="H433:Y433"/>
    <mergeCell ref="Z433:AA433"/>
    <mergeCell ref="A461:B461"/>
    <mergeCell ref="A462:C462"/>
    <mergeCell ref="D464:J464"/>
    <mergeCell ref="K464:O464"/>
    <mergeCell ref="D465:J465"/>
    <mergeCell ref="L465:O465"/>
    <mergeCell ref="D466:O466"/>
    <mergeCell ref="A494:B494"/>
    <mergeCell ref="A495:C495"/>
    <mergeCell ref="A496:B496"/>
    <mergeCell ref="D497:O497"/>
    <mergeCell ref="P497:Q497"/>
    <mergeCell ref="R497:Z497"/>
    <mergeCell ref="D498:G498"/>
    <mergeCell ref="H498:L498"/>
    <mergeCell ref="M498:N498"/>
    <mergeCell ref="R498:W498"/>
    <mergeCell ref="X498:Z498"/>
    <mergeCell ref="D499:O499"/>
    <mergeCell ref="P499:Z499"/>
    <mergeCell ref="A527:B527"/>
    <mergeCell ref="A528:C528"/>
    <mergeCell ref="A529:B529"/>
    <mergeCell ref="D530:F530"/>
    <mergeCell ref="G530:N530"/>
    <mergeCell ref="D531:F531"/>
    <mergeCell ref="G531:L531"/>
    <mergeCell ref="M531:N531"/>
    <mergeCell ref="D532:F532"/>
    <mergeCell ref="G532:Z532"/>
    <mergeCell ref="A560:B560"/>
    <mergeCell ref="A561:C561"/>
    <mergeCell ref="D565:L565"/>
    <mergeCell ref="M565:N565"/>
    <mergeCell ref="O565:P565"/>
    <mergeCell ref="Q565:S565"/>
    <mergeCell ref="T565:U565"/>
    <mergeCell ref="A593:B593"/>
    <mergeCell ref="A594:C594"/>
    <mergeCell ref="E598:H598"/>
    <mergeCell ref="I598:S598"/>
    <mergeCell ref="A626:B626"/>
    <mergeCell ref="A627:C627"/>
    <mergeCell ref="A6:A9"/>
    <mergeCell ref="A10:A31"/>
    <mergeCell ref="A39:A42"/>
    <mergeCell ref="A43:A64"/>
    <mergeCell ref="A72:A75"/>
    <mergeCell ref="A76:A97"/>
    <mergeCell ref="A105:A108"/>
    <mergeCell ref="A109:A130"/>
    <mergeCell ref="A138:A141"/>
    <mergeCell ref="A142:A163"/>
    <mergeCell ref="A171:A174"/>
    <mergeCell ref="A175:A196"/>
    <mergeCell ref="A204:A207"/>
    <mergeCell ref="A208:A229"/>
    <mergeCell ref="A237:A240"/>
    <mergeCell ref="A241:A262"/>
    <mergeCell ref="A270:A273"/>
    <mergeCell ref="A274:A295"/>
    <mergeCell ref="A303:A306"/>
    <mergeCell ref="A307:A328"/>
    <mergeCell ref="A336:A339"/>
    <mergeCell ref="A340:A361"/>
    <mergeCell ref="A369:A372"/>
    <mergeCell ref="A373:A394"/>
    <mergeCell ref="A402:A405"/>
    <mergeCell ref="A406:A427"/>
    <mergeCell ref="A435:A438"/>
    <mergeCell ref="A439:A460"/>
    <mergeCell ref="A468:A471"/>
    <mergeCell ref="A472:A493"/>
    <mergeCell ref="A501:A504"/>
    <mergeCell ref="A505:A526"/>
    <mergeCell ref="A534:A537"/>
    <mergeCell ref="A538:A559"/>
    <mergeCell ref="A567:A570"/>
    <mergeCell ref="A571:A592"/>
    <mergeCell ref="A600:A603"/>
    <mergeCell ref="A604:A625"/>
    <mergeCell ref="B10:B12"/>
    <mergeCell ref="B13:B15"/>
    <mergeCell ref="B16:B18"/>
    <mergeCell ref="B19:B21"/>
    <mergeCell ref="B22:B24"/>
    <mergeCell ref="B25:B27"/>
    <mergeCell ref="B28:B30"/>
    <mergeCell ref="B43:B45"/>
    <mergeCell ref="B46:B48"/>
    <mergeCell ref="B49:B51"/>
    <mergeCell ref="B52:B54"/>
    <mergeCell ref="B55:B57"/>
    <mergeCell ref="B58:B60"/>
    <mergeCell ref="B61:B63"/>
    <mergeCell ref="B76:B78"/>
    <mergeCell ref="B79:B81"/>
    <mergeCell ref="B82:B84"/>
    <mergeCell ref="B85:B87"/>
    <mergeCell ref="B88:B90"/>
    <mergeCell ref="B91:B93"/>
    <mergeCell ref="B94:B96"/>
    <mergeCell ref="B109:B111"/>
    <mergeCell ref="B112:B114"/>
    <mergeCell ref="B115:B117"/>
    <mergeCell ref="B118:B120"/>
    <mergeCell ref="B121:B123"/>
    <mergeCell ref="B124:B126"/>
    <mergeCell ref="B127:B129"/>
    <mergeCell ref="B142:B144"/>
    <mergeCell ref="B145:B147"/>
    <mergeCell ref="B148:B150"/>
    <mergeCell ref="B151:B153"/>
    <mergeCell ref="B154:B156"/>
    <mergeCell ref="B157:B159"/>
    <mergeCell ref="B160:B162"/>
    <mergeCell ref="B175:B177"/>
    <mergeCell ref="B178:B180"/>
    <mergeCell ref="B181:B183"/>
    <mergeCell ref="B184:B186"/>
    <mergeCell ref="B187:B189"/>
    <mergeCell ref="B190:B192"/>
    <mergeCell ref="B193:B195"/>
    <mergeCell ref="B208:B210"/>
    <mergeCell ref="B211:B213"/>
    <mergeCell ref="B214:B216"/>
    <mergeCell ref="B217:B219"/>
    <mergeCell ref="B220:B222"/>
    <mergeCell ref="B223:B225"/>
    <mergeCell ref="B226:B228"/>
    <mergeCell ref="B241:B243"/>
    <mergeCell ref="B244:B246"/>
    <mergeCell ref="B247:B249"/>
    <mergeCell ref="B250:B252"/>
    <mergeCell ref="B253:B255"/>
    <mergeCell ref="B256:B258"/>
    <mergeCell ref="B259:B261"/>
    <mergeCell ref="B274:B276"/>
    <mergeCell ref="B277:B279"/>
    <mergeCell ref="B280:B282"/>
    <mergeCell ref="B283:B285"/>
    <mergeCell ref="B286:B288"/>
    <mergeCell ref="B289:B291"/>
    <mergeCell ref="B292:B294"/>
    <mergeCell ref="B307:B309"/>
    <mergeCell ref="B310:B312"/>
    <mergeCell ref="B313:B315"/>
    <mergeCell ref="B316:B318"/>
    <mergeCell ref="B319:B321"/>
    <mergeCell ref="B322:B324"/>
    <mergeCell ref="B325:B327"/>
    <mergeCell ref="B340:B342"/>
    <mergeCell ref="B343:B345"/>
    <mergeCell ref="B346:B348"/>
    <mergeCell ref="B349:B351"/>
    <mergeCell ref="B352:B354"/>
    <mergeCell ref="B355:B357"/>
    <mergeCell ref="B358:B360"/>
    <mergeCell ref="B373:B375"/>
    <mergeCell ref="B376:B378"/>
    <mergeCell ref="B379:B381"/>
    <mergeCell ref="B382:B384"/>
    <mergeCell ref="B385:B387"/>
    <mergeCell ref="B388:B390"/>
    <mergeCell ref="B391:B393"/>
    <mergeCell ref="B406:B408"/>
    <mergeCell ref="B409:B411"/>
    <mergeCell ref="B412:B414"/>
    <mergeCell ref="B415:B417"/>
    <mergeCell ref="B418:B420"/>
    <mergeCell ref="B421:B423"/>
    <mergeCell ref="B424:B426"/>
    <mergeCell ref="B439:B441"/>
    <mergeCell ref="B442:B444"/>
    <mergeCell ref="B445:B447"/>
    <mergeCell ref="B448:B450"/>
    <mergeCell ref="B451:B453"/>
    <mergeCell ref="B454:B456"/>
    <mergeCell ref="B457:B459"/>
    <mergeCell ref="B472:B474"/>
    <mergeCell ref="B475:B477"/>
    <mergeCell ref="B478:B480"/>
    <mergeCell ref="B481:B483"/>
    <mergeCell ref="B484:B486"/>
    <mergeCell ref="B487:B489"/>
    <mergeCell ref="B490:B492"/>
    <mergeCell ref="B505:B507"/>
    <mergeCell ref="B508:B510"/>
    <mergeCell ref="B511:B513"/>
    <mergeCell ref="B514:B516"/>
    <mergeCell ref="B517:B519"/>
    <mergeCell ref="B520:B522"/>
    <mergeCell ref="B523:B525"/>
    <mergeCell ref="B538:B540"/>
    <mergeCell ref="B541:B543"/>
    <mergeCell ref="B544:B546"/>
    <mergeCell ref="B547:B549"/>
    <mergeCell ref="B550:B552"/>
    <mergeCell ref="B553:B555"/>
    <mergeCell ref="B556:B558"/>
    <mergeCell ref="B571:B573"/>
    <mergeCell ref="B574:B576"/>
    <mergeCell ref="B577:B579"/>
    <mergeCell ref="B580:B582"/>
    <mergeCell ref="B583:B585"/>
    <mergeCell ref="B586:B588"/>
    <mergeCell ref="B589:B591"/>
    <mergeCell ref="B604:B606"/>
    <mergeCell ref="B607:B609"/>
    <mergeCell ref="B610:B612"/>
    <mergeCell ref="B613:B615"/>
    <mergeCell ref="B616:B618"/>
    <mergeCell ref="B619:B621"/>
    <mergeCell ref="B622:B624"/>
    <mergeCell ref="C2:C5"/>
    <mergeCell ref="C35:C38"/>
    <mergeCell ref="C68:C71"/>
    <mergeCell ref="C101:C104"/>
    <mergeCell ref="C134:C137"/>
    <mergeCell ref="C167:C170"/>
    <mergeCell ref="C200:C203"/>
    <mergeCell ref="C233:C236"/>
    <mergeCell ref="C266:C269"/>
    <mergeCell ref="C299:C302"/>
    <mergeCell ref="C332:C335"/>
    <mergeCell ref="C365:C368"/>
    <mergeCell ref="C398:C401"/>
    <mergeCell ref="C431:C434"/>
    <mergeCell ref="C464:C467"/>
    <mergeCell ref="C497:C500"/>
    <mergeCell ref="C530:C533"/>
    <mergeCell ref="C563:C566"/>
    <mergeCell ref="C596:C599"/>
    <mergeCell ref="D68:D70"/>
    <mergeCell ref="D334:D335"/>
    <mergeCell ref="D596:D598"/>
    <mergeCell ref="E334:E335"/>
    <mergeCell ref="F334:F335"/>
    <mergeCell ref="G35:G36"/>
    <mergeCell ref="G334:G335"/>
    <mergeCell ref="H35:H36"/>
    <mergeCell ref="H68:H71"/>
    <mergeCell ref="H334:H335"/>
    <mergeCell ref="H596:H597"/>
    <mergeCell ref="I68:I70"/>
    <mergeCell ref="I167:I168"/>
    <mergeCell ref="I334:I335"/>
    <mergeCell ref="J101:J102"/>
    <mergeCell ref="J167:J168"/>
    <mergeCell ref="J332:J333"/>
    <mergeCell ref="J334:J335"/>
    <mergeCell ref="K101:K102"/>
    <mergeCell ref="K167:K170"/>
    <mergeCell ref="K332:K335"/>
    <mergeCell ref="K398:K399"/>
    <mergeCell ref="K596:K597"/>
    <mergeCell ref="L167:L170"/>
    <mergeCell ref="L332:L335"/>
    <mergeCell ref="N200:N201"/>
    <mergeCell ref="O530:O531"/>
    <mergeCell ref="P35:P36"/>
    <mergeCell ref="P101:P102"/>
    <mergeCell ref="P332:P333"/>
    <mergeCell ref="Q101:Q103"/>
    <mergeCell ref="Q334:Q335"/>
    <mergeCell ref="R102:R103"/>
    <mergeCell ref="R334:R335"/>
    <mergeCell ref="R596:R597"/>
    <mergeCell ref="S35:S37"/>
    <mergeCell ref="S102:S103"/>
    <mergeCell ref="S596:S597"/>
    <mergeCell ref="T102:T103"/>
    <mergeCell ref="T596:T598"/>
    <mergeCell ref="U596:U597"/>
    <mergeCell ref="V530:V531"/>
    <mergeCell ref="W102:W103"/>
    <mergeCell ref="W530:W531"/>
    <mergeCell ref="W563:W565"/>
    <mergeCell ref="X35:X36"/>
    <mergeCell ref="X101:X102"/>
    <mergeCell ref="Y102:Y103"/>
    <mergeCell ref="Y233:AA234"/>
    <mergeCell ref="A365:B368"/>
    <mergeCell ref="A563:B566"/>
    <mergeCell ref="A530:B533"/>
    <mergeCell ref="A497:B500"/>
    <mergeCell ref="A167:B170"/>
    <mergeCell ref="A200:B203"/>
    <mergeCell ref="A101:B104"/>
    <mergeCell ref="A134:B137"/>
    <mergeCell ref="A332:B335"/>
    <mergeCell ref="D101:F102"/>
    <mergeCell ref="G101:I102"/>
    <mergeCell ref="L596:M597"/>
    <mergeCell ref="N596:O597"/>
    <mergeCell ref="P596:Q597"/>
    <mergeCell ref="H299:O300"/>
    <mergeCell ref="L398:O399"/>
    <mergeCell ref="S332:V333"/>
    <mergeCell ref="U102:V103"/>
    <mergeCell ref="A398:B401"/>
    <mergeCell ref="A431:B434"/>
    <mergeCell ref="A464:B467"/>
    <mergeCell ref="D233:P234"/>
    <mergeCell ref="D134:F135"/>
    <mergeCell ref="D200:I201"/>
    <mergeCell ref="D167:F168"/>
    <mergeCell ref="O134:T135"/>
    <mergeCell ref="U134:Z135"/>
    <mergeCell ref="Q332:R333"/>
    <mergeCell ref="Y266:Z267"/>
    <mergeCell ref="M266:O267"/>
    <mergeCell ref="J563:L564"/>
    <mergeCell ref="M563:P564"/>
    <mergeCell ref="A299:B302"/>
    <mergeCell ref="A233:B236"/>
    <mergeCell ref="A596:B599"/>
    <mergeCell ref="X530:Z531"/>
    <mergeCell ref="E596:G597"/>
    <mergeCell ref="D299:G300"/>
    <mergeCell ref="P431:T432"/>
    <mergeCell ref="U431:Y432"/>
    <mergeCell ref="P530:R531"/>
    <mergeCell ref="S530:U531"/>
    <mergeCell ref="Q563:S564"/>
    <mergeCell ref="T563:V564"/>
    <mergeCell ref="I596:J597"/>
    <mergeCell ref="D332:F333"/>
    <mergeCell ref="G332:I333"/>
    <mergeCell ref="M332:O333"/>
    <mergeCell ref="H431:O432"/>
    <mergeCell ref="I398:J399"/>
    <mergeCell ref="D398:H399"/>
    <mergeCell ref="D563:I564"/>
    <mergeCell ref="Q233:X234"/>
    <mergeCell ref="Q2:V3"/>
    <mergeCell ref="W2:X3"/>
    <mergeCell ref="A35:B38"/>
    <mergeCell ref="D35:F36"/>
    <mergeCell ref="L35:M36"/>
    <mergeCell ref="T35:U36"/>
    <mergeCell ref="Q35:R37"/>
    <mergeCell ref="A2:B5"/>
    <mergeCell ref="H266:L267"/>
    <mergeCell ref="P266:T267"/>
    <mergeCell ref="G167:H168"/>
    <mergeCell ref="M167:N168"/>
    <mergeCell ref="K200:M201"/>
    <mergeCell ref="G134:N135"/>
    <mergeCell ref="A266:B269"/>
    <mergeCell ref="A68:B71"/>
    <mergeCell ref="E68:G69"/>
  </mergeCells>
  <pageMargins left="0.75" right="0.75" top="1" bottom="1" header="0.509027777777778" footer="0.509027777777778"/>
  <pageSetup paperSize="9" orientation="portrait" horizontalDpi="3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4"/>
  <sheetViews>
    <sheetView workbookViewId="0">
      <selection activeCell="J22" sqref="J22"/>
    </sheetView>
  </sheetViews>
  <sheetFormatPr defaultColWidth="9" defaultRowHeight="20.25" outlineLevelCol="4"/>
  <cols>
    <col min="1" max="1" width="6.625" style="145" customWidth="1"/>
    <col min="2" max="2" width="16.25" style="145" customWidth="1"/>
    <col min="3" max="3" width="42.125" style="145" customWidth="1"/>
    <col min="4" max="4" width="15" style="145" customWidth="1"/>
    <col min="5" max="5" width="11.125" style="145" customWidth="1"/>
    <col min="6" max="16384" width="9" style="145"/>
  </cols>
  <sheetData>
    <row r="1" s="142" customFormat="1" ht="21.95" customHeight="1" spans="1:4">
      <c r="A1" s="146" t="s">
        <v>2554</v>
      </c>
      <c r="B1" s="147"/>
      <c r="C1" s="147"/>
      <c r="D1" s="147"/>
    </row>
    <row r="2" s="143" customFormat="1" ht="20.1" customHeight="1" spans="1:4">
      <c r="A2" s="148">
        <v>1</v>
      </c>
      <c r="B2" s="149" t="s">
        <v>2555</v>
      </c>
      <c r="C2" s="148" t="s">
        <v>2556</v>
      </c>
      <c r="D2" s="148">
        <f>355*1.1304*12/251*1.068</f>
        <v>20.4898735936255</v>
      </c>
    </row>
    <row r="3" s="143" customFormat="1" ht="20.1" customHeight="1" spans="1:4">
      <c r="A3" s="148">
        <v>2</v>
      </c>
      <c r="B3" s="149" t="s">
        <v>2557</v>
      </c>
      <c r="C3" s="148" t="s">
        <v>2558</v>
      </c>
      <c r="D3" s="148">
        <f>D4+D5+D6+D7</f>
        <v>12.9458855050199</v>
      </c>
    </row>
    <row r="4" s="143" customFormat="1" ht="20.1" customHeight="1" spans="1:4">
      <c r="A4" s="148" t="s">
        <v>2559</v>
      </c>
      <c r="B4" s="149" t="s">
        <v>2560</v>
      </c>
      <c r="C4" s="148" t="s">
        <v>2561</v>
      </c>
      <c r="D4" s="148">
        <f>355*12/251*1.1304*1.068*8%</f>
        <v>1.63918988749004</v>
      </c>
    </row>
    <row r="5" s="143" customFormat="1" ht="20.1" customHeight="1" spans="1:4">
      <c r="A5" s="148" t="s">
        <v>2562</v>
      </c>
      <c r="B5" s="149" t="s">
        <v>2563</v>
      </c>
      <c r="C5" s="148" t="s">
        <v>2564</v>
      </c>
      <c r="D5" s="148">
        <f>8*365*0.95/251*1.068*80%</f>
        <v>9.44265179282869</v>
      </c>
    </row>
    <row r="6" s="143" customFormat="1" ht="20.1" customHeight="1" spans="1:4">
      <c r="A6" s="148" t="s">
        <v>2565</v>
      </c>
      <c r="B6" s="149" t="s">
        <v>2566</v>
      </c>
      <c r="C6" s="148" t="s">
        <v>2567</v>
      </c>
      <c r="D6" s="148">
        <f>(4.5+5)/2*0.2</f>
        <v>0.95</v>
      </c>
    </row>
    <row r="7" s="143" customFormat="1" ht="20.1" customHeight="1" spans="1:4">
      <c r="A7" s="148" t="s">
        <v>2568</v>
      </c>
      <c r="B7" s="149" t="s">
        <v>2569</v>
      </c>
      <c r="C7" s="148" t="s">
        <v>2570</v>
      </c>
      <c r="D7" s="148">
        <f>21.85*10*3/251*0.35</f>
        <v>0.914043824701195</v>
      </c>
    </row>
    <row r="8" s="143" customFormat="1" ht="20.1" customHeight="1" spans="1:4">
      <c r="A8" s="148">
        <v>3</v>
      </c>
      <c r="B8" s="149" t="s">
        <v>2571</v>
      </c>
      <c r="C8" s="148" t="s">
        <v>2572</v>
      </c>
      <c r="D8" s="148">
        <f>D9+D10+D11+D12+D13+D14+D15</f>
        <v>12.7390242165839</v>
      </c>
    </row>
    <row r="9" s="143" customFormat="1" ht="20.1" customHeight="1" spans="1:4">
      <c r="A9" s="148" t="s">
        <v>2559</v>
      </c>
      <c r="B9" s="149" t="s">
        <v>2573</v>
      </c>
      <c r="C9" s="148" t="s">
        <v>2574</v>
      </c>
      <c r="D9" s="148">
        <f>(D2+D3)*0.07</f>
        <v>2.34050313690518</v>
      </c>
    </row>
    <row r="10" s="143" customFormat="1" ht="20.1" customHeight="1" spans="1:4">
      <c r="A10" s="148" t="s">
        <v>2562</v>
      </c>
      <c r="B10" s="149" t="s">
        <v>2575</v>
      </c>
      <c r="C10" s="148" t="s">
        <v>2576</v>
      </c>
      <c r="D10" s="148">
        <f>(D2+D3)*0.01</f>
        <v>0.334357590986454</v>
      </c>
    </row>
    <row r="11" s="143" customFormat="1" ht="20.1" customHeight="1" spans="1:4">
      <c r="A11" s="148" t="s">
        <v>2565</v>
      </c>
      <c r="B11" s="149" t="s">
        <v>2577</v>
      </c>
      <c r="C11" s="148" t="s">
        <v>2578</v>
      </c>
      <c r="D11" s="148">
        <f>(D2+D3)*0.2*0.8</f>
        <v>5.34972145578327</v>
      </c>
    </row>
    <row r="12" s="143" customFormat="1" ht="20.1" customHeight="1" spans="1:4">
      <c r="A12" s="148" t="s">
        <v>2568</v>
      </c>
      <c r="B12" s="149" t="s">
        <v>2579</v>
      </c>
      <c r="C12" s="148" t="s">
        <v>2580</v>
      </c>
      <c r="D12" s="148">
        <f>(D2+D3)*0.02</f>
        <v>0.668715181972908</v>
      </c>
    </row>
    <row r="13" s="143" customFormat="1" ht="20.1" customHeight="1" spans="1:4">
      <c r="A13" s="148" t="s">
        <v>2581</v>
      </c>
      <c r="B13" s="149" t="s">
        <v>2582</v>
      </c>
      <c r="C13" s="148" t="s">
        <v>2583</v>
      </c>
      <c r="D13" s="148">
        <f>(D2+D3)*0.015</f>
        <v>0.501536386479681</v>
      </c>
    </row>
    <row r="14" s="143" customFormat="1" ht="20.1" customHeight="1" spans="1:4">
      <c r="A14" s="148" t="s">
        <v>2584</v>
      </c>
      <c r="B14" s="149" t="s">
        <v>2585</v>
      </c>
      <c r="C14" s="148" t="s">
        <v>2576</v>
      </c>
      <c r="D14" s="148">
        <f>(D2+D3)*0.01</f>
        <v>0.334357590986454</v>
      </c>
    </row>
    <row r="15" s="143" customFormat="1" ht="20.1" customHeight="1" spans="1:4">
      <c r="A15" s="148" t="s">
        <v>2586</v>
      </c>
      <c r="B15" s="149" t="s">
        <v>2587</v>
      </c>
      <c r="C15" s="148" t="s">
        <v>2588</v>
      </c>
      <c r="D15" s="148">
        <f>(D2+D3)*0.12*0.8</f>
        <v>3.20983287346996</v>
      </c>
    </row>
    <row r="16" s="143" customFormat="1" ht="20.1" customHeight="1" spans="1:4">
      <c r="A16" s="148"/>
      <c r="B16" s="149" t="s">
        <v>2589</v>
      </c>
      <c r="C16" s="148" t="s">
        <v>2590</v>
      </c>
      <c r="D16" s="148">
        <f>D2+D3+D8</f>
        <v>46.1747833152293</v>
      </c>
    </row>
    <row r="17" s="143" customFormat="1" ht="20.1" customHeight="1" spans="1:5">
      <c r="A17" s="149"/>
      <c r="B17" s="149" t="s">
        <v>2591</v>
      </c>
      <c r="C17" s="148" t="s">
        <v>2592</v>
      </c>
      <c r="D17" s="148">
        <f>D16/8</f>
        <v>5.77184791440367</v>
      </c>
      <c r="E17" s="143">
        <f>D17*8</f>
        <v>46.1747833152293</v>
      </c>
    </row>
    <row r="18" s="144" customFormat="1" ht="21.95" customHeight="1" spans="1:4">
      <c r="A18" s="150" t="s">
        <v>2593</v>
      </c>
      <c r="B18" s="151"/>
      <c r="C18" s="151"/>
      <c r="D18" s="151"/>
    </row>
    <row r="19" s="143" customFormat="1" ht="20.1" customHeight="1" spans="1:4">
      <c r="A19" s="148">
        <v>1</v>
      </c>
      <c r="B19" s="149" t="s">
        <v>2555</v>
      </c>
      <c r="C19" s="148" t="s">
        <v>2594</v>
      </c>
      <c r="D19" s="148">
        <f>445*1.1304*12/251*1.068</f>
        <v>25.684489434263</v>
      </c>
    </row>
    <row r="20" s="143" customFormat="1" ht="20.1" customHeight="1" spans="1:4">
      <c r="A20" s="148">
        <v>2</v>
      </c>
      <c r="B20" s="149" t="s">
        <v>2557</v>
      </c>
      <c r="C20" s="148" t="s">
        <v>2558</v>
      </c>
      <c r="D20" s="148">
        <f>D21+D22+D23+D24</f>
        <v>15.9894284774502</v>
      </c>
    </row>
    <row r="21" s="143" customFormat="1" ht="20.1" customHeight="1" spans="1:4">
      <c r="A21" s="148" t="s">
        <v>2559</v>
      </c>
      <c r="B21" s="149" t="s">
        <v>2560</v>
      </c>
      <c r="C21" s="148" t="s">
        <v>2595</v>
      </c>
      <c r="D21" s="148">
        <f>445*12/251*1.1304*1.068*8%</f>
        <v>2.05475915474104</v>
      </c>
    </row>
    <row r="22" s="143" customFormat="1" ht="20.1" customHeight="1" spans="1:4">
      <c r="A22" s="148" t="s">
        <v>2562</v>
      </c>
      <c r="B22" s="149" t="s">
        <v>2563</v>
      </c>
      <c r="C22" s="148" t="s">
        <v>2596</v>
      </c>
      <c r="D22" s="148">
        <f>8*365*0.95/251*1.068</f>
        <v>11.8033147410359</v>
      </c>
    </row>
    <row r="23" s="143" customFormat="1" ht="20.1" customHeight="1" spans="1:4">
      <c r="A23" s="148" t="s">
        <v>2565</v>
      </c>
      <c r="B23" s="149" t="s">
        <v>2566</v>
      </c>
      <c r="C23" s="148" t="s">
        <v>2567</v>
      </c>
      <c r="D23" s="148">
        <f>(4.5+5)/2*0.2</f>
        <v>0.95</v>
      </c>
    </row>
    <row r="24" s="143" customFormat="1" ht="20.1" customHeight="1" spans="1:4">
      <c r="A24" s="148" t="s">
        <v>2568</v>
      </c>
      <c r="B24" s="149" t="s">
        <v>2569</v>
      </c>
      <c r="C24" s="148" t="s">
        <v>2597</v>
      </c>
      <c r="D24" s="148">
        <f>28.24*10*3/251*0.35</f>
        <v>1.18135458167331</v>
      </c>
    </row>
    <row r="25" s="143" customFormat="1" ht="20.1" customHeight="1" spans="1:4">
      <c r="A25" s="148">
        <v>3</v>
      </c>
      <c r="B25" s="149" t="s">
        <v>2571</v>
      </c>
      <c r="C25" s="148" t="s">
        <v>2572</v>
      </c>
      <c r="D25" s="148">
        <f>D26+D27+D28+D29+D30+D31+D32</f>
        <v>23.1290244410008</v>
      </c>
    </row>
    <row r="26" s="143" customFormat="1" ht="20.1" customHeight="1" spans="1:4">
      <c r="A26" s="148" t="s">
        <v>2559</v>
      </c>
      <c r="B26" s="149" t="s">
        <v>2573</v>
      </c>
      <c r="C26" s="148" t="s">
        <v>2598</v>
      </c>
      <c r="D26" s="148">
        <f>(D19+D20)*0.14</f>
        <v>5.83434850763984</v>
      </c>
    </row>
    <row r="27" s="143" customFormat="1" ht="20.1" customHeight="1" spans="1:4">
      <c r="A27" s="148" t="s">
        <v>2562</v>
      </c>
      <c r="B27" s="149" t="s">
        <v>2575</v>
      </c>
      <c r="C27" s="148" t="s">
        <v>2599</v>
      </c>
      <c r="D27" s="148">
        <f>(D19+D20)*0.02</f>
        <v>0.833478358234263</v>
      </c>
    </row>
    <row r="28" s="143" customFormat="1" ht="20.1" customHeight="1" spans="1:4">
      <c r="A28" s="148" t="s">
        <v>2565</v>
      </c>
      <c r="B28" s="149" t="s">
        <v>2577</v>
      </c>
      <c r="C28" s="148" t="s">
        <v>2600</v>
      </c>
      <c r="D28" s="148">
        <f>(D19+D20)*0.2</f>
        <v>8.33478358234263</v>
      </c>
    </row>
    <row r="29" s="143" customFormat="1" ht="20.1" customHeight="1" spans="1:4">
      <c r="A29" s="148" t="s">
        <v>2568</v>
      </c>
      <c r="B29" s="149" t="s">
        <v>2579</v>
      </c>
      <c r="C29" s="148" t="s">
        <v>2601</v>
      </c>
      <c r="D29" s="148">
        <f>(D19+D20)*0.04</f>
        <v>1.66695671646853</v>
      </c>
    </row>
    <row r="30" s="143" customFormat="1" ht="20.1" customHeight="1" spans="1:4">
      <c r="A30" s="148" t="s">
        <v>2581</v>
      </c>
      <c r="B30" s="149" t="s">
        <v>2582</v>
      </c>
      <c r="C30" s="148" t="s">
        <v>2602</v>
      </c>
      <c r="D30" s="148">
        <f>(D19+D20)*0.015</f>
        <v>0.625108768675697</v>
      </c>
    </row>
    <row r="31" s="143" customFormat="1" ht="20.1" customHeight="1" spans="1:4">
      <c r="A31" s="148" t="s">
        <v>2584</v>
      </c>
      <c r="B31" s="149" t="s">
        <v>2585</v>
      </c>
      <c r="C31" s="148" t="s">
        <v>2599</v>
      </c>
      <c r="D31" s="148">
        <f>(D19+D20)*0.02</f>
        <v>0.833478358234263</v>
      </c>
    </row>
    <row r="32" s="143" customFormat="1" ht="20.1" customHeight="1" spans="1:4">
      <c r="A32" s="148" t="s">
        <v>2586</v>
      </c>
      <c r="B32" s="149" t="s">
        <v>2587</v>
      </c>
      <c r="C32" s="148" t="s">
        <v>2603</v>
      </c>
      <c r="D32" s="148">
        <f>(D19+D20)*0.12</f>
        <v>5.00087014940558</v>
      </c>
    </row>
    <row r="33" s="143" customFormat="1" ht="20.1" customHeight="1" spans="1:4">
      <c r="A33" s="148"/>
      <c r="B33" s="149" t="s">
        <v>2589</v>
      </c>
      <c r="C33" s="148" t="s">
        <v>2590</v>
      </c>
      <c r="D33" s="148">
        <f>D19+D20+D25</f>
        <v>64.802942352714</v>
      </c>
    </row>
    <row r="34" s="143" customFormat="1" ht="20.1" customHeight="1" spans="1:5">
      <c r="A34" s="149"/>
      <c r="B34" s="149" t="s">
        <v>2591</v>
      </c>
      <c r="C34" s="148" t="s">
        <v>2592</v>
      </c>
      <c r="D34" s="148">
        <f>D33/8</f>
        <v>8.10036779408924</v>
      </c>
      <c r="E34" s="143">
        <f>D34*8</f>
        <v>64.802942352714</v>
      </c>
    </row>
  </sheetData>
  <mergeCells count="2">
    <mergeCell ref="A1:D1"/>
    <mergeCell ref="A18:D18"/>
  </mergeCells>
  <pageMargins left="0.75" right="0.538888888888889" top="0.86875" bottom="0.86875" header="0.5" footer="0.5"/>
  <pageSetup paperSize="9" orientation="portrait"/>
  <headerFooter alignWithMargins="0" scaleWithDoc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L46"/>
  <sheetViews>
    <sheetView workbookViewId="0">
      <selection activeCell="A1" sqref="A1:E1"/>
    </sheetView>
  </sheetViews>
  <sheetFormatPr defaultColWidth="9" defaultRowHeight="14.25"/>
  <cols>
    <col min="1" max="2" width="18" style="1" customWidth="1"/>
    <col min="3" max="3" width="20.75" style="1" customWidth="1"/>
    <col min="4" max="12" width="18" style="1" customWidth="1"/>
    <col min="13" max="16384" width="9" style="1"/>
  </cols>
  <sheetData>
    <row r="1" ht="26.25" customHeight="1" spans="1:1">
      <c r="A1" s="1" t="s">
        <v>2604</v>
      </c>
    </row>
    <row r="2" ht="20.1" customHeight="1" spans="1:5">
      <c r="A2" s="3" t="s">
        <v>2388</v>
      </c>
      <c r="B2" s="3" t="s">
        <v>2605</v>
      </c>
      <c r="C2" s="3" t="s">
        <v>2606</v>
      </c>
      <c r="D2" s="3" t="s">
        <v>2607</v>
      </c>
      <c r="E2" s="3" t="s">
        <v>2608</v>
      </c>
    </row>
    <row r="3" ht="20.1" customHeight="1" spans="1:5">
      <c r="A3" s="3" t="s">
        <v>2609</v>
      </c>
      <c r="B3" s="3">
        <v>1</v>
      </c>
      <c r="C3" s="3">
        <v>1.33</v>
      </c>
      <c r="D3" s="3">
        <v>0.85</v>
      </c>
      <c r="E3" s="3"/>
    </row>
    <row r="4" ht="20.1" customHeight="1" spans="1:5">
      <c r="A4" s="3" t="s">
        <v>2610</v>
      </c>
      <c r="B4" s="3">
        <v>1</v>
      </c>
      <c r="C4" s="3">
        <v>1.53</v>
      </c>
      <c r="D4" s="3">
        <v>1.31</v>
      </c>
      <c r="E4" s="3"/>
    </row>
    <row r="5" ht="20.1" customHeight="1" spans="1:5">
      <c r="A5" s="3" t="s">
        <v>2611</v>
      </c>
      <c r="B5" s="3">
        <v>1</v>
      </c>
      <c r="C5" s="3">
        <v>1.07</v>
      </c>
      <c r="D5" s="3">
        <v>0.94</v>
      </c>
      <c r="E5" s="3"/>
    </row>
    <row r="6" ht="20.1" customHeight="1" spans="1:5">
      <c r="A6" s="3" t="s">
        <v>2612</v>
      </c>
      <c r="B6" s="3">
        <v>1</v>
      </c>
      <c r="C6" s="3">
        <v>1.19</v>
      </c>
      <c r="D6" s="3">
        <v>0.88</v>
      </c>
      <c r="E6" s="3"/>
    </row>
    <row r="7" ht="20.1" customHeight="1" spans="1:5">
      <c r="A7" s="3" t="s">
        <v>1819</v>
      </c>
      <c r="B7" s="3">
        <v>1</v>
      </c>
      <c r="C7" s="3">
        <v>1.75</v>
      </c>
      <c r="D7" s="3">
        <v>1.43</v>
      </c>
      <c r="E7" s="3">
        <v>1.67</v>
      </c>
    </row>
    <row r="8" ht="20.1" customHeight="1"/>
    <row r="9" ht="27.75" customHeight="1" spans="1:1">
      <c r="A9" s="1" t="s">
        <v>2613</v>
      </c>
    </row>
    <row r="10" s="123" customFormat="1" ht="39.95" customHeight="1" spans="1:5">
      <c r="A10" s="125" t="s">
        <v>2614</v>
      </c>
      <c r="B10" s="125" t="s">
        <v>2615</v>
      </c>
      <c r="C10" s="125" t="s">
        <v>2616</v>
      </c>
      <c r="D10" s="125" t="s">
        <v>2617</v>
      </c>
      <c r="E10" s="125" t="s">
        <v>2618</v>
      </c>
    </row>
    <row r="11" s="123" customFormat="1" ht="60" customHeight="1" spans="1:5">
      <c r="A11" s="125" t="s">
        <v>503</v>
      </c>
      <c r="B11" s="132" t="s">
        <v>2619</v>
      </c>
      <c r="C11" s="125" t="s">
        <v>2620</v>
      </c>
      <c r="D11" s="125" t="s">
        <v>2621</v>
      </c>
      <c r="E11" s="125" t="s">
        <v>2622</v>
      </c>
    </row>
    <row r="12" s="123" customFormat="1" ht="60" customHeight="1" spans="1:5">
      <c r="A12" s="125" t="s">
        <v>505</v>
      </c>
      <c r="B12" s="132" t="s">
        <v>2623</v>
      </c>
      <c r="C12" s="125" t="s">
        <v>2624</v>
      </c>
      <c r="D12" s="125" t="s">
        <v>2625</v>
      </c>
      <c r="E12" s="125" t="s">
        <v>2626</v>
      </c>
    </row>
    <row r="13" s="123" customFormat="1" ht="60" customHeight="1" spans="1:5">
      <c r="A13" s="125" t="s">
        <v>1240</v>
      </c>
      <c r="B13" s="132" t="s">
        <v>2627</v>
      </c>
      <c r="C13" s="125" t="s">
        <v>2628</v>
      </c>
      <c r="D13" s="125" t="s">
        <v>2629</v>
      </c>
      <c r="E13" s="125" t="s">
        <v>2630</v>
      </c>
    </row>
    <row r="14" s="123" customFormat="1" ht="60" customHeight="1" spans="1:5">
      <c r="A14" s="125" t="s">
        <v>2631</v>
      </c>
      <c r="B14" s="132" t="s">
        <v>2632</v>
      </c>
      <c r="C14" s="125" t="s">
        <v>2633</v>
      </c>
      <c r="D14" s="125" t="s">
        <v>2634</v>
      </c>
      <c r="E14" s="125" t="s">
        <v>2635</v>
      </c>
    </row>
    <row r="15" ht="20.1" customHeight="1"/>
    <row r="16" ht="20.1" customHeight="1" spans="1:1">
      <c r="A16" s="1" t="s">
        <v>2636</v>
      </c>
    </row>
    <row r="17" ht="20.1" customHeight="1" spans="1:5">
      <c r="A17" s="3" t="s">
        <v>2637</v>
      </c>
      <c r="B17" s="3">
        <v>28</v>
      </c>
      <c r="C17" s="3">
        <v>60</v>
      </c>
      <c r="D17" s="3">
        <v>90</v>
      </c>
      <c r="E17" s="3">
        <v>180</v>
      </c>
    </row>
    <row r="18" ht="20.1" customHeight="1" spans="1:5">
      <c r="A18" s="3" t="s">
        <v>2638</v>
      </c>
      <c r="B18" s="3">
        <v>1</v>
      </c>
      <c r="C18" s="3">
        <v>0.83</v>
      </c>
      <c r="D18" s="3">
        <v>0.77</v>
      </c>
      <c r="E18" s="3">
        <v>0.71</v>
      </c>
    </row>
    <row r="19" ht="20.1" customHeight="1"/>
    <row r="20" ht="20.1" customHeight="1" spans="1:1">
      <c r="A20" s="1" t="s">
        <v>2639</v>
      </c>
    </row>
    <row r="21" ht="20.1" customHeight="1" spans="1:5">
      <c r="A21" s="3" t="s">
        <v>2388</v>
      </c>
      <c r="B21" s="3" t="s">
        <v>1809</v>
      </c>
      <c r="C21" s="3" t="s">
        <v>2640</v>
      </c>
      <c r="D21" s="3" t="s">
        <v>1816</v>
      </c>
      <c r="E21" s="3" t="s">
        <v>2413</v>
      </c>
    </row>
    <row r="22" ht="20.1" customHeight="1" spans="1:5">
      <c r="A22" s="3" t="s">
        <v>2641</v>
      </c>
      <c r="B22" s="3">
        <v>1.1</v>
      </c>
      <c r="C22" s="3">
        <v>1.1</v>
      </c>
      <c r="D22" s="3">
        <v>1.06</v>
      </c>
      <c r="E22" s="3">
        <v>1.1</v>
      </c>
    </row>
    <row r="23" ht="20.1" customHeight="1" spans="1:5">
      <c r="A23" s="3" t="s">
        <v>2642</v>
      </c>
      <c r="B23" s="3">
        <v>1.07</v>
      </c>
      <c r="C23" s="3">
        <v>0.98</v>
      </c>
      <c r="D23" s="3">
        <v>0.98</v>
      </c>
      <c r="E23" s="3">
        <v>1.07</v>
      </c>
    </row>
    <row r="24" ht="20.1" customHeight="1" spans="1:5">
      <c r="A24" s="3" t="s">
        <v>2643</v>
      </c>
      <c r="B24" s="3">
        <v>1.1</v>
      </c>
      <c r="C24" s="3">
        <v>0.96</v>
      </c>
      <c r="D24" s="3">
        <v>0.97</v>
      </c>
      <c r="E24" s="3">
        <v>1.1</v>
      </c>
    </row>
    <row r="25" ht="20.1" customHeight="1" spans="1:5">
      <c r="A25" s="3" t="s">
        <v>2644</v>
      </c>
      <c r="B25" s="3">
        <v>1.16</v>
      </c>
      <c r="C25" s="3">
        <v>0.9</v>
      </c>
      <c r="D25" s="3">
        <v>0.95</v>
      </c>
      <c r="E25" s="3">
        <v>1.16</v>
      </c>
    </row>
    <row r="26" ht="20.1" customHeight="1" spans="1:5">
      <c r="A26" s="133" t="s">
        <v>2645</v>
      </c>
      <c r="B26" s="133"/>
      <c r="C26" s="133"/>
      <c r="D26" s="133"/>
      <c r="E26" s="133"/>
    </row>
    <row r="27" ht="24" customHeight="1" spans="1:1">
      <c r="A27" s="134" t="s">
        <v>2646</v>
      </c>
    </row>
    <row r="28" ht="24" customHeight="1" spans="1:1">
      <c r="A28" s="134" t="s">
        <v>2647</v>
      </c>
    </row>
    <row r="29" ht="24" customHeight="1" spans="1:1">
      <c r="A29" s="134" t="s">
        <v>2648</v>
      </c>
    </row>
    <row r="30" ht="24" customHeight="1" spans="1:1">
      <c r="A30" s="134" t="s">
        <v>2649</v>
      </c>
    </row>
    <row r="31" ht="24" customHeight="1"/>
    <row r="32" ht="20.1" customHeight="1" spans="1:1">
      <c r="A32" s="1" t="s">
        <v>2650</v>
      </c>
    </row>
    <row r="33" ht="20.1" customHeight="1" spans="1:4">
      <c r="A33" s="3" t="s">
        <v>2651</v>
      </c>
      <c r="B33" s="3" t="s">
        <v>2652</v>
      </c>
      <c r="C33" s="3" t="s">
        <v>2653</v>
      </c>
      <c r="D33" s="3" t="s">
        <v>2652</v>
      </c>
    </row>
    <row r="34" ht="20.1" customHeight="1" spans="1:4">
      <c r="A34" s="3" t="s">
        <v>2654</v>
      </c>
      <c r="B34" s="3" t="s">
        <v>2655</v>
      </c>
      <c r="C34" s="3" t="s">
        <v>2656</v>
      </c>
      <c r="D34" s="3" t="s">
        <v>2657</v>
      </c>
    </row>
    <row r="35" ht="20.1" customHeight="1" spans="1:4">
      <c r="A35" s="3" t="s">
        <v>2658</v>
      </c>
      <c r="B35" s="3" t="s">
        <v>2659</v>
      </c>
      <c r="C35" s="3" t="s">
        <v>2660</v>
      </c>
      <c r="D35" s="3" t="s">
        <v>2661</v>
      </c>
    </row>
    <row r="36" ht="20.1" customHeight="1" spans="1:4">
      <c r="A36" s="3" t="s">
        <v>2662</v>
      </c>
      <c r="B36" s="3" t="s">
        <v>2663</v>
      </c>
      <c r="C36" s="3" t="s">
        <v>2664</v>
      </c>
      <c r="D36" s="3" t="s">
        <v>2665</v>
      </c>
    </row>
    <row r="37" ht="20.1" customHeight="1" spans="1:4">
      <c r="A37" s="3" t="s">
        <v>2666</v>
      </c>
      <c r="B37" s="3" t="s">
        <v>2667</v>
      </c>
      <c r="C37" s="3" t="s">
        <v>2668</v>
      </c>
      <c r="D37" s="3" t="s">
        <v>2667</v>
      </c>
    </row>
    <row r="38" ht="20.1" customHeight="1" spans="1:4">
      <c r="A38" s="3"/>
      <c r="B38" s="3"/>
      <c r="C38" s="3" t="s">
        <v>2669</v>
      </c>
      <c r="D38" s="3" t="s">
        <v>2670</v>
      </c>
    </row>
    <row r="39" ht="20.1" customHeight="1"/>
    <row r="40" ht="20.1" customHeight="1" spans="1:1">
      <c r="A40" s="1" t="s">
        <v>2671</v>
      </c>
    </row>
    <row r="41" s="123" customFormat="1" ht="31.5" customHeight="1" spans="1:12">
      <c r="A41" s="125" t="s">
        <v>2672</v>
      </c>
      <c r="B41" s="135">
        <v>100</v>
      </c>
      <c r="C41" s="135">
        <v>150</v>
      </c>
      <c r="D41" s="135">
        <v>200</v>
      </c>
      <c r="E41" s="135">
        <v>250</v>
      </c>
      <c r="F41" s="135">
        <v>300</v>
      </c>
      <c r="G41" s="135">
        <v>350</v>
      </c>
      <c r="H41" s="136">
        <v>400</v>
      </c>
      <c r="I41" s="138"/>
      <c r="J41" s="139"/>
      <c r="K41" s="139"/>
      <c r="L41" s="139"/>
    </row>
    <row r="42" ht="20.1" customHeight="1" spans="1:12">
      <c r="A42" s="3" t="s">
        <v>2673</v>
      </c>
      <c r="B42" s="3" t="s">
        <v>2674</v>
      </c>
      <c r="C42" s="3" t="s">
        <v>2675</v>
      </c>
      <c r="D42" s="3" t="s">
        <v>2676</v>
      </c>
      <c r="E42" s="3" t="s">
        <v>2677</v>
      </c>
      <c r="F42" s="3" t="s">
        <v>2678</v>
      </c>
      <c r="G42" s="3" t="s">
        <v>2679</v>
      </c>
      <c r="H42" s="137" t="s">
        <v>2680</v>
      </c>
      <c r="I42" s="140"/>
      <c r="J42" s="141"/>
      <c r="K42" s="141"/>
      <c r="L42" s="141"/>
    </row>
    <row r="43" ht="20.1" customHeight="1"/>
    <row r="44" ht="20.1" customHeight="1" spans="1:1">
      <c r="A44" s="1" t="s">
        <v>2681</v>
      </c>
    </row>
    <row r="45" s="123" customFormat="1" ht="33" customHeight="1" spans="1:12">
      <c r="A45" s="125" t="s">
        <v>2672</v>
      </c>
      <c r="B45" s="135">
        <v>30</v>
      </c>
      <c r="C45" s="135">
        <v>50</v>
      </c>
      <c r="D45" s="135">
        <v>75</v>
      </c>
      <c r="E45" s="135">
        <v>100</v>
      </c>
      <c r="F45" s="135">
        <v>125</v>
      </c>
      <c r="G45" s="135">
        <v>150</v>
      </c>
      <c r="H45" s="135">
        <v>200</v>
      </c>
      <c r="I45" s="135">
        <v>250</v>
      </c>
      <c r="J45" s="135">
        <v>300</v>
      </c>
      <c r="K45" s="135">
        <v>350</v>
      </c>
      <c r="L45" s="135">
        <v>400</v>
      </c>
    </row>
    <row r="46" ht="20.1" customHeight="1" spans="1:12">
      <c r="A46" s="3" t="s">
        <v>2682</v>
      </c>
      <c r="B46" s="3" t="s">
        <v>632</v>
      </c>
      <c r="C46" s="3" t="s">
        <v>2017</v>
      </c>
      <c r="D46" s="3" t="s">
        <v>2018</v>
      </c>
      <c r="E46" s="3" t="s">
        <v>2019</v>
      </c>
      <c r="F46" s="3" t="s">
        <v>2020</v>
      </c>
      <c r="G46" s="3" t="s">
        <v>2021</v>
      </c>
      <c r="H46" s="3" t="s">
        <v>2683</v>
      </c>
      <c r="I46" s="3" t="s">
        <v>2684</v>
      </c>
      <c r="J46" s="3" t="s">
        <v>2685</v>
      </c>
      <c r="K46" s="3" t="s">
        <v>2686</v>
      </c>
      <c r="L46" s="3" t="s">
        <v>2025</v>
      </c>
    </row>
  </sheetData>
  <mergeCells count="8">
    <mergeCell ref="A1:E1"/>
    <mergeCell ref="A9:E9"/>
    <mergeCell ref="A16:E16"/>
    <mergeCell ref="A20:E20"/>
    <mergeCell ref="A26:E26"/>
    <mergeCell ref="A32:D32"/>
    <mergeCell ref="A40:H40"/>
    <mergeCell ref="A44:L44"/>
  </mergeCells>
  <pageMargins left="0.75" right="0.75" top="1" bottom="1" header="0.509027777777778" footer="0.509027777777778"/>
  <pageSetup paperSize="9" orientation="portrait" horizont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workbookViewId="0">
      <selection activeCell="A1" sqref="A1:G1"/>
    </sheetView>
  </sheetViews>
  <sheetFormatPr defaultColWidth="9" defaultRowHeight="14.25" outlineLevelCol="6"/>
  <cols>
    <col min="1" max="1" width="9" style="392"/>
    <col min="2" max="2" width="11.875" style="392" customWidth="1"/>
    <col min="3" max="3" width="9" style="392"/>
    <col min="4" max="4" width="12" style="392" customWidth="1"/>
    <col min="5" max="5" width="6.25" style="392" customWidth="1"/>
    <col min="6" max="6" width="8" style="946" customWidth="1"/>
    <col min="7" max="7" width="18.75" style="392" customWidth="1"/>
    <col min="8" max="16384" width="9" style="392"/>
  </cols>
  <sheetData>
    <row r="1" ht="19.5" spans="1:7">
      <c r="A1" s="947" t="s">
        <v>115</v>
      </c>
      <c r="B1" s="947"/>
      <c r="C1" s="947"/>
      <c r="D1" s="947"/>
      <c r="E1" s="947"/>
      <c r="F1" s="947"/>
      <c r="G1" s="947"/>
    </row>
    <row r="2" ht="20.25" customHeight="1" spans="1:7">
      <c r="A2" s="948" t="s">
        <v>116</v>
      </c>
      <c r="B2" s="949" t="s">
        <v>117</v>
      </c>
      <c r="C2" s="949"/>
      <c r="D2" s="949"/>
      <c r="E2" s="949" t="s">
        <v>55</v>
      </c>
      <c r="F2" s="950" t="s">
        <v>118</v>
      </c>
      <c r="G2" s="951" t="s">
        <v>119</v>
      </c>
    </row>
    <row r="3" ht="20.25" customHeight="1" spans="1:7">
      <c r="A3" s="952" t="s">
        <v>120</v>
      </c>
      <c r="B3" s="953" t="s">
        <v>59</v>
      </c>
      <c r="C3" s="953"/>
      <c r="D3" s="953"/>
      <c r="E3" s="953" t="s">
        <v>121</v>
      </c>
      <c r="F3" s="953"/>
      <c r="G3" s="954"/>
    </row>
    <row r="4" spans="1:7">
      <c r="A4" s="952" t="s">
        <v>58</v>
      </c>
      <c r="B4" s="953" t="s">
        <v>122</v>
      </c>
      <c r="C4" s="953"/>
      <c r="D4" s="953"/>
      <c r="E4" s="953" t="s">
        <v>123</v>
      </c>
      <c r="F4" s="955">
        <v>4726</v>
      </c>
      <c r="G4" s="954"/>
    </row>
    <row r="5" spans="1:7">
      <c r="A5" s="952"/>
      <c r="B5" s="953" t="s">
        <v>124</v>
      </c>
      <c r="C5" s="953"/>
      <c r="D5" s="953"/>
      <c r="E5" s="953" t="s">
        <v>62</v>
      </c>
      <c r="F5" s="955">
        <v>3816</v>
      </c>
      <c r="G5" s="954"/>
    </row>
    <row r="6" spans="1:7">
      <c r="A6" s="952"/>
      <c r="B6" s="953" t="s">
        <v>125</v>
      </c>
      <c r="C6" s="953"/>
      <c r="D6" s="953"/>
      <c r="E6" s="953"/>
      <c r="F6" s="955" t="s">
        <v>126</v>
      </c>
      <c r="G6" s="954"/>
    </row>
    <row r="7" spans="1:7">
      <c r="A7" s="952"/>
      <c r="B7" s="953" t="s">
        <v>127</v>
      </c>
      <c r="C7" s="953"/>
      <c r="D7" s="953"/>
      <c r="E7" s="953"/>
      <c r="F7" s="955" t="s">
        <v>128</v>
      </c>
      <c r="G7" s="954"/>
    </row>
    <row r="8" spans="1:7">
      <c r="A8" s="952"/>
      <c r="B8" s="953" t="s">
        <v>67</v>
      </c>
      <c r="C8" s="953"/>
      <c r="D8" s="953"/>
      <c r="E8" s="953" t="s">
        <v>68</v>
      </c>
      <c r="F8" s="955">
        <v>2021</v>
      </c>
      <c r="G8" s="954"/>
    </row>
    <row r="9" spans="1:7">
      <c r="A9" s="952"/>
      <c r="B9" s="953" t="s">
        <v>129</v>
      </c>
      <c r="C9" s="953"/>
      <c r="D9" s="953"/>
      <c r="E9" s="953" t="s">
        <v>68</v>
      </c>
      <c r="F9" s="955">
        <v>2023</v>
      </c>
      <c r="G9" s="954"/>
    </row>
    <row r="10" spans="1:7">
      <c r="A10" s="952"/>
      <c r="B10" s="953" t="s">
        <v>130</v>
      </c>
      <c r="C10" s="953"/>
      <c r="D10" s="953"/>
      <c r="E10" s="953" t="s">
        <v>70</v>
      </c>
      <c r="F10" s="955">
        <v>75</v>
      </c>
      <c r="G10" s="954"/>
    </row>
    <row r="11" spans="1:7">
      <c r="A11" s="952"/>
      <c r="B11" s="953" t="s">
        <v>131</v>
      </c>
      <c r="C11" s="953"/>
      <c r="D11" s="953"/>
      <c r="E11" s="953"/>
      <c r="F11" s="955">
        <v>0.7</v>
      </c>
      <c r="G11" s="954"/>
    </row>
    <row r="12" ht="12" customHeight="1" spans="1:7">
      <c r="A12" s="952" t="s">
        <v>132</v>
      </c>
      <c r="B12" s="953" t="s">
        <v>108</v>
      </c>
      <c r="C12" s="953"/>
      <c r="D12" s="953" t="s">
        <v>133</v>
      </c>
      <c r="E12" s="953" t="s">
        <v>62</v>
      </c>
      <c r="F12" s="955" t="e">
        <f>#REF!</f>
        <v>#REF!</v>
      </c>
      <c r="G12" s="954" t="s">
        <v>134</v>
      </c>
    </row>
    <row r="13" ht="6.75" customHeight="1" spans="1:7">
      <c r="A13" s="952"/>
      <c r="B13" s="953"/>
      <c r="C13" s="953"/>
      <c r="D13" s="953"/>
      <c r="E13" s="953"/>
      <c r="F13" s="955"/>
      <c r="G13" s="954"/>
    </row>
    <row r="14" spans="1:7">
      <c r="A14" s="952"/>
      <c r="B14" s="953"/>
      <c r="C14" s="953"/>
      <c r="D14" s="953" t="s">
        <v>135</v>
      </c>
      <c r="E14" s="953" t="s">
        <v>62</v>
      </c>
      <c r="F14" s="955" t="e">
        <f>#REF!</f>
        <v>#REF!</v>
      </c>
      <c r="G14" s="954" t="s">
        <v>136</v>
      </c>
    </row>
    <row r="15" spans="1:7">
      <c r="A15" s="952"/>
      <c r="B15" s="953"/>
      <c r="C15" s="953"/>
      <c r="D15" s="956" t="s">
        <v>137</v>
      </c>
      <c r="E15" s="956" t="s">
        <v>62</v>
      </c>
      <c r="F15" s="957" t="e">
        <f>#REF!</f>
        <v>#REF!</v>
      </c>
      <c r="G15" s="958"/>
    </row>
    <row r="16" spans="1:7">
      <c r="A16" s="952"/>
      <c r="B16" s="953" t="s">
        <v>138</v>
      </c>
      <c r="C16" s="953" t="s">
        <v>139</v>
      </c>
      <c r="D16" s="953" t="s">
        <v>140</v>
      </c>
      <c r="E16" s="953" t="s">
        <v>141</v>
      </c>
      <c r="F16" s="955"/>
      <c r="G16" s="954"/>
    </row>
    <row r="17" spans="1:7">
      <c r="A17" s="952"/>
      <c r="B17" s="953"/>
      <c r="C17" s="953"/>
      <c r="D17" s="953" t="s">
        <v>142</v>
      </c>
      <c r="E17" s="953" t="s">
        <v>141</v>
      </c>
      <c r="F17" s="955" t="e">
        <f>#REF!</f>
        <v>#REF!</v>
      </c>
      <c r="G17" s="954" t="s">
        <v>143</v>
      </c>
    </row>
    <row r="18" ht="22.5" spans="1:7">
      <c r="A18" s="952"/>
      <c r="B18" s="953"/>
      <c r="C18" s="953" t="s">
        <v>144</v>
      </c>
      <c r="D18" s="953" t="s">
        <v>145</v>
      </c>
      <c r="E18" s="953" t="s">
        <v>146</v>
      </c>
      <c r="F18" s="955">
        <f>灌溉排水工程核!E142</f>
        <v>15985</v>
      </c>
      <c r="G18" s="954" t="s">
        <v>147</v>
      </c>
    </row>
    <row r="19" ht="23.25" customHeight="1" spans="1:7">
      <c r="A19" s="952"/>
      <c r="B19" s="953"/>
      <c r="C19" s="953" t="s">
        <v>148</v>
      </c>
      <c r="D19" s="953" t="s">
        <v>149</v>
      </c>
      <c r="E19" s="953" t="s">
        <v>80</v>
      </c>
      <c r="F19" s="955" t="e">
        <f>#REF!+#REF!</f>
        <v>#REF!</v>
      </c>
      <c r="G19" s="954"/>
    </row>
    <row r="20" ht="23.25" customHeight="1" spans="1:7">
      <c r="A20" s="952"/>
      <c r="B20" s="953"/>
      <c r="C20" s="953"/>
      <c r="D20" s="953" t="s">
        <v>150</v>
      </c>
      <c r="E20" s="953" t="s">
        <v>80</v>
      </c>
      <c r="F20" s="955" t="e">
        <f>#REF!</f>
        <v>#REF!</v>
      </c>
      <c r="G20" s="954"/>
    </row>
    <row r="21" spans="1:7">
      <c r="A21" s="952"/>
      <c r="B21" s="953"/>
      <c r="C21" s="953"/>
      <c r="D21" s="953" t="s">
        <v>151</v>
      </c>
      <c r="E21" s="953" t="s">
        <v>80</v>
      </c>
      <c r="F21" s="955" t="e">
        <f>#REF!</f>
        <v>#REF!</v>
      </c>
      <c r="G21" s="954"/>
    </row>
    <row r="22" spans="1:7">
      <c r="A22" s="952"/>
      <c r="B22" s="953"/>
      <c r="C22" s="953"/>
      <c r="D22" s="953" t="s">
        <v>152</v>
      </c>
      <c r="E22" s="953" t="s">
        <v>80</v>
      </c>
      <c r="F22" s="955" t="e">
        <f>#REF!+#REF!+#REF!</f>
        <v>#REF!</v>
      </c>
      <c r="G22" s="954"/>
    </row>
    <row r="23" spans="1:7">
      <c r="A23" s="952"/>
      <c r="B23" s="953"/>
      <c r="C23" s="953"/>
      <c r="D23" s="953" t="s">
        <v>84</v>
      </c>
      <c r="E23" s="953" t="s">
        <v>80</v>
      </c>
      <c r="F23" s="955" t="e">
        <f>#REF!+#REF!</f>
        <v>#REF!</v>
      </c>
      <c r="G23" s="954"/>
    </row>
    <row r="24" spans="1:7">
      <c r="A24" s="952"/>
      <c r="B24" s="953"/>
      <c r="C24" s="953" t="s">
        <v>153</v>
      </c>
      <c r="D24" s="953" t="s">
        <v>154</v>
      </c>
      <c r="E24" s="953" t="s">
        <v>80</v>
      </c>
      <c r="F24" s="955">
        <v>1</v>
      </c>
      <c r="G24" s="954" t="s">
        <v>155</v>
      </c>
    </row>
    <row r="25" spans="1:7">
      <c r="A25" s="952"/>
      <c r="B25" s="953"/>
      <c r="C25" s="953"/>
      <c r="D25" s="953" t="s">
        <v>156</v>
      </c>
      <c r="E25" s="953" t="s">
        <v>80</v>
      </c>
      <c r="F25" s="955">
        <v>1</v>
      </c>
      <c r="G25" s="959"/>
    </row>
    <row r="26" ht="18.75" customHeight="1" spans="1:7">
      <c r="A26" s="952"/>
      <c r="B26" s="953"/>
      <c r="C26" s="953"/>
      <c r="D26" s="953" t="s">
        <v>157</v>
      </c>
      <c r="E26" s="953" t="s">
        <v>158</v>
      </c>
      <c r="F26" s="955">
        <v>2</v>
      </c>
      <c r="G26" s="954" t="s">
        <v>159</v>
      </c>
    </row>
    <row r="27" ht="22.5" spans="1:7">
      <c r="A27" s="952"/>
      <c r="B27" s="953"/>
      <c r="C27" s="953"/>
      <c r="D27" s="953" t="s">
        <v>160</v>
      </c>
      <c r="E27" s="953" t="s">
        <v>158</v>
      </c>
      <c r="F27" s="955">
        <v>2</v>
      </c>
      <c r="G27" s="954" t="s">
        <v>161</v>
      </c>
    </row>
    <row r="28" spans="1:7">
      <c r="A28" s="952"/>
      <c r="B28" s="953"/>
      <c r="C28" s="953"/>
      <c r="D28" s="953" t="s">
        <v>162</v>
      </c>
      <c r="E28" s="953" t="s">
        <v>163</v>
      </c>
      <c r="F28" s="955">
        <v>1</v>
      </c>
      <c r="G28" s="954"/>
    </row>
    <row r="29" spans="1:7">
      <c r="A29" s="952"/>
      <c r="B29" s="953"/>
      <c r="C29" s="953"/>
      <c r="D29" s="953" t="s">
        <v>164</v>
      </c>
      <c r="E29" s="953" t="s">
        <v>158</v>
      </c>
      <c r="F29" s="955">
        <v>1</v>
      </c>
      <c r="G29" s="959"/>
    </row>
    <row r="30" spans="1:7">
      <c r="A30" s="952"/>
      <c r="B30" s="953"/>
      <c r="C30" s="953" t="s">
        <v>165</v>
      </c>
      <c r="D30" s="953" t="s">
        <v>166</v>
      </c>
      <c r="E30" s="953" t="s">
        <v>76</v>
      </c>
      <c r="F30" s="960">
        <f>SUM(灌溉排水工程核!E131:E136)/1000</f>
        <v>28.95249</v>
      </c>
      <c r="G30" s="954" t="s">
        <v>167</v>
      </c>
    </row>
    <row r="31" spans="1:7">
      <c r="A31" s="952"/>
      <c r="B31" s="953"/>
      <c r="C31" s="953"/>
      <c r="D31" s="961" t="s">
        <v>168</v>
      </c>
      <c r="E31" s="961" t="s">
        <v>76</v>
      </c>
      <c r="F31" s="962">
        <v>45.59</v>
      </c>
      <c r="G31" s="963" t="s">
        <v>169</v>
      </c>
    </row>
    <row r="32" spans="1:7">
      <c r="A32" s="952"/>
      <c r="B32" s="953"/>
      <c r="C32" s="953"/>
      <c r="D32" s="961" t="s">
        <v>170</v>
      </c>
      <c r="E32" s="961" t="s">
        <v>76</v>
      </c>
      <c r="F32" s="962">
        <f>灌溉排水工程核!E129/1000</f>
        <v>1498.93090909091</v>
      </c>
      <c r="G32" s="963" t="s">
        <v>171</v>
      </c>
    </row>
    <row r="33" ht="24" customHeight="1" spans="1:7">
      <c r="A33" s="952"/>
      <c r="B33" s="953"/>
      <c r="C33" s="953"/>
      <c r="D33" s="961" t="s">
        <v>172</v>
      </c>
      <c r="E33" s="961" t="s">
        <v>80</v>
      </c>
      <c r="F33" s="964">
        <v>93</v>
      </c>
      <c r="G33" s="963" t="s">
        <v>173</v>
      </c>
    </row>
    <row r="34" ht="15.75" customHeight="1" spans="1:7">
      <c r="A34" s="952"/>
      <c r="B34" s="953"/>
      <c r="C34" s="953"/>
      <c r="D34" s="961" t="s">
        <v>174</v>
      </c>
      <c r="E34" s="961" t="s">
        <v>80</v>
      </c>
      <c r="F34" s="964">
        <v>6</v>
      </c>
      <c r="G34" s="963" t="s">
        <v>175</v>
      </c>
    </row>
    <row r="35" spans="1:7">
      <c r="A35" s="952"/>
      <c r="B35" s="953"/>
      <c r="C35" s="953"/>
      <c r="D35" s="961" t="s">
        <v>176</v>
      </c>
      <c r="E35" s="961" t="s">
        <v>80</v>
      </c>
      <c r="F35" s="964">
        <v>7</v>
      </c>
      <c r="G35" s="963"/>
    </row>
    <row r="36" spans="1:7">
      <c r="A36" s="952"/>
      <c r="B36" s="953" t="s">
        <v>110</v>
      </c>
      <c r="C36" s="953"/>
      <c r="D36" s="953" t="s">
        <v>177</v>
      </c>
      <c r="E36" s="953" t="s">
        <v>141</v>
      </c>
      <c r="F36" s="965"/>
      <c r="G36" s="954"/>
    </row>
    <row r="37" spans="1:7">
      <c r="A37" s="952"/>
      <c r="B37" s="953" t="s">
        <v>178</v>
      </c>
      <c r="C37" s="953"/>
      <c r="D37" s="953" t="s">
        <v>179</v>
      </c>
      <c r="E37" s="953" t="s">
        <v>62</v>
      </c>
      <c r="F37" s="965"/>
      <c r="G37" s="954"/>
    </row>
    <row r="38" spans="1:7">
      <c r="A38" s="952"/>
      <c r="B38" s="953" t="s">
        <v>180</v>
      </c>
      <c r="C38" s="953"/>
      <c r="D38" s="953" t="s">
        <v>181</v>
      </c>
      <c r="E38" s="953" t="s">
        <v>62</v>
      </c>
      <c r="F38" s="965"/>
      <c r="G38" s="954"/>
    </row>
    <row r="39" spans="1:7">
      <c r="A39" s="952" t="s">
        <v>182</v>
      </c>
      <c r="B39" s="966" t="s">
        <v>183</v>
      </c>
      <c r="C39" s="966"/>
      <c r="D39" s="966"/>
      <c r="E39" s="953" t="s">
        <v>106</v>
      </c>
      <c r="F39" s="960" t="e">
        <f>总概算核!#REF!</f>
        <v>#REF!</v>
      </c>
      <c r="G39" s="954"/>
    </row>
    <row r="40" spans="1:7">
      <c r="A40" s="952"/>
      <c r="B40" s="966" t="s">
        <v>184</v>
      </c>
      <c r="C40" s="966"/>
      <c r="D40" s="966"/>
      <c r="E40" s="953" t="s">
        <v>106</v>
      </c>
      <c r="F40" s="960">
        <f>总概算核!F4</f>
        <v>1785.85688651187</v>
      </c>
      <c r="G40" s="954"/>
    </row>
    <row r="41" spans="1:7">
      <c r="A41" s="952"/>
      <c r="B41" s="966" t="s">
        <v>185</v>
      </c>
      <c r="C41" s="966"/>
      <c r="D41" s="966"/>
      <c r="E41" s="953" t="s">
        <v>106</v>
      </c>
      <c r="F41" s="960">
        <f>总概算核!F18</f>
        <v>2210.46963791537</v>
      </c>
      <c r="G41" s="954"/>
    </row>
    <row r="42" spans="1:7">
      <c r="A42" s="952"/>
      <c r="B42" s="966" t="s">
        <v>186</v>
      </c>
      <c r="C42" s="966"/>
      <c r="D42" s="966"/>
      <c r="E42" s="953" t="s">
        <v>106</v>
      </c>
      <c r="F42" s="960">
        <f>总概算核!F22</f>
        <v>8.95215135166148</v>
      </c>
      <c r="G42" s="954"/>
    </row>
    <row r="43" spans="1:7">
      <c r="A43" s="952"/>
      <c r="B43" s="966" t="s">
        <v>187</v>
      </c>
      <c r="C43" s="966"/>
      <c r="D43" s="966"/>
      <c r="E43" s="953" t="s">
        <v>106</v>
      </c>
      <c r="F43" s="960">
        <f>总概算核!F24</f>
        <v>120.188007568731</v>
      </c>
      <c r="G43" s="954"/>
    </row>
    <row r="44" spans="1:7">
      <c r="A44" s="952"/>
      <c r="B44" s="966" t="s">
        <v>188</v>
      </c>
      <c r="C44" s="966"/>
      <c r="D44" s="966"/>
      <c r="E44" s="953" t="s">
        <v>106</v>
      </c>
      <c r="F44" s="960">
        <f>总概算核!F38</f>
        <v>9.33</v>
      </c>
      <c r="G44" s="954"/>
    </row>
    <row r="45" ht="15" spans="1:7">
      <c r="A45" s="967"/>
      <c r="B45" s="968" t="s">
        <v>113</v>
      </c>
      <c r="C45" s="968"/>
      <c r="D45" s="968"/>
      <c r="E45" s="969" t="s">
        <v>114</v>
      </c>
      <c r="F45" s="970" t="e">
        <f>F39/F5*10000</f>
        <v>#REF!</v>
      </c>
      <c r="G45" s="971"/>
    </row>
  </sheetData>
  <mergeCells count="36">
    <mergeCell ref="A1:G1"/>
    <mergeCell ref="B2:D2"/>
    <mergeCell ref="B3:D3"/>
    <mergeCell ref="E3:G3"/>
    <mergeCell ref="B4:D4"/>
    <mergeCell ref="B5:D5"/>
    <mergeCell ref="B6:D6"/>
    <mergeCell ref="B7:D7"/>
    <mergeCell ref="B8:D8"/>
    <mergeCell ref="B9:D9"/>
    <mergeCell ref="B10:D10"/>
    <mergeCell ref="B11:D11"/>
    <mergeCell ref="B36:C36"/>
    <mergeCell ref="B37:C37"/>
    <mergeCell ref="B38:C38"/>
    <mergeCell ref="B39:D39"/>
    <mergeCell ref="B40:D40"/>
    <mergeCell ref="B41:D41"/>
    <mergeCell ref="B42:D42"/>
    <mergeCell ref="B43:D43"/>
    <mergeCell ref="B44:D44"/>
    <mergeCell ref="B45:D45"/>
    <mergeCell ref="A4:A11"/>
    <mergeCell ref="A12:A38"/>
    <mergeCell ref="A39:A45"/>
    <mergeCell ref="B16:B35"/>
    <mergeCell ref="C16:C17"/>
    <mergeCell ref="C19:C23"/>
    <mergeCell ref="C24:C29"/>
    <mergeCell ref="C30:C35"/>
    <mergeCell ref="D12:D13"/>
    <mergeCell ref="E12:E13"/>
    <mergeCell ref="F12:F13"/>
    <mergeCell ref="G12:G13"/>
    <mergeCell ref="G34:G35"/>
    <mergeCell ref="B12:C15"/>
  </mergeCells>
  <pageMargins left="0.984027777777778" right="0.786805555555556" top="0.786805555555556" bottom="0.786805555555556" header="0" footer="0"/>
  <pageSetup paperSize="9" orientation="portrait" horizontalDpi="3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AF63"/>
  <sheetViews>
    <sheetView workbookViewId="0">
      <selection activeCell="A1" sqref="A1:O1"/>
    </sheetView>
  </sheetViews>
  <sheetFormatPr defaultColWidth="9" defaultRowHeight="14.25"/>
  <cols>
    <col min="1" max="16384" width="9" style="1"/>
  </cols>
  <sheetData>
    <row r="1" ht="20.25" spans="1:32">
      <c r="A1" s="124" t="s">
        <v>2687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Q1" s="124" t="s">
        <v>2688</v>
      </c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</row>
    <row r="2" spans="1:32">
      <c r="A2" s="125" t="s">
        <v>291</v>
      </c>
      <c r="B2" s="125" t="s">
        <v>2689</v>
      </c>
      <c r="C2" s="125" t="s">
        <v>2690</v>
      </c>
      <c r="D2" s="125" t="s">
        <v>2691</v>
      </c>
      <c r="E2" s="125" t="s">
        <v>2692</v>
      </c>
      <c r="F2" s="125" t="s">
        <v>2693</v>
      </c>
      <c r="G2" s="125" t="s">
        <v>2694</v>
      </c>
      <c r="H2" s="125"/>
      <c r="I2" s="125"/>
      <c r="J2" s="125" t="s">
        <v>2006</v>
      </c>
      <c r="K2" s="125"/>
      <c r="L2" s="125"/>
      <c r="M2" s="125"/>
      <c r="N2" s="125"/>
      <c r="O2" s="125"/>
      <c r="Q2" s="125" t="s">
        <v>291</v>
      </c>
      <c r="R2" s="125" t="s">
        <v>2689</v>
      </c>
      <c r="S2" s="125" t="s">
        <v>2690</v>
      </c>
      <c r="T2" s="125" t="s">
        <v>2691</v>
      </c>
      <c r="U2" s="125" t="s">
        <v>2692</v>
      </c>
      <c r="V2" s="125" t="s">
        <v>2693</v>
      </c>
      <c r="W2" s="125" t="s">
        <v>2694</v>
      </c>
      <c r="X2" s="125"/>
      <c r="Y2" s="125"/>
      <c r="Z2" s="125" t="s">
        <v>2006</v>
      </c>
      <c r="AA2" s="125"/>
      <c r="AB2" s="125"/>
      <c r="AC2" s="125"/>
      <c r="AD2" s="125"/>
      <c r="AE2" s="125"/>
      <c r="AF2" s="125"/>
    </row>
    <row r="3" spans="1:32">
      <c r="A3" s="125"/>
      <c r="B3" s="125"/>
      <c r="C3" s="125"/>
      <c r="D3" s="125"/>
      <c r="E3" s="125"/>
      <c r="F3" s="125"/>
      <c r="G3" s="125" t="s">
        <v>1809</v>
      </c>
      <c r="H3" s="125" t="s">
        <v>2640</v>
      </c>
      <c r="I3" s="125" t="s">
        <v>1816</v>
      </c>
      <c r="J3" s="125" t="s">
        <v>2695</v>
      </c>
      <c r="K3" s="125" t="s">
        <v>2696</v>
      </c>
      <c r="L3" s="125"/>
      <c r="M3" s="125" t="s">
        <v>1823</v>
      </c>
      <c r="N3" s="125"/>
      <c r="O3" s="125" t="s">
        <v>2697</v>
      </c>
      <c r="Q3" s="125"/>
      <c r="R3" s="125"/>
      <c r="S3" s="125"/>
      <c r="T3" s="125"/>
      <c r="U3" s="125"/>
      <c r="V3" s="125"/>
      <c r="W3" s="125" t="s">
        <v>1809</v>
      </c>
      <c r="X3" s="125" t="s">
        <v>2640</v>
      </c>
      <c r="Y3" s="125" t="s">
        <v>1816</v>
      </c>
      <c r="Z3" s="125" t="s">
        <v>2695</v>
      </c>
      <c r="AA3" s="125" t="s">
        <v>2696</v>
      </c>
      <c r="AB3" s="125"/>
      <c r="AC3" s="125" t="s">
        <v>1823</v>
      </c>
      <c r="AD3" s="125"/>
      <c r="AE3" s="130" t="s">
        <v>2698</v>
      </c>
      <c r="AF3" s="125" t="s">
        <v>2697</v>
      </c>
    </row>
    <row r="4" spans="1:32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 t="s">
        <v>550</v>
      </c>
      <c r="L4" s="125" t="s">
        <v>632</v>
      </c>
      <c r="M4" s="125" t="s">
        <v>550</v>
      </c>
      <c r="N4" s="125" t="s">
        <v>632</v>
      </c>
      <c r="O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 t="s">
        <v>550</v>
      </c>
      <c r="AB4" s="125" t="s">
        <v>632</v>
      </c>
      <c r="AC4" s="125" t="s">
        <v>550</v>
      </c>
      <c r="AD4" s="125" t="s">
        <v>632</v>
      </c>
      <c r="AE4" s="131"/>
      <c r="AF4" s="125"/>
    </row>
    <row r="5" spans="1:32">
      <c r="A5" s="3">
        <v>1</v>
      </c>
      <c r="B5" s="3" t="s">
        <v>2699</v>
      </c>
      <c r="C5" s="3">
        <v>32.5</v>
      </c>
      <c r="D5" s="3">
        <v>0.75</v>
      </c>
      <c r="E5" s="3">
        <v>1</v>
      </c>
      <c r="F5" s="3">
        <v>20</v>
      </c>
      <c r="G5" s="3">
        <v>1</v>
      </c>
      <c r="H5" s="3">
        <v>3.69</v>
      </c>
      <c r="I5" s="3">
        <v>5.05</v>
      </c>
      <c r="J5" s="3">
        <v>237</v>
      </c>
      <c r="K5" s="3">
        <v>877</v>
      </c>
      <c r="L5" s="3">
        <v>0.58</v>
      </c>
      <c r="M5" s="3">
        <v>1218</v>
      </c>
      <c r="N5" s="3">
        <v>0.72</v>
      </c>
      <c r="O5" s="3">
        <v>0.17</v>
      </c>
      <c r="Q5" s="3">
        <v>1</v>
      </c>
      <c r="R5" s="3" t="s">
        <v>2699</v>
      </c>
      <c r="S5" s="3">
        <v>32.5</v>
      </c>
      <c r="T5" s="3">
        <v>0.75</v>
      </c>
      <c r="U5" s="3">
        <v>1</v>
      </c>
      <c r="V5" s="3">
        <v>20</v>
      </c>
      <c r="W5" s="3">
        <v>1</v>
      </c>
      <c r="X5" s="3">
        <v>4.14</v>
      </c>
      <c r="Y5" s="3">
        <v>5.69</v>
      </c>
      <c r="Z5" s="3">
        <v>213</v>
      </c>
      <c r="AA5" s="3">
        <v>887</v>
      </c>
      <c r="AB5" s="3">
        <v>0.59</v>
      </c>
      <c r="AC5" s="3">
        <v>1230</v>
      </c>
      <c r="AD5" s="3">
        <v>0.72</v>
      </c>
      <c r="AE5" s="3">
        <v>0.43</v>
      </c>
      <c r="AF5" s="3">
        <v>0.17</v>
      </c>
    </row>
    <row r="6" s="121" customFormat="1" spans="1:32">
      <c r="A6" s="7"/>
      <c r="B6" s="7"/>
      <c r="C6" s="7"/>
      <c r="D6" s="7"/>
      <c r="E6" s="7">
        <v>2</v>
      </c>
      <c r="F6" s="7">
        <v>40</v>
      </c>
      <c r="G6" s="7">
        <v>1</v>
      </c>
      <c r="H6" s="7">
        <v>3.92</v>
      </c>
      <c r="I6" s="7">
        <v>6.45</v>
      </c>
      <c r="J6" s="7">
        <v>208</v>
      </c>
      <c r="K6" s="7">
        <v>819</v>
      </c>
      <c r="L6" s="7">
        <v>0.55</v>
      </c>
      <c r="M6" s="7">
        <v>1360</v>
      </c>
      <c r="N6" s="7">
        <v>0.79</v>
      </c>
      <c r="O6" s="7">
        <v>0.15</v>
      </c>
      <c r="Q6" s="7"/>
      <c r="R6" s="7"/>
      <c r="S6" s="7"/>
      <c r="T6" s="7"/>
      <c r="U6" s="7">
        <v>2</v>
      </c>
      <c r="V6" s="7">
        <v>40</v>
      </c>
      <c r="W6" s="7">
        <v>1</v>
      </c>
      <c r="X6" s="7">
        <v>4.18</v>
      </c>
      <c r="Y6" s="7">
        <v>7.19</v>
      </c>
      <c r="Z6" s="7">
        <v>188</v>
      </c>
      <c r="AA6" s="7">
        <v>826</v>
      </c>
      <c r="AB6" s="7">
        <v>0.55</v>
      </c>
      <c r="AC6" s="7">
        <v>1372</v>
      </c>
      <c r="AD6" s="7">
        <v>0.8</v>
      </c>
      <c r="AE6" s="7">
        <v>0.38</v>
      </c>
      <c r="AF6" s="7">
        <v>0.15</v>
      </c>
    </row>
    <row r="7" spans="1:32">
      <c r="A7" s="3"/>
      <c r="B7" s="3"/>
      <c r="C7" s="3"/>
      <c r="D7" s="3"/>
      <c r="E7" s="3">
        <v>3</v>
      </c>
      <c r="F7" s="3">
        <v>80</v>
      </c>
      <c r="G7" s="3">
        <v>1</v>
      </c>
      <c r="H7" s="3">
        <v>3.78</v>
      </c>
      <c r="I7" s="3">
        <v>9.33</v>
      </c>
      <c r="J7" s="3">
        <v>172</v>
      </c>
      <c r="K7" s="3">
        <v>653</v>
      </c>
      <c r="L7" s="3">
        <v>0.44</v>
      </c>
      <c r="M7" s="3">
        <v>1630</v>
      </c>
      <c r="N7" s="3">
        <v>0.95</v>
      </c>
      <c r="O7" s="3">
        <v>0.125</v>
      </c>
      <c r="Q7" s="3"/>
      <c r="R7" s="3"/>
      <c r="S7" s="3"/>
      <c r="T7" s="3"/>
      <c r="U7" s="3">
        <v>3</v>
      </c>
      <c r="V7" s="3">
        <v>80</v>
      </c>
      <c r="W7" s="3">
        <v>1</v>
      </c>
      <c r="X7" s="3">
        <v>4.17</v>
      </c>
      <c r="Y7" s="3">
        <v>10.31</v>
      </c>
      <c r="Z7" s="3">
        <v>157</v>
      </c>
      <c r="AA7" s="3">
        <v>658</v>
      </c>
      <c r="AB7" s="3">
        <v>0.44</v>
      </c>
      <c r="AC7" s="3">
        <v>1642</v>
      </c>
      <c r="AD7" s="3">
        <v>0.96</v>
      </c>
      <c r="AE7" s="3">
        <v>0.32</v>
      </c>
      <c r="AF7" s="3">
        <v>0.125</v>
      </c>
    </row>
    <row r="8" spans="1:32">
      <c r="A8" s="3"/>
      <c r="B8" s="3"/>
      <c r="C8" s="3"/>
      <c r="D8" s="3"/>
      <c r="E8" s="3">
        <v>4</v>
      </c>
      <c r="F8" s="3">
        <v>150</v>
      </c>
      <c r="G8" s="3">
        <v>1</v>
      </c>
      <c r="H8" s="3">
        <v>3.64</v>
      </c>
      <c r="I8" s="3">
        <v>11.65</v>
      </c>
      <c r="J8" s="3">
        <v>152</v>
      </c>
      <c r="K8" s="3">
        <v>555</v>
      </c>
      <c r="L8" s="3">
        <v>0.37</v>
      </c>
      <c r="M8" s="3">
        <v>1792</v>
      </c>
      <c r="N8" s="3">
        <v>1.05</v>
      </c>
      <c r="O8" s="3">
        <v>0.11</v>
      </c>
      <c r="Q8" s="3"/>
      <c r="R8" s="3"/>
      <c r="S8" s="3"/>
      <c r="T8" s="3"/>
      <c r="U8" s="3">
        <v>4</v>
      </c>
      <c r="V8" s="3">
        <v>150</v>
      </c>
      <c r="W8" s="3">
        <v>1</v>
      </c>
      <c r="X8" s="3">
        <v>3.84</v>
      </c>
      <c r="Y8" s="3">
        <v>12.78</v>
      </c>
      <c r="Z8" s="3">
        <v>139</v>
      </c>
      <c r="AA8" s="3">
        <v>560</v>
      </c>
      <c r="AB8" s="3">
        <v>0.38</v>
      </c>
      <c r="AC8" s="3">
        <v>1803</v>
      </c>
      <c r="AD8" s="3">
        <v>1.05</v>
      </c>
      <c r="AE8" s="3">
        <v>0.28</v>
      </c>
      <c r="AF8" s="3">
        <v>0.11</v>
      </c>
    </row>
    <row r="9" spans="1:32">
      <c r="A9" s="3">
        <v>2</v>
      </c>
      <c r="B9" s="3" t="s">
        <v>1388</v>
      </c>
      <c r="C9" s="3">
        <v>32.5</v>
      </c>
      <c r="D9" s="3">
        <v>0.65</v>
      </c>
      <c r="E9" s="3">
        <v>1</v>
      </c>
      <c r="F9" s="3">
        <v>20</v>
      </c>
      <c r="G9" s="3">
        <v>1</v>
      </c>
      <c r="H9" s="3">
        <v>3.15</v>
      </c>
      <c r="I9" s="3">
        <v>4.41</v>
      </c>
      <c r="J9" s="3">
        <v>270</v>
      </c>
      <c r="K9" s="3">
        <v>853</v>
      </c>
      <c r="L9" s="3">
        <v>0.57</v>
      </c>
      <c r="M9" s="3">
        <v>1206</v>
      </c>
      <c r="N9" s="3">
        <v>0.7</v>
      </c>
      <c r="O9" s="3">
        <v>0.17</v>
      </c>
      <c r="Q9" s="3">
        <v>2</v>
      </c>
      <c r="R9" s="3" t="s">
        <v>1388</v>
      </c>
      <c r="S9" s="3">
        <v>32.5</v>
      </c>
      <c r="T9" s="3">
        <v>0.65</v>
      </c>
      <c r="U9" s="3">
        <v>1</v>
      </c>
      <c r="V9" s="3">
        <v>20</v>
      </c>
      <c r="W9" s="3">
        <v>1</v>
      </c>
      <c r="X9" s="3">
        <v>3.44</v>
      </c>
      <c r="Y9" s="3">
        <v>4.81</v>
      </c>
      <c r="Z9" s="3">
        <v>250</v>
      </c>
      <c r="AA9" s="3">
        <v>865</v>
      </c>
      <c r="AB9" s="3">
        <v>0.58</v>
      </c>
      <c r="AC9" s="3">
        <v>1221</v>
      </c>
      <c r="AD9" s="3">
        <v>0.71</v>
      </c>
      <c r="AE9" s="3">
        <v>0.5</v>
      </c>
      <c r="AF9" s="3">
        <v>0.17</v>
      </c>
    </row>
    <row r="10" s="121" customFormat="1" spans="1:32">
      <c r="A10" s="7"/>
      <c r="B10" s="7"/>
      <c r="C10" s="7"/>
      <c r="D10" s="7"/>
      <c r="E10" s="7">
        <v>2</v>
      </c>
      <c r="F10" s="7">
        <v>40</v>
      </c>
      <c r="G10" s="7">
        <v>1</v>
      </c>
      <c r="H10" s="7">
        <v>3.2</v>
      </c>
      <c r="I10" s="7">
        <v>5.57</v>
      </c>
      <c r="J10" s="7">
        <v>242</v>
      </c>
      <c r="K10" s="7">
        <v>777</v>
      </c>
      <c r="L10" s="7">
        <v>0.52</v>
      </c>
      <c r="M10" s="7">
        <v>1367</v>
      </c>
      <c r="N10" s="7">
        <v>0.81</v>
      </c>
      <c r="O10" s="7">
        <v>0.15</v>
      </c>
      <c r="Q10" s="7"/>
      <c r="R10" s="7"/>
      <c r="S10" s="7"/>
      <c r="T10" s="7"/>
      <c r="U10" s="7">
        <v>2</v>
      </c>
      <c r="V10" s="7">
        <v>40</v>
      </c>
      <c r="W10" s="7">
        <v>1</v>
      </c>
      <c r="X10" s="7">
        <v>3.57</v>
      </c>
      <c r="Y10" s="7">
        <v>6.19</v>
      </c>
      <c r="Z10" s="7">
        <v>220</v>
      </c>
      <c r="AA10" s="7">
        <v>790</v>
      </c>
      <c r="AB10" s="7">
        <v>0.53</v>
      </c>
      <c r="AC10" s="7">
        <v>1382</v>
      </c>
      <c r="AD10" s="7">
        <v>0.81</v>
      </c>
      <c r="AE10" s="7">
        <v>0.45</v>
      </c>
      <c r="AF10" s="7">
        <v>0.15</v>
      </c>
    </row>
    <row r="11" spans="1:32">
      <c r="A11" s="3"/>
      <c r="B11" s="3"/>
      <c r="C11" s="3"/>
      <c r="D11" s="3"/>
      <c r="E11" s="3">
        <v>3</v>
      </c>
      <c r="F11" s="3">
        <v>80</v>
      </c>
      <c r="G11" s="3">
        <v>1</v>
      </c>
      <c r="H11" s="3">
        <v>3.09</v>
      </c>
      <c r="I11" s="3">
        <v>8.03</v>
      </c>
      <c r="J11" s="3">
        <v>201</v>
      </c>
      <c r="K11" s="3">
        <v>623</v>
      </c>
      <c r="L11" s="3">
        <v>0.42</v>
      </c>
      <c r="M11" s="3">
        <v>1635</v>
      </c>
      <c r="N11" s="3">
        <v>0.96</v>
      </c>
      <c r="O11" s="3">
        <v>0.125</v>
      </c>
      <c r="Q11" s="3"/>
      <c r="R11" s="3"/>
      <c r="S11" s="3"/>
      <c r="T11" s="3"/>
      <c r="U11" s="3">
        <v>3</v>
      </c>
      <c r="V11" s="3">
        <v>80</v>
      </c>
      <c r="W11" s="3">
        <v>1</v>
      </c>
      <c r="X11" s="3">
        <v>3.46</v>
      </c>
      <c r="Y11" s="3">
        <v>8.98</v>
      </c>
      <c r="Z11" s="3">
        <v>181</v>
      </c>
      <c r="AA11" s="3">
        <v>630</v>
      </c>
      <c r="AB11" s="3">
        <v>0.42</v>
      </c>
      <c r="AC11" s="3">
        <v>1649</v>
      </c>
      <c r="AD11" s="3">
        <v>0.96</v>
      </c>
      <c r="AE11" s="3">
        <v>0.37</v>
      </c>
      <c r="AF11" s="3">
        <v>0.125</v>
      </c>
    </row>
    <row r="12" spans="1:32">
      <c r="A12" s="3"/>
      <c r="B12" s="3"/>
      <c r="C12" s="3"/>
      <c r="D12" s="3"/>
      <c r="E12" s="3">
        <v>4</v>
      </c>
      <c r="F12" s="3">
        <v>150</v>
      </c>
      <c r="G12" s="3">
        <v>1</v>
      </c>
      <c r="H12" s="3">
        <v>2.92</v>
      </c>
      <c r="I12" s="3">
        <v>9.89</v>
      </c>
      <c r="J12" s="3">
        <v>179</v>
      </c>
      <c r="K12" s="3">
        <v>527</v>
      </c>
      <c r="L12" s="3">
        <v>0.36</v>
      </c>
      <c r="M12" s="3">
        <v>1799</v>
      </c>
      <c r="N12" s="3">
        <v>1.06</v>
      </c>
      <c r="O12" s="3">
        <v>0.11</v>
      </c>
      <c r="Q12" s="3"/>
      <c r="R12" s="3"/>
      <c r="S12" s="3"/>
      <c r="T12" s="3"/>
      <c r="U12" s="3">
        <v>4</v>
      </c>
      <c r="V12" s="3">
        <v>150</v>
      </c>
      <c r="W12" s="3">
        <v>1</v>
      </c>
      <c r="X12" s="3">
        <v>3.3</v>
      </c>
      <c r="Y12" s="3">
        <v>11.15</v>
      </c>
      <c r="Z12" s="3">
        <v>160</v>
      </c>
      <c r="AA12" s="3">
        <v>530</v>
      </c>
      <c r="AB12" s="3">
        <v>0.36</v>
      </c>
      <c r="AC12" s="3">
        <v>1811</v>
      </c>
      <c r="AD12" s="3">
        <v>1.06</v>
      </c>
      <c r="AE12" s="3">
        <v>0.32</v>
      </c>
      <c r="AF12" s="3">
        <v>0.11</v>
      </c>
    </row>
    <row r="13" spans="1:32">
      <c r="A13" s="126">
        <v>3</v>
      </c>
      <c r="B13" s="126" t="s">
        <v>1386</v>
      </c>
      <c r="C13" s="3">
        <v>32.5</v>
      </c>
      <c r="D13" s="3">
        <v>0.55</v>
      </c>
      <c r="E13" s="3">
        <v>1</v>
      </c>
      <c r="F13" s="3">
        <v>20</v>
      </c>
      <c r="G13" s="3">
        <v>1</v>
      </c>
      <c r="H13" s="3">
        <v>2.48</v>
      </c>
      <c r="I13" s="3">
        <v>3.78</v>
      </c>
      <c r="J13" s="3">
        <v>321</v>
      </c>
      <c r="K13" s="3">
        <v>798</v>
      </c>
      <c r="L13" s="3">
        <v>0.54</v>
      </c>
      <c r="M13" s="3">
        <v>1227</v>
      </c>
      <c r="N13" s="3">
        <v>0.72</v>
      </c>
      <c r="O13" s="3">
        <v>0.17</v>
      </c>
      <c r="Q13" s="126">
        <v>3</v>
      </c>
      <c r="R13" s="126" t="s">
        <v>1386</v>
      </c>
      <c r="S13" s="3">
        <v>32.5</v>
      </c>
      <c r="T13" s="3">
        <v>0.55</v>
      </c>
      <c r="U13" s="3">
        <v>1</v>
      </c>
      <c r="V13" s="3">
        <v>20</v>
      </c>
      <c r="W13" s="3">
        <v>1</v>
      </c>
      <c r="X13" s="3">
        <v>2.78</v>
      </c>
      <c r="Y13" s="3">
        <v>4.24</v>
      </c>
      <c r="Z13" s="3">
        <v>290</v>
      </c>
      <c r="AA13" s="3">
        <v>810</v>
      </c>
      <c r="AB13" s="3">
        <v>0.54</v>
      </c>
      <c r="AC13" s="3">
        <v>1245</v>
      </c>
      <c r="AD13" s="3">
        <v>0.73</v>
      </c>
      <c r="AE13" s="3">
        <v>0.58</v>
      </c>
      <c r="AF13" s="3">
        <v>0.17</v>
      </c>
    </row>
    <row r="14" s="121" customFormat="1" spans="1:32">
      <c r="A14" s="127"/>
      <c r="B14" s="127"/>
      <c r="C14" s="7"/>
      <c r="D14" s="7"/>
      <c r="E14" s="7">
        <v>2</v>
      </c>
      <c r="F14" s="7">
        <v>40</v>
      </c>
      <c r="G14" s="7">
        <v>1</v>
      </c>
      <c r="H14" s="7">
        <v>2.53</v>
      </c>
      <c r="I14" s="7">
        <v>4.72</v>
      </c>
      <c r="J14" s="7">
        <v>289</v>
      </c>
      <c r="K14" s="7">
        <v>733</v>
      </c>
      <c r="L14" s="7">
        <v>0.49</v>
      </c>
      <c r="M14" s="7">
        <v>1382</v>
      </c>
      <c r="N14" s="7">
        <v>0.81</v>
      </c>
      <c r="O14" s="7">
        <v>0.15</v>
      </c>
      <c r="Q14" s="127"/>
      <c r="R14" s="127"/>
      <c r="S14" s="7"/>
      <c r="T14" s="7"/>
      <c r="U14" s="7">
        <v>2</v>
      </c>
      <c r="V14" s="7">
        <v>40</v>
      </c>
      <c r="W14" s="7">
        <v>1</v>
      </c>
      <c r="X14" s="7">
        <v>2.92</v>
      </c>
      <c r="Y14" s="7">
        <v>5.44</v>
      </c>
      <c r="Z14" s="7">
        <v>254</v>
      </c>
      <c r="AA14" s="7">
        <v>743</v>
      </c>
      <c r="AB14" s="7">
        <v>0.5</v>
      </c>
      <c r="AC14" s="7">
        <v>1400</v>
      </c>
      <c r="AD14" s="7">
        <v>0.82</v>
      </c>
      <c r="AE14" s="7">
        <v>0.52</v>
      </c>
      <c r="AF14" s="7">
        <v>0.15</v>
      </c>
    </row>
    <row r="15" spans="1:32">
      <c r="A15" s="128"/>
      <c r="B15" s="128"/>
      <c r="C15" s="3"/>
      <c r="D15" s="3"/>
      <c r="E15" s="3">
        <v>3</v>
      </c>
      <c r="F15" s="3">
        <v>80</v>
      </c>
      <c r="G15" s="3">
        <v>1</v>
      </c>
      <c r="H15" s="3">
        <v>2.49</v>
      </c>
      <c r="I15" s="3">
        <v>6.8</v>
      </c>
      <c r="J15" s="3">
        <v>238</v>
      </c>
      <c r="K15" s="3">
        <v>594</v>
      </c>
      <c r="L15" s="3">
        <v>0.4</v>
      </c>
      <c r="M15" s="3">
        <v>1637</v>
      </c>
      <c r="N15" s="3">
        <v>0.96</v>
      </c>
      <c r="O15" s="3">
        <v>0.125</v>
      </c>
      <c r="Q15" s="128"/>
      <c r="R15" s="128"/>
      <c r="S15" s="3"/>
      <c r="T15" s="3"/>
      <c r="U15" s="3">
        <v>3</v>
      </c>
      <c r="V15" s="3">
        <v>80</v>
      </c>
      <c r="W15" s="3">
        <v>1</v>
      </c>
      <c r="X15" s="3">
        <v>2.8</v>
      </c>
      <c r="Y15" s="3">
        <v>7.7</v>
      </c>
      <c r="Z15" s="3">
        <v>212</v>
      </c>
      <c r="AA15" s="3">
        <v>596</v>
      </c>
      <c r="AB15" s="3">
        <v>0.4</v>
      </c>
      <c r="AC15" s="3">
        <v>1654</v>
      </c>
      <c r="AD15" s="3">
        <v>0.97</v>
      </c>
      <c r="AE15" s="3">
        <v>0.43</v>
      </c>
      <c r="AF15" s="3">
        <v>0.125</v>
      </c>
    </row>
    <row r="16" spans="1:32">
      <c r="A16" s="128"/>
      <c r="B16" s="128"/>
      <c r="C16" s="3"/>
      <c r="D16" s="3"/>
      <c r="E16" s="3">
        <v>4</v>
      </c>
      <c r="F16" s="3">
        <v>150</v>
      </c>
      <c r="G16" s="3">
        <v>1</v>
      </c>
      <c r="H16" s="3">
        <v>2.38</v>
      </c>
      <c r="I16" s="3">
        <v>8.55</v>
      </c>
      <c r="J16" s="3">
        <v>208</v>
      </c>
      <c r="K16" s="3">
        <v>498</v>
      </c>
      <c r="L16" s="3">
        <v>0.34</v>
      </c>
      <c r="M16" s="3">
        <v>1803</v>
      </c>
      <c r="N16" s="3">
        <v>1.06</v>
      </c>
      <c r="O16" s="3">
        <v>0.11</v>
      </c>
      <c r="Q16" s="128"/>
      <c r="R16" s="128"/>
      <c r="S16" s="3"/>
      <c r="T16" s="3"/>
      <c r="U16" s="3">
        <v>4</v>
      </c>
      <c r="V16" s="3">
        <v>150</v>
      </c>
      <c r="W16" s="3">
        <v>1</v>
      </c>
      <c r="X16" s="3">
        <v>2.66</v>
      </c>
      <c r="Y16" s="3">
        <v>9.52</v>
      </c>
      <c r="Z16" s="3">
        <v>188</v>
      </c>
      <c r="AA16" s="3">
        <v>503</v>
      </c>
      <c r="AB16" s="3">
        <v>0.34</v>
      </c>
      <c r="AC16" s="3">
        <v>1817</v>
      </c>
      <c r="AD16" s="3">
        <v>1.06</v>
      </c>
      <c r="AE16" s="3">
        <v>0.38</v>
      </c>
      <c r="AF16" s="3">
        <v>0.11</v>
      </c>
    </row>
    <row r="17" spans="1:32">
      <c r="A17" s="128"/>
      <c r="B17" s="128"/>
      <c r="C17" s="3">
        <v>42.5</v>
      </c>
      <c r="D17" s="3">
        <v>0.6</v>
      </c>
      <c r="E17" s="3">
        <v>1</v>
      </c>
      <c r="F17" s="3">
        <v>20</v>
      </c>
      <c r="G17" s="3">
        <v>1</v>
      </c>
      <c r="H17" s="3">
        <v>2.8</v>
      </c>
      <c r="I17" s="3">
        <v>4.08</v>
      </c>
      <c r="J17" s="3">
        <v>294</v>
      </c>
      <c r="K17" s="3">
        <v>827</v>
      </c>
      <c r="L17" s="3">
        <v>0.56</v>
      </c>
      <c r="M17" s="3">
        <v>1218</v>
      </c>
      <c r="N17" s="3">
        <v>0.71</v>
      </c>
      <c r="O17" s="3">
        <v>0.17</v>
      </c>
      <c r="Q17" s="128"/>
      <c r="R17" s="128"/>
      <c r="S17" s="3">
        <v>42.5</v>
      </c>
      <c r="T17" s="3">
        <v>0.6</v>
      </c>
      <c r="U17" s="3">
        <v>1</v>
      </c>
      <c r="V17" s="3">
        <v>20</v>
      </c>
      <c r="W17" s="3">
        <v>1</v>
      </c>
      <c r="X17" s="3">
        <v>3.16</v>
      </c>
      <c r="Y17" s="3">
        <v>4.61</v>
      </c>
      <c r="Z17" s="3">
        <v>264</v>
      </c>
      <c r="AA17" s="3">
        <v>839</v>
      </c>
      <c r="AB17" s="3">
        <v>0.56</v>
      </c>
      <c r="AC17" s="3">
        <v>1235</v>
      </c>
      <c r="AD17" s="3">
        <v>0.72</v>
      </c>
      <c r="AE17" s="3">
        <v>0.53</v>
      </c>
      <c r="AF17" s="3">
        <v>0.17</v>
      </c>
    </row>
    <row r="18" s="121" customFormat="1" spans="1:32">
      <c r="A18" s="127"/>
      <c r="B18" s="127"/>
      <c r="C18" s="7"/>
      <c r="D18" s="7"/>
      <c r="E18" s="7">
        <v>2</v>
      </c>
      <c r="F18" s="7">
        <v>40</v>
      </c>
      <c r="G18" s="7">
        <v>1</v>
      </c>
      <c r="H18" s="7">
        <v>2.89</v>
      </c>
      <c r="I18" s="7">
        <v>5.2</v>
      </c>
      <c r="J18" s="7">
        <v>261</v>
      </c>
      <c r="K18" s="7">
        <v>757</v>
      </c>
      <c r="L18" s="7">
        <v>0.51</v>
      </c>
      <c r="M18" s="7">
        <v>1376</v>
      </c>
      <c r="N18" s="7">
        <v>0.81</v>
      </c>
      <c r="O18" s="7">
        <v>0.15</v>
      </c>
      <c r="Q18" s="127"/>
      <c r="R18" s="127"/>
      <c r="S18" s="7"/>
      <c r="T18" s="7"/>
      <c r="U18" s="7">
        <v>2</v>
      </c>
      <c r="V18" s="7">
        <v>40</v>
      </c>
      <c r="W18" s="7">
        <v>1</v>
      </c>
      <c r="X18" s="7">
        <v>3.26</v>
      </c>
      <c r="Y18" s="7">
        <v>5.86</v>
      </c>
      <c r="Z18" s="7">
        <v>234</v>
      </c>
      <c r="AA18" s="7">
        <v>767</v>
      </c>
      <c r="AB18" s="7">
        <v>0.52</v>
      </c>
      <c r="AC18" s="7">
        <v>1392</v>
      </c>
      <c r="AD18" s="7">
        <v>0.81</v>
      </c>
      <c r="AE18" s="7">
        <v>0.47</v>
      </c>
      <c r="AF18" s="7">
        <v>0.15</v>
      </c>
    </row>
    <row r="19" spans="1:32">
      <c r="A19" s="128"/>
      <c r="B19" s="128"/>
      <c r="C19" s="3"/>
      <c r="D19" s="3"/>
      <c r="E19" s="3">
        <v>3</v>
      </c>
      <c r="F19" s="3">
        <v>80</v>
      </c>
      <c r="G19" s="3">
        <v>1</v>
      </c>
      <c r="H19" s="3">
        <v>2.82</v>
      </c>
      <c r="I19" s="3">
        <v>7.37</v>
      </c>
      <c r="J19" s="3">
        <v>218</v>
      </c>
      <c r="K19" s="3">
        <v>618</v>
      </c>
      <c r="L19" s="3">
        <v>0.42</v>
      </c>
      <c r="M19" s="3">
        <v>1627</v>
      </c>
      <c r="N19" s="3">
        <v>0.95</v>
      </c>
      <c r="O19" s="3">
        <v>0.125</v>
      </c>
      <c r="Q19" s="128"/>
      <c r="R19" s="128"/>
      <c r="S19" s="3"/>
      <c r="T19" s="3"/>
      <c r="U19" s="3">
        <v>3</v>
      </c>
      <c r="V19" s="3">
        <v>80</v>
      </c>
      <c r="W19" s="3">
        <v>1</v>
      </c>
      <c r="X19" s="3">
        <v>3.19</v>
      </c>
      <c r="Y19" s="3">
        <v>8.29</v>
      </c>
      <c r="Z19" s="3">
        <v>195</v>
      </c>
      <c r="AA19" s="3">
        <v>624</v>
      </c>
      <c r="AB19" s="3">
        <v>0.42</v>
      </c>
      <c r="AC19" s="3">
        <v>1641</v>
      </c>
      <c r="AD19" s="3">
        <v>0.96</v>
      </c>
      <c r="AE19" s="3">
        <v>0.39</v>
      </c>
      <c r="AF19" s="3">
        <v>0.125</v>
      </c>
    </row>
    <row r="20" spans="1:32">
      <c r="A20" s="129"/>
      <c r="B20" s="129"/>
      <c r="C20" s="3"/>
      <c r="D20" s="3"/>
      <c r="E20" s="3">
        <v>4</v>
      </c>
      <c r="F20" s="3">
        <v>150</v>
      </c>
      <c r="G20" s="3">
        <v>1</v>
      </c>
      <c r="H20" s="3">
        <v>2.73</v>
      </c>
      <c r="I20" s="3">
        <v>9.29</v>
      </c>
      <c r="J20" s="3">
        <v>191</v>
      </c>
      <c r="K20" s="3">
        <v>522</v>
      </c>
      <c r="L20" s="3">
        <v>0.35</v>
      </c>
      <c r="M20" s="3">
        <v>1791</v>
      </c>
      <c r="N20" s="3">
        <v>1.05</v>
      </c>
      <c r="O20" s="3">
        <v>0.11</v>
      </c>
      <c r="Q20" s="129"/>
      <c r="R20" s="129"/>
      <c r="S20" s="3"/>
      <c r="T20" s="3"/>
      <c r="U20" s="3">
        <v>4</v>
      </c>
      <c r="V20" s="3">
        <v>150</v>
      </c>
      <c r="W20" s="3">
        <v>1</v>
      </c>
      <c r="X20" s="3">
        <v>3.11</v>
      </c>
      <c r="Y20" s="3">
        <v>10.56</v>
      </c>
      <c r="Z20" s="3">
        <v>171</v>
      </c>
      <c r="AA20" s="3">
        <v>527</v>
      </c>
      <c r="AB20" s="3">
        <v>0.36</v>
      </c>
      <c r="AC20" s="3">
        <v>1806</v>
      </c>
      <c r="AD20" s="3">
        <v>1.05</v>
      </c>
      <c r="AE20" s="3">
        <v>0.35</v>
      </c>
      <c r="AF20" s="3">
        <v>0.11</v>
      </c>
    </row>
    <row r="21" spans="1:32">
      <c r="A21" s="126">
        <v>4</v>
      </c>
      <c r="B21" s="126" t="s">
        <v>2700</v>
      </c>
      <c r="C21" s="3">
        <v>32.5</v>
      </c>
      <c r="D21" s="3">
        <v>0.5</v>
      </c>
      <c r="E21" s="3">
        <v>1</v>
      </c>
      <c r="F21" s="3">
        <v>20</v>
      </c>
      <c r="G21" s="3">
        <v>1</v>
      </c>
      <c r="H21" s="3">
        <v>2.1</v>
      </c>
      <c r="I21" s="3">
        <v>3.5</v>
      </c>
      <c r="J21" s="3">
        <v>353</v>
      </c>
      <c r="K21" s="3">
        <v>744</v>
      </c>
      <c r="L21" s="3">
        <v>0.5</v>
      </c>
      <c r="M21" s="3">
        <v>1250</v>
      </c>
      <c r="N21" s="3">
        <v>0.73</v>
      </c>
      <c r="O21" s="3">
        <v>0.17</v>
      </c>
      <c r="Q21" s="126">
        <v>4</v>
      </c>
      <c r="R21" s="126" t="s">
        <v>2700</v>
      </c>
      <c r="S21" s="3">
        <v>32.5</v>
      </c>
      <c r="T21" s="3">
        <v>0.5</v>
      </c>
      <c r="U21" s="3">
        <v>1</v>
      </c>
      <c r="V21" s="3">
        <v>20</v>
      </c>
      <c r="W21" s="3">
        <v>1</v>
      </c>
      <c r="X21" s="3">
        <v>2.36</v>
      </c>
      <c r="Y21" s="3">
        <v>3.92</v>
      </c>
      <c r="Z21" s="3">
        <v>320</v>
      </c>
      <c r="AA21" s="3">
        <v>757</v>
      </c>
      <c r="AB21" s="3">
        <v>0.51</v>
      </c>
      <c r="AC21" s="3">
        <v>1270</v>
      </c>
      <c r="AD21" s="3">
        <v>0.74</v>
      </c>
      <c r="AE21" s="3">
        <v>0.64</v>
      </c>
      <c r="AF21" s="3">
        <v>0.17</v>
      </c>
    </row>
    <row r="22" s="121" customFormat="1" spans="1:32">
      <c r="A22" s="127"/>
      <c r="B22" s="127"/>
      <c r="C22" s="7"/>
      <c r="D22" s="7"/>
      <c r="E22" s="7">
        <v>2</v>
      </c>
      <c r="F22" s="7">
        <v>40</v>
      </c>
      <c r="G22" s="7">
        <v>1</v>
      </c>
      <c r="H22" s="7">
        <v>2.25</v>
      </c>
      <c r="I22" s="7">
        <v>4.43</v>
      </c>
      <c r="J22" s="7">
        <v>310</v>
      </c>
      <c r="K22" s="7">
        <v>699</v>
      </c>
      <c r="L22" s="7">
        <v>0.47</v>
      </c>
      <c r="M22" s="7">
        <v>1389</v>
      </c>
      <c r="N22" s="7">
        <v>0.81</v>
      </c>
      <c r="O22" s="7">
        <v>0.15</v>
      </c>
      <c r="Q22" s="127"/>
      <c r="R22" s="127"/>
      <c r="S22" s="7"/>
      <c r="T22" s="7"/>
      <c r="U22" s="7">
        <v>2</v>
      </c>
      <c r="V22" s="7">
        <v>40</v>
      </c>
      <c r="W22" s="7">
        <v>1</v>
      </c>
      <c r="X22" s="7">
        <v>2.5</v>
      </c>
      <c r="Y22" s="7">
        <v>4.93</v>
      </c>
      <c r="Z22" s="7">
        <v>282</v>
      </c>
      <c r="AA22" s="7">
        <v>709</v>
      </c>
      <c r="AB22" s="7">
        <v>0.48</v>
      </c>
      <c r="AC22" s="7">
        <v>1410</v>
      </c>
      <c r="AD22" s="7">
        <v>0.82</v>
      </c>
      <c r="AE22" s="7">
        <v>0.56</v>
      </c>
      <c r="AF22" s="7">
        <v>0.15</v>
      </c>
    </row>
    <row r="23" spans="1:32">
      <c r="A23" s="128"/>
      <c r="B23" s="128"/>
      <c r="C23" s="3"/>
      <c r="D23" s="3"/>
      <c r="E23" s="3">
        <v>3</v>
      </c>
      <c r="F23" s="3">
        <v>80</v>
      </c>
      <c r="G23" s="3">
        <v>1</v>
      </c>
      <c r="H23" s="3">
        <v>2.16</v>
      </c>
      <c r="I23" s="3">
        <v>6.23</v>
      </c>
      <c r="J23" s="3">
        <v>260</v>
      </c>
      <c r="K23" s="3">
        <v>565</v>
      </c>
      <c r="L23" s="3">
        <v>0.38</v>
      </c>
      <c r="M23" s="3">
        <v>1644</v>
      </c>
      <c r="N23" s="3">
        <v>0.96</v>
      </c>
      <c r="O23" s="3">
        <v>0.125</v>
      </c>
      <c r="Q23" s="128"/>
      <c r="R23" s="128"/>
      <c r="S23" s="3"/>
      <c r="T23" s="3"/>
      <c r="U23" s="3">
        <v>3</v>
      </c>
      <c r="V23" s="3">
        <v>80</v>
      </c>
      <c r="W23" s="3">
        <v>1</v>
      </c>
      <c r="X23" s="3">
        <v>2.44</v>
      </c>
      <c r="Y23" s="3">
        <v>7.02</v>
      </c>
      <c r="Z23" s="3">
        <v>234</v>
      </c>
      <c r="AA23" s="3">
        <v>572</v>
      </c>
      <c r="AB23" s="3">
        <v>0.38</v>
      </c>
      <c r="AC23" s="3">
        <v>1664</v>
      </c>
      <c r="AD23" s="3">
        <v>0.97</v>
      </c>
      <c r="AE23" s="3">
        <v>0.47</v>
      </c>
      <c r="AF23" s="3">
        <v>0.125</v>
      </c>
    </row>
    <row r="24" spans="1:32">
      <c r="A24" s="128"/>
      <c r="B24" s="128"/>
      <c r="C24" s="3"/>
      <c r="D24" s="3"/>
      <c r="E24" s="3">
        <v>4</v>
      </c>
      <c r="F24" s="3">
        <v>150</v>
      </c>
      <c r="G24" s="3">
        <v>1</v>
      </c>
      <c r="H24" s="3">
        <v>2.04</v>
      </c>
      <c r="I24" s="3">
        <v>7.78</v>
      </c>
      <c r="J24" s="3">
        <v>230</v>
      </c>
      <c r="K24" s="3">
        <v>471</v>
      </c>
      <c r="L24" s="3">
        <v>0.32</v>
      </c>
      <c r="M24" s="3">
        <v>1812</v>
      </c>
      <c r="N24" s="3">
        <v>1.06</v>
      </c>
      <c r="O24" s="3">
        <v>0.11</v>
      </c>
      <c r="Q24" s="128"/>
      <c r="R24" s="128"/>
      <c r="S24" s="3"/>
      <c r="T24" s="3"/>
      <c r="U24" s="3">
        <v>4</v>
      </c>
      <c r="V24" s="3">
        <v>150</v>
      </c>
      <c r="W24" s="3">
        <v>1</v>
      </c>
      <c r="X24" s="3">
        <v>2.27</v>
      </c>
      <c r="Y24" s="3">
        <v>8.74</v>
      </c>
      <c r="Z24" s="3">
        <v>207</v>
      </c>
      <c r="AA24" s="3">
        <v>479</v>
      </c>
      <c r="AB24" s="3">
        <v>0.32</v>
      </c>
      <c r="AC24" s="3">
        <v>1831</v>
      </c>
      <c r="AD24" s="3">
        <v>1.07</v>
      </c>
      <c r="AE24" s="3">
        <v>0.42</v>
      </c>
      <c r="AF24" s="3">
        <v>0.11</v>
      </c>
    </row>
    <row r="25" spans="1:32">
      <c r="A25" s="128"/>
      <c r="B25" s="128"/>
      <c r="C25" s="3">
        <v>42.5</v>
      </c>
      <c r="D25" s="3">
        <v>0.55</v>
      </c>
      <c r="E25" s="3">
        <v>1</v>
      </c>
      <c r="F25" s="3">
        <v>20</v>
      </c>
      <c r="G25" s="3">
        <v>1</v>
      </c>
      <c r="H25" s="3">
        <v>2.48</v>
      </c>
      <c r="I25" s="3">
        <v>3.78</v>
      </c>
      <c r="J25" s="3">
        <v>321</v>
      </c>
      <c r="K25" s="3">
        <v>798</v>
      </c>
      <c r="L25" s="3">
        <v>0.54</v>
      </c>
      <c r="M25" s="3">
        <v>1227</v>
      </c>
      <c r="N25" s="3">
        <v>0.72</v>
      </c>
      <c r="O25" s="3">
        <v>0.17</v>
      </c>
      <c r="Q25" s="128"/>
      <c r="R25" s="128"/>
      <c r="S25" s="3">
        <v>42.5</v>
      </c>
      <c r="T25" s="3">
        <v>0.55</v>
      </c>
      <c r="U25" s="3">
        <v>1</v>
      </c>
      <c r="V25" s="3">
        <v>20</v>
      </c>
      <c r="W25" s="3">
        <v>1</v>
      </c>
      <c r="X25" s="3">
        <v>2.78</v>
      </c>
      <c r="Y25" s="3">
        <v>4.24</v>
      </c>
      <c r="Z25" s="3">
        <v>290</v>
      </c>
      <c r="AA25" s="3">
        <v>810</v>
      </c>
      <c r="AB25" s="3">
        <v>0.54</v>
      </c>
      <c r="AC25" s="3">
        <v>1245</v>
      </c>
      <c r="AD25" s="3">
        <v>0.73</v>
      </c>
      <c r="AE25" s="3">
        <v>0.58</v>
      </c>
      <c r="AF25" s="3">
        <v>0.17</v>
      </c>
    </row>
    <row r="26" s="121" customFormat="1" spans="1:32">
      <c r="A26" s="127"/>
      <c r="B26" s="127"/>
      <c r="C26" s="7"/>
      <c r="D26" s="7"/>
      <c r="E26" s="7">
        <v>2</v>
      </c>
      <c r="F26" s="7">
        <v>40</v>
      </c>
      <c r="G26" s="7">
        <v>1</v>
      </c>
      <c r="H26" s="7">
        <v>2.53</v>
      </c>
      <c r="I26" s="7">
        <v>4.72</v>
      </c>
      <c r="J26" s="7">
        <v>289</v>
      </c>
      <c r="K26" s="7">
        <v>733</v>
      </c>
      <c r="L26" s="7">
        <v>0.49</v>
      </c>
      <c r="M26" s="7">
        <v>1382</v>
      </c>
      <c r="N26" s="7">
        <v>0.81</v>
      </c>
      <c r="O26" s="7">
        <v>0.15</v>
      </c>
      <c r="Q26" s="127"/>
      <c r="R26" s="127"/>
      <c r="S26" s="7"/>
      <c r="T26" s="7"/>
      <c r="U26" s="7">
        <v>2</v>
      </c>
      <c r="V26" s="7">
        <v>40</v>
      </c>
      <c r="W26" s="7">
        <v>1</v>
      </c>
      <c r="X26" s="7">
        <v>2.92</v>
      </c>
      <c r="Y26" s="7">
        <v>5.44</v>
      </c>
      <c r="Z26" s="7">
        <v>254</v>
      </c>
      <c r="AA26" s="7">
        <v>743</v>
      </c>
      <c r="AB26" s="7">
        <v>0.5</v>
      </c>
      <c r="AC26" s="7">
        <v>1400</v>
      </c>
      <c r="AD26" s="7">
        <v>0.82</v>
      </c>
      <c r="AE26" s="7">
        <v>0.52</v>
      </c>
      <c r="AF26" s="7">
        <v>0.15</v>
      </c>
    </row>
    <row r="27" spans="1:32">
      <c r="A27" s="128"/>
      <c r="B27" s="128"/>
      <c r="C27" s="3"/>
      <c r="D27" s="3"/>
      <c r="E27" s="3">
        <v>3</v>
      </c>
      <c r="F27" s="3">
        <v>80</v>
      </c>
      <c r="G27" s="3">
        <v>1</v>
      </c>
      <c r="H27" s="3">
        <v>2.49</v>
      </c>
      <c r="I27" s="3">
        <v>6.8</v>
      </c>
      <c r="J27" s="3">
        <v>238</v>
      </c>
      <c r="K27" s="3">
        <v>594</v>
      </c>
      <c r="L27" s="3">
        <v>0.4</v>
      </c>
      <c r="M27" s="3">
        <v>1637</v>
      </c>
      <c r="N27" s="3">
        <v>0.96</v>
      </c>
      <c r="O27" s="3">
        <v>0.125</v>
      </c>
      <c r="Q27" s="128"/>
      <c r="R27" s="128"/>
      <c r="S27" s="3"/>
      <c r="T27" s="3"/>
      <c r="U27" s="3">
        <v>3</v>
      </c>
      <c r="V27" s="3">
        <v>80</v>
      </c>
      <c r="W27" s="3">
        <v>1</v>
      </c>
      <c r="X27" s="3">
        <v>2.8</v>
      </c>
      <c r="Y27" s="3">
        <v>7.7</v>
      </c>
      <c r="Z27" s="3">
        <v>212</v>
      </c>
      <c r="AA27" s="3">
        <v>596</v>
      </c>
      <c r="AB27" s="3">
        <v>0.4</v>
      </c>
      <c r="AC27" s="3">
        <v>1654</v>
      </c>
      <c r="AD27" s="3">
        <v>0.97</v>
      </c>
      <c r="AE27" s="3">
        <v>0.43</v>
      </c>
      <c r="AF27" s="3">
        <v>0.125</v>
      </c>
    </row>
    <row r="28" spans="1:32">
      <c r="A28" s="129"/>
      <c r="B28" s="129"/>
      <c r="C28" s="3"/>
      <c r="D28" s="3"/>
      <c r="E28" s="3">
        <v>4</v>
      </c>
      <c r="F28" s="3">
        <v>150</v>
      </c>
      <c r="G28" s="3">
        <v>1</v>
      </c>
      <c r="H28" s="3">
        <v>2.38</v>
      </c>
      <c r="I28" s="3">
        <v>8.55</v>
      </c>
      <c r="J28" s="3">
        <v>208</v>
      </c>
      <c r="K28" s="3">
        <v>498</v>
      </c>
      <c r="L28" s="3">
        <v>0.34</v>
      </c>
      <c r="M28" s="3">
        <v>1803</v>
      </c>
      <c r="N28" s="3">
        <v>1.06</v>
      </c>
      <c r="O28" s="3">
        <v>0.11</v>
      </c>
      <c r="Q28" s="129"/>
      <c r="R28" s="129"/>
      <c r="S28" s="3"/>
      <c r="T28" s="3"/>
      <c r="U28" s="3">
        <v>4</v>
      </c>
      <c r="V28" s="3">
        <v>150</v>
      </c>
      <c r="W28" s="3">
        <v>1</v>
      </c>
      <c r="X28" s="3">
        <v>2.66</v>
      </c>
      <c r="Y28" s="3">
        <v>9.52</v>
      </c>
      <c r="Z28" s="3">
        <v>188</v>
      </c>
      <c r="AA28" s="3">
        <v>503</v>
      </c>
      <c r="AB28" s="3">
        <v>0.34</v>
      </c>
      <c r="AC28" s="3">
        <v>1817</v>
      </c>
      <c r="AD28" s="3">
        <v>1.06</v>
      </c>
      <c r="AE28" s="3">
        <v>0.38</v>
      </c>
      <c r="AF28" s="3">
        <v>0.11</v>
      </c>
    </row>
    <row r="29" spans="1:32">
      <c r="A29" s="126">
        <v>5</v>
      </c>
      <c r="B29" s="126" t="s">
        <v>2701</v>
      </c>
      <c r="C29" s="3">
        <v>32.5</v>
      </c>
      <c r="D29" s="3">
        <v>0.45</v>
      </c>
      <c r="E29" s="3">
        <v>1</v>
      </c>
      <c r="F29" s="3">
        <v>20</v>
      </c>
      <c r="G29" s="3">
        <v>1</v>
      </c>
      <c r="H29" s="3">
        <v>1.85</v>
      </c>
      <c r="I29" s="3">
        <v>3.14</v>
      </c>
      <c r="J29" s="3">
        <v>389</v>
      </c>
      <c r="K29" s="3">
        <v>723</v>
      </c>
      <c r="L29" s="3">
        <v>0.48</v>
      </c>
      <c r="M29" s="3">
        <v>1242</v>
      </c>
      <c r="N29" s="3">
        <v>0.73</v>
      </c>
      <c r="O29" s="3">
        <v>0.17</v>
      </c>
      <c r="Q29" s="126">
        <v>5</v>
      </c>
      <c r="R29" s="126" t="s">
        <v>2701</v>
      </c>
      <c r="S29" s="3">
        <v>32.5</v>
      </c>
      <c r="T29" s="3">
        <v>0.45</v>
      </c>
      <c r="U29" s="3">
        <v>1</v>
      </c>
      <c r="V29" s="3">
        <v>20</v>
      </c>
      <c r="W29" s="3">
        <v>1</v>
      </c>
      <c r="X29" s="3">
        <v>2.12</v>
      </c>
      <c r="Y29" s="3">
        <v>3.62</v>
      </c>
      <c r="Z29" s="3">
        <v>348</v>
      </c>
      <c r="AA29" s="3">
        <v>736</v>
      </c>
      <c r="AB29" s="3">
        <v>0.49</v>
      </c>
      <c r="AC29" s="3">
        <v>1269</v>
      </c>
      <c r="AD29" s="3">
        <v>0.74</v>
      </c>
      <c r="AE29" s="3">
        <v>0.71</v>
      </c>
      <c r="AF29" s="3">
        <v>0.17</v>
      </c>
    </row>
    <row r="30" s="121" customFormat="1" spans="1:32">
      <c r="A30" s="127"/>
      <c r="B30" s="127"/>
      <c r="C30" s="7"/>
      <c r="D30" s="7"/>
      <c r="E30" s="7">
        <v>2</v>
      </c>
      <c r="F30" s="7">
        <v>40</v>
      </c>
      <c r="G30" s="7">
        <v>1</v>
      </c>
      <c r="H30" s="7">
        <v>1.97</v>
      </c>
      <c r="I30" s="7">
        <v>3.98</v>
      </c>
      <c r="J30" s="7">
        <v>343</v>
      </c>
      <c r="K30" s="7">
        <v>678</v>
      </c>
      <c r="L30" s="7">
        <v>0.45</v>
      </c>
      <c r="M30" s="7">
        <v>1387</v>
      </c>
      <c r="N30" s="7">
        <v>0.81</v>
      </c>
      <c r="O30" s="7">
        <v>0.15</v>
      </c>
      <c r="Q30" s="127"/>
      <c r="R30" s="127"/>
      <c r="S30" s="7"/>
      <c r="T30" s="7"/>
      <c r="U30" s="7">
        <v>2</v>
      </c>
      <c r="V30" s="7">
        <v>40</v>
      </c>
      <c r="W30" s="7">
        <v>1</v>
      </c>
      <c r="X30" s="7">
        <v>2.23</v>
      </c>
      <c r="Y30" s="7">
        <v>4.53</v>
      </c>
      <c r="Z30" s="7">
        <v>307</v>
      </c>
      <c r="AA30" s="7">
        <v>689</v>
      </c>
      <c r="AB30" s="7">
        <v>0.46</v>
      </c>
      <c r="AC30" s="7">
        <v>1411</v>
      </c>
      <c r="AD30" s="7">
        <v>0.83</v>
      </c>
      <c r="AE30" s="7">
        <v>0.62</v>
      </c>
      <c r="AF30" s="7">
        <v>0.15</v>
      </c>
    </row>
    <row r="31" spans="1:32">
      <c r="A31" s="128"/>
      <c r="B31" s="128"/>
      <c r="C31" s="3"/>
      <c r="D31" s="3"/>
      <c r="E31" s="3">
        <v>3</v>
      </c>
      <c r="F31" s="3">
        <v>80</v>
      </c>
      <c r="G31" s="3">
        <v>1</v>
      </c>
      <c r="H31" s="3">
        <v>1.88</v>
      </c>
      <c r="I31" s="3">
        <v>5.64</v>
      </c>
      <c r="J31" s="3">
        <v>288</v>
      </c>
      <c r="K31" s="3">
        <v>542</v>
      </c>
      <c r="L31" s="3">
        <v>0.36</v>
      </c>
      <c r="M31" s="3">
        <v>1645</v>
      </c>
      <c r="N31" s="3">
        <v>0.96</v>
      </c>
      <c r="O31" s="3">
        <v>0.125</v>
      </c>
      <c r="Q31" s="128"/>
      <c r="R31" s="128"/>
      <c r="S31" s="3"/>
      <c r="T31" s="3"/>
      <c r="U31" s="3">
        <v>3</v>
      </c>
      <c r="V31" s="3">
        <v>80</v>
      </c>
      <c r="W31" s="3">
        <v>1</v>
      </c>
      <c r="X31" s="3">
        <v>2.13</v>
      </c>
      <c r="Y31" s="3">
        <v>6.39</v>
      </c>
      <c r="Z31" s="3">
        <v>257</v>
      </c>
      <c r="AA31" s="3">
        <v>549</v>
      </c>
      <c r="AB31" s="3">
        <v>0.37</v>
      </c>
      <c r="AC31" s="3">
        <v>1667</v>
      </c>
      <c r="AD31" s="3">
        <v>0.97</v>
      </c>
      <c r="AE31" s="3">
        <v>0.52</v>
      </c>
      <c r="AF31" s="3">
        <v>0.125</v>
      </c>
    </row>
    <row r="32" spans="1:32">
      <c r="A32" s="128"/>
      <c r="B32" s="128"/>
      <c r="C32" s="3"/>
      <c r="D32" s="3"/>
      <c r="E32" s="3">
        <v>4</v>
      </c>
      <c r="F32" s="3">
        <v>150</v>
      </c>
      <c r="G32" s="3">
        <v>1</v>
      </c>
      <c r="H32" s="3">
        <v>1.77</v>
      </c>
      <c r="I32" s="3">
        <v>7.09</v>
      </c>
      <c r="J32" s="3">
        <v>253</v>
      </c>
      <c r="K32" s="3">
        <v>448</v>
      </c>
      <c r="L32" s="3">
        <v>0.3</v>
      </c>
      <c r="M32" s="3">
        <v>1817</v>
      </c>
      <c r="N32" s="3">
        <v>1.06</v>
      </c>
      <c r="O32" s="3">
        <v>0.11</v>
      </c>
      <c r="Q32" s="128"/>
      <c r="R32" s="128"/>
      <c r="S32" s="3"/>
      <c r="T32" s="3"/>
      <c r="U32" s="3">
        <v>4</v>
      </c>
      <c r="V32" s="3">
        <v>150</v>
      </c>
      <c r="W32" s="3">
        <v>1</v>
      </c>
      <c r="X32" s="3">
        <v>2</v>
      </c>
      <c r="Y32" s="3">
        <v>8.04</v>
      </c>
      <c r="Z32" s="3">
        <v>225</v>
      </c>
      <c r="AA32" s="3">
        <v>453</v>
      </c>
      <c r="AB32" s="3">
        <v>0.3</v>
      </c>
      <c r="AC32" s="3">
        <v>1837</v>
      </c>
      <c r="AD32" s="3">
        <v>1.07</v>
      </c>
      <c r="AE32" s="3">
        <v>0.46</v>
      </c>
      <c r="AF32" s="3">
        <v>0.11</v>
      </c>
    </row>
    <row r="33" spans="1:32">
      <c r="A33" s="128"/>
      <c r="B33" s="128"/>
      <c r="C33" s="3">
        <v>42.5</v>
      </c>
      <c r="D33" s="3">
        <v>0.5</v>
      </c>
      <c r="E33" s="3">
        <v>1</v>
      </c>
      <c r="F33" s="3">
        <v>20</v>
      </c>
      <c r="G33" s="3">
        <v>1</v>
      </c>
      <c r="H33" s="3">
        <v>2.1</v>
      </c>
      <c r="I33" s="3">
        <v>3.5</v>
      </c>
      <c r="J33" s="3">
        <v>353</v>
      </c>
      <c r="K33" s="3">
        <v>744</v>
      </c>
      <c r="L33" s="3">
        <v>0.5</v>
      </c>
      <c r="M33" s="3">
        <v>1250</v>
      </c>
      <c r="N33" s="3">
        <v>0.73</v>
      </c>
      <c r="O33" s="3">
        <v>0.17</v>
      </c>
      <c r="Q33" s="128"/>
      <c r="R33" s="128"/>
      <c r="S33" s="3">
        <v>42.5</v>
      </c>
      <c r="T33" s="3">
        <v>0.5</v>
      </c>
      <c r="U33" s="3">
        <v>1</v>
      </c>
      <c r="V33" s="3">
        <v>20</v>
      </c>
      <c r="W33" s="3">
        <v>1</v>
      </c>
      <c r="X33" s="3">
        <v>2.36</v>
      </c>
      <c r="Y33" s="3">
        <v>3.92</v>
      </c>
      <c r="Z33" s="3">
        <v>320</v>
      </c>
      <c r="AA33" s="3">
        <v>757</v>
      </c>
      <c r="AB33" s="3">
        <v>0.51</v>
      </c>
      <c r="AC33" s="3">
        <v>1270</v>
      </c>
      <c r="AD33" s="3">
        <v>0.74</v>
      </c>
      <c r="AE33" s="3">
        <v>0.64</v>
      </c>
      <c r="AF33" s="3">
        <v>0.17</v>
      </c>
    </row>
    <row r="34" s="121" customFormat="1" spans="1:32">
      <c r="A34" s="127"/>
      <c r="B34" s="127"/>
      <c r="C34" s="7"/>
      <c r="D34" s="7"/>
      <c r="E34" s="7">
        <v>2</v>
      </c>
      <c r="F34" s="7">
        <v>40</v>
      </c>
      <c r="G34" s="7">
        <v>1</v>
      </c>
      <c r="H34" s="7">
        <v>2.25</v>
      </c>
      <c r="I34" s="7">
        <v>4.43</v>
      </c>
      <c r="J34" s="7">
        <v>310</v>
      </c>
      <c r="K34" s="7">
        <v>699</v>
      </c>
      <c r="L34" s="7">
        <v>0.47</v>
      </c>
      <c r="M34" s="7">
        <v>1389</v>
      </c>
      <c r="N34" s="7">
        <v>0.81</v>
      </c>
      <c r="O34" s="7">
        <v>0.15</v>
      </c>
      <c r="Q34" s="127"/>
      <c r="R34" s="127"/>
      <c r="S34" s="7"/>
      <c r="T34" s="7"/>
      <c r="U34" s="7">
        <v>2</v>
      </c>
      <c r="V34" s="7">
        <v>40</v>
      </c>
      <c r="W34" s="7">
        <v>1</v>
      </c>
      <c r="X34" s="7">
        <v>2.5</v>
      </c>
      <c r="Y34" s="7">
        <v>4.93</v>
      </c>
      <c r="Z34" s="7">
        <v>282</v>
      </c>
      <c r="AA34" s="7">
        <v>709</v>
      </c>
      <c r="AB34" s="7">
        <v>0.48</v>
      </c>
      <c r="AC34" s="7">
        <v>1410</v>
      </c>
      <c r="AD34" s="7">
        <v>0.82</v>
      </c>
      <c r="AE34" s="7">
        <v>0.56</v>
      </c>
      <c r="AF34" s="7">
        <v>0.15</v>
      </c>
    </row>
    <row r="35" spans="1:32">
      <c r="A35" s="128"/>
      <c r="B35" s="128"/>
      <c r="C35" s="3"/>
      <c r="D35" s="3"/>
      <c r="E35" s="3">
        <v>3</v>
      </c>
      <c r="F35" s="3">
        <v>80</v>
      </c>
      <c r="G35" s="3">
        <v>1</v>
      </c>
      <c r="H35" s="3">
        <v>2.16</v>
      </c>
      <c r="I35" s="3">
        <v>6.23</v>
      </c>
      <c r="J35" s="3">
        <v>260</v>
      </c>
      <c r="K35" s="3">
        <v>565</v>
      </c>
      <c r="L35" s="3">
        <v>0.38</v>
      </c>
      <c r="M35" s="3">
        <v>1644</v>
      </c>
      <c r="N35" s="3">
        <v>0.96</v>
      </c>
      <c r="O35" s="3">
        <v>0.125</v>
      </c>
      <c r="Q35" s="128"/>
      <c r="R35" s="128"/>
      <c r="S35" s="3"/>
      <c r="T35" s="3"/>
      <c r="U35" s="3">
        <v>3</v>
      </c>
      <c r="V35" s="3">
        <v>80</v>
      </c>
      <c r="W35" s="3">
        <v>1</v>
      </c>
      <c r="X35" s="3">
        <v>2.44</v>
      </c>
      <c r="Y35" s="3">
        <v>7.02</v>
      </c>
      <c r="Z35" s="3">
        <v>234</v>
      </c>
      <c r="AA35" s="3">
        <v>572</v>
      </c>
      <c r="AB35" s="3">
        <v>0.38</v>
      </c>
      <c r="AC35" s="3">
        <v>1664</v>
      </c>
      <c r="AD35" s="3">
        <v>0.97</v>
      </c>
      <c r="AE35" s="3">
        <v>0.47</v>
      </c>
      <c r="AF35" s="3">
        <v>0.125</v>
      </c>
    </row>
    <row r="36" spans="1:32">
      <c r="A36" s="129"/>
      <c r="B36" s="129"/>
      <c r="C36" s="3"/>
      <c r="D36" s="3"/>
      <c r="E36" s="3">
        <v>4</v>
      </c>
      <c r="F36" s="3">
        <v>150</v>
      </c>
      <c r="G36" s="3">
        <v>1</v>
      </c>
      <c r="H36" s="3">
        <v>2.04</v>
      </c>
      <c r="I36" s="3">
        <v>7.78</v>
      </c>
      <c r="J36" s="3">
        <v>230</v>
      </c>
      <c r="K36" s="3">
        <v>471</v>
      </c>
      <c r="L36" s="3">
        <v>0.32</v>
      </c>
      <c r="M36" s="3">
        <v>1812</v>
      </c>
      <c r="N36" s="3">
        <v>1.06</v>
      </c>
      <c r="O36" s="3">
        <v>0.11</v>
      </c>
      <c r="Q36" s="129"/>
      <c r="R36" s="129"/>
      <c r="S36" s="3"/>
      <c r="T36" s="3"/>
      <c r="U36" s="3">
        <v>4</v>
      </c>
      <c r="V36" s="3">
        <v>150</v>
      </c>
      <c r="W36" s="3">
        <v>1</v>
      </c>
      <c r="X36" s="3">
        <v>2.27</v>
      </c>
      <c r="Y36" s="3">
        <v>8.74</v>
      </c>
      <c r="Z36" s="3">
        <v>207</v>
      </c>
      <c r="AA36" s="3">
        <v>479</v>
      </c>
      <c r="AB36" s="3">
        <v>0.32</v>
      </c>
      <c r="AC36" s="3">
        <v>1831</v>
      </c>
      <c r="AD36" s="3">
        <v>1.07</v>
      </c>
      <c r="AE36" s="3">
        <v>0.42</v>
      </c>
      <c r="AF36" s="3">
        <v>0.11</v>
      </c>
    </row>
    <row r="37" spans="1:32">
      <c r="A37" s="126">
        <v>6</v>
      </c>
      <c r="B37" s="126" t="s">
        <v>2679</v>
      </c>
      <c r="C37" s="3">
        <v>32.5</v>
      </c>
      <c r="D37" s="3">
        <v>0.4</v>
      </c>
      <c r="E37" s="3">
        <v>1</v>
      </c>
      <c r="F37" s="3">
        <v>20</v>
      </c>
      <c r="G37" s="3">
        <v>1</v>
      </c>
      <c r="H37" s="3">
        <v>1.57</v>
      </c>
      <c r="I37" s="3">
        <v>2.8</v>
      </c>
      <c r="J37" s="3">
        <v>436</v>
      </c>
      <c r="K37" s="3">
        <v>689</v>
      </c>
      <c r="L37" s="3">
        <v>0.46</v>
      </c>
      <c r="M37" s="3">
        <v>1237</v>
      </c>
      <c r="N37" s="3">
        <v>0.72</v>
      </c>
      <c r="O37" s="3">
        <v>0.17</v>
      </c>
      <c r="Q37" s="126">
        <v>6</v>
      </c>
      <c r="R37" s="126" t="s">
        <v>2679</v>
      </c>
      <c r="S37" s="3">
        <v>32.5</v>
      </c>
      <c r="T37" s="3">
        <v>0.4</v>
      </c>
      <c r="U37" s="3">
        <v>1</v>
      </c>
      <c r="V37" s="3">
        <v>20</v>
      </c>
      <c r="W37" s="3">
        <v>1</v>
      </c>
      <c r="X37" s="3">
        <v>1.79</v>
      </c>
      <c r="Y37" s="3">
        <v>3.18</v>
      </c>
      <c r="Z37" s="3">
        <v>392</v>
      </c>
      <c r="AA37" s="3">
        <v>705</v>
      </c>
      <c r="AB37" s="3">
        <v>0.47</v>
      </c>
      <c r="AC37" s="3">
        <v>1265</v>
      </c>
      <c r="AD37" s="3">
        <v>0.74</v>
      </c>
      <c r="AE37" s="3">
        <v>0.78</v>
      </c>
      <c r="AF37" s="3">
        <v>0.17</v>
      </c>
    </row>
    <row r="38" s="121" customFormat="1" spans="1:32">
      <c r="A38" s="127"/>
      <c r="B38" s="127"/>
      <c r="C38" s="7"/>
      <c r="D38" s="7"/>
      <c r="E38" s="7">
        <v>2</v>
      </c>
      <c r="F38" s="7">
        <v>40</v>
      </c>
      <c r="G38" s="7">
        <v>1</v>
      </c>
      <c r="H38" s="7">
        <v>1.77</v>
      </c>
      <c r="I38" s="7">
        <v>3.44</v>
      </c>
      <c r="J38" s="7">
        <v>384</v>
      </c>
      <c r="K38" s="7">
        <v>685</v>
      </c>
      <c r="L38" s="7">
        <v>0.46</v>
      </c>
      <c r="M38" s="7">
        <v>1343</v>
      </c>
      <c r="N38" s="7">
        <v>0.79</v>
      </c>
      <c r="O38" s="7">
        <v>0.15</v>
      </c>
      <c r="Q38" s="127"/>
      <c r="R38" s="127"/>
      <c r="S38" s="7"/>
      <c r="T38" s="7"/>
      <c r="U38" s="7">
        <v>2</v>
      </c>
      <c r="V38" s="7">
        <v>40</v>
      </c>
      <c r="W38" s="7">
        <v>1</v>
      </c>
      <c r="X38" s="7">
        <v>2.01</v>
      </c>
      <c r="Y38" s="7">
        <v>3.9</v>
      </c>
      <c r="Z38" s="7">
        <v>346</v>
      </c>
      <c r="AA38" s="7">
        <v>698</v>
      </c>
      <c r="AB38" s="7">
        <v>0.47</v>
      </c>
      <c r="AC38" s="7">
        <v>1368</v>
      </c>
      <c r="AD38" s="7">
        <v>0.8</v>
      </c>
      <c r="AE38" s="7">
        <v>0.69</v>
      </c>
      <c r="AF38" s="7">
        <v>0.15</v>
      </c>
    </row>
    <row r="39" spans="1:32">
      <c r="A39" s="128"/>
      <c r="B39" s="128"/>
      <c r="C39" s="3"/>
      <c r="D39" s="3"/>
      <c r="E39" s="3">
        <v>3</v>
      </c>
      <c r="F39" s="3">
        <v>80</v>
      </c>
      <c r="G39" s="3">
        <v>1</v>
      </c>
      <c r="H39" s="3">
        <v>1.53</v>
      </c>
      <c r="I39" s="3">
        <v>5.12</v>
      </c>
      <c r="J39" s="3">
        <v>321</v>
      </c>
      <c r="K39" s="3">
        <v>493</v>
      </c>
      <c r="L39" s="3">
        <v>0.33</v>
      </c>
      <c r="M39" s="3">
        <v>1666</v>
      </c>
      <c r="N39" s="3">
        <v>0.97</v>
      </c>
      <c r="O39" s="3">
        <v>0.125</v>
      </c>
      <c r="Q39" s="128"/>
      <c r="R39" s="128"/>
      <c r="S39" s="3"/>
      <c r="T39" s="3"/>
      <c r="U39" s="3">
        <v>3</v>
      </c>
      <c r="V39" s="3">
        <v>80</v>
      </c>
      <c r="W39" s="3">
        <v>1</v>
      </c>
      <c r="X39" s="3">
        <v>1.72</v>
      </c>
      <c r="Y39" s="3">
        <v>5.77</v>
      </c>
      <c r="Z39" s="3">
        <v>289</v>
      </c>
      <c r="AA39" s="3">
        <v>500</v>
      </c>
      <c r="AB39" s="3">
        <v>0.33</v>
      </c>
      <c r="AC39" s="3">
        <v>1691</v>
      </c>
      <c r="AD39" s="3">
        <v>0.99</v>
      </c>
      <c r="AE39" s="3">
        <v>0.58</v>
      </c>
      <c r="AF39" s="3">
        <v>0.125</v>
      </c>
    </row>
    <row r="40" spans="1:32">
      <c r="A40" s="128"/>
      <c r="B40" s="128"/>
      <c r="C40" s="3"/>
      <c r="D40" s="3"/>
      <c r="E40" s="3">
        <v>4</v>
      </c>
      <c r="F40" s="3">
        <v>150</v>
      </c>
      <c r="G40" s="3">
        <v>1</v>
      </c>
      <c r="H40" s="3">
        <v>1.49</v>
      </c>
      <c r="I40" s="3">
        <v>6.35</v>
      </c>
      <c r="J40" s="3">
        <v>282</v>
      </c>
      <c r="K40" s="3">
        <v>422</v>
      </c>
      <c r="L40" s="3">
        <v>0.28</v>
      </c>
      <c r="M40" s="3">
        <v>1816</v>
      </c>
      <c r="N40" s="3">
        <v>1.06</v>
      </c>
      <c r="O40" s="3">
        <v>0.11</v>
      </c>
      <c r="Q40" s="128"/>
      <c r="R40" s="128"/>
      <c r="S40" s="3"/>
      <c r="T40" s="3"/>
      <c r="U40" s="3">
        <v>4</v>
      </c>
      <c r="V40" s="3">
        <v>150</v>
      </c>
      <c r="W40" s="3">
        <v>1</v>
      </c>
      <c r="X40" s="3">
        <v>1.68</v>
      </c>
      <c r="Y40" s="3">
        <v>7.17</v>
      </c>
      <c r="Z40" s="3">
        <v>254</v>
      </c>
      <c r="AA40" s="3">
        <v>427</v>
      </c>
      <c r="AB40" s="3">
        <v>0.28</v>
      </c>
      <c r="AC40" s="3">
        <v>1839</v>
      </c>
      <c r="AD40" s="3">
        <v>1.08</v>
      </c>
      <c r="AE40" s="3">
        <v>0.51</v>
      </c>
      <c r="AF40" s="3">
        <v>0.11</v>
      </c>
    </row>
    <row r="41" spans="1:32">
      <c r="A41" s="128"/>
      <c r="B41" s="128"/>
      <c r="C41" s="3">
        <v>42.5</v>
      </c>
      <c r="D41" s="3">
        <v>0.45</v>
      </c>
      <c r="E41" s="3">
        <v>1</v>
      </c>
      <c r="F41" s="3">
        <v>20</v>
      </c>
      <c r="G41" s="3">
        <v>1</v>
      </c>
      <c r="H41" s="3">
        <v>1.85</v>
      </c>
      <c r="I41" s="3">
        <v>3.14</v>
      </c>
      <c r="J41" s="3">
        <v>389</v>
      </c>
      <c r="K41" s="3">
        <v>723</v>
      </c>
      <c r="L41" s="3">
        <v>0.48</v>
      </c>
      <c r="M41" s="3">
        <v>1242</v>
      </c>
      <c r="N41" s="3">
        <v>0.73</v>
      </c>
      <c r="O41" s="3">
        <v>0.17</v>
      </c>
      <c r="Q41" s="128"/>
      <c r="R41" s="128"/>
      <c r="S41" s="3">
        <v>42.5</v>
      </c>
      <c r="T41" s="3">
        <v>0.45</v>
      </c>
      <c r="U41" s="3">
        <v>1</v>
      </c>
      <c r="V41" s="3">
        <v>20</v>
      </c>
      <c r="W41" s="3">
        <v>1</v>
      </c>
      <c r="X41" s="3">
        <v>2.12</v>
      </c>
      <c r="Y41" s="3">
        <v>3.62</v>
      </c>
      <c r="Z41" s="3">
        <v>348</v>
      </c>
      <c r="AA41" s="3">
        <v>736</v>
      </c>
      <c r="AB41" s="3">
        <v>0.49</v>
      </c>
      <c r="AC41" s="3">
        <v>1269</v>
      </c>
      <c r="AD41" s="3">
        <v>0.74</v>
      </c>
      <c r="AE41" s="3">
        <v>0.71</v>
      </c>
      <c r="AF41" s="3">
        <v>0.17</v>
      </c>
    </row>
    <row r="42" s="121" customFormat="1" spans="1:32">
      <c r="A42" s="127"/>
      <c r="B42" s="127"/>
      <c r="C42" s="7"/>
      <c r="D42" s="7"/>
      <c r="E42" s="7">
        <v>2</v>
      </c>
      <c r="F42" s="7">
        <v>40</v>
      </c>
      <c r="G42" s="7">
        <v>1</v>
      </c>
      <c r="H42" s="7">
        <v>1.97</v>
      </c>
      <c r="I42" s="7">
        <v>3.98</v>
      </c>
      <c r="J42" s="7">
        <v>343</v>
      </c>
      <c r="K42" s="7">
        <v>678</v>
      </c>
      <c r="L42" s="7">
        <v>0.45</v>
      </c>
      <c r="M42" s="7">
        <v>1387</v>
      </c>
      <c r="N42" s="7">
        <v>0.81</v>
      </c>
      <c r="O42" s="7">
        <v>0.15</v>
      </c>
      <c r="Q42" s="127"/>
      <c r="R42" s="127"/>
      <c r="S42" s="7"/>
      <c r="T42" s="7"/>
      <c r="U42" s="7">
        <v>2</v>
      </c>
      <c r="V42" s="7">
        <v>40</v>
      </c>
      <c r="W42" s="7">
        <v>1</v>
      </c>
      <c r="X42" s="7">
        <v>2.23</v>
      </c>
      <c r="Y42" s="7">
        <v>4.53</v>
      </c>
      <c r="Z42" s="7">
        <v>307</v>
      </c>
      <c r="AA42" s="7">
        <v>689</v>
      </c>
      <c r="AB42" s="7">
        <v>0.46</v>
      </c>
      <c r="AC42" s="7">
        <v>1411</v>
      </c>
      <c r="AD42" s="7">
        <v>0.83</v>
      </c>
      <c r="AE42" s="7">
        <v>0.62</v>
      </c>
      <c r="AF42" s="7">
        <v>0.15</v>
      </c>
    </row>
    <row r="43" spans="1:32">
      <c r="A43" s="128"/>
      <c r="B43" s="128"/>
      <c r="C43" s="3"/>
      <c r="D43" s="3"/>
      <c r="E43" s="3">
        <v>3</v>
      </c>
      <c r="F43" s="3">
        <v>80</v>
      </c>
      <c r="G43" s="3">
        <v>1</v>
      </c>
      <c r="H43" s="3">
        <v>1.88</v>
      </c>
      <c r="I43" s="3">
        <v>5.64</v>
      </c>
      <c r="J43" s="3">
        <v>288</v>
      </c>
      <c r="K43" s="3">
        <v>542</v>
      </c>
      <c r="L43" s="3">
        <v>0.36</v>
      </c>
      <c r="M43" s="3">
        <v>1645</v>
      </c>
      <c r="N43" s="3">
        <v>0.96</v>
      </c>
      <c r="O43" s="3">
        <v>0.125</v>
      </c>
      <c r="Q43" s="128"/>
      <c r="R43" s="128"/>
      <c r="S43" s="3"/>
      <c r="T43" s="3"/>
      <c r="U43" s="3">
        <v>3</v>
      </c>
      <c r="V43" s="3">
        <v>80</v>
      </c>
      <c r="W43" s="3">
        <v>1</v>
      </c>
      <c r="X43" s="3">
        <v>2.13</v>
      </c>
      <c r="Y43" s="3">
        <v>6.39</v>
      </c>
      <c r="Z43" s="3">
        <v>257</v>
      </c>
      <c r="AA43" s="3">
        <v>549</v>
      </c>
      <c r="AB43" s="3">
        <v>0.37</v>
      </c>
      <c r="AC43" s="3">
        <v>1667</v>
      </c>
      <c r="AD43" s="3">
        <v>0.97</v>
      </c>
      <c r="AE43" s="3">
        <v>0.52</v>
      </c>
      <c r="AF43" s="3">
        <v>0.125</v>
      </c>
    </row>
    <row r="44" spans="1:32">
      <c r="A44" s="129"/>
      <c r="B44" s="129"/>
      <c r="C44" s="3"/>
      <c r="D44" s="3"/>
      <c r="E44" s="3">
        <v>4</v>
      </c>
      <c r="F44" s="3">
        <v>150</v>
      </c>
      <c r="G44" s="3">
        <v>1</v>
      </c>
      <c r="H44" s="3">
        <v>1.77</v>
      </c>
      <c r="I44" s="3">
        <v>7.09</v>
      </c>
      <c r="J44" s="3">
        <v>253</v>
      </c>
      <c r="K44" s="3">
        <v>448</v>
      </c>
      <c r="L44" s="3">
        <v>0.3</v>
      </c>
      <c r="M44" s="3">
        <v>1817</v>
      </c>
      <c r="N44" s="3">
        <v>1.06</v>
      </c>
      <c r="O44" s="3">
        <v>0.11</v>
      </c>
      <c r="Q44" s="129"/>
      <c r="R44" s="129"/>
      <c r="S44" s="3"/>
      <c r="T44" s="3"/>
      <c r="U44" s="3">
        <v>4</v>
      </c>
      <c r="V44" s="3">
        <v>150</v>
      </c>
      <c r="W44" s="3">
        <v>1</v>
      </c>
      <c r="X44" s="3">
        <v>2</v>
      </c>
      <c r="Y44" s="3">
        <v>8.04</v>
      </c>
      <c r="Z44" s="3">
        <v>225</v>
      </c>
      <c r="AA44" s="3">
        <v>453</v>
      </c>
      <c r="AB44" s="3">
        <v>0.3</v>
      </c>
      <c r="AC44" s="3">
        <v>1837</v>
      </c>
      <c r="AD44" s="3">
        <v>1.07</v>
      </c>
      <c r="AE44" s="3">
        <v>0.46</v>
      </c>
      <c r="AF44" s="3">
        <v>0.11</v>
      </c>
    </row>
    <row r="45" spans="1:32">
      <c r="A45" s="126">
        <v>7</v>
      </c>
      <c r="B45" s="126" t="s">
        <v>2680</v>
      </c>
      <c r="C45" s="3">
        <v>42.5</v>
      </c>
      <c r="D45" s="3">
        <v>0.4</v>
      </c>
      <c r="E45" s="3">
        <v>1</v>
      </c>
      <c r="F45" s="3">
        <v>20</v>
      </c>
      <c r="G45" s="3">
        <v>1</v>
      </c>
      <c r="H45" s="3">
        <v>1.57</v>
      </c>
      <c r="I45" s="3">
        <v>2.8</v>
      </c>
      <c r="J45" s="3">
        <v>436</v>
      </c>
      <c r="K45" s="3">
        <v>689</v>
      </c>
      <c r="L45" s="3">
        <v>0.46</v>
      </c>
      <c r="M45" s="3">
        <v>1237</v>
      </c>
      <c r="N45" s="3">
        <v>0.72</v>
      </c>
      <c r="O45" s="3">
        <v>0.17</v>
      </c>
      <c r="Q45" s="126">
        <v>7</v>
      </c>
      <c r="R45" s="126" t="s">
        <v>2680</v>
      </c>
      <c r="S45" s="3">
        <v>42.5</v>
      </c>
      <c r="T45" s="3">
        <v>0.4</v>
      </c>
      <c r="U45" s="3">
        <v>1</v>
      </c>
      <c r="V45" s="3">
        <v>20</v>
      </c>
      <c r="W45" s="3">
        <v>1</v>
      </c>
      <c r="X45" s="3">
        <v>1.79</v>
      </c>
      <c r="Y45" s="3">
        <v>3.18</v>
      </c>
      <c r="Z45" s="3">
        <v>392</v>
      </c>
      <c r="AA45" s="3">
        <v>705</v>
      </c>
      <c r="AB45" s="3">
        <v>0.47</v>
      </c>
      <c r="AC45" s="3">
        <v>1265</v>
      </c>
      <c r="AD45" s="3">
        <v>0.74</v>
      </c>
      <c r="AE45" s="3">
        <v>0.78</v>
      </c>
      <c r="AF45" s="3">
        <v>0.17</v>
      </c>
    </row>
    <row r="46" s="121" customFormat="1" spans="1:32">
      <c r="A46" s="127"/>
      <c r="B46" s="127"/>
      <c r="C46" s="7"/>
      <c r="D46" s="7"/>
      <c r="E46" s="7">
        <v>2</v>
      </c>
      <c r="F46" s="7">
        <v>40</v>
      </c>
      <c r="G46" s="7">
        <v>1</v>
      </c>
      <c r="H46" s="7">
        <v>1.77</v>
      </c>
      <c r="I46" s="7">
        <v>3.44</v>
      </c>
      <c r="J46" s="7">
        <v>384</v>
      </c>
      <c r="K46" s="7">
        <v>685</v>
      </c>
      <c r="L46" s="7">
        <v>0.46</v>
      </c>
      <c r="M46" s="7">
        <v>1343</v>
      </c>
      <c r="N46" s="7">
        <v>0.79</v>
      </c>
      <c r="O46" s="7">
        <v>0.15</v>
      </c>
      <c r="Q46" s="127"/>
      <c r="R46" s="127"/>
      <c r="S46" s="7"/>
      <c r="T46" s="7"/>
      <c r="U46" s="7">
        <v>2</v>
      </c>
      <c r="V46" s="7">
        <v>40</v>
      </c>
      <c r="W46" s="7">
        <v>1</v>
      </c>
      <c r="X46" s="7">
        <v>2.01</v>
      </c>
      <c r="Y46" s="7">
        <v>3.9</v>
      </c>
      <c r="Z46" s="7">
        <v>346</v>
      </c>
      <c r="AA46" s="7">
        <v>698</v>
      </c>
      <c r="AB46" s="7">
        <v>0.47</v>
      </c>
      <c r="AC46" s="7">
        <v>1368</v>
      </c>
      <c r="AD46" s="7">
        <v>0.8</v>
      </c>
      <c r="AE46" s="7">
        <v>0.69</v>
      </c>
      <c r="AF46" s="7">
        <v>0.15</v>
      </c>
    </row>
    <row r="47" spans="1:32">
      <c r="A47" s="128"/>
      <c r="B47" s="128"/>
      <c r="C47" s="3"/>
      <c r="D47" s="3"/>
      <c r="E47" s="3">
        <v>3</v>
      </c>
      <c r="F47" s="3">
        <v>80</v>
      </c>
      <c r="G47" s="3">
        <v>1</v>
      </c>
      <c r="H47" s="3">
        <v>1.53</v>
      </c>
      <c r="I47" s="3">
        <v>5.12</v>
      </c>
      <c r="J47" s="3">
        <v>321</v>
      </c>
      <c r="K47" s="3">
        <v>493</v>
      </c>
      <c r="L47" s="3">
        <v>0.33</v>
      </c>
      <c r="M47" s="3">
        <v>1666</v>
      </c>
      <c r="N47" s="3">
        <v>0.97</v>
      </c>
      <c r="O47" s="3">
        <v>0.125</v>
      </c>
      <c r="Q47" s="128"/>
      <c r="R47" s="128"/>
      <c r="S47" s="3"/>
      <c r="T47" s="3"/>
      <c r="U47" s="3">
        <v>3</v>
      </c>
      <c r="V47" s="3">
        <v>80</v>
      </c>
      <c r="W47" s="3">
        <v>1</v>
      </c>
      <c r="X47" s="3">
        <v>1.72</v>
      </c>
      <c r="Y47" s="3">
        <v>5.77</v>
      </c>
      <c r="Z47" s="3">
        <v>289</v>
      </c>
      <c r="AA47" s="3">
        <v>500</v>
      </c>
      <c r="AB47" s="3">
        <v>0.33</v>
      </c>
      <c r="AC47" s="3">
        <v>1691</v>
      </c>
      <c r="AD47" s="3">
        <v>0.99</v>
      </c>
      <c r="AE47" s="3">
        <v>0.58</v>
      </c>
      <c r="AF47" s="3">
        <v>0.125</v>
      </c>
    </row>
    <row r="48" spans="1:32">
      <c r="A48" s="128"/>
      <c r="B48" s="128"/>
      <c r="C48" s="3"/>
      <c r="D48" s="3"/>
      <c r="E48" s="3">
        <v>4</v>
      </c>
      <c r="F48" s="3">
        <v>150</v>
      </c>
      <c r="G48" s="3">
        <v>1</v>
      </c>
      <c r="H48" s="3">
        <v>1.49</v>
      </c>
      <c r="I48" s="3">
        <v>6.35</v>
      </c>
      <c r="J48" s="3">
        <v>282</v>
      </c>
      <c r="K48" s="3">
        <v>422</v>
      </c>
      <c r="L48" s="3">
        <v>0.28</v>
      </c>
      <c r="M48" s="3">
        <v>1816</v>
      </c>
      <c r="N48" s="3">
        <v>1.06</v>
      </c>
      <c r="O48" s="3">
        <v>0.11</v>
      </c>
      <c r="Q48" s="128"/>
      <c r="R48" s="128"/>
      <c r="S48" s="3"/>
      <c r="T48" s="3"/>
      <c r="U48" s="3">
        <v>4</v>
      </c>
      <c r="V48" s="3">
        <v>150</v>
      </c>
      <c r="W48" s="3">
        <v>1</v>
      </c>
      <c r="X48" s="3">
        <v>1.68</v>
      </c>
      <c r="Y48" s="3">
        <v>7.17</v>
      </c>
      <c r="Z48" s="3">
        <v>254</v>
      </c>
      <c r="AA48" s="3">
        <v>427</v>
      </c>
      <c r="AB48" s="3">
        <v>0.28</v>
      </c>
      <c r="AC48" s="3">
        <v>1839</v>
      </c>
      <c r="AD48" s="3">
        <v>1.08</v>
      </c>
      <c r="AE48" s="3">
        <v>0.51</v>
      </c>
      <c r="AF48" s="3">
        <v>0.11</v>
      </c>
    </row>
    <row r="49" spans="1:32">
      <c r="A49" s="3">
        <v>8</v>
      </c>
      <c r="B49" s="3" t="s">
        <v>2702</v>
      </c>
      <c r="C49" s="3">
        <v>42.5</v>
      </c>
      <c r="D49" s="3">
        <v>0.34</v>
      </c>
      <c r="E49" s="3">
        <v>1</v>
      </c>
      <c r="F49" s="3">
        <v>20</v>
      </c>
      <c r="G49" s="3">
        <v>1</v>
      </c>
      <c r="H49" s="3">
        <v>1.13</v>
      </c>
      <c r="I49" s="3">
        <v>3.28</v>
      </c>
      <c r="J49" s="3">
        <v>456</v>
      </c>
      <c r="K49" s="3">
        <v>520</v>
      </c>
      <c r="L49" s="3">
        <v>0.35</v>
      </c>
      <c r="M49" s="3">
        <v>1518</v>
      </c>
      <c r="N49" s="3">
        <v>0.89</v>
      </c>
      <c r="O49" s="3">
        <v>0.125</v>
      </c>
      <c r="Q49" s="3">
        <v>8</v>
      </c>
      <c r="R49" s="3" t="s">
        <v>2702</v>
      </c>
      <c r="S49" s="3">
        <v>42.5</v>
      </c>
      <c r="T49" s="3">
        <v>0.34</v>
      </c>
      <c r="U49" s="3">
        <v>1</v>
      </c>
      <c r="V49" s="3">
        <v>20</v>
      </c>
      <c r="W49" s="3">
        <v>1</v>
      </c>
      <c r="X49" s="3">
        <v>1.29</v>
      </c>
      <c r="Y49" s="3">
        <v>3.73</v>
      </c>
      <c r="Z49" s="3">
        <v>410</v>
      </c>
      <c r="AA49" s="3">
        <v>532</v>
      </c>
      <c r="AB49" s="3">
        <v>0.35</v>
      </c>
      <c r="AC49" s="3">
        <v>1552</v>
      </c>
      <c r="AD49" s="3">
        <v>0.91</v>
      </c>
      <c r="AE49" s="3">
        <v>0.82</v>
      </c>
      <c r="AF49" s="3">
        <v>0.125</v>
      </c>
    </row>
    <row r="52" s="122" customFormat="1" ht="15" spans="1:1">
      <c r="A52" s="122" t="s">
        <v>2703</v>
      </c>
    </row>
    <row r="53" s="123" customFormat="1" ht="28.5" spans="1:5">
      <c r="A53" s="125" t="s">
        <v>2704</v>
      </c>
      <c r="B53" s="125" t="s">
        <v>2705</v>
      </c>
      <c r="C53" s="125" t="s">
        <v>2695</v>
      </c>
      <c r="D53" s="125" t="s">
        <v>2706</v>
      </c>
      <c r="E53" s="125" t="s">
        <v>2697</v>
      </c>
    </row>
    <row r="54" s="123" customFormat="1" spans="1:5">
      <c r="A54" s="125"/>
      <c r="B54" s="125"/>
      <c r="C54" s="125">
        <v>32.5</v>
      </c>
      <c r="D54" s="125"/>
      <c r="E54" s="125"/>
    </row>
    <row r="55" spans="1:5">
      <c r="A55" s="126" t="s">
        <v>2707</v>
      </c>
      <c r="B55" s="3" t="s">
        <v>2017</v>
      </c>
      <c r="C55" s="3">
        <v>211</v>
      </c>
      <c r="D55" s="3">
        <v>1.13</v>
      </c>
      <c r="E55" s="3">
        <v>0.127</v>
      </c>
    </row>
    <row r="56" spans="1:5">
      <c r="A56" s="128"/>
      <c r="B56" s="3" t="s">
        <v>2018</v>
      </c>
      <c r="C56" s="3">
        <v>261</v>
      </c>
      <c r="D56" s="3">
        <v>1.11</v>
      </c>
      <c r="E56" s="3">
        <v>0.157</v>
      </c>
    </row>
    <row r="57" spans="1:5">
      <c r="A57" s="128"/>
      <c r="B57" s="3" t="s">
        <v>2019</v>
      </c>
      <c r="C57" s="3">
        <v>305</v>
      </c>
      <c r="D57" s="3">
        <v>1.1</v>
      </c>
      <c r="E57" s="3">
        <v>0.183</v>
      </c>
    </row>
    <row r="58" spans="1:5">
      <c r="A58" s="128"/>
      <c r="B58" s="3" t="s">
        <v>2020</v>
      </c>
      <c r="C58" s="3">
        <v>352</v>
      </c>
      <c r="D58" s="3">
        <v>1.08</v>
      </c>
      <c r="E58" s="3">
        <v>0.211</v>
      </c>
    </row>
    <row r="59" spans="1:5">
      <c r="A59" s="128"/>
      <c r="B59" s="3" t="s">
        <v>2021</v>
      </c>
      <c r="C59" s="3">
        <v>405</v>
      </c>
      <c r="D59" s="3">
        <v>1.07</v>
      </c>
      <c r="E59" s="3">
        <v>0.243</v>
      </c>
    </row>
    <row r="60" spans="1:5">
      <c r="A60" s="128"/>
      <c r="B60" s="3" t="s">
        <v>2683</v>
      </c>
      <c r="C60" s="3">
        <v>457</v>
      </c>
      <c r="D60" s="3">
        <v>1.06</v>
      </c>
      <c r="E60" s="3">
        <v>0.274</v>
      </c>
    </row>
    <row r="61" spans="1:5">
      <c r="A61" s="128"/>
      <c r="B61" s="3" t="s">
        <v>2684</v>
      </c>
      <c r="C61" s="3">
        <v>522</v>
      </c>
      <c r="D61" s="3">
        <v>1.05</v>
      </c>
      <c r="E61" s="3">
        <v>0.313</v>
      </c>
    </row>
    <row r="62" spans="1:5">
      <c r="A62" s="128"/>
      <c r="B62" s="3" t="s">
        <v>2685</v>
      </c>
      <c r="C62" s="3">
        <v>606</v>
      </c>
      <c r="D62" s="3">
        <v>0.99</v>
      </c>
      <c r="E62" s="3">
        <v>0.364</v>
      </c>
    </row>
    <row r="63" spans="1:5">
      <c r="A63" s="129"/>
      <c r="B63" s="3" t="s">
        <v>2025</v>
      </c>
      <c r="C63" s="3">
        <v>740</v>
      </c>
      <c r="D63" s="3">
        <v>0.97</v>
      </c>
      <c r="E63" s="3">
        <v>0.444</v>
      </c>
    </row>
  </sheetData>
  <mergeCells count="111">
    <mergeCell ref="A1:O1"/>
    <mergeCell ref="Q1:AF1"/>
    <mergeCell ref="G2:I2"/>
    <mergeCell ref="J2:O2"/>
    <mergeCell ref="W2:Y2"/>
    <mergeCell ref="Z2:AF2"/>
    <mergeCell ref="K3:L3"/>
    <mergeCell ref="M3:N3"/>
    <mergeCell ref="AA3:AB3"/>
    <mergeCell ref="AC3:AD3"/>
    <mergeCell ref="A52:E52"/>
    <mergeCell ref="A2:A4"/>
    <mergeCell ref="A5:A8"/>
    <mergeCell ref="A9:A12"/>
    <mergeCell ref="A13:A20"/>
    <mergeCell ref="A21:A28"/>
    <mergeCell ref="A29:A36"/>
    <mergeCell ref="A37:A44"/>
    <mergeCell ref="A45:A48"/>
    <mergeCell ref="A53:A54"/>
    <mergeCell ref="A55:A63"/>
    <mergeCell ref="B2:B4"/>
    <mergeCell ref="B5:B8"/>
    <mergeCell ref="B9:B12"/>
    <mergeCell ref="B13:B20"/>
    <mergeCell ref="B21:B28"/>
    <mergeCell ref="B29:B36"/>
    <mergeCell ref="B37:B44"/>
    <mergeCell ref="B45:B48"/>
    <mergeCell ref="B53:B54"/>
    <mergeCell ref="C2:C4"/>
    <mergeCell ref="C5:C8"/>
    <mergeCell ref="C9:C12"/>
    <mergeCell ref="C13:C16"/>
    <mergeCell ref="C17:C20"/>
    <mergeCell ref="C21:C24"/>
    <mergeCell ref="C25:C28"/>
    <mergeCell ref="C29:C32"/>
    <mergeCell ref="C33:C36"/>
    <mergeCell ref="C37:C40"/>
    <mergeCell ref="C41:C44"/>
    <mergeCell ref="C45:C48"/>
    <mergeCell ref="D2:D4"/>
    <mergeCell ref="D5:D8"/>
    <mergeCell ref="D9:D12"/>
    <mergeCell ref="D13:D16"/>
    <mergeCell ref="D17:D20"/>
    <mergeCell ref="D21:D24"/>
    <mergeCell ref="D25:D28"/>
    <mergeCell ref="D29:D32"/>
    <mergeCell ref="D33:D36"/>
    <mergeCell ref="D37:D40"/>
    <mergeCell ref="D41:D44"/>
    <mergeCell ref="D45:D48"/>
    <mergeCell ref="D53:D54"/>
    <mergeCell ref="E2:E4"/>
    <mergeCell ref="E53:E54"/>
    <mergeCell ref="F2:F4"/>
    <mergeCell ref="G3:G4"/>
    <mergeCell ref="H3:H4"/>
    <mergeCell ref="I3:I4"/>
    <mergeCell ref="J3:J4"/>
    <mergeCell ref="O3:O4"/>
    <mergeCell ref="Q2:Q4"/>
    <mergeCell ref="Q5:Q8"/>
    <mergeCell ref="Q9:Q12"/>
    <mergeCell ref="Q13:Q20"/>
    <mergeCell ref="Q21:Q28"/>
    <mergeCell ref="Q29:Q36"/>
    <mergeCell ref="Q37:Q44"/>
    <mergeCell ref="Q45:Q48"/>
    <mergeCell ref="R2:R4"/>
    <mergeCell ref="R5:R8"/>
    <mergeCell ref="R9:R12"/>
    <mergeCell ref="R13:R20"/>
    <mergeCell ref="R21:R28"/>
    <mergeCell ref="R29:R36"/>
    <mergeCell ref="R37:R44"/>
    <mergeCell ref="R45:R48"/>
    <mergeCell ref="S2:S4"/>
    <mergeCell ref="S5:S8"/>
    <mergeCell ref="S9:S12"/>
    <mergeCell ref="S13:S16"/>
    <mergeCell ref="S17:S20"/>
    <mergeCell ref="S21:S24"/>
    <mergeCell ref="S25:S28"/>
    <mergeCell ref="S29:S32"/>
    <mergeCell ref="S33:S36"/>
    <mergeCell ref="S37:S40"/>
    <mergeCell ref="S41:S44"/>
    <mergeCell ref="S45:S48"/>
    <mergeCell ref="T2:T4"/>
    <mergeCell ref="T5:T8"/>
    <mergeCell ref="T9:T12"/>
    <mergeCell ref="T13:T16"/>
    <mergeCell ref="T17:T20"/>
    <mergeCell ref="T21:T24"/>
    <mergeCell ref="T25:T28"/>
    <mergeCell ref="T29:T32"/>
    <mergeCell ref="T33:T36"/>
    <mergeCell ref="T37:T40"/>
    <mergeCell ref="T41:T44"/>
    <mergeCell ref="T45:T48"/>
    <mergeCell ref="U2:U4"/>
    <mergeCell ref="V2:V4"/>
    <mergeCell ref="W3:W4"/>
    <mergeCell ref="X3:X4"/>
    <mergeCell ref="Y3:Y4"/>
    <mergeCell ref="Z3:Z4"/>
    <mergeCell ref="AE3:AE4"/>
    <mergeCell ref="AF3:AF4"/>
  </mergeCells>
  <pageMargins left="0.75" right="0.75" top="1" bottom="1" header="0.509027777777778" footer="0.509027777777778"/>
  <pageSetup paperSize="9" orientation="portrait" horizontalDpi="3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"/>
  <sheetViews>
    <sheetView workbookViewId="0">
      <selection activeCell="A1" sqref="A1:B1"/>
    </sheetView>
  </sheetViews>
  <sheetFormatPr defaultColWidth="9" defaultRowHeight="14.25" outlineLevelRow="5" outlineLevelCol="1"/>
  <sheetData>
    <row r="1" spans="1:2">
      <c r="A1" s="118" t="s">
        <v>2708</v>
      </c>
      <c r="B1" s="118"/>
    </row>
    <row r="2" spans="1:2">
      <c r="A2" s="119" t="s">
        <v>107</v>
      </c>
      <c r="B2" s="120">
        <v>1533.3</v>
      </c>
    </row>
    <row r="3" spans="1:2">
      <c r="A3" s="119" t="s">
        <v>108</v>
      </c>
      <c r="B3" s="120">
        <v>97.5</v>
      </c>
    </row>
    <row r="4" spans="1:2">
      <c r="A4" s="119" t="s">
        <v>109</v>
      </c>
      <c r="B4" s="120">
        <v>35.8</v>
      </c>
    </row>
    <row r="5" spans="1:2">
      <c r="A5" s="119" t="s">
        <v>110</v>
      </c>
      <c r="B5" s="120">
        <v>144.472441827222</v>
      </c>
    </row>
    <row r="6" spans="1:2">
      <c r="A6" s="119" t="s">
        <v>111</v>
      </c>
      <c r="B6" s="120">
        <v>49</v>
      </c>
    </row>
  </sheetData>
  <mergeCells count="1">
    <mergeCell ref="A1:B1"/>
  </mergeCells>
  <pageMargins left="0.75" right="0.75" top="1" bottom="1" header="0.509027777777778" footer="0.509027777777778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03"/>
  <sheetViews>
    <sheetView workbookViewId="0">
      <selection activeCell="A1" sqref="A1"/>
    </sheetView>
  </sheetViews>
  <sheetFormatPr defaultColWidth="9" defaultRowHeight="15.75"/>
  <cols>
    <col min="1" max="33" width="9" style="29" customWidth="1"/>
    <col min="34" max="256" width="9" style="30"/>
    <col min="257" max="289" width="9" style="30" customWidth="1"/>
    <col min="290" max="512" width="9" style="30"/>
    <col min="513" max="545" width="9" style="30" customWidth="1"/>
    <col min="546" max="768" width="9" style="30"/>
    <col min="769" max="801" width="9" style="30" customWidth="1"/>
    <col min="802" max="1024" width="9" style="30"/>
    <col min="1025" max="1057" width="9" style="30" customWidth="1"/>
    <col min="1058" max="1280" width="9" style="30"/>
    <col min="1281" max="1313" width="9" style="30" customWidth="1"/>
    <col min="1314" max="1536" width="9" style="30"/>
    <col min="1537" max="1569" width="9" style="30" customWidth="1"/>
    <col min="1570" max="1792" width="9" style="30"/>
    <col min="1793" max="1825" width="9" style="30" customWidth="1"/>
    <col min="1826" max="2048" width="9" style="30"/>
    <col min="2049" max="2081" width="9" style="30" customWidth="1"/>
    <col min="2082" max="2304" width="9" style="30"/>
    <col min="2305" max="2337" width="9" style="30" customWidth="1"/>
    <col min="2338" max="2560" width="9" style="30"/>
    <col min="2561" max="2593" width="9" style="30" customWidth="1"/>
    <col min="2594" max="2816" width="9" style="30"/>
    <col min="2817" max="2849" width="9" style="30" customWidth="1"/>
    <col min="2850" max="3072" width="9" style="30"/>
    <col min="3073" max="3105" width="9" style="30" customWidth="1"/>
    <col min="3106" max="3328" width="9" style="30"/>
    <col min="3329" max="3361" width="9" style="30" customWidth="1"/>
    <col min="3362" max="3584" width="9" style="30"/>
    <col min="3585" max="3617" width="9" style="30" customWidth="1"/>
    <col min="3618" max="3840" width="9" style="30"/>
    <col min="3841" max="3873" width="9" style="30" customWidth="1"/>
    <col min="3874" max="4096" width="9" style="30"/>
    <col min="4097" max="4129" width="9" style="30" customWidth="1"/>
    <col min="4130" max="4352" width="9" style="30"/>
    <col min="4353" max="4385" width="9" style="30" customWidth="1"/>
    <col min="4386" max="4608" width="9" style="30"/>
    <col min="4609" max="4641" width="9" style="30" customWidth="1"/>
    <col min="4642" max="4864" width="9" style="30"/>
    <col min="4865" max="4897" width="9" style="30" customWidth="1"/>
    <col min="4898" max="5120" width="9" style="30"/>
    <col min="5121" max="5153" width="9" style="30" customWidth="1"/>
    <col min="5154" max="5376" width="9" style="30"/>
    <col min="5377" max="5409" width="9" style="30" customWidth="1"/>
    <col min="5410" max="5632" width="9" style="30"/>
    <col min="5633" max="5665" width="9" style="30" customWidth="1"/>
    <col min="5666" max="5888" width="9" style="30"/>
    <col min="5889" max="5921" width="9" style="30" customWidth="1"/>
    <col min="5922" max="6144" width="9" style="30"/>
    <col min="6145" max="6177" width="9" style="30" customWidth="1"/>
    <col min="6178" max="6400" width="9" style="30"/>
    <col min="6401" max="6433" width="9" style="30" customWidth="1"/>
    <col min="6434" max="6656" width="9" style="30"/>
    <col min="6657" max="6689" width="9" style="30" customWidth="1"/>
    <col min="6690" max="6912" width="9" style="30"/>
    <col min="6913" max="6945" width="9" style="30" customWidth="1"/>
    <col min="6946" max="7168" width="9" style="30"/>
    <col min="7169" max="7201" width="9" style="30" customWidth="1"/>
    <col min="7202" max="7424" width="9" style="30"/>
    <col min="7425" max="7457" width="9" style="30" customWidth="1"/>
    <col min="7458" max="7680" width="9" style="30"/>
    <col min="7681" max="7713" width="9" style="30" customWidth="1"/>
    <col min="7714" max="7936" width="9" style="30"/>
    <col min="7937" max="7969" width="9" style="30" customWidth="1"/>
    <col min="7970" max="8192" width="9" style="30"/>
    <col min="8193" max="8225" width="9" style="30" customWidth="1"/>
    <col min="8226" max="8448" width="9" style="30"/>
    <col min="8449" max="8481" width="9" style="30" customWidth="1"/>
    <col min="8482" max="8704" width="9" style="30"/>
    <col min="8705" max="8737" width="9" style="30" customWidth="1"/>
    <col min="8738" max="8960" width="9" style="30"/>
    <col min="8961" max="8993" width="9" style="30" customWidth="1"/>
    <col min="8994" max="9216" width="9" style="30"/>
    <col min="9217" max="9249" width="9" style="30" customWidth="1"/>
    <col min="9250" max="9472" width="9" style="30"/>
    <col min="9473" max="9505" width="9" style="30" customWidth="1"/>
    <col min="9506" max="9728" width="9" style="30"/>
    <col min="9729" max="9761" width="9" style="30" customWidth="1"/>
    <col min="9762" max="9984" width="9" style="30"/>
    <col min="9985" max="10017" width="9" style="30" customWidth="1"/>
    <col min="10018" max="10240" width="9" style="30"/>
    <col min="10241" max="10273" width="9" style="30" customWidth="1"/>
    <col min="10274" max="10496" width="9" style="30"/>
    <col min="10497" max="10529" width="9" style="30" customWidth="1"/>
    <col min="10530" max="10752" width="9" style="30"/>
    <col min="10753" max="10785" width="9" style="30" customWidth="1"/>
    <col min="10786" max="11008" width="9" style="30"/>
    <col min="11009" max="11041" width="9" style="30" customWidth="1"/>
    <col min="11042" max="11264" width="9" style="30"/>
    <col min="11265" max="11297" width="9" style="30" customWidth="1"/>
    <col min="11298" max="11520" width="9" style="30"/>
    <col min="11521" max="11553" width="9" style="30" customWidth="1"/>
    <col min="11554" max="11776" width="9" style="30"/>
    <col min="11777" max="11809" width="9" style="30" customWidth="1"/>
    <col min="11810" max="12032" width="9" style="30"/>
    <col min="12033" max="12065" width="9" style="30" customWidth="1"/>
    <col min="12066" max="12288" width="9" style="30"/>
    <col min="12289" max="12321" width="9" style="30" customWidth="1"/>
    <col min="12322" max="12544" width="9" style="30"/>
    <col min="12545" max="12577" width="9" style="30" customWidth="1"/>
    <col min="12578" max="12800" width="9" style="30"/>
    <col min="12801" max="12833" width="9" style="30" customWidth="1"/>
    <col min="12834" max="13056" width="9" style="30"/>
    <col min="13057" max="13089" width="9" style="30" customWidth="1"/>
    <col min="13090" max="13312" width="9" style="30"/>
    <col min="13313" max="13345" width="9" style="30" customWidth="1"/>
    <col min="13346" max="13568" width="9" style="30"/>
    <col min="13569" max="13601" width="9" style="30" customWidth="1"/>
    <col min="13602" max="13824" width="9" style="30"/>
    <col min="13825" max="13857" width="9" style="30" customWidth="1"/>
    <col min="13858" max="14080" width="9" style="30"/>
    <col min="14081" max="14113" width="9" style="30" customWidth="1"/>
    <col min="14114" max="14336" width="9" style="30"/>
    <col min="14337" max="14369" width="9" style="30" customWidth="1"/>
    <col min="14370" max="14592" width="9" style="30"/>
    <col min="14593" max="14625" width="9" style="30" customWidth="1"/>
    <col min="14626" max="14848" width="9" style="30"/>
    <col min="14849" max="14881" width="9" style="30" customWidth="1"/>
    <col min="14882" max="15104" width="9" style="30"/>
    <col min="15105" max="15137" width="9" style="30" customWidth="1"/>
    <col min="15138" max="15360" width="9" style="30"/>
    <col min="15361" max="15393" width="9" style="30" customWidth="1"/>
    <col min="15394" max="15616" width="9" style="30"/>
    <col min="15617" max="15649" width="9" style="30" customWidth="1"/>
    <col min="15650" max="15872" width="9" style="30"/>
    <col min="15873" max="15905" width="9" style="30" customWidth="1"/>
    <col min="15906" max="16128" width="9" style="30"/>
    <col min="16129" max="16161" width="9" style="30" customWidth="1"/>
    <col min="16162" max="16384" width="9" style="30"/>
  </cols>
  <sheetData>
    <row r="1" ht="18.75" spans="1:33">
      <c r="A1" s="31" t="s">
        <v>2709</v>
      </c>
      <c r="B1" s="31"/>
      <c r="C1" s="31"/>
      <c r="D1" s="31"/>
      <c r="E1" s="31"/>
      <c r="F1" s="32"/>
      <c r="G1" s="32"/>
      <c r="H1" s="32"/>
      <c r="I1" s="32"/>
      <c r="J1" s="31" t="s">
        <v>2709</v>
      </c>
      <c r="K1" s="31"/>
      <c r="L1" s="31"/>
      <c r="M1" s="31"/>
      <c r="N1" s="31"/>
      <c r="O1" s="32"/>
      <c r="P1" s="32"/>
      <c r="Q1" s="32"/>
      <c r="R1" s="32"/>
      <c r="S1" s="96" t="s">
        <v>2710</v>
      </c>
      <c r="T1" s="96"/>
      <c r="U1" s="97"/>
      <c r="V1" s="97"/>
      <c r="W1" s="97"/>
      <c r="X1" s="97"/>
      <c r="Y1" s="97"/>
      <c r="Z1" s="97" t="s">
        <v>2711</v>
      </c>
      <c r="AA1" s="97"/>
      <c r="AB1" s="116"/>
      <c r="AC1" s="116"/>
      <c r="AD1" s="116"/>
      <c r="AE1" s="116"/>
      <c r="AF1" s="116"/>
      <c r="AG1" s="116"/>
    </row>
    <row r="2" ht="14.25" spans="1:33">
      <c r="A2" s="33"/>
      <c r="B2" s="33"/>
      <c r="C2" s="33"/>
      <c r="D2" s="33"/>
      <c r="E2" s="34" t="s">
        <v>2712</v>
      </c>
      <c r="F2" s="35">
        <v>12000</v>
      </c>
      <c r="G2" s="36" t="s">
        <v>2713</v>
      </c>
      <c r="H2" s="33" t="s">
        <v>2714</v>
      </c>
      <c r="I2" s="33"/>
      <c r="J2" s="33"/>
      <c r="K2" s="33"/>
      <c r="L2" s="33"/>
      <c r="M2" s="33"/>
      <c r="N2" s="34" t="s">
        <v>2712</v>
      </c>
      <c r="O2" s="35">
        <f>F2</f>
        <v>12000</v>
      </c>
      <c r="P2" s="36" t="s">
        <v>2713</v>
      </c>
      <c r="Q2" s="36" t="s">
        <v>2715</v>
      </c>
      <c r="R2" s="36">
        <f>O2/1000*AA5</f>
        <v>2.4996</v>
      </c>
      <c r="S2" s="98"/>
      <c r="T2" s="98"/>
      <c r="U2" s="97"/>
      <c r="V2" s="97"/>
      <c r="W2" s="97"/>
      <c r="X2" s="97"/>
      <c r="Y2" s="97"/>
      <c r="Z2" s="97"/>
      <c r="AA2" s="97"/>
      <c r="AB2" s="89"/>
      <c r="AC2" s="89"/>
      <c r="AD2" s="89"/>
      <c r="AE2" s="89"/>
      <c r="AF2" s="89"/>
      <c r="AG2" s="89"/>
    </row>
    <row r="3" ht="14.25" spans="1:33">
      <c r="A3" s="37" t="s">
        <v>2716</v>
      </c>
      <c r="B3" s="38"/>
      <c r="C3" s="39" t="s">
        <v>2717</v>
      </c>
      <c r="D3" s="40"/>
      <c r="E3" s="40"/>
      <c r="F3" s="40"/>
      <c r="G3" s="40"/>
      <c r="H3" s="40"/>
      <c r="I3" s="38"/>
      <c r="J3" s="37" t="s">
        <v>2716</v>
      </c>
      <c r="K3" s="38"/>
      <c r="L3" s="39" t="s">
        <v>2717</v>
      </c>
      <c r="M3" s="40"/>
      <c r="N3" s="40"/>
      <c r="O3" s="40"/>
      <c r="P3" s="40"/>
      <c r="Q3" s="40"/>
      <c r="R3" s="99"/>
      <c r="S3" s="100" t="s">
        <v>2718</v>
      </c>
      <c r="T3" s="101" t="s">
        <v>2719</v>
      </c>
      <c r="U3" s="102"/>
      <c r="V3" s="102"/>
      <c r="W3" s="102"/>
      <c r="X3" s="102"/>
      <c r="Y3" s="102"/>
      <c r="Z3" s="102"/>
      <c r="AA3" s="104"/>
      <c r="AB3" s="89"/>
      <c r="AC3" s="89"/>
      <c r="AD3" s="89"/>
      <c r="AE3" s="89"/>
      <c r="AF3" s="89"/>
      <c r="AG3" s="89"/>
    </row>
    <row r="4" ht="14.25" spans="1:33">
      <c r="A4" s="41"/>
      <c r="B4" s="42" t="s">
        <v>2720</v>
      </c>
      <c r="C4" s="43" t="s">
        <v>2721</v>
      </c>
      <c r="D4" s="44" t="s">
        <v>2722</v>
      </c>
      <c r="E4" s="44" t="s">
        <v>2723</v>
      </c>
      <c r="F4" s="44" t="s">
        <v>2724</v>
      </c>
      <c r="G4" s="44" t="s">
        <v>2725</v>
      </c>
      <c r="H4" s="44" t="s">
        <v>2726</v>
      </c>
      <c r="I4" s="44" t="s">
        <v>2727</v>
      </c>
      <c r="J4" s="41"/>
      <c r="K4" s="84" t="s">
        <v>2720</v>
      </c>
      <c r="L4" s="43" t="s">
        <v>2721</v>
      </c>
      <c r="M4" s="44" t="s">
        <v>2722</v>
      </c>
      <c r="N4" s="44" t="s">
        <v>2723</v>
      </c>
      <c r="O4" s="44" t="s">
        <v>2724</v>
      </c>
      <c r="P4" s="44" t="s">
        <v>2725</v>
      </c>
      <c r="Q4" s="44" t="s">
        <v>2726</v>
      </c>
      <c r="R4" s="44" t="s">
        <v>2727</v>
      </c>
      <c r="S4" s="103"/>
      <c r="T4" s="104" t="s">
        <v>2720</v>
      </c>
      <c r="U4" s="104" t="s">
        <v>2721</v>
      </c>
      <c r="V4" s="104" t="s">
        <v>2722</v>
      </c>
      <c r="W4" s="104" t="s">
        <v>2723</v>
      </c>
      <c r="X4" s="104" t="s">
        <v>2724</v>
      </c>
      <c r="Y4" s="104" t="s">
        <v>2725</v>
      </c>
      <c r="Z4" s="104" t="s">
        <v>2726</v>
      </c>
      <c r="AA4" s="104" t="s">
        <v>2727</v>
      </c>
      <c r="AB4" s="89"/>
      <c r="AC4" s="89"/>
      <c r="AD4" s="89"/>
      <c r="AE4" s="89"/>
      <c r="AF4" s="89"/>
      <c r="AG4" s="89"/>
    </row>
    <row r="5" ht="15" spans="1:33">
      <c r="A5" s="45" t="s">
        <v>2728</v>
      </c>
      <c r="B5" s="46"/>
      <c r="C5" s="47"/>
      <c r="D5" s="47"/>
      <c r="E5" s="47"/>
      <c r="F5" s="47"/>
      <c r="G5" s="47"/>
      <c r="H5" s="48">
        <f t="shared" ref="H5:I20" si="0">Q5*1000</f>
        <v>2200</v>
      </c>
      <c r="I5" s="48">
        <f t="shared" si="0"/>
        <v>2500</v>
      </c>
      <c r="J5" s="85" t="s">
        <v>2728</v>
      </c>
      <c r="K5" s="38"/>
      <c r="L5" s="86"/>
      <c r="M5" s="86"/>
      <c r="N5" s="86"/>
      <c r="O5" s="86"/>
      <c r="P5" s="86"/>
      <c r="Q5" s="87">
        <f t="shared" ref="Q5:R20" si="1">ROUND($O$2*Z5/1000,2)</f>
        <v>2.2</v>
      </c>
      <c r="R5" s="87">
        <f t="shared" si="1"/>
        <v>2.5</v>
      </c>
      <c r="S5" s="105" t="s">
        <v>2728</v>
      </c>
      <c r="T5" s="103"/>
      <c r="U5" s="106"/>
      <c r="V5" s="106"/>
      <c r="W5" s="106"/>
      <c r="X5" s="106"/>
      <c r="Y5" s="106"/>
      <c r="Z5" s="106">
        <v>0.1833</v>
      </c>
      <c r="AA5" s="106">
        <v>0.2083</v>
      </c>
      <c r="AB5" s="89"/>
      <c r="AC5" s="89"/>
      <c r="AD5" s="89"/>
      <c r="AE5" s="89"/>
      <c r="AF5" s="89"/>
      <c r="AG5" s="89"/>
    </row>
    <row r="6" ht="15" spans="1:33">
      <c r="A6" s="45" t="s">
        <v>2729</v>
      </c>
      <c r="B6" s="49"/>
      <c r="C6" s="47"/>
      <c r="D6" s="47"/>
      <c r="E6" s="47"/>
      <c r="F6" s="47"/>
      <c r="G6" s="48">
        <f t="shared" ref="G6:H26" si="2">P6*1000</f>
        <v>2770</v>
      </c>
      <c r="H6" s="48">
        <f t="shared" si="0"/>
        <v>3220</v>
      </c>
      <c r="I6" s="48">
        <f t="shared" si="0"/>
        <v>3760</v>
      </c>
      <c r="J6" s="85" t="s">
        <v>2729</v>
      </c>
      <c r="K6" s="85"/>
      <c r="L6" s="86"/>
      <c r="M6" s="86"/>
      <c r="N6" s="86"/>
      <c r="O6" s="86"/>
      <c r="P6" s="87">
        <f t="shared" ref="P6:Q26" si="3">ROUND($O$2*Y6/1000,2)</f>
        <v>2.77</v>
      </c>
      <c r="Q6" s="87">
        <f t="shared" si="1"/>
        <v>3.22</v>
      </c>
      <c r="R6" s="87">
        <f t="shared" si="1"/>
        <v>3.76</v>
      </c>
      <c r="S6" s="105" t="s">
        <v>2729</v>
      </c>
      <c r="T6" s="103"/>
      <c r="U6" s="106"/>
      <c r="V6" s="106"/>
      <c r="W6" s="106"/>
      <c r="X6" s="106"/>
      <c r="Y6" s="106">
        <v>0.2311</v>
      </c>
      <c r="Z6" s="106">
        <v>0.268</v>
      </c>
      <c r="AA6" s="106">
        <v>0.3135</v>
      </c>
      <c r="AB6" s="89"/>
      <c r="AC6" s="89"/>
      <c r="AD6" s="89"/>
      <c r="AE6" s="89"/>
      <c r="AF6" s="89"/>
      <c r="AG6" s="89"/>
    </row>
    <row r="7" ht="15" spans="1:33">
      <c r="A7" s="45" t="s">
        <v>2730</v>
      </c>
      <c r="B7" s="49"/>
      <c r="C7" s="47"/>
      <c r="D7" s="47"/>
      <c r="E7" s="47"/>
      <c r="F7" s="48">
        <f t="shared" ref="F7:F26" si="4">O7*1000</f>
        <v>3630</v>
      </c>
      <c r="G7" s="48">
        <f t="shared" si="2"/>
        <v>4310</v>
      </c>
      <c r="H7" s="48">
        <f t="shared" si="0"/>
        <v>5110</v>
      </c>
      <c r="I7" s="48">
        <f t="shared" si="0"/>
        <v>6160</v>
      </c>
      <c r="J7" s="85" t="s">
        <v>2730</v>
      </c>
      <c r="K7" s="85"/>
      <c r="L7" s="86"/>
      <c r="M7" s="86"/>
      <c r="N7" s="86"/>
      <c r="O7" s="87">
        <f t="shared" ref="O7:O26" si="5">ROUND($O$2*X7/1000,2)</f>
        <v>3.63</v>
      </c>
      <c r="P7" s="87">
        <f t="shared" si="3"/>
        <v>4.31</v>
      </c>
      <c r="Q7" s="87">
        <f t="shared" si="1"/>
        <v>5.11</v>
      </c>
      <c r="R7" s="87">
        <f t="shared" si="1"/>
        <v>6.16</v>
      </c>
      <c r="S7" s="105" t="s">
        <v>2730</v>
      </c>
      <c r="T7" s="103"/>
      <c r="U7" s="106"/>
      <c r="V7" s="106"/>
      <c r="W7" s="106"/>
      <c r="X7" s="106">
        <v>0.3026</v>
      </c>
      <c r="Y7" s="106">
        <v>0.3589</v>
      </c>
      <c r="Z7" s="106">
        <v>0.4258</v>
      </c>
      <c r="AA7" s="106">
        <v>0.5134</v>
      </c>
      <c r="AB7" s="89"/>
      <c r="AC7" s="89"/>
      <c r="AD7" s="89"/>
      <c r="AE7" s="89"/>
      <c r="AF7" s="89"/>
      <c r="AG7" s="89"/>
    </row>
    <row r="8" ht="15" spans="1:33">
      <c r="A8" s="45" t="s">
        <v>2731</v>
      </c>
      <c r="B8" s="49"/>
      <c r="C8" s="47"/>
      <c r="D8" s="47"/>
      <c r="E8" s="48">
        <f t="shared" ref="E8:E26" si="6">N8*1000</f>
        <v>4610</v>
      </c>
      <c r="F8" s="48">
        <f t="shared" si="4"/>
        <v>5490</v>
      </c>
      <c r="G8" s="48">
        <f t="shared" si="2"/>
        <v>6630</v>
      </c>
      <c r="H8" s="48">
        <f t="shared" si="0"/>
        <v>8110</v>
      </c>
      <c r="I8" s="48">
        <f t="shared" si="0"/>
        <v>9610</v>
      </c>
      <c r="J8" s="85" t="s">
        <v>2731</v>
      </c>
      <c r="K8" s="85"/>
      <c r="L8" s="86"/>
      <c r="M8" s="86"/>
      <c r="N8" s="87">
        <f t="shared" ref="N8:N26" si="7">ROUND($O$2*W8/1000,2)</f>
        <v>4.61</v>
      </c>
      <c r="O8" s="87">
        <f t="shared" si="5"/>
        <v>5.49</v>
      </c>
      <c r="P8" s="87">
        <f t="shared" si="3"/>
        <v>6.63</v>
      </c>
      <c r="Q8" s="87">
        <f t="shared" si="1"/>
        <v>8.11</v>
      </c>
      <c r="R8" s="87">
        <f t="shared" si="1"/>
        <v>9.61</v>
      </c>
      <c r="S8" s="105" t="s">
        <v>2731</v>
      </c>
      <c r="T8" s="103"/>
      <c r="U8" s="106"/>
      <c r="V8" s="106"/>
      <c r="W8" s="106">
        <v>0.3841</v>
      </c>
      <c r="X8" s="106">
        <v>0.4574</v>
      </c>
      <c r="Y8" s="106">
        <v>0.5521</v>
      </c>
      <c r="Z8" s="106">
        <v>0.6761</v>
      </c>
      <c r="AA8" s="106">
        <v>0.8005</v>
      </c>
      <c r="AB8" s="89"/>
      <c r="AC8" s="89"/>
      <c r="AD8" s="89"/>
      <c r="AE8" s="89"/>
      <c r="AF8" s="89"/>
      <c r="AG8" s="89"/>
    </row>
    <row r="9" ht="15" spans="1:33">
      <c r="A9" s="45" t="s">
        <v>2732</v>
      </c>
      <c r="B9" s="49"/>
      <c r="C9" s="47"/>
      <c r="D9" s="48">
        <f t="shared" ref="D9:D26" si="8">M9*1000</f>
        <v>5860</v>
      </c>
      <c r="E9" s="48">
        <f t="shared" si="6"/>
        <v>6990</v>
      </c>
      <c r="F9" s="48">
        <f t="shared" si="4"/>
        <v>8480</v>
      </c>
      <c r="G9" s="48">
        <f t="shared" si="2"/>
        <v>10670</v>
      </c>
      <c r="H9" s="48">
        <f t="shared" si="0"/>
        <v>12640</v>
      </c>
      <c r="I9" s="48">
        <f t="shared" si="0"/>
        <v>15070</v>
      </c>
      <c r="J9" s="85" t="s">
        <v>2732</v>
      </c>
      <c r="K9" s="85"/>
      <c r="L9" s="86"/>
      <c r="M9" s="87">
        <f t="shared" ref="M9:M26" si="9">ROUND($O$2*V9/1000,2)</f>
        <v>5.86</v>
      </c>
      <c r="N9" s="87">
        <f t="shared" si="7"/>
        <v>6.99</v>
      </c>
      <c r="O9" s="87">
        <f t="shared" si="5"/>
        <v>8.48</v>
      </c>
      <c r="P9" s="87">
        <f t="shared" si="3"/>
        <v>10.67</v>
      </c>
      <c r="Q9" s="87">
        <f t="shared" si="1"/>
        <v>12.64</v>
      </c>
      <c r="R9" s="87">
        <f t="shared" si="1"/>
        <v>15.07</v>
      </c>
      <c r="S9" s="105" t="s">
        <v>2732</v>
      </c>
      <c r="T9" s="103"/>
      <c r="U9" s="106"/>
      <c r="V9" s="106">
        <v>0.4887</v>
      </c>
      <c r="W9" s="106">
        <v>0.5829</v>
      </c>
      <c r="X9" s="106">
        <v>0.7063</v>
      </c>
      <c r="Y9" s="106">
        <v>0.8889</v>
      </c>
      <c r="Z9" s="106">
        <v>1.0531</v>
      </c>
      <c r="AA9" s="106">
        <v>1.2556</v>
      </c>
      <c r="AB9" s="89"/>
      <c r="AC9" s="89"/>
      <c r="AD9" s="89"/>
      <c r="AE9" s="89"/>
      <c r="AF9" s="89"/>
      <c r="AG9" s="89"/>
    </row>
    <row r="10" ht="15" spans="1:33">
      <c r="A10" s="45" t="s">
        <v>2733</v>
      </c>
      <c r="B10" s="49"/>
      <c r="C10" s="48">
        <f t="shared" ref="C10:C26" si="10">L10*1000</f>
        <v>7510</v>
      </c>
      <c r="D10" s="48">
        <f t="shared" si="8"/>
        <v>9260</v>
      </c>
      <c r="E10" s="48">
        <f t="shared" si="6"/>
        <v>10840</v>
      </c>
      <c r="F10" s="48">
        <f t="shared" si="4"/>
        <v>13480</v>
      </c>
      <c r="G10" s="48">
        <f t="shared" si="2"/>
        <v>16490</v>
      </c>
      <c r="H10" s="48">
        <f t="shared" si="0"/>
        <v>20130</v>
      </c>
      <c r="I10" s="48">
        <f t="shared" si="0"/>
        <v>24030</v>
      </c>
      <c r="J10" s="85" t="s">
        <v>2733</v>
      </c>
      <c r="K10" s="85"/>
      <c r="L10" s="87">
        <f t="shared" ref="L10:L26" si="11">ROUND($O$2*U10/1000,2)</f>
        <v>7.51</v>
      </c>
      <c r="M10" s="87">
        <f t="shared" si="9"/>
        <v>9.26</v>
      </c>
      <c r="N10" s="87">
        <f t="shared" si="7"/>
        <v>10.84</v>
      </c>
      <c r="O10" s="87">
        <f t="shared" si="5"/>
        <v>13.48</v>
      </c>
      <c r="P10" s="87">
        <f t="shared" si="3"/>
        <v>16.49</v>
      </c>
      <c r="Q10" s="87">
        <f t="shared" si="1"/>
        <v>20.13</v>
      </c>
      <c r="R10" s="87">
        <f t="shared" si="1"/>
        <v>24.03</v>
      </c>
      <c r="S10" s="105" t="s">
        <v>2733</v>
      </c>
      <c r="T10" s="107"/>
      <c r="U10" s="106">
        <v>0.626</v>
      </c>
      <c r="V10" s="106">
        <v>0.7714</v>
      </c>
      <c r="W10" s="106">
        <v>0.9036</v>
      </c>
      <c r="X10" s="106">
        <v>1.1237</v>
      </c>
      <c r="Y10" s="106">
        <v>1.3743</v>
      </c>
      <c r="Z10" s="106">
        <v>1.6777</v>
      </c>
      <c r="AA10" s="106">
        <v>2.0029</v>
      </c>
      <c r="AB10" s="89"/>
      <c r="AC10" s="89"/>
      <c r="AD10" s="89"/>
      <c r="AE10" s="89"/>
      <c r="AF10" s="89"/>
      <c r="AG10" s="89"/>
    </row>
    <row r="11" ht="15" spans="1:33">
      <c r="A11" s="45" t="s">
        <v>2734</v>
      </c>
      <c r="B11" s="48">
        <f t="shared" ref="B11:B22" si="12">K11*1000</f>
        <v>6720</v>
      </c>
      <c r="C11" s="48">
        <f t="shared" si="10"/>
        <v>10330</v>
      </c>
      <c r="D11" s="48">
        <f t="shared" si="8"/>
        <v>12660</v>
      </c>
      <c r="E11" s="48">
        <f t="shared" si="6"/>
        <v>15510</v>
      </c>
      <c r="F11" s="48">
        <f t="shared" si="4"/>
        <v>19030</v>
      </c>
      <c r="G11" s="48">
        <f t="shared" si="2"/>
        <v>23330</v>
      </c>
      <c r="H11" s="48">
        <f t="shared" si="0"/>
        <v>28610</v>
      </c>
      <c r="I11" s="48">
        <f t="shared" si="0"/>
        <v>33930</v>
      </c>
      <c r="J11" s="85" t="s">
        <v>2734</v>
      </c>
      <c r="K11" s="87">
        <f t="shared" ref="K11:K22" si="13">ROUND($O$2*T11/1000,2)</f>
        <v>6.72</v>
      </c>
      <c r="L11" s="87">
        <f t="shared" si="11"/>
        <v>10.33</v>
      </c>
      <c r="M11" s="87">
        <f t="shared" si="9"/>
        <v>12.66</v>
      </c>
      <c r="N11" s="87">
        <f t="shared" si="7"/>
        <v>15.51</v>
      </c>
      <c r="O11" s="87">
        <f t="shared" si="5"/>
        <v>19.03</v>
      </c>
      <c r="P11" s="87">
        <f t="shared" si="3"/>
        <v>23.33</v>
      </c>
      <c r="Q11" s="87">
        <f t="shared" si="1"/>
        <v>28.61</v>
      </c>
      <c r="R11" s="87">
        <f t="shared" si="1"/>
        <v>33.93</v>
      </c>
      <c r="S11" s="108" t="s">
        <v>2734</v>
      </c>
      <c r="T11" s="109">
        <v>0.56</v>
      </c>
      <c r="U11" s="106">
        <v>0.8611</v>
      </c>
      <c r="V11" s="106">
        <v>1.0553</v>
      </c>
      <c r="W11" s="106">
        <v>1.2924</v>
      </c>
      <c r="X11" s="106">
        <v>1.5857</v>
      </c>
      <c r="Y11" s="106">
        <v>1.9443</v>
      </c>
      <c r="Z11" s="106">
        <v>2.3843</v>
      </c>
      <c r="AA11" s="106">
        <v>2.8278</v>
      </c>
      <c r="AB11" s="89"/>
      <c r="AC11" s="89"/>
      <c r="AD11" s="89"/>
      <c r="AE11" s="89"/>
      <c r="AF11" s="89"/>
      <c r="AG11" s="89"/>
    </row>
    <row r="12" ht="15" spans="1:33">
      <c r="A12" s="45" t="s">
        <v>2735</v>
      </c>
      <c r="B12" s="48">
        <f t="shared" si="12"/>
        <v>9920</v>
      </c>
      <c r="C12" s="48">
        <f t="shared" si="10"/>
        <v>14850</v>
      </c>
      <c r="D12" s="48">
        <f t="shared" si="8"/>
        <v>18340</v>
      </c>
      <c r="E12" s="48">
        <f t="shared" si="6"/>
        <v>22210</v>
      </c>
      <c r="F12" s="48">
        <f t="shared" si="4"/>
        <v>27560</v>
      </c>
      <c r="G12" s="48">
        <f t="shared" si="2"/>
        <v>35240</v>
      </c>
      <c r="H12" s="48">
        <f t="shared" si="0"/>
        <v>40870</v>
      </c>
      <c r="I12" s="48">
        <f t="shared" si="0"/>
        <v>48870</v>
      </c>
      <c r="J12" s="85" t="s">
        <v>2735</v>
      </c>
      <c r="K12" s="87">
        <f t="shared" si="13"/>
        <v>9.92</v>
      </c>
      <c r="L12" s="87">
        <f t="shared" si="11"/>
        <v>14.85</v>
      </c>
      <c r="M12" s="87">
        <f t="shared" si="9"/>
        <v>18.34</v>
      </c>
      <c r="N12" s="87">
        <f t="shared" si="7"/>
        <v>22.21</v>
      </c>
      <c r="O12" s="87">
        <f t="shared" si="5"/>
        <v>27.56</v>
      </c>
      <c r="P12" s="87">
        <f t="shared" si="3"/>
        <v>35.24</v>
      </c>
      <c r="Q12" s="87">
        <f t="shared" si="1"/>
        <v>40.87</v>
      </c>
      <c r="R12" s="87">
        <f t="shared" si="1"/>
        <v>48.87</v>
      </c>
      <c r="S12" s="108" t="s">
        <v>2735</v>
      </c>
      <c r="T12" s="110">
        <v>0.827</v>
      </c>
      <c r="U12" s="106">
        <v>1.2373</v>
      </c>
      <c r="V12" s="106">
        <v>1.528</v>
      </c>
      <c r="W12" s="106">
        <v>1.8512</v>
      </c>
      <c r="X12" s="106">
        <v>2.2963</v>
      </c>
      <c r="Y12" s="106">
        <v>2.937</v>
      </c>
      <c r="Z12" s="106">
        <v>3.4055</v>
      </c>
      <c r="AA12" s="106">
        <v>4.0721</v>
      </c>
      <c r="AB12" s="89"/>
      <c r="AC12" s="89"/>
      <c r="AD12" s="89"/>
      <c r="AE12" s="89"/>
      <c r="AF12" s="89"/>
      <c r="AG12" s="89"/>
    </row>
    <row r="13" ht="15" spans="1:33">
      <c r="A13" s="45" t="s">
        <v>2736</v>
      </c>
      <c r="B13" s="48">
        <f t="shared" si="12"/>
        <v>15180</v>
      </c>
      <c r="C13" s="48">
        <f t="shared" si="10"/>
        <v>17750</v>
      </c>
      <c r="D13" s="48">
        <f t="shared" si="8"/>
        <v>22100</v>
      </c>
      <c r="E13" s="48">
        <f t="shared" si="6"/>
        <v>26960</v>
      </c>
      <c r="F13" s="48">
        <f t="shared" si="4"/>
        <v>33410</v>
      </c>
      <c r="G13" s="48">
        <f t="shared" si="2"/>
        <v>41050</v>
      </c>
      <c r="H13" s="48">
        <f t="shared" si="0"/>
        <v>50580</v>
      </c>
      <c r="I13" s="48">
        <f t="shared" si="0"/>
        <v>60910</v>
      </c>
      <c r="J13" s="85" t="s">
        <v>2736</v>
      </c>
      <c r="K13" s="87">
        <f t="shared" si="13"/>
        <v>15.18</v>
      </c>
      <c r="L13" s="87">
        <f t="shared" si="11"/>
        <v>17.75</v>
      </c>
      <c r="M13" s="87">
        <f t="shared" si="9"/>
        <v>22.1</v>
      </c>
      <c r="N13" s="87">
        <f t="shared" si="7"/>
        <v>26.96</v>
      </c>
      <c r="O13" s="87">
        <f t="shared" si="5"/>
        <v>33.41</v>
      </c>
      <c r="P13" s="87">
        <f t="shared" si="3"/>
        <v>41.05</v>
      </c>
      <c r="Q13" s="87">
        <f t="shared" si="1"/>
        <v>50.58</v>
      </c>
      <c r="R13" s="87">
        <f t="shared" si="1"/>
        <v>60.91</v>
      </c>
      <c r="S13" s="108" t="s">
        <v>2736</v>
      </c>
      <c r="T13" s="110">
        <v>1.265</v>
      </c>
      <c r="U13" s="106">
        <v>1.4792</v>
      </c>
      <c r="V13" s="106">
        <v>1.8416</v>
      </c>
      <c r="W13" s="106">
        <v>2.2469</v>
      </c>
      <c r="X13" s="106">
        <v>2.7838</v>
      </c>
      <c r="Y13" s="106">
        <v>3.4208</v>
      </c>
      <c r="Z13" s="106">
        <v>4.2147</v>
      </c>
      <c r="AA13" s="106">
        <v>5.0758</v>
      </c>
      <c r="AB13" s="89"/>
      <c r="AC13" s="89"/>
      <c r="AD13" s="89"/>
      <c r="AE13" s="89"/>
      <c r="AF13" s="89"/>
      <c r="AG13" s="89"/>
    </row>
    <row r="14" ht="15" spans="1:33">
      <c r="A14" s="45" t="s">
        <v>2737</v>
      </c>
      <c r="B14" s="48">
        <f t="shared" si="12"/>
        <v>17880</v>
      </c>
      <c r="C14" s="48">
        <f t="shared" si="10"/>
        <v>23250</v>
      </c>
      <c r="D14" s="48">
        <f t="shared" si="8"/>
        <v>28530</v>
      </c>
      <c r="E14" s="48">
        <f t="shared" si="6"/>
        <v>35040</v>
      </c>
      <c r="F14" s="48">
        <f t="shared" si="4"/>
        <v>42980</v>
      </c>
      <c r="G14" s="48">
        <f t="shared" si="2"/>
        <v>53210</v>
      </c>
      <c r="H14" s="48">
        <f t="shared" si="0"/>
        <v>65100</v>
      </c>
      <c r="I14" s="48">
        <f t="shared" si="0"/>
        <v>79200</v>
      </c>
      <c r="J14" s="85" t="s">
        <v>2737</v>
      </c>
      <c r="K14" s="87">
        <f t="shared" si="13"/>
        <v>17.88</v>
      </c>
      <c r="L14" s="87">
        <f t="shared" si="11"/>
        <v>23.25</v>
      </c>
      <c r="M14" s="87">
        <f t="shared" si="9"/>
        <v>28.53</v>
      </c>
      <c r="N14" s="87">
        <f t="shared" si="7"/>
        <v>35.04</v>
      </c>
      <c r="O14" s="87">
        <f t="shared" si="5"/>
        <v>42.98</v>
      </c>
      <c r="P14" s="87">
        <f t="shared" si="3"/>
        <v>53.21</v>
      </c>
      <c r="Q14" s="87">
        <f t="shared" si="1"/>
        <v>65.1</v>
      </c>
      <c r="R14" s="87">
        <f t="shared" si="1"/>
        <v>79.2</v>
      </c>
      <c r="S14" s="108" t="s">
        <v>2737</v>
      </c>
      <c r="T14" s="110">
        <v>1.49</v>
      </c>
      <c r="U14" s="106">
        <v>1.9371</v>
      </c>
      <c r="V14" s="106">
        <v>2.3774</v>
      </c>
      <c r="W14" s="106">
        <v>2.9199</v>
      </c>
      <c r="X14" s="106">
        <v>3.5814</v>
      </c>
      <c r="Y14" s="106">
        <v>4.434</v>
      </c>
      <c r="Z14" s="106">
        <v>5.4254</v>
      </c>
      <c r="AA14" s="106">
        <v>6.6</v>
      </c>
      <c r="AB14" s="89"/>
      <c r="AC14" s="89"/>
      <c r="AD14" s="89"/>
      <c r="AE14" s="89"/>
      <c r="AF14" s="89"/>
      <c r="AG14" s="89"/>
    </row>
    <row r="15" ht="15" spans="1:33">
      <c r="A15" s="45" t="s">
        <v>2738</v>
      </c>
      <c r="B15" s="48">
        <f t="shared" si="12"/>
        <v>25040</v>
      </c>
      <c r="C15" s="48">
        <f t="shared" si="10"/>
        <v>29100</v>
      </c>
      <c r="D15" s="48">
        <f t="shared" si="8"/>
        <v>35400</v>
      </c>
      <c r="E15" s="48">
        <f t="shared" si="6"/>
        <v>44140</v>
      </c>
      <c r="F15" s="48">
        <f t="shared" si="4"/>
        <v>54090</v>
      </c>
      <c r="G15" s="48">
        <f t="shared" si="2"/>
        <v>67200</v>
      </c>
      <c r="H15" s="48">
        <f t="shared" si="0"/>
        <v>81750</v>
      </c>
      <c r="I15" s="48">
        <f t="shared" si="0"/>
        <v>98860</v>
      </c>
      <c r="J15" s="85" t="s">
        <v>2738</v>
      </c>
      <c r="K15" s="87">
        <f t="shared" si="13"/>
        <v>25.04</v>
      </c>
      <c r="L15" s="87">
        <f t="shared" si="11"/>
        <v>29.1</v>
      </c>
      <c r="M15" s="87">
        <f t="shared" si="9"/>
        <v>35.4</v>
      </c>
      <c r="N15" s="87">
        <f t="shared" si="7"/>
        <v>44.14</v>
      </c>
      <c r="O15" s="87">
        <f t="shared" si="5"/>
        <v>54.09</v>
      </c>
      <c r="P15" s="87">
        <f t="shared" si="3"/>
        <v>67.2</v>
      </c>
      <c r="Q15" s="87">
        <f t="shared" si="1"/>
        <v>81.75</v>
      </c>
      <c r="R15" s="87">
        <f t="shared" si="1"/>
        <v>98.86</v>
      </c>
      <c r="S15" s="108" t="s">
        <v>2738</v>
      </c>
      <c r="T15" s="110">
        <v>2.087</v>
      </c>
      <c r="U15" s="106">
        <v>2.4254</v>
      </c>
      <c r="V15" s="106">
        <v>2.9496</v>
      </c>
      <c r="W15" s="106">
        <v>3.678</v>
      </c>
      <c r="X15" s="106">
        <v>4.5078</v>
      </c>
      <c r="Y15" s="106">
        <v>5.5998</v>
      </c>
      <c r="Z15" s="106">
        <v>6.8123</v>
      </c>
      <c r="AA15" s="106">
        <v>8.2383</v>
      </c>
      <c r="AB15" s="89"/>
      <c r="AC15" s="89"/>
      <c r="AD15" s="89"/>
      <c r="AE15" s="89"/>
      <c r="AF15" s="89"/>
      <c r="AG15" s="89"/>
    </row>
    <row r="16" ht="15" spans="1:33">
      <c r="A16" s="45" t="s">
        <v>2739</v>
      </c>
      <c r="B16" s="48">
        <f t="shared" si="12"/>
        <v>30900</v>
      </c>
      <c r="C16" s="48">
        <f t="shared" si="10"/>
        <v>37680</v>
      </c>
      <c r="D16" s="48">
        <f t="shared" si="8"/>
        <v>46150</v>
      </c>
      <c r="E16" s="48">
        <f t="shared" si="6"/>
        <v>57800</v>
      </c>
      <c r="F16" s="48">
        <f t="shared" si="4"/>
        <v>70830</v>
      </c>
      <c r="G16" s="48">
        <f t="shared" si="2"/>
        <v>86340</v>
      </c>
      <c r="H16" s="48">
        <f t="shared" si="0"/>
        <v>106970</v>
      </c>
      <c r="I16" s="48">
        <f t="shared" si="0"/>
        <v>129540</v>
      </c>
      <c r="J16" s="85" t="s">
        <v>2739</v>
      </c>
      <c r="K16" s="87">
        <f t="shared" si="13"/>
        <v>30.9</v>
      </c>
      <c r="L16" s="87">
        <f t="shared" si="11"/>
        <v>37.68</v>
      </c>
      <c r="M16" s="87">
        <f t="shared" si="9"/>
        <v>46.15</v>
      </c>
      <c r="N16" s="87">
        <f t="shared" si="7"/>
        <v>57.8</v>
      </c>
      <c r="O16" s="87">
        <f t="shared" si="5"/>
        <v>70.83</v>
      </c>
      <c r="P16" s="87">
        <f t="shared" si="3"/>
        <v>86.34</v>
      </c>
      <c r="Q16" s="87">
        <f t="shared" si="1"/>
        <v>106.97</v>
      </c>
      <c r="R16" s="87">
        <f t="shared" si="1"/>
        <v>129.54</v>
      </c>
      <c r="S16" s="108" t="s">
        <v>2739</v>
      </c>
      <c r="T16" s="110">
        <v>2.575</v>
      </c>
      <c r="U16" s="106">
        <v>3.1401</v>
      </c>
      <c r="V16" s="106">
        <v>3.8456</v>
      </c>
      <c r="W16" s="106">
        <v>4.817</v>
      </c>
      <c r="X16" s="106">
        <v>5.9022</v>
      </c>
      <c r="Y16" s="106">
        <v>7.1951</v>
      </c>
      <c r="Z16" s="106">
        <v>8.9141</v>
      </c>
      <c r="AA16" s="106">
        <v>10.7954</v>
      </c>
      <c r="AB16" s="89"/>
      <c r="AC16" s="89"/>
      <c r="AD16" s="89"/>
      <c r="AE16" s="89"/>
      <c r="AF16" s="89"/>
      <c r="AG16" s="89"/>
    </row>
    <row r="17" ht="15" spans="1:33">
      <c r="A17" s="45" t="s">
        <v>2740</v>
      </c>
      <c r="B17" s="48">
        <f t="shared" si="12"/>
        <v>37370</v>
      </c>
      <c r="C17" s="48">
        <f t="shared" si="10"/>
        <v>46890</v>
      </c>
      <c r="D17" s="48">
        <f t="shared" si="8"/>
        <v>58330</v>
      </c>
      <c r="E17" s="48">
        <f t="shared" si="6"/>
        <v>72420</v>
      </c>
      <c r="F17" s="48">
        <f t="shared" si="4"/>
        <v>88920</v>
      </c>
      <c r="G17" s="48">
        <f t="shared" si="2"/>
        <v>111750</v>
      </c>
      <c r="H17" s="48">
        <f t="shared" si="0"/>
        <v>135600</v>
      </c>
      <c r="I17" s="48">
        <f t="shared" si="0"/>
        <v>163980</v>
      </c>
      <c r="J17" s="85" t="s">
        <v>2740</v>
      </c>
      <c r="K17" s="87">
        <f t="shared" si="13"/>
        <v>37.37</v>
      </c>
      <c r="L17" s="87">
        <f t="shared" si="11"/>
        <v>46.89</v>
      </c>
      <c r="M17" s="87">
        <f t="shared" si="9"/>
        <v>58.33</v>
      </c>
      <c r="N17" s="87">
        <f t="shared" si="7"/>
        <v>72.42</v>
      </c>
      <c r="O17" s="87">
        <f t="shared" si="5"/>
        <v>88.92</v>
      </c>
      <c r="P17" s="87">
        <f t="shared" si="3"/>
        <v>111.75</v>
      </c>
      <c r="Q17" s="87">
        <f t="shared" si="1"/>
        <v>135.6</v>
      </c>
      <c r="R17" s="87">
        <f t="shared" si="1"/>
        <v>163.98</v>
      </c>
      <c r="S17" s="108" t="s">
        <v>2740</v>
      </c>
      <c r="T17" s="110">
        <v>3.114</v>
      </c>
      <c r="U17" s="106">
        <v>3.9071</v>
      </c>
      <c r="V17" s="106">
        <v>4.8608</v>
      </c>
      <c r="W17" s="106">
        <v>6.0346</v>
      </c>
      <c r="X17" s="106">
        <v>7.4098</v>
      </c>
      <c r="Y17" s="106">
        <v>9.3123</v>
      </c>
      <c r="Z17" s="106">
        <v>11.3001</v>
      </c>
      <c r="AA17" s="106">
        <v>13.6653</v>
      </c>
      <c r="AB17" s="89"/>
      <c r="AC17" s="89"/>
      <c r="AD17" s="89"/>
      <c r="AE17" s="89"/>
      <c r="AF17" s="89"/>
      <c r="AG17" s="89"/>
    </row>
    <row r="18" ht="15" spans="1:33">
      <c r="A18" s="45" t="s">
        <v>2741</v>
      </c>
      <c r="B18" s="48">
        <f t="shared" si="12"/>
        <v>46040</v>
      </c>
      <c r="C18" s="48">
        <f t="shared" si="10"/>
        <v>58310</v>
      </c>
      <c r="D18" s="48">
        <f t="shared" si="8"/>
        <v>73190</v>
      </c>
      <c r="E18" s="48">
        <f t="shared" si="6"/>
        <v>89910</v>
      </c>
      <c r="F18" s="48">
        <f t="shared" si="4"/>
        <v>113710</v>
      </c>
      <c r="G18" s="48">
        <f t="shared" si="2"/>
        <v>137470</v>
      </c>
      <c r="H18" s="48">
        <f t="shared" si="0"/>
        <v>167580</v>
      </c>
      <c r="I18" s="48">
        <f t="shared" si="0"/>
        <v>203010</v>
      </c>
      <c r="J18" s="85" t="s">
        <v>2741</v>
      </c>
      <c r="K18" s="87">
        <f t="shared" si="13"/>
        <v>46.04</v>
      </c>
      <c r="L18" s="87">
        <f t="shared" si="11"/>
        <v>58.31</v>
      </c>
      <c r="M18" s="87">
        <f t="shared" si="9"/>
        <v>73.19</v>
      </c>
      <c r="N18" s="87">
        <f t="shared" si="7"/>
        <v>89.91</v>
      </c>
      <c r="O18" s="87">
        <f t="shared" si="5"/>
        <v>113.71</v>
      </c>
      <c r="P18" s="87">
        <f t="shared" si="3"/>
        <v>137.47</v>
      </c>
      <c r="Q18" s="87">
        <f t="shared" si="1"/>
        <v>167.58</v>
      </c>
      <c r="R18" s="87">
        <f t="shared" si="1"/>
        <v>203.01</v>
      </c>
      <c r="S18" s="108" t="s">
        <v>2741</v>
      </c>
      <c r="T18" s="110">
        <v>3.837</v>
      </c>
      <c r="U18" s="106">
        <v>4.8592</v>
      </c>
      <c r="V18" s="106">
        <v>6.0994</v>
      </c>
      <c r="W18" s="106">
        <v>7.4926</v>
      </c>
      <c r="X18" s="106">
        <v>9.4761</v>
      </c>
      <c r="Y18" s="106">
        <v>11.4555</v>
      </c>
      <c r="Z18" s="106">
        <v>13.9648</v>
      </c>
      <c r="AA18" s="106">
        <v>16.9172</v>
      </c>
      <c r="AB18" s="89"/>
      <c r="AC18" s="89"/>
      <c r="AD18" s="89"/>
      <c r="AE18" s="89"/>
      <c r="AF18" s="89"/>
      <c r="AG18" s="89"/>
    </row>
    <row r="19" ht="15" spans="1:33">
      <c r="A19" s="45" t="s">
        <v>2742</v>
      </c>
      <c r="B19" s="48">
        <f t="shared" si="12"/>
        <v>60120</v>
      </c>
      <c r="C19" s="48">
        <f t="shared" si="10"/>
        <v>73710</v>
      </c>
      <c r="D19" s="48">
        <f t="shared" si="8"/>
        <v>91660</v>
      </c>
      <c r="E19" s="48">
        <f t="shared" si="6"/>
        <v>112870</v>
      </c>
      <c r="F19" s="48">
        <f t="shared" si="4"/>
        <v>140570</v>
      </c>
      <c r="G19" s="48">
        <f t="shared" si="2"/>
        <v>174720</v>
      </c>
      <c r="H19" s="48">
        <f t="shared" si="0"/>
        <v>212470</v>
      </c>
      <c r="I19" s="47"/>
      <c r="J19" s="85" t="s">
        <v>2742</v>
      </c>
      <c r="K19" s="87">
        <f t="shared" si="13"/>
        <v>60.12</v>
      </c>
      <c r="L19" s="87">
        <f t="shared" si="11"/>
        <v>73.71</v>
      </c>
      <c r="M19" s="87">
        <f t="shared" si="9"/>
        <v>91.66</v>
      </c>
      <c r="N19" s="87">
        <f t="shared" si="7"/>
        <v>112.87</v>
      </c>
      <c r="O19" s="87">
        <f t="shared" si="5"/>
        <v>140.57</v>
      </c>
      <c r="P19" s="87">
        <f t="shared" si="3"/>
        <v>174.72</v>
      </c>
      <c r="Q19" s="87">
        <f t="shared" si="1"/>
        <v>212.47</v>
      </c>
      <c r="R19" s="86"/>
      <c r="S19" s="108" t="s">
        <v>2742</v>
      </c>
      <c r="T19" s="110">
        <v>5.01</v>
      </c>
      <c r="U19" s="106">
        <v>6.1425</v>
      </c>
      <c r="V19" s="106">
        <v>7.6384</v>
      </c>
      <c r="W19" s="106">
        <v>9.4057</v>
      </c>
      <c r="X19" s="106">
        <v>11.7145</v>
      </c>
      <c r="Y19" s="106">
        <v>14.5597</v>
      </c>
      <c r="Z19" s="106">
        <v>17.7056</v>
      </c>
      <c r="AA19" s="106"/>
      <c r="AB19" s="89"/>
      <c r="AC19" s="89"/>
      <c r="AD19" s="89"/>
      <c r="AE19" s="89"/>
      <c r="AF19" s="89"/>
      <c r="AG19" s="89"/>
    </row>
    <row r="20" ht="15" spans="1:33">
      <c r="A20" s="45" t="s">
        <v>2743</v>
      </c>
      <c r="B20" s="48">
        <f t="shared" si="12"/>
        <v>72350</v>
      </c>
      <c r="C20" s="48">
        <f t="shared" si="10"/>
        <v>92420</v>
      </c>
      <c r="D20" s="48">
        <f t="shared" si="8"/>
        <v>113740</v>
      </c>
      <c r="E20" s="48">
        <f t="shared" si="6"/>
        <v>140620</v>
      </c>
      <c r="F20" s="48">
        <f t="shared" si="4"/>
        <v>172140</v>
      </c>
      <c r="G20" s="48">
        <f t="shared" si="2"/>
        <v>212960</v>
      </c>
      <c r="H20" s="48">
        <f t="shared" si="0"/>
        <v>262540</v>
      </c>
      <c r="I20" s="47"/>
      <c r="J20" s="85" t="s">
        <v>2743</v>
      </c>
      <c r="K20" s="87">
        <f t="shared" si="13"/>
        <v>72.35</v>
      </c>
      <c r="L20" s="87">
        <f t="shared" si="11"/>
        <v>92.42</v>
      </c>
      <c r="M20" s="87">
        <f t="shared" si="9"/>
        <v>113.74</v>
      </c>
      <c r="N20" s="87">
        <f t="shared" si="7"/>
        <v>140.62</v>
      </c>
      <c r="O20" s="87">
        <f t="shared" si="5"/>
        <v>172.14</v>
      </c>
      <c r="P20" s="87">
        <f t="shared" si="3"/>
        <v>212.96</v>
      </c>
      <c r="Q20" s="87">
        <f t="shared" si="1"/>
        <v>262.54</v>
      </c>
      <c r="R20" s="86"/>
      <c r="S20" s="108" t="s">
        <v>2743</v>
      </c>
      <c r="T20" s="110">
        <v>6.029</v>
      </c>
      <c r="U20" s="106">
        <v>7.7013</v>
      </c>
      <c r="V20" s="106">
        <v>9.4781</v>
      </c>
      <c r="W20" s="106">
        <v>11.7183</v>
      </c>
      <c r="X20" s="106">
        <v>14.3448</v>
      </c>
      <c r="Y20" s="106">
        <v>17.7469</v>
      </c>
      <c r="Z20" s="106">
        <v>21.8783</v>
      </c>
      <c r="AA20" s="106"/>
      <c r="AB20" s="89"/>
      <c r="AC20" s="89"/>
      <c r="AD20" s="89"/>
      <c r="AE20" s="89"/>
      <c r="AF20" s="89"/>
      <c r="AG20" s="89"/>
    </row>
    <row r="21" ht="15" spans="1:33">
      <c r="A21" s="45" t="s">
        <v>2744</v>
      </c>
      <c r="B21" s="48">
        <f t="shared" si="12"/>
        <v>92400</v>
      </c>
      <c r="C21" s="48">
        <f t="shared" si="10"/>
        <v>115680</v>
      </c>
      <c r="D21" s="48">
        <f t="shared" si="8"/>
        <v>143430</v>
      </c>
      <c r="E21" s="48">
        <f t="shared" si="6"/>
        <v>176640</v>
      </c>
      <c r="F21" s="48">
        <f t="shared" si="4"/>
        <v>218470</v>
      </c>
      <c r="G21" s="48">
        <f t="shared" si="2"/>
        <v>268920</v>
      </c>
      <c r="H21" s="48">
        <f t="shared" si="2"/>
        <v>330570</v>
      </c>
      <c r="I21" s="47"/>
      <c r="J21" s="85" t="s">
        <v>2744</v>
      </c>
      <c r="K21" s="87">
        <f t="shared" si="13"/>
        <v>92.4</v>
      </c>
      <c r="L21" s="87">
        <f t="shared" si="11"/>
        <v>115.68</v>
      </c>
      <c r="M21" s="87">
        <f t="shared" si="9"/>
        <v>143.43</v>
      </c>
      <c r="N21" s="87">
        <f t="shared" si="7"/>
        <v>176.64</v>
      </c>
      <c r="O21" s="87">
        <f t="shared" si="5"/>
        <v>218.47</v>
      </c>
      <c r="P21" s="87">
        <f t="shared" si="3"/>
        <v>268.92</v>
      </c>
      <c r="Q21" s="87">
        <f t="shared" si="3"/>
        <v>330.57</v>
      </c>
      <c r="R21" s="86"/>
      <c r="S21" s="108" t="s">
        <v>2744</v>
      </c>
      <c r="T21" s="110">
        <v>7.7</v>
      </c>
      <c r="U21" s="106">
        <v>9.64</v>
      </c>
      <c r="V21" s="106">
        <v>11.9522</v>
      </c>
      <c r="W21" s="106">
        <v>14.7198</v>
      </c>
      <c r="X21" s="106">
        <v>18.2057</v>
      </c>
      <c r="Y21" s="106">
        <v>22.41</v>
      </c>
      <c r="Z21" s="106">
        <v>27.5478</v>
      </c>
      <c r="AA21" s="106"/>
      <c r="AB21" s="89"/>
      <c r="AC21" s="89"/>
      <c r="AD21" s="89"/>
      <c r="AE21" s="89"/>
      <c r="AF21" s="89"/>
      <c r="AG21" s="89"/>
    </row>
    <row r="22" ht="15" spans="1:33">
      <c r="A22" s="45" t="s">
        <v>2745</v>
      </c>
      <c r="B22" s="48">
        <f t="shared" si="12"/>
        <v>116330</v>
      </c>
      <c r="C22" s="48">
        <f t="shared" si="10"/>
        <v>145260</v>
      </c>
      <c r="D22" s="48">
        <f t="shared" si="8"/>
        <v>181600</v>
      </c>
      <c r="E22" s="48">
        <f t="shared" si="6"/>
        <v>224850</v>
      </c>
      <c r="F22" s="48">
        <f t="shared" si="4"/>
        <v>275300</v>
      </c>
      <c r="G22" s="48">
        <f t="shared" si="2"/>
        <v>339000</v>
      </c>
      <c r="H22" s="48">
        <f t="shared" si="2"/>
        <v>419540</v>
      </c>
      <c r="I22" s="47"/>
      <c r="J22" s="85" t="s">
        <v>2745</v>
      </c>
      <c r="K22" s="87">
        <f t="shared" si="13"/>
        <v>116.33</v>
      </c>
      <c r="L22" s="87">
        <f t="shared" si="11"/>
        <v>145.26</v>
      </c>
      <c r="M22" s="87">
        <f t="shared" si="9"/>
        <v>181.6</v>
      </c>
      <c r="N22" s="87">
        <f t="shared" si="7"/>
        <v>224.85</v>
      </c>
      <c r="O22" s="87">
        <f t="shared" si="5"/>
        <v>275.3</v>
      </c>
      <c r="P22" s="87">
        <f t="shared" si="3"/>
        <v>339</v>
      </c>
      <c r="Q22" s="87">
        <f t="shared" si="3"/>
        <v>419.54</v>
      </c>
      <c r="R22" s="86"/>
      <c r="S22" s="108" t="s">
        <v>2745</v>
      </c>
      <c r="T22" s="110">
        <v>9.694</v>
      </c>
      <c r="U22" s="106">
        <v>12.1052</v>
      </c>
      <c r="V22" s="106">
        <v>15.1333</v>
      </c>
      <c r="W22" s="106">
        <v>18.7378</v>
      </c>
      <c r="X22" s="106">
        <v>22.9414</v>
      </c>
      <c r="Y22" s="106">
        <v>28.25</v>
      </c>
      <c r="Z22" s="106">
        <v>34.9614</v>
      </c>
      <c r="AA22" s="106"/>
      <c r="AB22" s="89"/>
      <c r="AC22" s="89"/>
      <c r="AD22" s="89"/>
      <c r="AE22" s="89"/>
      <c r="AF22" s="89"/>
      <c r="AG22" s="89"/>
    </row>
    <row r="23" ht="15" spans="1:33">
      <c r="A23" s="45" t="s">
        <v>2746</v>
      </c>
      <c r="B23" s="50"/>
      <c r="C23" s="48">
        <f t="shared" si="10"/>
        <v>185830</v>
      </c>
      <c r="D23" s="48">
        <f t="shared" si="8"/>
        <v>230700</v>
      </c>
      <c r="E23" s="48">
        <f t="shared" si="6"/>
        <v>285200</v>
      </c>
      <c r="F23" s="48">
        <f t="shared" si="4"/>
        <v>350410</v>
      </c>
      <c r="G23" s="48">
        <f t="shared" si="2"/>
        <v>431640</v>
      </c>
      <c r="H23" s="48">
        <f t="shared" si="2"/>
        <v>533820</v>
      </c>
      <c r="I23" s="47"/>
      <c r="J23" s="85" t="s">
        <v>2746</v>
      </c>
      <c r="K23" s="88"/>
      <c r="L23" s="87">
        <f t="shared" si="11"/>
        <v>185.83</v>
      </c>
      <c r="M23" s="87">
        <f t="shared" si="9"/>
        <v>230.7</v>
      </c>
      <c r="N23" s="87">
        <f t="shared" si="7"/>
        <v>285.2</v>
      </c>
      <c r="O23" s="87">
        <f t="shared" si="5"/>
        <v>350.41</v>
      </c>
      <c r="P23" s="87">
        <f t="shared" si="3"/>
        <v>431.64</v>
      </c>
      <c r="Q23" s="87">
        <f t="shared" si="3"/>
        <v>533.82</v>
      </c>
      <c r="R23" s="86"/>
      <c r="S23" s="108" t="s">
        <v>2746</v>
      </c>
      <c r="T23" s="110"/>
      <c r="U23" s="106">
        <v>15.4857</v>
      </c>
      <c r="V23" s="106">
        <v>19.2246</v>
      </c>
      <c r="W23" s="106">
        <v>23.7668</v>
      </c>
      <c r="X23" s="106">
        <v>29.2006</v>
      </c>
      <c r="Y23" s="106">
        <v>35.97</v>
      </c>
      <c r="Z23" s="106">
        <v>44.4849</v>
      </c>
      <c r="AA23" s="106"/>
      <c r="AB23" s="89"/>
      <c r="AC23" s="89"/>
      <c r="AD23" s="89"/>
      <c r="AE23" s="89"/>
      <c r="AF23" s="89"/>
      <c r="AG23" s="89"/>
    </row>
    <row r="24" ht="15" spans="1:33">
      <c r="A24" s="45" t="s">
        <v>2747</v>
      </c>
      <c r="B24" s="48">
        <f>K24*1000</f>
        <v>183100</v>
      </c>
      <c r="C24" s="48">
        <f t="shared" si="10"/>
        <v>236150</v>
      </c>
      <c r="D24" s="48">
        <f t="shared" si="8"/>
        <v>294530</v>
      </c>
      <c r="E24" s="48">
        <f t="shared" si="6"/>
        <v>362430</v>
      </c>
      <c r="F24" s="48">
        <f t="shared" si="4"/>
        <v>447950</v>
      </c>
      <c r="G24" s="48">
        <f t="shared" si="2"/>
        <v>549360</v>
      </c>
      <c r="H24" s="48">
        <f t="shared" si="2"/>
        <v>680760</v>
      </c>
      <c r="I24" s="47"/>
      <c r="J24" s="85" t="s">
        <v>2747</v>
      </c>
      <c r="K24" s="87">
        <f>ROUND($O$2*T24/1000,2)</f>
        <v>183.1</v>
      </c>
      <c r="L24" s="87">
        <f t="shared" si="11"/>
        <v>236.15</v>
      </c>
      <c r="M24" s="87">
        <f t="shared" si="9"/>
        <v>294.53</v>
      </c>
      <c r="N24" s="87">
        <f t="shared" si="7"/>
        <v>362.43</v>
      </c>
      <c r="O24" s="87">
        <f t="shared" si="5"/>
        <v>447.95</v>
      </c>
      <c r="P24" s="87">
        <f t="shared" si="3"/>
        <v>549.36</v>
      </c>
      <c r="Q24" s="87">
        <f t="shared" si="3"/>
        <v>680.76</v>
      </c>
      <c r="R24" s="86"/>
      <c r="S24" s="108" t="s">
        <v>2747</v>
      </c>
      <c r="T24" s="110">
        <v>15.258</v>
      </c>
      <c r="U24" s="106">
        <v>19.6794</v>
      </c>
      <c r="V24" s="106">
        <v>24.5442</v>
      </c>
      <c r="W24" s="106">
        <v>30.2023</v>
      </c>
      <c r="X24" s="106">
        <v>37.329</v>
      </c>
      <c r="Y24" s="106">
        <v>45.78</v>
      </c>
      <c r="Z24" s="106">
        <v>56.7297</v>
      </c>
      <c r="AA24" s="106"/>
      <c r="AB24" s="89"/>
      <c r="AC24" s="89"/>
      <c r="AD24" s="89"/>
      <c r="AE24" s="89"/>
      <c r="AF24" s="89"/>
      <c r="AG24" s="89"/>
    </row>
    <row r="25" ht="15" spans="1:33">
      <c r="A25" s="45" t="s">
        <v>2748</v>
      </c>
      <c r="B25" s="50"/>
      <c r="C25" s="48">
        <f t="shared" si="10"/>
        <v>298650</v>
      </c>
      <c r="D25" s="48">
        <f t="shared" si="8"/>
        <v>371700</v>
      </c>
      <c r="E25" s="48">
        <f t="shared" si="6"/>
        <v>458910</v>
      </c>
      <c r="F25" s="48">
        <f t="shared" si="4"/>
        <v>568080</v>
      </c>
      <c r="G25" s="48">
        <f t="shared" si="2"/>
        <v>696240</v>
      </c>
      <c r="H25" s="48">
        <f t="shared" si="2"/>
        <v>866550</v>
      </c>
      <c r="I25" s="47"/>
      <c r="J25" s="85" t="s">
        <v>2748</v>
      </c>
      <c r="K25" s="88"/>
      <c r="L25" s="87">
        <f t="shared" si="11"/>
        <v>298.65</v>
      </c>
      <c r="M25" s="87">
        <f t="shared" si="9"/>
        <v>371.7</v>
      </c>
      <c r="N25" s="87">
        <f t="shared" si="7"/>
        <v>458.91</v>
      </c>
      <c r="O25" s="87">
        <f t="shared" si="5"/>
        <v>568.08</v>
      </c>
      <c r="P25" s="87">
        <f t="shared" si="3"/>
        <v>696.24</v>
      </c>
      <c r="Q25" s="87">
        <f t="shared" si="3"/>
        <v>866.55</v>
      </c>
      <c r="R25" s="86"/>
      <c r="S25" s="108" t="s">
        <v>2748</v>
      </c>
      <c r="T25" s="110"/>
      <c r="U25" s="106">
        <v>24.8877</v>
      </c>
      <c r="V25" s="106">
        <v>30.9748</v>
      </c>
      <c r="W25" s="106">
        <v>38.2429</v>
      </c>
      <c r="X25" s="106">
        <v>47.3397</v>
      </c>
      <c r="Y25" s="106">
        <v>58.02</v>
      </c>
      <c r="Z25" s="106">
        <v>72.2129</v>
      </c>
      <c r="AA25" s="106"/>
      <c r="AB25" s="89"/>
      <c r="AC25" s="89"/>
      <c r="AD25" s="89"/>
      <c r="AE25" s="89"/>
      <c r="AF25" s="89"/>
      <c r="AG25" s="89"/>
    </row>
    <row r="26" ht="15" spans="1:33">
      <c r="A26" s="45" t="s">
        <v>2749</v>
      </c>
      <c r="B26" s="48">
        <f>K26*1000</f>
        <v>280240</v>
      </c>
      <c r="C26" s="48">
        <f t="shared" si="10"/>
        <v>370980</v>
      </c>
      <c r="D26" s="48">
        <f t="shared" si="8"/>
        <v>457550</v>
      </c>
      <c r="E26" s="48">
        <f t="shared" si="6"/>
        <v>573600</v>
      </c>
      <c r="F26" s="48">
        <f t="shared" si="4"/>
        <v>700760</v>
      </c>
      <c r="G26" s="48">
        <f t="shared" si="2"/>
        <v>863520</v>
      </c>
      <c r="H26" s="48">
        <f t="shared" si="2"/>
        <v>1079560</v>
      </c>
      <c r="I26" s="47"/>
      <c r="J26" s="85" t="s">
        <v>2749</v>
      </c>
      <c r="K26" s="87">
        <f>ROUND($O$2*T26/1000,2)</f>
        <v>280.24</v>
      </c>
      <c r="L26" s="87">
        <f t="shared" si="11"/>
        <v>370.98</v>
      </c>
      <c r="M26" s="87">
        <f t="shared" si="9"/>
        <v>457.55</v>
      </c>
      <c r="N26" s="87">
        <f t="shared" si="7"/>
        <v>573.6</v>
      </c>
      <c r="O26" s="87">
        <f t="shared" si="5"/>
        <v>700.76</v>
      </c>
      <c r="P26" s="87">
        <f t="shared" si="3"/>
        <v>863.52</v>
      </c>
      <c r="Q26" s="87">
        <f t="shared" si="3"/>
        <v>1079.56</v>
      </c>
      <c r="R26" s="86"/>
      <c r="S26" s="108" t="s">
        <v>2749</v>
      </c>
      <c r="T26" s="110">
        <v>23.353</v>
      </c>
      <c r="U26" s="106">
        <v>30.9153</v>
      </c>
      <c r="V26" s="106">
        <v>38.1289</v>
      </c>
      <c r="W26" s="106">
        <v>47.8</v>
      </c>
      <c r="X26" s="106">
        <v>58.3963</v>
      </c>
      <c r="Y26" s="106">
        <v>71.96</v>
      </c>
      <c r="Z26" s="106">
        <v>89.9635</v>
      </c>
      <c r="AA26" s="106"/>
      <c r="AB26" s="89"/>
      <c r="AC26" s="89"/>
      <c r="AD26" s="89"/>
      <c r="AE26" s="89"/>
      <c r="AF26" s="89"/>
      <c r="AG26" s="89"/>
    </row>
    <row r="27" ht="14.25" spans="1:33">
      <c r="A27" s="37" t="s">
        <v>2750</v>
      </c>
      <c r="B27" s="51"/>
      <c r="C27" s="51"/>
      <c r="D27" s="51"/>
      <c r="E27" s="51"/>
      <c r="F27" s="51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89"/>
      <c r="AC27" s="89"/>
      <c r="AD27" s="89"/>
      <c r="AE27" s="89"/>
      <c r="AF27" s="89"/>
      <c r="AG27" s="89"/>
    </row>
    <row r="28" ht="18.75" spans="1:33">
      <c r="A28" s="52"/>
      <c r="B28" s="52"/>
      <c r="C28" s="34" t="s">
        <v>2712</v>
      </c>
      <c r="D28" s="35">
        <v>14000</v>
      </c>
      <c r="E28" s="36" t="s">
        <v>2713</v>
      </c>
      <c r="F28" s="33" t="s">
        <v>2715</v>
      </c>
      <c r="G28" s="33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31" t="s">
        <v>2751</v>
      </c>
      <c r="T28" s="31"/>
      <c r="U28" s="31"/>
      <c r="V28" s="31"/>
      <c r="W28" s="31"/>
      <c r="X28" s="31"/>
      <c r="Y28" s="52"/>
      <c r="Z28" s="52"/>
      <c r="AA28" s="52"/>
      <c r="AB28" s="89"/>
      <c r="AC28" s="89"/>
      <c r="AD28" s="89"/>
      <c r="AE28" s="89"/>
      <c r="AF28" s="89"/>
      <c r="AG28" s="89"/>
    </row>
    <row r="29" ht="18.75" spans="1:33">
      <c r="A29" s="52"/>
      <c r="B29" s="52"/>
      <c r="C29" s="34"/>
      <c r="D29" s="53"/>
      <c r="E29" s="33"/>
      <c r="F29" s="33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31"/>
      <c r="T29" s="31"/>
      <c r="U29" s="52"/>
      <c r="V29" s="52"/>
      <c r="W29" s="52"/>
      <c r="X29" s="52"/>
      <c r="Y29" s="52"/>
      <c r="Z29" s="52"/>
      <c r="AA29" s="52"/>
      <c r="AB29" s="89"/>
      <c r="AC29" s="89"/>
      <c r="AD29" s="89"/>
      <c r="AE29" s="89"/>
      <c r="AF29" s="89"/>
      <c r="AG29" s="89"/>
    </row>
    <row r="30" ht="15" spans="1:33">
      <c r="A30" s="54">
        <v>44</v>
      </c>
      <c r="B30" s="55" t="s">
        <v>2752</v>
      </c>
      <c r="C30" s="56"/>
      <c r="D30" s="57" t="s">
        <v>2753</v>
      </c>
      <c r="E30" s="58">
        <v>0.19</v>
      </c>
      <c r="F30" s="59">
        <f>$D$28/1000*E30</f>
        <v>2.66</v>
      </c>
      <c r="G30" s="52"/>
      <c r="H30" s="52"/>
      <c r="I30" s="52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</row>
    <row r="31" ht="15" spans="1:33">
      <c r="A31" s="60">
        <v>45</v>
      </c>
      <c r="B31" s="55" t="s">
        <v>2754</v>
      </c>
      <c r="C31" s="56"/>
      <c r="D31" s="57" t="s">
        <v>2753</v>
      </c>
      <c r="E31" s="61">
        <v>0.26</v>
      </c>
      <c r="F31" s="59">
        <f>$D$28/1000*E31</f>
        <v>3.64</v>
      </c>
      <c r="G31" s="52"/>
      <c r="H31" s="52"/>
      <c r="I31" s="52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</row>
    <row r="32" ht="15" spans="1:33">
      <c r="A32" s="60">
        <v>46</v>
      </c>
      <c r="B32" s="55" t="s">
        <v>2755</v>
      </c>
      <c r="C32" s="62"/>
      <c r="D32" s="57" t="s">
        <v>2753</v>
      </c>
      <c r="E32" s="61">
        <v>0.41</v>
      </c>
      <c r="F32" s="59">
        <f>$D$28/1000*E32</f>
        <v>5.74</v>
      </c>
      <c r="G32" s="52"/>
      <c r="H32" s="52"/>
      <c r="I32" s="52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</row>
    <row r="33" ht="15" spans="1:33">
      <c r="A33" s="60">
        <v>47</v>
      </c>
      <c r="B33" s="55" t="s">
        <v>2756</v>
      </c>
      <c r="C33" s="62"/>
      <c r="D33" s="57" t="s">
        <v>2753</v>
      </c>
      <c r="E33" s="61">
        <v>0.626</v>
      </c>
      <c r="F33" s="59">
        <f>$D$28/1000*E33</f>
        <v>8.764</v>
      </c>
      <c r="G33" s="52"/>
      <c r="H33" s="52"/>
      <c r="I33" s="52"/>
      <c r="J33" s="89"/>
      <c r="K33" s="89"/>
      <c r="L33" s="89"/>
      <c r="M33" s="89"/>
      <c r="N33" s="89"/>
      <c r="O33" s="90" t="s">
        <v>2757</v>
      </c>
      <c r="P33" s="90" t="s">
        <v>2758</v>
      </c>
      <c r="Q33" s="90"/>
      <c r="R33" s="90" t="s">
        <v>2759</v>
      </c>
      <c r="S33" s="90" t="s">
        <v>2760</v>
      </c>
      <c r="T33" s="111" t="s">
        <v>2761</v>
      </c>
      <c r="U33" s="112"/>
      <c r="V33" s="113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</row>
    <row r="34" ht="15" spans="1:33">
      <c r="A34" s="60">
        <v>48</v>
      </c>
      <c r="B34" s="55" t="s">
        <v>2762</v>
      </c>
      <c r="C34" s="62"/>
      <c r="D34" s="57" t="s">
        <v>2763</v>
      </c>
      <c r="E34" s="61">
        <v>0.76</v>
      </c>
      <c r="F34" s="59">
        <f>$D$28/1000*E34</f>
        <v>10.64</v>
      </c>
      <c r="G34" s="52"/>
      <c r="H34" s="52"/>
      <c r="I34" s="52"/>
      <c r="J34" s="89"/>
      <c r="K34" s="89"/>
      <c r="L34" s="89"/>
      <c r="M34" s="89"/>
      <c r="N34" s="89"/>
      <c r="O34" s="90"/>
      <c r="P34" s="90" t="s">
        <v>2764</v>
      </c>
      <c r="Q34" s="90" t="s">
        <v>2765</v>
      </c>
      <c r="R34" s="90"/>
      <c r="S34" s="90"/>
      <c r="T34" s="111"/>
      <c r="U34" s="114"/>
      <c r="V34" s="113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</row>
    <row r="35" ht="14.25" spans="1:33">
      <c r="A35" s="37" t="s">
        <v>2750</v>
      </c>
      <c r="B35" s="51"/>
      <c r="C35" s="51"/>
      <c r="D35" s="51"/>
      <c r="E35" s="51"/>
      <c r="F35" s="51"/>
      <c r="G35" s="52"/>
      <c r="H35" s="52"/>
      <c r="I35" s="52"/>
      <c r="J35" s="89"/>
      <c r="K35" s="89"/>
      <c r="L35" s="89"/>
      <c r="M35" s="89"/>
      <c r="N35" s="89"/>
      <c r="O35" s="90">
        <v>355</v>
      </c>
      <c r="P35" s="90">
        <f>O35/1000+0.5</f>
        <v>0.855</v>
      </c>
      <c r="Q35" s="90">
        <f t="shared" ref="Q35:Q45" si="14">P35+2*R35*S35</f>
        <v>1.788</v>
      </c>
      <c r="R35" s="90">
        <v>0.3</v>
      </c>
      <c r="S35" s="90">
        <f t="shared" ref="S35:S44" si="15">O35/1000+1.2</f>
        <v>1.555</v>
      </c>
      <c r="T35" s="111">
        <f t="shared" ref="T35:T45" si="16">(P35+Q35)*S35/2</f>
        <v>2.0549325</v>
      </c>
      <c r="U35" s="114"/>
      <c r="V35" s="113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</row>
    <row r="36" ht="14.25" spans="1:33">
      <c r="A36" s="52"/>
      <c r="B36" s="52"/>
      <c r="C36" s="34" t="s">
        <v>2712</v>
      </c>
      <c r="D36" s="35">
        <v>13000</v>
      </c>
      <c r="E36" s="36" t="s">
        <v>2713</v>
      </c>
      <c r="F36" s="33" t="s">
        <v>2715</v>
      </c>
      <c r="G36" s="33"/>
      <c r="H36" s="52"/>
      <c r="I36" s="52"/>
      <c r="J36" s="89"/>
      <c r="K36" s="89"/>
      <c r="L36" s="89"/>
      <c r="M36" s="89"/>
      <c r="N36" s="89"/>
      <c r="O36" s="90">
        <v>315</v>
      </c>
      <c r="P36" s="90">
        <f>O36/1000+0.5</f>
        <v>0.815</v>
      </c>
      <c r="Q36" s="90">
        <f t="shared" si="14"/>
        <v>1.724</v>
      </c>
      <c r="R36" s="90">
        <v>0.3</v>
      </c>
      <c r="S36" s="90">
        <f t="shared" si="15"/>
        <v>1.515</v>
      </c>
      <c r="T36" s="111">
        <f t="shared" si="16"/>
        <v>1.9232925</v>
      </c>
      <c r="U36" s="90">
        <v>300</v>
      </c>
      <c r="V36" s="115" t="s">
        <v>2766</v>
      </c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</row>
    <row r="37" ht="15" spans="1:33">
      <c r="A37" s="32"/>
      <c r="B37" s="54" t="s">
        <v>2767</v>
      </c>
      <c r="C37" s="63" t="s">
        <v>2753</v>
      </c>
      <c r="D37" s="61">
        <v>0.18</v>
      </c>
      <c r="E37" s="64">
        <f t="shared" ref="E37:E42" si="17">$D$28/1000*D37</f>
        <v>2.52</v>
      </c>
      <c r="F37" s="63" t="s">
        <v>2768</v>
      </c>
      <c r="G37" s="65">
        <v>0.2341</v>
      </c>
      <c r="H37" s="66">
        <f t="shared" ref="H37:H42" si="18">$D$28/1000*G37</f>
        <v>3.2774</v>
      </c>
      <c r="I37" s="89"/>
      <c r="J37" s="89"/>
      <c r="K37" s="89"/>
      <c r="L37" s="89"/>
      <c r="M37" s="89"/>
      <c r="N37" s="89"/>
      <c r="O37" s="90">
        <v>280</v>
      </c>
      <c r="P37" s="90">
        <f>O37/1000+0.5</f>
        <v>0.78</v>
      </c>
      <c r="Q37" s="90">
        <f t="shared" si="14"/>
        <v>1.668</v>
      </c>
      <c r="R37" s="90">
        <v>0.3</v>
      </c>
      <c r="S37" s="90">
        <f t="shared" si="15"/>
        <v>1.48</v>
      </c>
      <c r="T37" s="111">
        <f t="shared" si="16"/>
        <v>1.81152</v>
      </c>
      <c r="U37" s="90">
        <v>300</v>
      </c>
      <c r="V37" s="113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</row>
    <row r="38" ht="15" spans="1:33">
      <c r="A38" s="32"/>
      <c r="B38" s="60" t="s">
        <v>2769</v>
      </c>
      <c r="C38" s="57" t="s">
        <v>2753</v>
      </c>
      <c r="D38" s="61">
        <v>0.265</v>
      </c>
      <c r="E38" s="67">
        <f t="shared" si="17"/>
        <v>3.71</v>
      </c>
      <c r="F38" s="57" t="s">
        <v>2768</v>
      </c>
      <c r="G38" s="68">
        <v>0.3642</v>
      </c>
      <c r="H38" s="69">
        <f t="shared" si="18"/>
        <v>5.0988</v>
      </c>
      <c r="I38" s="89"/>
      <c r="J38" s="89"/>
      <c r="K38" s="89"/>
      <c r="L38" s="89"/>
      <c r="M38" s="89"/>
      <c r="N38" s="89"/>
      <c r="O38" s="90">
        <v>250</v>
      </c>
      <c r="P38" s="90">
        <f>O38/1000+0.5</f>
        <v>0.75</v>
      </c>
      <c r="Q38" s="90">
        <f t="shared" si="14"/>
        <v>1.62</v>
      </c>
      <c r="R38" s="90">
        <v>0.3</v>
      </c>
      <c r="S38" s="90">
        <f t="shared" si="15"/>
        <v>1.45</v>
      </c>
      <c r="T38" s="111">
        <f t="shared" si="16"/>
        <v>1.71825</v>
      </c>
      <c r="U38" s="90">
        <v>250</v>
      </c>
      <c r="V38" s="113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</row>
    <row r="39" ht="15" spans="1:33">
      <c r="A39" s="32"/>
      <c r="B39" s="60" t="s">
        <v>2770</v>
      </c>
      <c r="C39" s="57" t="s">
        <v>2753</v>
      </c>
      <c r="D39" s="61">
        <v>0.41</v>
      </c>
      <c r="E39" s="67">
        <f t="shared" si="17"/>
        <v>5.74</v>
      </c>
      <c r="F39" s="57" t="s">
        <v>2768</v>
      </c>
      <c r="G39" s="68">
        <v>0.5595</v>
      </c>
      <c r="H39" s="69">
        <f t="shared" si="18"/>
        <v>7.833</v>
      </c>
      <c r="I39" s="89"/>
      <c r="J39" s="89"/>
      <c r="K39" s="89"/>
      <c r="L39" s="89"/>
      <c r="M39" s="89"/>
      <c r="N39" s="89"/>
      <c r="O39" s="90">
        <v>225</v>
      </c>
      <c r="P39" s="90">
        <f>O39/1000+0.5</f>
        <v>0.725</v>
      </c>
      <c r="Q39" s="90">
        <f t="shared" si="14"/>
        <v>1.58</v>
      </c>
      <c r="R39" s="90">
        <v>0.3</v>
      </c>
      <c r="S39" s="90">
        <f t="shared" si="15"/>
        <v>1.425</v>
      </c>
      <c r="T39" s="111">
        <f t="shared" si="16"/>
        <v>1.6423125</v>
      </c>
      <c r="U39" s="90">
        <v>250</v>
      </c>
      <c r="V39" s="113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</row>
    <row r="40" ht="15" spans="1:33">
      <c r="A40" s="54">
        <v>44</v>
      </c>
      <c r="B40" s="61" t="s">
        <v>2771</v>
      </c>
      <c r="C40" s="57" t="s">
        <v>2753</v>
      </c>
      <c r="D40" s="61">
        <v>0.597</v>
      </c>
      <c r="E40" s="67">
        <f t="shared" si="17"/>
        <v>8.358</v>
      </c>
      <c r="F40" s="57" t="s">
        <v>2768</v>
      </c>
      <c r="G40" s="68">
        <v>0.8889</v>
      </c>
      <c r="H40" s="69">
        <f t="shared" si="18"/>
        <v>12.4446</v>
      </c>
      <c r="I40" s="89"/>
      <c r="J40" s="89"/>
      <c r="K40" s="89"/>
      <c r="L40" s="89"/>
      <c r="M40" s="89"/>
      <c r="N40" s="89"/>
      <c r="O40" s="90">
        <v>200</v>
      </c>
      <c r="P40" s="90">
        <f>O40/1000+0.3</f>
        <v>0.5</v>
      </c>
      <c r="Q40" s="90">
        <f t="shared" si="14"/>
        <v>1.34</v>
      </c>
      <c r="R40" s="90">
        <v>0.3</v>
      </c>
      <c r="S40" s="90">
        <f t="shared" si="15"/>
        <v>1.4</v>
      </c>
      <c r="T40" s="111">
        <f t="shared" si="16"/>
        <v>1.288</v>
      </c>
      <c r="U40" s="90">
        <v>200</v>
      </c>
      <c r="V40" s="113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</row>
    <row r="41" ht="15" spans="1:33">
      <c r="A41" s="60">
        <v>45</v>
      </c>
      <c r="B41" s="61" t="s">
        <v>2772</v>
      </c>
      <c r="C41" s="57" t="s">
        <v>2753</v>
      </c>
      <c r="D41" s="61">
        <v>0.851</v>
      </c>
      <c r="E41" s="67">
        <f t="shared" si="17"/>
        <v>11.914</v>
      </c>
      <c r="F41" s="57" t="s">
        <v>2768</v>
      </c>
      <c r="G41" s="68">
        <v>1.2356</v>
      </c>
      <c r="H41" s="69">
        <f t="shared" si="18"/>
        <v>17.2984</v>
      </c>
      <c r="I41" s="89"/>
      <c r="J41" s="89"/>
      <c r="K41" s="89"/>
      <c r="L41" s="89"/>
      <c r="M41" s="89"/>
      <c r="N41" s="89"/>
      <c r="O41" s="90">
        <v>160</v>
      </c>
      <c r="P41" s="90">
        <f>O41/1000+0.3</f>
        <v>0.46</v>
      </c>
      <c r="Q41" s="90">
        <f t="shared" si="14"/>
        <v>1.276</v>
      </c>
      <c r="R41" s="90">
        <v>0.3</v>
      </c>
      <c r="S41" s="90">
        <f t="shared" si="15"/>
        <v>1.36</v>
      </c>
      <c r="T41" s="111">
        <f t="shared" si="16"/>
        <v>1.18048</v>
      </c>
      <c r="U41" s="90">
        <v>150</v>
      </c>
      <c r="V41" s="113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</row>
    <row r="42" ht="15" spans="1:33">
      <c r="A42" s="60">
        <v>46</v>
      </c>
      <c r="B42" s="70" t="s">
        <v>2773</v>
      </c>
      <c r="C42" s="57" t="s">
        <v>2753</v>
      </c>
      <c r="D42" s="61">
        <v>1.23</v>
      </c>
      <c r="E42" s="67">
        <f t="shared" si="17"/>
        <v>17.22</v>
      </c>
      <c r="F42" s="57" t="s">
        <v>2753</v>
      </c>
      <c r="G42" s="68">
        <v>1.7717</v>
      </c>
      <c r="H42" s="69">
        <f t="shared" si="18"/>
        <v>24.8038</v>
      </c>
      <c r="I42" s="89"/>
      <c r="J42" s="89"/>
      <c r="K42" s="89"/>
      <c r="L42" s="89"/>
      <c r="M42" s="89"/>
      <c r="N42" s="89"/>
      <c r="O42" s="90">
        <v>125</v>
      </c>
      <c r="P42" s="90">
        <f>O42/1000+0.3</f>
        <v>0.425</v>
      </c>
      <c r="Q42" s="90">
        <f t="shared" si="14"/>
        <v>1.22</v>
      </c>
      <c r="R42" s="90">
        <v>0.3</v>
      </c>
      <c r="S42" s="90">
        <f t="shared" si="15"/>
        <v>1.325</v>
      </c>
      <c r="T42" s="111">
        <f t="shared" si="16"/>
        <v>1.0898125</v>
      </c>
      <c r="U42" s="90">
        <v>150</v>
      </c>
      <c r="V42" s="113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</row>
    <row r="43" ht="18.75" spans="1:33">
      <c r="A43" s="31" t="s">
        <v>2774</v>
      </c>
      <c r="B43" s="31"/>
      <c r="C43" s="31"/>
      <c r="D43" s="31"/>
      <c r="E43" s="31"/>
      <c r="F43" s="31"/>
      <c r="G43" s="31"/>
      <c r="H43" s="52"/>
      <c r="I43" s="52"/>
      <c r="J43" s="52"/>
      <c r="K43" s="52"/>
      <c r="L43" s="52"/>
      <c r="M43" s="89"/>
      <c r="N43" s="89"/>
      <c r="O43" s="90">
        <v>110</v>
      </c>
      <c r="P43" s="90">
        <f>O43/1000+0.3</f>
        <v>0.41</v>
      </c>
      <c r="Q43" s="90">
        <f t="shared" si="14"/>
        <v>1.196</v>
      </c>
      <c r="R43" s="90">
        <v>0.3</v>
      </c>
      <c r="S43" s="90">
        <f t="shared" si="15"/>
        <v>1.31</v>
      </c>
      <c r="T43" s="111">
        <f t="shared" si="16"/>
        <v>1.05193</v>
      </c>
      <c r="U43" s="90"/>
      <c r="V43" s="113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</row>
    <row r="44" ht="14.25" spans="1:33">
      <c r="A44" s="33" t="s">
        <v>2775</v>
      </c>
      <c r="B44" s="33"/>
      <c r="C44" s="33"/>
      <c r="D44" s="33"/>
      <c r="E44" s="33"/>
      <c r="F44" s="33"/>
      <c r="G44" s="71">
        <v>40105</v>
      </c>
      <c r="H44" s="71"/>
      <c r="I44" s="71" t="s">
        <v>2776</v>
      </c>
      <c r="J44" s="71"/>
      <c r="K44" s="33" t="s">
        <v>2714</v>
      </c>
      <c r="L44" s="33"/>
      <c r="M44" s="89"/>
      <c r="N44" s="89"/>
      <c r="O44" s="90">
        <v>90</v>
      </c>
      <c r="P44" s="90">
        <f>O44/1000+0.3</f>
        <v>0.39</v>
      </c>
      <c r="Q44" s="90">
        <f t="shared" si="14"/>
        <v>1.164</v>
      </c>
      <c r="R44" s="90">
        <v>0.3</v>
      </c>
      <c r="S44" s="90">
        <f t="shared" si="15"/>
        <v>1.29</v>
      </c>
      <c r="T44" s="111">
        <f t="shared" si="16"/>
        <v>1.00233</v>
      </c>
      <c r="U44" s="90"/>
      <c r="V44" s="113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</row>
    <row r="45" ht="14.25" spans="1:33">
      <c r="A45" s="72" t="s">
        <v>2777</v>
      </c>
      <c r="B45" s="73" t="s">
        <v>2778</v>
      </c>
      <c r="C45" s="74"/>
      <c r="D45" s="74"/>
      <c r="E45" s="74"/>
      <c r="F45" s="74"/>
      <c r="G45" s="74"/>
      <c r="H45" s="74"/>
      <c r="I45" s="74"/>
      <c r="J45" s="74"/>
      <c r="K45" s="74"/>
      <c r="L45" s="91"/>
      <c r="M45" s="89"/>
      <c r="N45" s="89"/>
      <c r="O45" s="90">
        <v>63</v>
      </c>
      <c r="P45" s="90">
        <v>0.3</v>
      </c>
      <c r="Q45" s="90">
        <f t="shared" si="14"/>
        <v>0.3</v>
      </c>
      <c r="R45" s="90">
        <v>0</v>
      </c>
      <c r="S45" s="90">
        <v>0.7</v>
      </c>
      <c r="T45" s="111">
        <f t="shared" si="16"/>
        <v>0.21</v>
      </c>
      <c r="U45" s="113"/>
      <c r="V45" s="113" t="s">
        <v>2779</v>
      </c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</row>
    <row r="46" ht="14.25" spans="1:33">
      <c r="A46" s="75"/>
      <c r="B46" s="76" t="s">
        <v>2721</v>
      </c>
      <c r="C46" s="76" t="s">
        <v>2722</v>
      </c>
      <c r="D46" s="76" t="s">
        <v>2723</v>
      </c>
      <c r="E46" s="76" t="s">
        <v>2724</v>
      </c>
      <c r="F46" s="76" t="s">
        <v>2725</v>
      </c>
      <c r="G46" s="76" t="s">
        <v>2726</v>
      </c>
      <c r="H46" s="76" t="s">
        <v>2727</v>
      </c>
      <c r="I46" s="76" t="s">
        <v>2780</v>
      </c>
      <c r="J46" s="76" t="s">
        <v>2781</v>
      </c>
      <c r="K46" s="76" t="s">
        <v>2782</v>
      </c>
      <c r="L46" s="76" t="s">
        <v>2783</v>
      </c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</row>
    <row r="47" ht="14.25" spans="1:33">
      <c r="A47" s="75" t="s">
        <v>2731</v>
      </c>
      <c r="B47" s="77"/>
      <c r="C47" s="77"/>
      <c r="D47" s="78"/>
      <c r="E47" s="78"/>
      <c r="F47" s="78"/>
      <c r="G47" s="78"/>
      <c r="H47" s="78"/>
      <c r="I47" s="92">
        <f>39*1000</f>
        <v>39000</v>
      </c>
      <c r="J47" s="92">
        <f>39*1000</f>
        <v>39000</v>
      </c>
      <c r="K47" s="92">
        <f>39*1000</f>
        <v>39000</v>
      </c>
      <c r="L47" s="92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</row>
    <row r="48" ht="14.25" spans="1:33">
      <c r="A48" s="75" t="s">
        <v>2732</v>
      </c>
      <c r="B48" s="77"/>
      <c r="C48" s="78"/>
      <c r="D48" s="78"/>
      <c r="E48" s="78"/>
      <c r="F48" s="78"/>
      <c r="G48" s="78"/>
      <c r="H48" s="78"/>
      <c r="I48" s="92">
        <f>49*1000</f>
        <v>49000</v>
      </c>
      <c r="J48" s="92">
        <f>49*1000</f>
        <v>49000</v>
      </c>
      <c r="K48" s="92">
        <f>49*1000</f>
        <v>49000</v>
      </c>
      <c r="L48" s="92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</row>
    <row r="49" ht="14.25" spans="1:33">
      <c r="A49" s="75" t="s">
        <v>2733</v>
      </c>
      <c r="B49" s="78"/>
      <c r="C49" s="78"/>
      <c r="D49" s="78"/>
      <c r="E49" s="78"/>
      <c r="F49" s="78"/>
      <c r="G49" s="78"/>
      <c r="H49" s="78"/>
      <c r="I49" s="92">
        <f>59*1000</f>
        <v>59000</v>
      </c>
      <c r="J49" s="92">
        <f>59*1000</f>
        <v>59000</v>
      </c>
      <c r="K49" s="92">
        <f>59*1000</f>
        <v>59000</v>
      </c>
      <c r="L49" s="92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</row>
    <row r="50" ht="14.25" spans="1:33">
      <c r="A50" s="75" t="s">
        <v>2734</v>
      </c>
      <c r="B50" s="78"/>
      <c r="C50" s="78"/>
      <c r="D50" s="78"/>
      <c r="E50" s="78"/>
      <c r="F50" s="78"/>
      <c r="G50" s="78"/>
      <c r="H50" s="78"/>
      <c r="I50" s="92">
        <f>75*1000</f>
        <v>75000</v>
      </c>
      <c r="J50" s="92">
        <f>75*1000</f>
        <v>75000</v>
      </c>
      <c r="K50" s="92">
        <f>75*1000</f>
        <v>75000</v>
      </c>
      <c r="L50" s="92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</row>
    <row r="51" ht="14.25" spans="1:33">
      <c r="A51" s="75" t="s">
        <v>2735</v>
      </c>
      <c r="B51" s="78"/>
      <c r="C51" s="78"/>
      <c r="D51" s="78"/>
      <c r="E51" s="78"/>
      <c r="F51" s="78"/>
      <c r="G51" s="78"/>
      <c r="H51" s="78"/>
      <c r="I51" s="92"/>
      <c r="J51" s="92"/>
      <c r="K51" s="92">
        <f>135*1000</f>
        <v>135000</v>
      </c>
      <c r="L51" s="92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</row>
    <row r="52" ht="14.25" spans="1:33">
      <c r="A52" s="75" t="s">
        <v>2784</v>
      </c>
      <c r="B52" s="78"/>
      <c r="C52" s="78"/>
      <c r="D52" s="78"/>
      <c r="E52" s="78"/>
      <c r="F52" s="78"/>
      <c r="G52" s="78"/>
      <c r="H52" s="78"/>
      <c r="I52" s="92">
        <f>120*1000</f>
        <v>120000</v>
      </c>
      <c r="J52" s="92">
        <f>120*1000</f>
        <v>120000</v>
      </c>
      <c r="K52" s="92"/>
      <c r="L52" s="92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</row>
    <row r="53" ht="14.25" spans="1:33">
      <c r="A53" s="75" t="s">
        <v>2736</v>
      </c>
      <c r="B53" s="78"/>
      <c r="C53" s="78"/>
      <c r="D53" s="78"/>
      <c r="E53" s="78"/>
      <c r="F53" s="78"/>
      <c r="G53" s="78"/>
      <c r="H53" s="78"/>
      <c r="I53" s="92"/>
      <c r="J53" s="92">
        <f>120*1000</f>
        <v>120000</v>
      </c>
      <c r="K53" s="93">
        <f>120*1000</f>
        <v>120000</v>
      </c>
      <c r="L53" s="92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</row>
    <row r="54" ht="14.25" spans="1:33">
      <c r="A54" s="75" t="s">
        <v>2737</v>
      </c>
      <c r="B54" s="78"/>
      <c r="C54" s="78"/>
      <c r="D54" s="78"/>
      <c r="E54" s="78"/>
      <c r="F54" s="78"/>
      <c r="G54" s="78"/>
      <c r="H54" s="78">
        <v>155000</v>
      </c>
      <c r="I54" s="92"/>
      <c r="J54" s="93">
        <f>147*1000</f>
        <v>147000</v>
      </c>
      <c r="K54" s="92">
        <f>180*1000</f>
        <v>180000</v>
      </c>
      <c r="L54" s="92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</row>
    <row r="55" ht="14.25" spans="1:33">
      <c r="A55" s="75" t="s">
        <v>2785</v>
      </c>
      <c r="B55" s="79">
        <f>100*1000</f>
        <v>100000</v>
      </c>
      <c r="C55" s="80">
        <f>110*1000</f>
        <v>110000</v>
      </c>
      <c r="D55" s="80">
        <f>125*1000</f>
        <v>125000</v>
      </c>
      <c r="E55" s="80">
        <f>145*1000</f>
        <v>145000</v>
      </c>
      <c r="F55" s="80">
        <f>158*1000</f>
        <v>158000</v>
      </c>
      <c r="G55" s="80">
        <f>166*1000</f>
        <v>166000</v>
      </c>
      <c r="H55" s="81">
        <f>174*1000</f>
        <v>174000</v>
      </c>
      <c r="I55" s="81">
        <f>195*1000</f>
        <v>195000</v>
      </c>
      <c r="J55" s="81">
        <f>200*1000</f>
        <v>200000</v>
      </c>
      <c r="K55" s="81"/>
      <c r="L55" s="94">
        <f>200*1.2*1000+27.25*1000</f>
        <v>267250</v>
      </c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</row>
    <row r="56" ht="14.25" spans="1:33">
      <c r="A56" s="75" t="s">
        <v>2739</v>
      </c>
      <c r="B56" s="80"/>
      <c r="C56" s="80"/>
      <c r="D56" s="80"/>
      <c r="E56" s="80"/>
      <c r="F56" s="80"/>
      <c r="G56" s="80"/>
      <c r="H56" s="80"/>
      <c r="I56" s="95">
        <f>148*1.1*1000+27.66*1000</f>
        <v>190460</v>
      </c>
      <c r="J56" s="81"/>
      <c r="K56" s="81"/>
      <c r="L56" s="81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</row>
    <row r="57" ht="14.25" spans="1:33">
      <c r="A57" s="75" t="s">
        <v>2741</v>
      </c>
      <c r="B57" s="80">
        <f>115*1000</f>
        <v>115000</v>
      </c>
      <c r="C57" s="80">
        <f>125*1000</f>
        <v>125000</v>
      </c>
      <c r="D57" s="80">
        <f>140*1000</f>
        <v>140000</v>
      </c>
      <c r="E57" s="80">
        <f>155*1000</f>
        <v>155000</v>
      </c>
      <c r="F57" s="80">
        <f>168*1000</f>
        <v>168000</v>
      </c>
      <c r="G57" s="81">
        <f>225*1000</f>
        <v>225000</v>
      </c>
      <c r="H57" s="81">
        <f>261*1000</f>
        <v>261000</v>
      </c>
      <c r="I57" s="81">
        <f>340*0.9*1000</f>
        <v>306000</v>
      </c>
      <c r="J57" s="81">
        <f>360*0.9*1000</f>
        <v>324000</v>
      </c>
      <c r="K57" s="81"/>
      <c r="L57" s="81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</row>
    <row r="58" ht="14.25" spans="1:33">
      <c r="A58" s="75" t="s">
        <v>2743</v>
      </c>
      <c r="B58" s="79">
        <f>165*1000</f>
        <v>165000</v>
      </c>
      <c r="C58" s="79">
        <f>180*1000</f>
        <v>180000</v>
      </c>
      <c r="D58" s="79">
        <f>200*1000</f>
        <v>200000</v>
      </c>
      <c r="E58" s="79">
        <f>210*1000</f>
        <v>210000</v>
      </c>
      <c r="F58" s="79">
        <f>220*1000</f>
        <v>220000</v>
      </c>
      <c r="G58" s="79">
        <f>260*1000</f>
        <v>260000</v>
      </c>
      <c r="H58" s="81">
        <f>324*1000</f>
        <v>324000</v>
      </c>
      <c r="I58" s="81">
        <f>369*1000</f>
        <v>369000</v>
      </c>
      <c r="J58" s="81"/>
      <c r="K58" s="81"/>
      <c r="L58" s="81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</row>
    <row r="59" ht="14.25" spans="1:33">
      <c r="A59" s="75" t="s">
        <v>2786</v>
      </c>
      <c r="B59" s="79">
        <f>170*1000</f>
        <v>170000</v>
      </c>
      <c r="C59" s="79">
        <f>195*1000</f>
        <v>195000</v>
      </c>
      <c r="D59" s="79">
        <f>220*1000</f>
        <v>220000</v>
      </c>
      <c r="E59" s="79">
        <f>240*1000</f>
        <v>240000</v>
      </c>
      <c r="F59" s="81">
        <f>288*1000</f>
        <v>288000</v>
      </c>
      <c r="G59" s="81">
        <f>351*1000</f>
        <v>351000</v>
      </c>
      <c r="H59" s="79">
        <f>400*1000</f>
        <v>400000</v>
      </c>
      <c r="I59" s="79">
        <f>450*1000</f>
        <v>450000</v>
      </c>
      <c r="J59" s="81"/>
      <c r="K59" s="81"/>
      <c r="L59" s="81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</row>
    <row r="60" ht="14.25" spans="1:33">
      <c r="A60" s="75" t="s">
        <v>2747</v>
      </c>
      <c r="B60" s="79">
        <f>266*1000</f>
        <v>266000</v>
      </c>
      <c r="C60" s="79">
        <f>285*1000</f>
        <v>285000</v>
      </c>
      <c r="D60" s="79">
        <f>318*1000</f>
        <v>318000</v>
      </c>
      <c r="E60" s="79">
        <f>330*1000</f>
        <v>330000</v>
      </c>
      <c r="F60" s="81">
        <f>425*1000</f>
        <v>425000</v>
      </c>
      <c r="G60" s="81">
        <f>493*1000</f>
        <v>493000</v>
      </c>
      <c r="H60" s="79">
        <f>540*1000</f>
        <v>540000</v>
      </c>
      <c r="I60" s="79">
        <f>600*1000</f>
        <v>600000</v>
      </c>
      <c r="J60" s="81"/>
      <c r="K60" s="81"/>
      <c r="L60" s="81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</row>
    <row r="61" ht="14.25" spans="1:33">
      <c r="A61" s="75" t="s">
        <v>2748</v>
      </c>
      <c r="B61" s="79">
        <f>290*1000</f>
        <v>290000</v>
      </c>
      <c r="C61" s="79">
        <f>315*1000</f>
        <v>315000</v>
      </c>
      <c r="D61" s="79">
        <f>335*1000</f>
        <v>335000</v>
      </c>
      <c r="E61" s="79">
        <f>350*1000</f>
        <v>350000</v>
      </c>
      <c r="F61" s="81">
        <f>459*1000</f>
        <v>459000</v>
      </c>
      <c r="G61" s="81">
        <f>553*1000</f>
        <v>553000</v>
      </c>
      <c r="H61" s="81">
        <f>646*1000</f>
        <v>646000</v>
      </c>
      <c r="I61" s="79">
        <f>700*1000</f>
        <v>700000</v>
      </c>
      <c r="J61" s="81"/>
      <c r="K61" s="81"/>
      <c r="L61" s="81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</row>
    <row r="62" ht="14.25" spans="1:33">
      <c r="A62" s="75" t="s">
        <v>2749</v>
      </c>
      <c r="B62" s="82">
        <f>330*1000</f>
        <v>330000</v>
      </c>
      <c r="C62" s="79">
        <f>365*1000</f>
        <v>365000</v>
      </c>
      <c r="D62" s="79">
        <f>378*1000</f>
        <v>378000</v>
      </c>
      <c r="E62" s="79">
        <f>430*1000</f>
        <v>430000</v>
      </c>
      <c r="F62" s="79">
        <f>480*1000</f>
        <v>480000</v>
      </c>
      <c r="G62" s="80">
        <v>620000</v>
      </c>
      <c r="H62" s="83">
        <v>780000</v>
      </c>
      <c r="I62" s="79">
        <f>940*1000</f>
        <v>940000</v>
      </c>
      <c r="J62" s="81"/>
      <c r="K62" s="81"/>
      <c r="L62" s="81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</row>
    <row r="63" ht="14.25" spans="1:33">
      <c r="A63" s="75" t="s">
        <v>2787</v>
      </c>
      <c r="B63" s="79">
        <f>450*1000</f>
        <v>450000</v>
      </c>
      <c r="C63" s="79">
        <f>488*1000</f>
        <v>488000</v>
      </c>
      <c r="D63" s="79">
        <f>515*1000</f>
        <v>515000</v>
      </c>
      <c r="E63" s="79">
        <f>550*1000</f>
        <v>550000</v>
      </c>
      <c r="F63" s="79">
        <f>610*1000</f>
        <v>610000</v>
      </c>
      <c r="G63" s="79">
        <f>700*1000</f>
        <v>700000</v>
      </c>
      <c r="H63" s="79">
        <f>820*1000</f>
        <v>820000</v>
      </c>
      <c r="I63" s="79">
        <f>1000*1000</f>
        <v>1000000</v>
      </c>
      <c r="J63" s="82"/>
      <c r="K63" s="82"/>
      <c r="L63" s="82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</row>
    <row r="64" ht="14.25" spans="1:33">
      <c r="A64" s="75" t="s">
        <v>2788</v>
      </c>
      <c r="B64" s="79">
        <f>560*1000</f>
        <v>560000</v>
      </c>
      <c r="C64" s="79">
        <f>590*1000</f>
        <v>590000</v>
      </c>
      <c r="D64" s="79">
        <f>625*1000</f>
        <v>625000</v>
      </c>
      <c r="E64" s="79">
        <f>6800*1000</f>
        <v>6800000</v>
      </c>
      <c r="F64" s="79">
        <f>760*1000</f>
        <v>760000</v>
      </c>
      <c r="G64" s="79">
        <f>840*1000</f>
        <v>840000</v>
      </c>
      <c r="H64" s="79">
        <f>960*1000</f>
        <v>960000</v>
      </c>
      <c r="I64" s="79">
        <f>1080*1000</f>
        <v>1080000</v>
      </c>
      <c r="J64" s="82"/>
      <c r="K64" s="82"/>
      <c r="L64" s="82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</row>
    <row r="65" ht="14.25" spans="1:33">
      <c r="A65" s="75" t="s">
        <v>2789</v>
      </c>
      <c r="B65" s="79">
        <f>680*1000</f>
        <v>680000</v>
      </c>
      <c r="C65" s="79">
        <f>710*1000</f>
        <v>710000</v>
      </c>
      <c r="D65" s="79">
        <f>740*1000</f>
        <v>740000</v>
      </c>
      <c r="E65" s="79">
        <f>790*1000</f>
        <v>790000</v>
      </c>
      <c r="F65" s="79">
        <f>860*1000</f>
        <v>860000</v>
      </c>
      <c r="G65" s="79">
        <f>1020*1000</f>
        <v>1020000</v>
      </c>
      <c r="H65" s="79">
        <f>1180*1000</f>
        <v>1180000</v>
      </c>
      <c r="I65" s="79">
        <f>1360*1000</f>
        <v>1360000</v>
      </c>
      <c r="J65" s="82"/>
      <c r="K65" s="82"/>
      <c r="L65" s="82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</row>
    <row r="66" ht="14.25" spans="1:33">
      <c r="A66" s="75" t="s">
        <v>2790</v>
      </c>
      <c r="B66" s="79">
        <f>920*1000</f>
        <v>920000</v>
      </c>
      <c r="C66" s="79">
        <f>960*1000</f>
        <v>960000</v>
      </c>
      <c r="D66" s="79">
        <f>1000*1000</f>
        <v>1000000</v>
      </c>
      <c r="E66" s="79">
        <f>1080*1000</f>
        <v>1080000</v>
      </c>
      <c r="F66" s="79">
        <f>1190*1000</f>
        <v>1190000</v>
      </c>
      <c r="G66" s="79">
        <f>1380*1000</f>
        <v>1380000</v>
      </c>
      <c r="H66" s="79">
        <f>1560*1000</f>
        <v>1560000</v>
      </c>
      <c r="I66" s="79">
        <f>1780*1000</f>
        <v>1780000</v>
      </c>
      <c r="J66" s="82"/>
      <c r="K66" s="82"/>
      <c r="L66" s="82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</row>
    <row r="67" ht="14.25" spans="1:33">
      <c r="A67" s="75" t="s">
        <v>2791</v>
      </c>
      <c r="B67" s="79">
        <f>1160*1000</f>
        <v>1160000</v>
      </c>
      <c r="C67" s="79">
        <f>1200*1000</f>
        <v>1200000</v>
      </c>
      <c r="D67" s="79">
        <f>1280*1000</f>
        <v>1280000</v>
      </c>
      <c r="E67" s="79">
        <f>1420*1000</f>
        <v>1420000</v>
      </c>
      <c r="F67" s="79">
        <f>1600*1000</f>
        <v>1600000</v>
      </c>
      <c r="G67" s="79">
        <f>1860*1000</f>
        <v>1860000</v>
      </c>
      <c r="H67" s="79">
        <f>2100*1000</f>
        <v>2100000</v>
      </c>
      <c r="I67" s="79">
        <f>2380*1000</f>
        <v>2380000</v>
      </c>
      <c r="J67" s="82"/>
      <c r="K67" s="82"/>
      <c r="L67" s="82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</row>
    <row r="68" ht="14.25" spans="1:33">
      <c r="A68" s="117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</row>
    <row r="69" ht="14.25" spans="1:33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</row>
    <row r="70" ht="14.25" spans="1:33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</row>
    <row r="71" ht="14.25" spans="1:33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</row>
    <row r="72" ht="14.25" spans="1:33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</row>
    <row r="73" ht="14.25" spans="1:33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</row>
    <row r="74" ht="14.25" spans="1:33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</row>
    <row r="75" ht="14.25" spans="1:33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</row>
    <row r="76" ht="14.25" spans="1:33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</row>
    <row r="77" ht="14.25" spans="1:33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</row>
    <row r="78" ht="14.25" spans="1:33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</row>
    <row r="79" ht="14.25" spans="1:33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</row>
    <row r="80" ht="14.25" spans="1:33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</row>
    <row r="81" ht="14.25" spans="1:33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</row>
    <row r="82" ht="14.25" spans="1:33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</row>
    <row r="83" ht="14.25" spans="1:33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</row>
    <row r="84" ht="14.25" spans="1:33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</row>
    <row r="85" ht="14.25" spans="1:33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</row>
    <row r="86" ht="14.25" spans="1:33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</row>
    <row r="87" ht="14.25" spans="1:33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</row>
    <row r="88" ht="14.25" spans="1:33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</row>
    <row r="89" ht="14.25" spans="1:33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</row>
    <row r="90" ht="14.25" spans="1:33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</row>
    <row r="91" ht="14.25" spans="1:33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</row>
    <row r="92" ht="14.25" spans="1:33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</row>
    <row r="93" ht="14.25" spans="1:33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</row>
    <row r="94" ht="14.25" spans="1:33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</row>
    <row r="95" ht="14.25" spans="1:33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</row>
    <row r="96" ht="14.25" spans="1:33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</row>
    <row r="97" ht="14.25" spans="1:33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</row>
    <row r="98" ht="14.25" spans="1:33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</row>
    <row r="99" ht="14.25" spans="1:33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</row>
    <row r="100" ht="14.25" spans="1:33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</row>
    <row r="101" ht="14.25" spans="1:33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</row>
    <row r="102" ht="14.25" spans="1:33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</row>
    <row r="103" ht="14.25" spans="1:33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</row>
  </sheetData>
  <mergeCells count="23">
    <mergeCell ref="C3:I3"/>
    <mergeCell ref="L3:R3"/>
    <mergeCell ref="T3:AA3"/>
    <mergeCell ref="A27:F27"/>
    <mergeCell ref="B30:C30"/>
    <mergeCell ref="B31:C31"/>
    <mergeCell ref="B32:C32"/>
    <mergeCell ref="B33:C33"/>
    <mergeCell ref="P33:Q33"/>
    <mergeCell ref="B34:C34"/>
    <mergeCell ref="A35:F35"/>
    <mergeCell ref="G44:H44"/>
    <mergeCell ref="I44:J44"/>
    <mergeCell ref="B45:L45"/>
    <mergeCell ref="A3:A4"/>
    <mergeCell ref="A45:A46"/>
    <mergeCell ref="J3:J4"/>
    <mergeCell ref="O33:O34"/>
    <mergeCell ref="R33:R34"/>
    <mergeCell ref="S3:S4"/>
    <mergeCell ref="S33:S34"/>
    <mergeCell ref="T33:T34"/>
    <mergeCell ref="U33:U34"/>
  </mergeCells>
  <pageMargins left="0.699305555555556" right="0.699305555555556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43"/>
  <sheetViews>
    <sheetView workbookViewId="0">
      <selection activeCell="A1" sqref="A1"/>
    </sheetView>
  </sheetViews>
  <sheetFormatPr defaultColWidth="9" defaultRowHeight="14.25"/>
  <cols>
    <col min="1" max="1" width="16.375" style="9" customWidth="1"/>
    <col min="2" max="2" width="6.75" style="10" customWidth="1"/>
    <col min="3" max="3" width="13.625" style="9" customWidth="1"/>
    <col min="4" max="4" width="17.25" style="10" customWidth="1"/>
    <col min="5" max="5" width="5.875" style="10" customWidth="1"/>
    <col min="6" max="6" width="9" style="9"/>
    <col min="7" max="7" width="14.75" style="10" customWidth="1"/>
    <col min="8" max="8" width="5.625" style="10" customWidth="1"/>
    <col min="9" max="9" width="10.125" style="10" customWidth="1"/>
  </cols>
  <sheetData>
    <row r="2" ht="24.75" customHeight="1" spans="1:9">
      <c r="A2" s="11" t="s">
        <v>2792</v>
      </c>
      <c r="B2" s="11"/>
      <c r="C2" s="11"/>
      <c r="D2" s="11"/>
      <c r="E2" s="11"/>
      <c r="F2" s="11"/>
      <c r="G2" s="11"/>
      <c r="H2" s="11"/>
      <c r="I2" s="11"/>
    </row>
    <row r="3" spans="1:9">
      <c r="A3" s="11" t="s">
        <v>2793</v>
      </c>
      <c r="B3" s="11" t="s">
        <v>55</v>
      </c>
      <c r="C3" s="11" t="s">
        <v>2794</v>
      </c>
      <c r="D3" s="11"/>
      <c r="E3" s="11"/>
      <c r="F3" s="11"/>
      <c r="G3" s="11"/>
      <c r="H3" s="11"/>
      <c r="I3" s="11"/>
    </row>
    <row r="4" spans="1:9">
      <c r="A4" s="12" t="s">
        <v>2795</v>
      </c>
      <c r="B4" s="12" t="s">
        <v>146</v>
      </c>
      <c r="C4" s="13">
        <v>3959.93</v>
      </c>
      <c r="D4" s="12"/>
      <c r="E4" s="12"/>
      <c r="F4" s="13"/>
      <c r="G4" s="14"/>
      <c r="H4" s="12"/>
      <c r="I4" s="13"/>
    </row>
    <row r="5" spans="1:9">
      <c r="A5" s="12" t="s">
        <v>2796</v>
      </c>
      <c r="B5" s="12" t="s">
        <v>146</v>
      </c>
      <c r="C5" s="13">
        <v>3763</v>
      </c>
      <c r="D5" s="12"/>
      <c r="E5" s="12"/>
      <c r="F5" s="13"/>
      <c r="G5" s="14"/>
      <c r="H5" s="12"/>
      <c r="I5" s="13"/>
    </row>
    <row r="6" spans="1:9">
      <c r="A6" s="12" t="s">
        <v>2797</v>
      </c>
      <c r="B6" s="12" t="s">
        <v>146</v>
      </c>
      <c r="C6" s="13">
        <v>11122.26</v>
      </c>
      <c r="D6" s="12"/>
      <c r="E6" s="12"/>
      <c r="F6" s="13"/>
      <c r="G6" s="14"/>
      <c r="H6" s="12"/>
      <c r="I6" s="13"/>
    </row>
    <row r="7" spans="1:9">
      <c r="A7" s="12" t="s">
        <v>2798</v>
      </c>
      <c r="B7" s="12" t="s">
        <v>146</v>
      </c>
      <c r="C7" s="13">
        <v>224</v>
      </c>
      <c r="D7" s="12"/>
      <c r="E7" s="12"/>
      <c r="F7" s="13"/>
      <c r="G7" s="14"/>
      <c r="H7" s="12"/>
      <c r="I7" s="13"/>
    </row>
    <row r="8" spans="1:9">
      <c r="A8" s="12" t="s">
        <v>2799</v>
      </c>
      <c r="B8" s="12" t="s">
        <v>146</v>
      </c>
      <c r="C8" s="13">
        <v>9505.3</v>
      </c>
      <c r="D8" s="12"/>
      <c r="E8" s="12"/>
      <c r="F8" s="13"/>
      <c r="G8" s="14"/>
      <c r="H8" s="12"/>
      <c r="I8" s="13"/>
    </row>
    <row r="9" spans="1:9">
      <c r="A9" s="12" t="s">
        <v>2800</v>
      </c>
      <c r="B9" s="12" t="s">
        <v>146</v>
      </c>
      <c r="C9" s="13">
        <f>189*2</f>
        <v>378</v>
      </c>
      <c r="D9" s="12"/>
      <c r="E9" s="12"/>
      <c r="F9" s="13"/>
      <c r="G9" s="14"/>
      <c r="H9" s="12"/>
      <c r="I9" s="13"/>
    </row>
    <row r="10" spans="1:9">
      <c r="A10" s="12" t="s">
        <v>2801</v>
      </c>
      <c r="B10" s="12" t="s">
        <v>146</v>
      </c>
      <c r="C10" s="13">
        <v>15914</v>
      </c>
      <c r="D10" s="12"/>
      <c r="E10" s="12"/>
      <c r="F10" s="13"/>
      <c r="G10" s="14"/>
      <c r="H10" s="12"/>
      <c r="I10" s="13"/>
    </row>
    <row r="11" spans="1:9">
      <c r="A11" s="12"/>
      <c r="B11" s="12"/>
      <c r="C11" s="13"/>
      <c r="D11" s="12"/>
      <c r="E11" s="12"/>
      <c r="F11" s="13"/>
      <c r="G11" s="14"/>
      <c r="H11" s="12"/>
      <c r="I11" s="13"/>
    </row>
    <row r="12" spans="1:9">
      <c r="A12" s="12" t="s">
        <v>174</v>
      </c>
      <c r="B12" s="12" t="s">
        <v>80</v>
      </c>
      <c r="C12" s="15">
        <v>6</v>
      </c>
      <c r="D12" s="14"/>
      <c r="E12" s="12"/>
      <c r="F12" s="13"/>
      <c r="G12" s="12"/>
      <c r="H12" s="12"/>
      <c r="I12" s="13"/>
    </row>
    <row r="13" spans="1:9">
      <c r="A13" s="12" t="s">
        <v>176</v>
      </c>
      <c r="B13" s="12" t="s">
        <v>80</v>
      </c>
      <c r="C13" s="15">
        <v>7</v>
      </c>
      <c r="D13" s="14"/>
      <c r="E13" s="12"/>
      <c r="F13" s="13"/>
      <c r="G13" s="12"/>
      <c r="H13" s="12"/>
      <c r="I13" s="13"/>
    </row>
    <row r="14" spans="1:9">
      <c r="A14" s="12" t="s">
        <v>2802</v>
      </c>
      <c r="B14" s="12" t="s">
        <v>80</v>
      </c>
      <c r="C14" s="15">
        <v>96</v>
      </c>
      <c r="D14" s="14"/>
      <c r="E14" s="12"/>
      <c r="F14" s="13"/>
      <c r="G14" s="12"/>
      <c r="H14" s="12"/>
      <c r="I14" s="13"/>
    </row>
    <row r="15" spans="1:9">
      <c r="A15" s="12" t="s">
        <v>639</v>
      </c>
      <c r="B15" s="12" t="s">
        <v>636</v>
      </c>
      <c r="C15" s="15">
        <v>2</v>
      </c>
      <c r="D15" s="14"/>
      <c r="E15" s="12"/>
      <c r="F15" s="13"/>
      <c r="G15" s="12"/>
      <c r="H15" s="12"/>
      <c r="I15" s="13"/>
    </row>
    <row r="16" spans="1:9">
      <c r="A16" s="12" t="s">
        <v>635</v>
      </c>
      <c r="B16" s="12" t="s">
        <v>636</v>
      </c>
      <c r="C16" s="15">
        <v>5</v>
      </c>
      <c r="D16" s="14"/>
      <c r="E16" s="12"/>
      <c r="F16" s="13"/>
      <c r="G16" s="12"/>
      <c r="H16" s="12"/>
      <c r="I16" s="13"/>
    </row>
    <row r="17" spans="1:9">
      <c r="A17" s="16" t="s">
        <v>2803</v>
      </c>
      <c r="B17" s="16" t="s">
        <v>146</v>
      </c>
      <c r="C17" s="17">
        <v>810</v>
      </c>
      <c r="D17" s="18"/>
      <c r="E17" s="19"/>
      <c r="F17" s="20"/>
      <c r="G17" s="20"/>
      <c r="H17" s="16"/>
      <c r="I17" s="16"/>
    </row>
    <row r="18" spans="1:9">
      <c r="A18" s="16" t="s">
        <v>2804</v>
      </c>
      <c r="B18" s="16" t="s">
        <v>146</v>
      </c>
      <c r="C18" s="21">
        <v>2463.3</v>
      </c>
      <c r="D18" s="18"/>
      <c r="E18" s="19"/>
      <c r="F18" s="20"/>
      <c r="G18" s="20"/>
      <c r="H18" s="16"/>
      <c r="I18" s="16"/>
    </row>
    <row r="19" spans="1:9">
      <c r="A19" s="16" t="s">
        <v>2805</v>
      </c>
      <c r="B19" s="16" t="s">
        <v>146</v>
      </c>
      <c r="C19" s="21">
        <v>937</v>
      </c>
      <c r="D19" s="22"/>
      <c r="E19" s="16"/>
      <c r="F19" s="23"/>
      <c r="G19" s="16"/>
      <c r="H19" s="16"/>
      <c r="I19" s="16"/>
    </row>
    <row r="20" spans="7:9">
      <c r="G20" s="16"/>
      <c r="H20" s="16"/>
      <c r="I20" s="16"/>
    </row>
    <row r="23" spans="1:7">
      <c r="A23" s="9" t="s">
        <v>2806</v>
      </c>
      <c r="D23" s="9"/>
      <c r="G23" s="9"/>
    </row>
    <row r="24" spans="1:9">
      <c r="A24" s="9" t="str">
        <f>A17</f>
        <v>315/280共用管沟</v>
      </c>
      <c r="B24" s="24">
        <f>((0.28+0.315+0.6)+(0.315+1.2)*0.3)*(0.315+1.2)*C17</f>
        <v>2024.183925</v>
      </c>
      <c r="C24" s="25"/>
      <c r="D24" s="25"/>
      <c r="E24" s="24"/>
      <c r="F24" s="25"/>
      <c r="G24" s="25"/>
      <c r="H24" s="24"/>
      <c r="I24" s="24"/>
    </row>
    <row r="25" spans="1:9">
      <c r="A25" s="9" t="str">
        <f>A18</f>
        <v>160/110共用管沟</v>
      </c>
      <c r="B25" s="24">
        <f>((0.16+0.11+0.6)+(0.16+1.2)*0.3)*(0.16+1.2)*C18</f>
        <v>4281.412464</v>
      </c>
      <c r="C25" s="25"/>
      <c r="D25" s="25"/>
      <c r="E25" s="24"/>
      <c r="F25" s="25"/>
      <c r="G25" s="25"/>
      <c r="H25" s="24"/>
      <c r="I25" s="24"/>
    </row>
    <row r="26" spans="1:9">
      <c r="A26" s="9" t="str">
        <f>A19</f>
        <v>160/160共用管沟</v>
      </c>
      <c r="B26" s="24">
        <f>((0.16*2+0.6)+(0.16+1.2)*0.3)*(0.16+1.2)*C19</f>
        <v>1692.29696</v>
      </c>
      <c r="C26" s="25"/>
      <c r="D26" s="25"/>
      <c r="E26" s="24"/>
      <c r="F26" s="25"/>
      <c r="G26" s="25"/>
      <c r="H26" s="24"/>
      <c r="I26" s="24"/>
    </row>
    <row r="27" spans="1:9">
      <c r="A27" s="9">
        <v>315</v>
      </c>
      <c r="B27" s="24">
        <f>(A27/1000+0.3+(A27/1000+1.2)*0.3)*(A27/1000+1.2)*(C4-C17)</f>
        <v>5103.807954525</v>
      </c>
      <c r="C27" s="25"/>
      <c r="D27" s="25"/>
      <c r="E27" s="24"/>
      <c r="F27" s="25"/>
      <c r="G27" s="25"/>
      <c r="H27" s="24"/>
      <c r="I27" s="24"/>
    </row>
    <row r="28" spans="1:9">
      <c r="A28" s="9">
        <v>280</v>
      </c>
      <c r="B28" s="24">
        <f>(A28/1000+0.3+(A28/1000+1.2)*0.3)*(A28/1000+1.2)*(C5-C17)</f>
        <v>4475.33056</v>
      </c>
      <c r="C28" s="25"/>
      <c r="D28" s="25"/>
      <c r="E28" s="24"/>
      <c r="F28" s="25"/>
      <c r="G28" s="25"/>
      <c r="H28" s="24"/>
      <c r="I28" s="24"/>
    </row>
    <row r="29" spans="1:9">
      <c r="A29" s="9">
        <v>160</v>
      </c>
      <c r="B29" s="24">
        <f>(A29/1000+0.3+(A29/1000+1.2)*0.3)*(A29/1000+1.2)*(C6-C18-C19)</f>
        <v>9115.6193408</v>
      </c>
      <c r="C29" s="25"/>
      <c r="D29" s="25"/>
      <c r="E29" s="24"/>
      <c r="F29" s="25"/>
      <c r="G29" s="25"/>
      <c r="H29" s="24"/>
      <c r="I29" s="24"/>
    </row>
    <row r="30" spans="1:9">
      <c r="A30" s="9">
        <v>125</v>
      </c>
      <c r="B30" s="24">
        <f>(A30/1000+0.3+(A30/1000+1.2)*0.3)*(A30/1000+1.2)*(C7)</f>
        <v>244.118</v>
      </c>
      <c r="C30" s="25"/>
      <c r="D30" s="24"/>
      <c r="E30" s="24"/>
      <c r="F30" s="25"/>
      <c r="G30" s="25"/>
      <c r="H30" s="24"/>
      <c r="I30" s="24"/>
    </row>
    <row r="31" spans="1:9">
      <c r="A31" s="9">
        <v>110</v>
      </c>
      <c r="B31" s="24">
        <f>(A31/1000+0.3+(A31/1000+1.2)*0.3)*(A31/1000+1.2)*(C8-C18)</f>
        <v>7407.69106</v>
      </c>
      <c r="C31" s="25"/>
      <c r="D31" s="24"/>
      <c r="E31" s="24"/>
      <c r="F31" s="25"/>
      <c r="G31" s="25"/>
      <c r="H31" s="24"/>
      <c r="I31" s="24"/>
    </row>
    <row r="32" spans="1:9">
      <c r="A32" s="9" t="s">
        <v>463</v>
      </c>
      <c r="B32" s="24">
        <f>SUM(B24:B31)</f>
        <v>34344.460264325</v>
      </c>
      <c r="C32" s="25"/>
      <c r="D32" s="24"/>
      <c r="E32" s="24"/>
      <c r="F32" s="25"/>
      <c r="G32" s="24"/>
      <c r="H32" s="24"/>
      <c r="I32" s="24"/>
    </row>
    <row r="33" spans="2:9">
      <c r="B33" s="24"/>
      <c r="C33" s="25"/>
      <c r="D33" s="24"/>
      <c r="E33" s="24"/>
      <c r="F33" s="25"/>
      <c r="G33" s="24"/>
      <c r="H33" s="24"/>
      <c r="I33" s="24"/>
    </row>
    <row r="34" spans="2:9">
      <c r="B34" s="24"/>
      <c r="C34" s="25"/>
      <c r="D34" s="24"/>
      <c r="E34" s="24"/>
      <c r="F34" s="25"/>
      <c r="G34" s="24"/>
      <c r="H34" s="24"/>
      <c r="I34" s="24"/>
    </row>
    <row r="35" spans="2:9">
      <c r="B35" s="24"/>
      <c r="C35" s="25"/>
      <c r="D35" s="24"/>
      <c r="E35" s="24"/>
      <c r="F35" s="25"/>
      <c r="G35" s="24"/>
      <c r="H35" s="24"/>
      <c r="I35" s="24"/>
    </row>
    <row r="36" spans="1:9">
      <c r="A36" s="16"/>
      <c r="B36" s="26"/>
      <c r="C36" s="26"/>
      <c r="D36" s="26"/>
      <c r="E36" s="26"/>
      <c r="F36" s="26"/>
      <c r="G36" s="26"/>
      <c r="H36" s="26"/>
      <c r="I36" s="26" t="s">
        <v>463</v>
      </c>
    </row>
    <row r="37" spans="1:9">
      <c r="A37" s="16" t="s">
        <v>565</v>
      </c>
      <c r="B37" s="26">
        <v>0</v>
      </c>
      <c r="C37" s="26">
        <v>221</v>
      </c>
      <c r="D37" s="26">
        <v>65.5</v>
      </c>
      <c r="E37" s="26">
        <v>466</v>
      </c>
      <c r="F37" s="26">
        <v>60.9</v>
      </c>
      <c r="G37" s="26">
        <v>21.8</v>
      </c>
      <c r="H37" s="26">
        <v>2</v>
      </c>
      <c r="I37" s="26">
        <f>SUM(B37:H37)</f>
        <v>837.2</v>
      </c>
    </row>
    <row r="38" spans="1:9">
      <c r="A38" s="16" t="s">
        <v>567</v>
      </c>
      <c r="B38" s="26">
        <v>31048.9</v>
      </c>
      <c r="C38" s="26">
        <v>4853.5</v>
      </c>
      <c r="D38" s="26">
        <v>1159.7</v>
      </c>
      <c r="E38" s="26">
        <v>3859.9</v>
      </c>
      <c r="F38" s="26">
        <v>0</v>
      </c>
      <c r="G38" s="26">
        <v>233</v>
      </c>
      <c r="H38" s="26">
        <v>122.4</v>
      </c>
      <c r="I38" s="26">
        <f>SUM(B38:H38)</f>
        <v>41277.4</v>
      </c>
    </row>
    <row r="39" spans="1:4">
      <c r="A39" s="27"/>
      <c r="B39" s="28"/>
      <c r="C39" s="27"/>
      <c r="D39" s="28"/>
    </row>
    <row r="40" spans="1:4">
      <c r="A40" s="16"/>
      <c r="B40" s="19"/>
      <c r="C40" s="16"/>
      <c r="D40" s="19"/>
    </row>
    <row r="41" spans="1:4">
      <c r="A41" s="16"/>
      <c r="B41" s="19"/>
      <c r="C41" s="16"/>
      <c r="D41" s="19"/>
    </row>
    <row r="42" spans="1:4">
      <c r="A42" s="16"/>
      <c r="B42" s="19"/>
      <c r="C42" s="16"/>
      <c r="D42" s="19"/>
    </row>
    <row r="43" spans="1:4">
      <c r="A43" s="16"/>
      <c r="B43" s="19"/>
      <c r="C43" s="16"/>
      <c r="D43" s="19"/>
    </row>
  </sheetData>
  <mergeCells count="3">
    <mergeCell ref="A2:C2"/>
    <mergeCell ref="D2:F2"/>
    <mergeCell ref="G2:I2"/>
  </mergeCells>
  <pageMargins left="0.699305555555556" right="0.699305555555556" top="0.75" bottom="0.75" header="0.3" footer="0.3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workbookViewId="0">
      <selection activeCell="A1" sqref="A1:F1"/>
    </sheetView>
  </sheetViews>
  <sheetFormatPr defaultColWidth="8.75" defaultRowHeight="14.25"/>
  <cols>
    <col min="2" max="2" width="16.25" customWidth="1"/>
    <col min="3" max="3" width="10.125" hidden="1" customWidth="1"/>
    <col min="4" max="5" width="10" customWidth="1"/>
    <col min="6" max="7" width="10.5" customWidth="1"/>
    <col min="8" max="8" width="12.25" customWidth="1"/>
    <col min="9" max="9" width="16.875" customWidth="1"/>
    <col min="10" max="10" width="12.75" customWidth="1"/>
    <col min="11" max="11" width="13.875" customWidth="1"/>
    <col min="12" max="14" width="12.75" customWidth="1"/>
    <col min="16" max="16" width="46.625" customWidth="1"/>
    <col min="259" max="259" width="16.25" customWidth="1"/>
    <col min="260" max="260" width="10.125" customWidth="1"/>
    <col min="261" max="262" width="10" customWidth="1"/>
    <col min="263" max="264" width="10.5" customWidth="1"/>
    <col min="265" max="265" width="12.25" customWidth="1"/>
    <col min="266" max="266" width="12.75" customWidth="1"/>
    <col min="267" max="267" width="13.875" customWidth="1"/>
    <col min="268" max="270" width="12.75" customWidth="1"/>
    <col min="272" max="272" width="46.625" customWidth="1"/>
    <col min="515" max="515" width="16.25" customWidth="1"/>
    <col min="516" max="516" width="10.125" customWidth="1"/>
    <col min="517" max="518" width="10" customWidth="1"/>
    <col min="519" max="520" width="10.5" customWidth="1"/>
    <col min="521" max="521" width="12.25" customWidth="1"/>
    <col min="522" max="522" width="12.75" customWidth="1"/>
    <col min="523" max="523" width="13.875" customWidth="1"/>
    <col min="524" max="526" width="12.75" customWidth="1"/>
    <col min="528" max="528" width="46.625" customWidth="1"/>
    <col min="771" max="771" width="16.25" customWidth="1"/>
    <col min="772" max="772" width="10.125" customWidth="1"/>
    <col min="773" max="774" width="10" customWidth="1"/>
    <col min="775" max="776" width="10.5" customWidth="1"/>
    <col min="777" max="777" width="12.25" customWidth="1"/>
    <col min="778" max="778" width="12.75" customWidth="1"/>
    <col min="779" max="779" width="13.875" customWidth="1"/>
    <col min="780" max="782" width="12.75" customWidth="1"/>
    <col min="784" max="784" width="46.625" customWidth="1"/>
    <col min="1027" max="1027" width="16.25" customWidth="1"/>
    <col min="1028" max="1028" width="10.125" customWidth="1"/>
    <col min="1029" max="1030" width="10" customWidth="1"/>
    <col min="1031" max="1032" width="10.5" customWidth="1"/>
    <col min="1033" max="1033" width="12.25" customWidth="1"/>
    <col min="1034" max="1034" width="12.75" customWidth="1"/>
    <col min="1035" max="1035" width="13.875" customWidth="1"/>
    <col min="1036" max="1038" width="12.75" customWidth="1"/>
    <col min="1040" max="1040" width="46.625" customWidth="1"/>
    <col min="1283" max="1283" width="16.25" customWidth="1"/>
    <col min="1284" max="1284" width="10.125" customWidth="1"/>
    <col min="1285" max="1286" width="10" customWidth="1"/>
    <col min="1287" max="1288" width="10.5" customWidth="1"/>
    <col min="1289" max="1289" width="12.25" customWidth="1"/>
    <col min="1290" max="1290" width="12.75" customWidth="1"/>
    <col min="1291" max="1291" width="13.875" customWidth="1"/>
    <col min="1292" max="1294" width="12.75" customWidth="1"/>
    <col min="1296" max="1296" width="46.625" customWidth="1"/>
    <col min="1539" max="1539" width="16.25" customWidth="1"/>
    <col min="1540" max="1540" width="10.125" customWidth="1"/>
    <col min="1541" max="1542" width="10" customWidth="1"/>
    <col min="1543" max="1544" width="10.5" customWidth="1"/>
    <col min="1545" max="1545" width="12.25" customWidth="1"/>
    <col min="1546" max="1546" width="12.75" customWidth="1"/>
    <col min="1547" max="1547" width="13.875" customWidth="1"/>
    <col min="1548" max="1550" width="12.75" customWidth="1"/>
    <col min="1552" max="1552" width="46.625" customWidth="1"/>
    <col min="1795" max="1795" width="16.25" customWidth="1"/>
    <col min="1796" max="1796" width="10.125" customWidth="1"/>
    <col min="1797" max="1798" width="10" customWidth="1"/>
    <col min="1799" max="1800" width="10.5" customWidth="1"/>
    <col min="1801" max="1801" width="12.25" customWidth="1"/>
    <col min="1802" max="1802" width="12.75" customWidth="1"/>
    <col min="1803" max="1803" width="13.875" customWidth="1"/>
    <col min="1804" max="1806" width="12.75" customWidth="1"/>
    <col min="1808" max="1808" width="46.625" customWidth="1"/>
    <col min="2051" max="2051" width="16.25" customWidth="1"/>
    <col min="2052" max="2052" width="10.125" customWidth="1"/>
    <col min="2053" max="2054" width="10" customWidth="1"/>
    <col min="2055" max="2056" width="10.5" customWidth="1"/>
    <col min="2057" max="2057" width="12.25" customWidth="1"/>
    <col min="2058" max="2058" width="12.75" customWidth="1"/>
    <col min="2059" max="2059" width="13.875" customWidth="1"/>
    <col min="2060" max="2062" width="12.75" customWidth="1"/>
    <col min="2064" max="2064" width="46.625" customWidth="1"/>
    <col min="2307" max="2307" width="16.25" customWidth="1"/>
    <col min="2308" max="2308" width="10.125" customWidth="1"/>
    <col min="2309" max="2310" width="10" customWidth="1"/>
    <col min="2311" max="2312" width="10.5" customWidth="1"/>
    <col min="2313" max="2313" width="12.25" customWidth="1"/>
    <col min="2314" max="2314" width="12.75" customWidth="1"/>
    <col min="2315" max="2315" width="13.875" customWidth="1"/>
    <col min="2316" max="2318" width="12.75" customWidth="1"/>
    <col min="2320" max="2320" width="46.625" customWidth="1"/>
    <col min="2563" max="2563" width="16.25" customWidth="1"/>
    <col min="2564" max="2564" width="10.125" customWidth="1"/>
    <col min="2565" max="2566" width="10" customWidth="1"/>
    <col min="2567" max="2568" width="10.5" customWidth="1"/>
    <col min="2569" max="2569" width="12.25" customWidth="1"/>
    <col min="2570" max="2570" width="12.75" customWidth="1"/>
    <col min="2571" max="2571" width="13.875" customWidth="1"/>
    <col min="2572" max="2574" width="12.75" customWidth="1"/>
    <col min="2576" max="2576" width="46.625" customWidth="1"/>
    <col min="2819" max="2819" width="16.25" customWidth="1"/>
    <col min="2820" max="2820" width="10.125" customWidth="1"/>
    <col min="2821" max="2822" width="10" customWidth="1"/>
    <col min="2823" max="2824" width="10.5" customWidth="1"/>
    <col min="2825" max="2825" width="12.25" customWidth="1"/>
    <col min="2826" max="2826" width="12.75" customWidth="1"/>
    <col min="2827" max="2827" width="13.875" customWidth="1"/>
    <col min="2828" max="2830" width="12.75" customWidth="1"/>
    <col min="2832" max="2832" width="46.625" customWidth="1"/>
    <col min="3075" max="3075" width="16.25" customWidth="1"/>
    <col min="3076" max="3076" width="10.125" customWidth="1"/>
    <col min="3077" max="3078" width="10" customWidth="1"/>
    <col min="3079" max="3080" width="10.5" customWidth="1"/>
    <col min="3081" max="3081" width="12.25" customWidth="1"/>
    <col min="3082" max="3082" width="12.75" customWidth="1"/>
    <col min="3083" max="3083" width="13.875" customWidth="1"/>
    <col min="3084" max="3086" width="12.75" customWidth="1"/>
    <col min="3088" max="3088" width="46.625" customWidth="1"/>
    <col min="3331" max="3331" width="16.25" customWidth="1"/>
    <col min="3332" max="3332" width="10.125" customWidth="1"/>
    <col min="3333" max="3334" width="10" customWidth="1"/>
    <col min="3335" max="3336" width="10.5" customWidth="1"/>
    <col min="3337" max="3337" width="12.25" customWidth="1"/>
    <col min="3338" max="3338" width="12.75" customWidth="1"/>
    <col min="3339" max="3339" width="13.875" customWidth="1"/>
    <col min="3340" max="3342" width="12.75" customWidth="1"/>
    <col min="3344" max="3344" width="46.625" customWidth="1"/>
    <col min="3587" max="3587" width="16.25" customWidth="1"/>
    <col min="3588" max="3588" width="10.125" customWidth="1"/>
    <col min="3589" max="3590" width="10" customWidth="1"/>
    <col min="3591" max="3592" width="10.5" customWidth="1"/>
    <col min="3593" max="3593" width="12.25" customWidth="1"/>
    <col min="3594" max="3594" width="12.75" customWidth="1"/>
    <col min="3595" max="3595" width="13.875" customWidth="1"/>
    <col min="3596" max="3598" width="12.75" customWidth="1"/>
    <col min="3600" max="3600" width="46.625" customWidth="1"/>
    <col min="3843" max="3843" width="16.25" customWidth="1"/>
    <col min="3844" max="3844" width="10.125" customWidth="1"/>
    <col min="3845" max="3846" width="10" customWidth="1"/>
    <col min="3847" max="3848" width="10.5" customWidth="1"/>
    <col min="3849" max="3849" width="12.25" customWidth="1"/>
    <col min="3850" max="3850" width="12.75" customWidth="1"/>
    <col min="3851" max="3851" width="13.875" customWidth="1"/>
    <col min="3852" max="3854" width="12.75" customWidth="1"/>
    <col min="3856" max="3856" width="46.625" customWidth="1"/>
    <col min="4099" max="4099" width="16.25" customWidth="1"/>
    <col min="4100" max="4100" width="10.125" customWidth="1"/>
    <col min="4101" max="4102" width="10" customWidth="1"/>
    <col min="4103" max="4104" width="10.5" customWidth="1"/>
    <col min="4105" max="4105" width="12.25" customWidth="1"/>
    <col min="4106" max="4106" width="12.75" customWidth="1"/>
    <col min="4107" max="4107" width="13.875" customWidth="1"/>
    <col min="4108" max="4110" width="12.75" customWidth="1"/>
    <col min="4112" max="4112" width="46.625" customWidth="1"/>
    <col min="4355" max="4355" width="16.25" customWidth="1"/>
    <col min="4356" max="4356" width="10.125" customWidth="1"/>
    <col min="4357" max="4358" width="10" customWidth="1"/>
    <col min="4359" max="4360" width="10.5" customWidth="1"/>
    <col min="4361" max="4361" width="12.25" customWidth="1"/>
    <col min="4362" max="4362" width="12.75" customWidth="1"/>
    <col min="4363" max="4363" width="13.875" customWidth="1"/>
    <col min="4364" max="4366" width="12.75" customWidth="1"/>
    <col min="4368" max="4368" width="46.625" customWidth="1"/>
    <col min="4611" max="4611" width="16.25" customWidth="1"/>
    <col min="4612" max="4612" width="10.125" customWidth="1"/>
    <col min="4613" max="4614" width="10" customWidth="1"/>
    <col min="4615" max="4616" width="10.5" customWidth="1"/>
    <col min="4617" max="4617" width="12.25" customWidth="1"/>
    <col min="4618" max="4618" width="12.75" customWidth="1"/>
    <col min="4619" max="4619" width="13.875" customWidth="1"/>
    <col min="4620" max="4622" width="12.75" customWidth="1"/>
    <col min="4624" max="4624" width="46.625" customWidth="1"/>
    <col min="4867" max="4867" width="16.25" customWidth="1"/>
    <col min="4868" max="4868" width="10.125" customWidth="1"/>
    <col min="4869" max="4870" width="10" customWidth="1"/>
    <col min="4871" max="4872" width="10.5" customWidth="1"/>
    <col min="4873" max="4873" width="12.25" customWidth="1"/>
    <col min="4874" max="4874" width="12.75" customWidth="1"/>
    <col min="4875" max="4875" width="13.875" customWidth="1"/>
    <col min="4876" max="4878" width="12.75" customWidth="1"/>
    <col min="4880" max="4880" width="46.625" customWidth="1"/>
    <col min="5123" max="5123" width="16.25" customWidth="1"/>
    <col min="5124" max="5124" width="10.125" customWidth="1"/>
    <col min="5125" max="5126" width="10" customWidth="1"/>
    <col min="5127" max="5128" width="10.5" customWidth="1"/>
    <col min="5129" max="5129" width="12.25" customWidth="1"/>
    <col min="5130" max="5130" width="12.75" customWidth="1"/>
    <col min="5131" max="5131" width="13.875" customWidth="1"/>
    <col min="5132" max="5134" width="12.75" customWidth="1"/>
    <col min="5136" max="5136" width="46.625" customWidth="1"/>
    <col min="5379" max="5379" width="16.25" customWidth="1"/>
    <col min="5380" max="5380" width="10.125" customWidth="1"/>
    <col min="5381" max="5382" width="10" customWidth="1"/>
    <col min="5383" max="5384" width="10.5" customWidth="1"/>
    <col min="5385" max="5385" width="12.25" customWidth="1"/>
    <col min="5386" max="5386" width="12.75" customWidth="1"/>
    <col min="5387" max="5387" width="13.875" customWidth="1"/>
    <col min="5388" max="5390" width="12.75" customWidth="1"/>
    <col min="5392" max="5392" width="46.625" customWidth="1"/>
    <col min="5635" max="5635" width="16.25" customWidth="1"/>
    <col min="5636" max="5636" width="10.125" customWidth="1"/>
    <col min="5637" max="5638" width="10" customWidth="1"/>
    <col min="5639" max="5640" width="10.5" customWidth="1"/>
    <col min="5641" max="5641" width="12.25" customWidth="1"/>
    <col min="5642" max="5642" width="12.75" customWidth="1"/>
    <col min="5643" max="5643" width="13.875" customWidth="1"/>
    <col min="5644" max="5646" width="12.75" customWidth="1"/>
    <col min="5648" max="5648" width="46.625" customWidth="1"/>
    <col min="5891" max="5891" width="16.25" customWidth="1"/>
    <col min="5892" max="5892" width="10.125" customWidth="1"/>
    <col min="5893" max="5894" width="10" customWidth="1"/>
    <col min="5895" max="5896" width="10.5" customWidth="1"/>
    <col min="5897" max="5897" width="12.25" customWidth="1"/>
    <col min="5898" max="5898" width="12.75" customWidth="1"/>
    <col min="5899" max="5899" width="13.875" customWidth="1"/>
    <col min="5900" max="5902" width="12.75" customWidth="1"/>
    <col min="5904" max="5904" width="46.625" customWidth="1"/>
    <col min="6147" max="6147" width="16.25" customWidth="1"/>
    <col min="6148" max="6148" width="10.125" customWidth="1"/>
    <col min="6149" max="6150" width="10" customWidth="1"/>
    <col min="6151" max="6152" width="10.5" customWidth="1"/>
    <col min="6153" max="6153" width="12.25" customWidth="1"/>
    <col min="6154" max="6154" width="12.75" customWidth="1"/>
    <col min="6155" max="6155" width="13.875" customWidth="1"/>
    <col min="6156" max="6158" width="12.75" customWidth="1"/>
    <col min="6160" max="6160" width="46.625" customWidth="1"/>
    <col min="6403" max="6403" width="16.25" customWidth="1"/>
    <col min="6404" max="6404" width="10.125" customWidth="1"/>
    <col min="6405" max="6406" width="10" customWidth="1"/>
    <col min="6407" max="6408" width="10.5" customWidth="1"/>
    <col min="6409" max="6409" width="12.25" customWidth="1"/>
    <col min="6410" max="6410" width="12.75" customWidth="1"/>
    <col min="6411" max="6411" width="13.875" customWidth="1"/>
    <col min="6412" max="6414" width="12.75" customWidth="1"/>
    <col min="6416" max="6416" width="46.625" customWidth="1"/>
    <col min="6659" max="6659" width="16.25" customWidth="1"/>
    <col min="6660" max="6660" width="10.125" customWidth="1"/>
    <col min="6661" max="6662" width="10" customWidth="1"/>
    <col min="6663" max="6664" width="10.5" customWidth="1"/>
    <col min="6665" max="6665" width="12.25" customWidth="1"/>
    <col min="6666" max="6666" width="12.75" customWidth="1"/>
    <col min="6667" max="6667" width="13.875" customWidth="1"/>
    <col min="6668" max="6670" width="12.75" customWidth="1"/>
    <col min="6672" max="6672" width="46.625" customWidth="1"/>
    <col min="6915" max="6915" width="16.25" customWidth="1"/>
    <col min="6916" max="6916" width="10.125" customWidth="1"/>
    <col min="6917" max="6918" width="10" customWidth="1"/>
    <col min="6919" max="6920" width="10.5" customWidth="1"/>
    <col min="6921" max="6921" width="12.25" customWidth="1"/>
    <col min="6922" max="6922" width="12.75" customWidth="1"/>
    <col min="6923" max="6923" width="13.875" customWidth="1"/>
    <col min="6924" max="6926" width="12.75" customWidth="1"/>
    <col min="6928" max="6928" width="46.625" customWidth="1"/>
    <col min="7171" max="7171" width="16.25" customWidth="1"/>
    <col min="7172" max="7172" width="10.125" customWidth="1"/>
    <col min="7173" max="7174" width="10" customWidth="1"/>
    <col min="7175" max="7176" width="10.5" customWidth="1"/>
    <col min="7177" max="7177" width="12.25" customWidth="1"/>
    <col min="7178" max="7178" width="12.75" customWidth="1"/>
    <col min="7179" max="7179" width="13.875" customWidth="1"/>
    <col min="7180" max="7182" width="12.75" customWidth="1"/>
    <col min="7184" max="7184" width="46.625" customWidth="1"/>
    <col min="7427" max="7427" width="16.25" customWidth="1"/>
    <col min="7428" max="7428" width="10.125" customWidth="1"/>
    <col min="7429" max="7430" width="10" customWidth="1"/>
    <col min="7431" max="7432" width="10.5" customWidth="1"/>
    <col min="7433" max="7433" width="12.25" customWidth="1"/>
    <col min="7434" max="7434" width="12.75" customWidth="1"/>
    <col min="7435" max="7435" width="13.875" customWidth="1"/>
    <col min="7436" max="7438" width="12.75" customWidth="1"/>
    <col min="7440" max="7440" width="46.625" customWidth="1"/>
    <col min="7683" max="7683" width="16.25" customWidth="1"/>
    <col min="7684" max="7684" width="10.125" customWidth="1"/>
    <col min="7685" max="7686" width="10" customWidth="1"/>
    <col min="7687" max="7688" width="10.5" customWidth="1"/>
    <col min="7689" max="7689" width="12.25" customWidth="1"/>
    <col min="7690" max="7690" width="12.75" customWidth="1"/>
    <col min="7691" max="7691" width="13.875" customWidth="1"/>
    <col min="7692" max="7694" width="12.75" customWidth="1"/>
    <col min="7696" max="7696" width="46.625" customWidth="1"/>
    <col min="7939" max="7939" width="16.25" customWidth="1"/>
    <col min="7940" max="7940" width="10.125" customWidth="1"/>
    <col min="7941" max="7942" width="10" customWidth="1"/>
    <col min="7943" max="7944" width="10.5" customWidth="1"/>
    <col min="7945" max="7945" width="12.25" customWidth="1"/>
    <col min="7946" max="7946" width="12.75" customWidth="1"/>
    <col min="7947" max="7947" width="13.875" customWidth="1"/>
    <col min="7948" max="7950" width="12.75" customWidth="1"/>
    <col min="7952" max="7952" width="46.625" customWidth="1"/>
    <col min="8195" max="8195" width="16.25" customWidth="1"/>
    <col min="8196" max="8196" width="10.125" customWidth="1"/>
    <col min="8197" max="8198" width="10" customWidth="1"/>
    <col min="8199" max="8200" width="10.5" customWidth="1"/>
    <col min="8201" max="8201" width="12.25" customWidth="1"/>
    <col min="8202" max="8202" width="12.75" customWidth="1"/>
    <col min="8203" max="8203" width="13.875" customWidth="1"/>
    <col min="8204" max="8206" width="12.75" customWidth="1"/>
    <col min="8208" max="8208" width="46.625" customWidth="1"/>
    <col min="8451" max="8451" width="16.25" customWidth="1"/>
    <col min="8452" max="8452" width="10.125" customWidth="1"/>
    <col min="8453" max="8454" width="10" customWidth="1"/>
    <col min="8455" max="8456" width="10.5" customWidth="1"/>
    <col min="8457" max="8457" width="12.25" customWidth="1"/>
    <col min="8458" max="8458" width="12.75" customWidth="1"/>
    <col min="8459" max="8459" width="13.875" customWidth="1"/>
    <col min="8460" max="8462" width="12.75" customWidth="1"/>
    <col min="8464" max="8464" width="46.625" customWidth="1"/>
    <col min="8707" max="8707" width="16.25" customWidth="1"/>
    <col min="8708" max="8708" width="10.125" customWidth="1"/>
    <col min="8709" max="8710" width="10" customWidth="1"/>
    <col min="8711" max="8712" width="10.5" customWidth="1"/>
    <col min="8713" max="8713" width="12.25" customWidth="1"/>
    <col min="8714" max="8714" width="12.75" customWidth="1"/>
    <col min="8715" max="8715" width="13.875" customWidth="1"/>
    <col min="8716" max="8718" width="12.75" customWidth="1"/>
    <col min="8720" max="8720" width="46.625" customWidth="1"/>
    <col min="8963" max="8963" width="16.25" customWidth="1"/>
    <col min="8964" max="8964" width="10.125" customWidth="1"/>
    <col min="8965" max="8966" width="10" customWidth="1"/>
    <col min="8967" max="8968" width="10.5" customWidth="1"/>
    <col min="8969" max="8969" width="12.25" customWidth="1"/>
    <col min="8970" max="8970" width="12.75" customWidth="1"/>
    <col min="8971" max="8971" width="13.875" customWidth="1"/>
    <col min="8972" max="8974" width="12.75" customWidth="1"/>
    <col min="8976" max="8976" width="46.625" customWidth="1"/>
    <col min="9219" max="9219" width="16.25" customWidth="1"/>
    <col min="9220" max="9220" width="10.125" customWidth="1"/>
    <col min="9221" max="9222" width="10" customWidth="1"/>
    <col min="9223" max="9224" width="10.5" customWidth="1"/>
    <col min="9225" max="9225" width="12.25" customWidth="1"/>
    <col min="9226" max="9226" width="12.75" customWidth="1"/>
    <col min="9227" max="9227" width="13.875" customWidth="1"/>
    <col min="9228" max="9230" width="12.75" customWidth="1"/>
    <col min="9232" max="9232" width="46.625" customWidth="1"/>
    <col min="9475" max="9475" width="16.25" customWidth="1"/>
    <col min="9476" max="9476" width="10.125" customWidth="1"/>
    <col min="9477" max="9478" width="10" customWidth="1"/>
    <col min="9479" max="9480" width="10.5" customWidth="1"/>
    <col min="9481" max="9481" width="12.25" customWidth="1"/>
    <col min="9482" max="9482" width="12.75" customWidth="1"/>
    <col min="9483" max="9483" width="13.875" customWidth="1"/>
    <col min="9484" max="9486" width="12.75" customWidth="1"/>
    <col min="9488" max="9488" width="46.625" customWidth="1"/>
    <col min="9731" max="9731" width="16.25" customWidth="1"/>
    <col min="9732" max="9732" width="10.125" customWidth="1"/>
    <col min="9733" max="9734" width="10" customWidth="1"/>
    <col min="9735" max="9736" width="10.5" customWidth="1"/>
    <col min="9737" max="9737" width="12.25" customWidth="1"/>
    <col min="9738" max="9738" width="12.75" customWidth="1"/>
    <col min="9739" max="9739" width="13.875" customWidth="1"/>
    <col min="9740" max="9742" width="12.75" customWidth="1"/>
    <col min="9744" max="9744" width="46.625" customWidth="1"/>
    <col min="9987" max="9987" width="16.25" customWidth="1"/>
    <col min="9988" max="9988" width="10.125" customWidth="1"/>
    <col min="9989" max="9990" width="10" customWidth="1"/>
    <col min="9991" max="9992" width="10.5" customWidth="1"/>
    <col min="9993" max="9993" width="12.25" customWidth="1"/>
    <col min="9994" max="9994" width="12.75" customWidth="1"/>
    <col min="9995" max="9995" width="13.875" customWidth="1"/>
    <col min="9996" max="9998" width="12.75" customWidth="1"/>
    <col min="10000" max="10000" width="46.625" customWidth="1"/>
    <col min="10243" max="10243" width="16.25" customWidth="1"/>
    <col min="10244" max="10244" width="10.125" customWidth="1"/>
    <col min="10245" max="10246" width="10" customWidth="1"/>
    <col min="10247" max="10248" width="10.5" customWidth="1"/>
    <col min="10249" max="10249" width="12.25" customWidth="1"/>
    <col min="10250" max="10250" width="12.75" customWidth="1"/>
    <col min="10251" max="10251" width="13.875" customWidth="1"/>
    <col min="10252" max="10254" width="12.75" customWidth="1"/>
    <col min="10256" max="10256" width="46.625" customWidth="1"/>
    <col min="10499" max="10499" width="16.25" customWidth="1"/>
    <col min="10500" max="10500" width="10.125" customWidth="1"/>
    <col min="10501" max="10502" width="10" customWidth="1"/>
    <col min="10503" max="10504" width="10.5" customWidth="1"/>
    <col min="10505" max="10505" width="12.25" customWidth="1"/>
    <col min="10506" max="10506" width="12.75" customWidth="1"/>
    <col min="10507" max="10507" width="13.875" customWidth="1"/>
    <col min="10508" max="10510" width="12.75" customWidth="1"/>
    <col min="10512" max="10512" width="46.625" customWidth="1"/>
    <col min="10755" max="10755" width="16.25" customWidth="1"/>
    <col min="10756" max="10756" width="10.125" customWidth="1"/>
    <col min="10757" max="10758" width="10" customWidth="1"/>
    <col min="10759" max="10760" width="10.5" customWidth="1"/>
    <col min="10761" max="10761" width="12.25" customWidth="1"/>
    <col min="10762" max="10762" width="12.75" customWidth="1"/>
    <col min="10763" max="10763" width="13.875" customWidth="1"/>
    <col min="10764" max="10766" width="12.75" customWidth="1"/>
    <col min="10768" max="10768" width="46.625" customWidth="1"/>
    <col min="11011" max="11011" width="16.25" customWidth="1"/>
    <col min="11012" max="11012" width="10.125" customWidth="1"/>
    <col min="11013" max="11014" width="10" customWidth="1"/>
    <col min="11015" max="11016" width="10.5" customWidth="1"/>
    <col min="11017" max="11017" width="12.25" customWidth="1"/>
    <col min="11018" max="11018" width="12.75" customWidth="1"/>
    <col min="11019" max="11019" width="13.875" customWidth="1"/>
    <col min="11020" max="11022" width="12.75" customWidth="1"/>
    <col min="11024" max="11024" width="46.625" customWidth="1"/>
    <col min="11267" max="11267" width="16.25" customWidth="1"/>
    <col min="11268" max="11268" width="10.125" customWidth="1"/>
    <col min="11269" max="11270" width="10" customWidth="1"/>
    <col min="11271" max="11272" width="10.5" customWidth="1"/>
    <col min="11273" max="11273" width="12.25" customWidth="1"/>
    <col min="11274" max="11274" width="12.75" customWidth="1"/>
    <col min="11275" max="11275" width="13.875" customWidth="1"/>
    <col min="11276" max="11278" width="12.75" customWidth="1"/>
    <col min="11280" max="11280" width="46.625" customWidth="1"/>
    <col min="11523" max="11523" width="16.25" customWidth="1"/>
    <col min="11524" max="11524" width="10.125" customWidth="1"/>
    <col min="11525" max="11526" width="10" customWidth="1"/>
    <col min="11527" max="11528" width="10.5" customWidth="1"/>
    <col min="11529" max="11529" width="12.25" customWidth="1"/>
    <col min="11530" max="11530" width="12.75" customWidth="1"/>
    <col min="11531" max="11531" width="13.875" customWidth="1"/>
    <col min="11532" max="11534" width="12.75" customWidth="1"/>
    <col min="11536" max="11536" width="46.625" customWidth="1"/>
    <col min="11779" max="11779" width="16.25" customWidth="1"/>
    <col min="11780" max="11780" width="10.125" customWidth="1"/>
    <col min="11781" max="11782" width="10" customWidth="1"/>
    <col min="11783" max="11784" width="10.5" customWidth="1"/>
    <col min="11785" max="11785" width="12.25" customWidth="1"/>
    <col min="11786" max="11786" width="12.75" customWidth="1"/>
    <col min="11787" max="11787" width="13.875" customWidth="1"/>
    <col min="11788" max="11790" width="12.75" customWidth="1"/>
    <col min="11792" max="11792" width="46.625" customWidth="1"/>
    <col min="12035" max="12035" width="16.25" customWidth="1"/>
    <col min="12036" max="12036" width="10.125" customWidth="1"/>
    <col min="12037" max="12038" width="10" customWidth="1"/>
    <col min="12039" max="12040" width="10.5" customWidth="1"/>
    <col min="12041" max="12041" width="12.25" customWidth="1"/>
    <col min="12042" max="12042" width="12.75" customWidth="1"/>
    <col min="12043" max="12043" width="13.875" customWidth="1"/>
    <col min="12044" max="12046" width="12.75" customWidth="1"/>
    <col min="12048" max="12048" width="46.625" customWidth="1"/>
    <col min="12291" max="12291" width="16.25" customWidth="1"/>
    <col min="12292" max="12292" width="10.125" customWidth="1"/>
    <col min="12293" max="12294" width="10" customWidth="1"/>
    <col min="12295" max="12296" width="10.5" customWidth="1"/>
    <col min="12297" max="12297" width="12.25" customWidth="1"/>
    <col min="12298" max="12298" width="12.75" customWidth="1"/>
    <col min="12299" max="12299" width="13.875" customWidth="1"/>
    <col min="12300" max="12302" width="12.75" customWidth="1"/>
    <col min="12304" max="12304" width="46.625" customWidth="1"/>
    <col min="12547" max="12547" width="16.25" customWidth="1"/>
    <col min="12548" max="12548" width="10.125" customWidth="1"/>
    <col min="12549" max="12550" width="10" customWidth="1"/>
    <col min="12551" max="12552" width="10.5" customWidth="1"/>
    <col min="12553" max="12553" width="12.25" customWidth="1"/>
    <col min="12554" max="12554" width="12.75" customWidth="1"/>
    <col min="12555" max="12555" width="13.875" customWidth="1"/>
    <col min="12556" max="12558" width="12.75" customWidth="1"/>
    <col min="12560" max="12560" width="46.625" customWidth="1"/>
    <col min="12803" max="12803" width="16.25" customWidth="1"/>
    <col min="12804" max="12804" width="10.125" customWidth="1"/>
    <col min="12805" max="12806" width="10" customWidth="1"/>
    <col min="12807" max="12808" width="10.5" customWidth="1"/>
    <col min="12809" max="12809" width="12.25" customWidth="1"/>
    <col min="12810" max="12810" width="12.75" customWidth="1"/>
    <col min="12811" max="12811" width="13.875" customWidth="1"/>
    <col min="12812" max="12814" width="12.75" customWidth="1"/>
    <col min="12816" max="12816" width="46.625" customWidth="1"/>
    <col min="13059" max="13059" width="16.25" customWidth="1"/>
    <col min="13060" max="13060" width="10.125" customWidth="1"/>
    <col min="13061" max="13062" width="10" customWidth="1"/>
    <col min="13063" max="13064" width="10.5" customWidth="1"/>
    <col min="13065" max="13065" width="12.25" customWidth="1"/>
    <col min="13066" max="13066" width="12.75" customWidth="1"/>
    <col min="13067" max="13067" width="13.875" customWidth="1"/>
    <col min="13068" max="13070" width="12.75" customWidth="1"/>
    <col min="13072" max="13072" width="46.625" customWidth="1"/>
    <col min="13315" max="13315" width="16.25" customWidth="1"/>
    <col min="13316" max="13316" width="10.125" customWidth="1"/>
    <col min="13317" max="13318" width="10" customWidth="1"/>
    <col min="13319" max="13320" width="10.5" customWidth="1"/>
    <col min="13321" max="13321" width="12.25" customWidth="1"/>
    <col min="13322" max="13322" width="12.75" customWidth="1"/>
    <col min="13323" max="13323" width="13.875" customWidth="1"/>
    <col min="13324" max="13326" width="12.75" customWidth="1"/>
    <col min="13328" max="13328" width="46.625" customWidth="1"/>
    <col min="13571" max="13571" width="16.25" customWidth="1"/>
    <col min="13572" max="13572" width="10.125" customWidth="1"/>
    <col min="13573" max="13574" width="10" customWidth="1"/>
    <col min="13575" max="13576" width="10.5" customWidth="1"/>
    <col min="13577" max="13577" width="12.25" customWidth="1"/>
    <col min="13578" max="13578" width="12.75" customWidth="1"/>
    <col min="13579" max="13579" width="13.875" customWidth="1"/>
    <col min="13580" max="13582" width="12.75" customWidth="1"/>
    <col min="13584" max="13584" width="46.625" customWidth="1"/>
    <col min="13827" max="13827" width="16.25" customWidth="1"/>
    <col min="13828" max="13828" width="10.125" customWidth="1"/>
    <col min="13829" max="13830" width="10" customWidth="1"/>
    <col min="13831" max="13832" width="10.5" customWidth="1"/>
    <col min="13833" max="13833" width="12.25" customWidth="1"/>
    <col min="13834" max="13834" width="12.75" customWidth="1"/>
    <col min="13835" max="13835" width="13.875" customWidth="1"/>
    <col min="13836" max="13838" width="12.75" customWidth="1"/>
    <col min="13840" max="13840" width="46.625" customWidth="1"/>
    <col min="14083" max="14083" width="16.25" customWidth="1"/>
    <col min="14084" max="14084" width="10.125" customWidth="1"/>
    <col min="14085" max="14086" width="10" customWidth="1"/>
    <col min="14087" max="14088" width="10.5" customWidth="1"/>
    <col min="14089" max="14089" width="12.25" customWidth="1"/>
    <col min="14090" max="14090" width="12.75" customWidth="1"/>
    <col min="14091" max="14091" width="13.875" customWidth="1"/>
    <col min="14092" max="14094" width="12.75" customWidth="1"/>
    <col min="14096" max="14096" width="46.625" customWidth="1"/>
    <col min="14339" max="14339" width="16.25" customWidth="1"/>
    <col min="14340" max="14340" width="10.125" customWidth="1"/>
    <col min="14341" max="14342" width="10" customWidth="1"/>
    <col min="14343" max="14344" width="10.5" customWidth="1"/>
    <col min="14345" max="14345" width="12.25" customWidth="1"/>
    <col min="14346" max="14346" width="12.75" customWidth="1"/>
    <col min="14347" max="14347" width="13.875" customWidth="1"/>
    <col min="14348" max="14350" width="12.75" customWidth="1"/>
    <col min="14352" max="14352" width="46.625" customWidth="1"/>
    <col min="14595" max="14595" width="16.25" customWidth="1"/>
    <col min="14596" max="14596" width="10.125" customWidth="1"/>
    <col min="14597" max="14598" width="10" customWidth="1"/>
    <col min="14599" max="14600" width="10.5" customWidth="1"/>
    <col min="14601" max="14601" width="12.25" customWidth="1"/>
    <col min="14602" max="14602" width="12.75" customWidth="1"/>
    <col min="14603" max="14603" width="13.875" customWidth="1"/>
    <col min="14604" max="14606" width="12.75" customWidth="1"/>
    <col min="14608" max="14608" width="46.625" customWidth="1"/>
    <col min="14851" max="14851" width="16.25" customWidth="1"/>
    <col min="14852" max="14852" width="10.125" customWidth="1"/>
    <col min="14853" max="14854" width="10" customWidth="1"/>
    <col min="14855" max="14856" width="10.5" customWidth="1"/>
    <col min="14857" max="14857" width="12.25" customWidth="1"/>
    <col min="14858" max="14858" width="12.75" customWidth="1"/>
    <col min="14859" max="14859" width="13.875" customWidth="1"/>
    <col min="14860" max="14862" width="12.75" customWidth="1"/>
    <col min="14864" max="14864" width="46.625" customWidth="1"/>
    <col min="15107" max="15107" width="16.25" customWidth="1"/>
    <col min="15108" max="15108" width="10.125" customWidth="1"/>
    <col min="15109" max="15110" width="10" customWidth="1"/>
    <col min="15111" max="15112" width="10.5" customWidth="1"/>
    <col min="15113" max="15113" width="12.25" customWidth="1"/>
    <col min="15114" max="15114" width="12.75" customWidth="1"/>
    <col min="15115" max="15115" width="13.875" customWidth="1"/>
    <col min="15116" max="15118" width="12.75" customWidth="1"/>
    <col min="15120" max="15120" width="46.625" customWidth="1"/>
    <col min="15363" max="15363" width="16.25" customWidth="1"/>
    <col min="15364" max="15364" width="10.125" customWidth="1"/>
    <col min="15365" max="15366" width="10" customWidth="1"/>
    <col min="15367" max="15368" width="10.5" customWidth="1"/>
    <col min="15369" max="15369" width="12.25" customWidth="1"/>
    <col min="15370" max="15370" width="12.75" customWidth="1"/>
    <col min="15371" max="15371" width="13.875" customWidth="1"/>
    <col min="15372" max="15374" width="12.75" customWidth="1"/>
    <col min="15376" max="15376" width="46.625" customWidth="1"/>
    <col min="15619" max="15619" width="16.25" customWidth="1"/>
    <col min="15620" max="15620" width="10.125" customWidth="1"/>
    <col min="15621" max="15622" width="10" customWidth="1"/>
    <col min="15623" max="15624" width="10.5" customWidth="1"/>
    <col min="15625" max="15625" width="12.25" customWidth="1"/>
    <col min="15626" max="15626" width="12.75" customWidth="1"/>
    <col min="15627" max="15627" width="13.875" customWidth="1"/>
    <col min="15628" max="15630" width="12.75" customWidth="1"/>
    <col min="15632" max="15632" width="46.625" customWidth="1"/>
    <col min="15875" max="15875" width="16.25" customWidth="1"/>
    <col min="15876" max="15876" width="10.125" customWidth="1"/>
    <col min="15877" max="15878" width="10" customWidth="1"/>
    <col min="15879" max="15880" width="10.5" customWidth="1"/>
    <col min="15881" max="15881" width="12.25" customWidth="1"/>
    <col min="15882" max="15882" width="12.75" customWidth="1"/>
    <col min="15883" max="15883" width="13.875" customWidth="1"/>
    <col min="15884" max="15886" width="12.75" customWidth="1"/>
    <col min="15888" max="15888" width="46.625" customWidth="1"/>
    <col min="16131" max="16131" width="16.25" customWidth="1"/>
    <col min="16132" max="16132" width="10.125" customWidth="1"/>
    <col min="16133" max="16134" width="10" customWidth="1"/>
    <col min="16135" max="16136" width="10.5" customWidth="1"/>
    <col min="16137" max="16137" width="12.25" customWidth="1"/>
    <col min="16138" max="16138" width="12.75" customWidth="1"/>
    <col min="16139" max="16139" width="13.875" customWidth="1"/>
    <col min="16140" max="16142" width="12.75" customWidth="1"/>
    <col min="16144" max="16144" width="46.625" customWidth="1"/>
  </cols>
  <sheetData>
    <row r="1" spans="1:7">
      <c r="A1" s="2" t="s">
        <v>2807</v>
      </c>
      <c r="B1" s="2"/>
      <c r="C1" s="2"/>
      <c r="D1" s="2"/>
      <c r="E1" s="2"/>
      <c r="F1" s="2"/>
      <c r="G1" s="2"/>
    </row>
    <row r="2" s="1" customFormat="1" ht="24" customHeight="1" spans="1:11">
      <c r="A2" s="3" t="s">
        <v>291</v>
      </c>
      <c r="B2" s="3" t="s">
        <v>2808</v>
      </c>
      <c r="C2" s="3" t="s">
        <v>2809</v>
      </c>
      <c r="D2" s="3" t="s">
        <v>1871</v>
      </c>
      <c r="E2" s="3" t="s">
        <v>2810</v>
      </c>
      <c r="F2" s="3" t="s">
        <v>1872</v>
      </c>
      <c r="G2" s="3" t="s">
        <v>2810</v>
      </c>
      <c r="H2" s="3" t="s">
        <v>1870</v>
      </c>
      <c r="I2" s="3" t="s">
        <v>2811</v>
      </c>
      <c r="J2" s="3" t="s">
        <v>2812</v>
      </c>
      <c r="K2" s="3" t="s">
        <v>2813</v>
      </c>
    </row>
    <row r="3" s="1" customFormat="1" ht="24" customHeight="1" spans="1:11">
      <c r="A3" s="3">
        <v>1</v>
      </c>
      <c r="B3" s="4" t="s">
        <v>2814</v>
      </c>
      <c r="C3" s="3">
        <v>1</v>
      </c>
      <c r="D3" s="3">
        <f>F3+5*2</f>
        <v>60</v>
      </c>
      <c r="E3" s="3">
        <f t="shared" ref="E3:E9" si="0">D3/2</f>
        <v>30</v>
      </c>
      <c r="F3" s="3">
        <v>50</v>
      </c>
      <c r="G3" s="3">
        <f t="shared" ref="G3:G9" si="1">F3/2</f>
        <v>25</v>
      </c>
      <c r="H3" s="3">
        <f>(D3-50)/2</f>
        <v>5</v>
      </c>
      <c r="I3" s="7">
        <f>(E3/1000*E3/1000-G3/1000*G3/1000)*3.1416*C3*7.85*1000</f>
        <v>6.781929</v>
      </c>
      <c r="J3" s="7"/>
      <c r="K3" s="3">
        <f t="shared" ref="K3:K9" si="2">I3*7.5</f>
        <v>50.8644675</v>
      </c>
    </row>
    <row r="4" s="1" customFormat="1" ht="24" customHeight="1" spans="1:11">
      <c r="A4" s="3">
        <v>2</v>
      </c>
      <c r="B4" s="4" t="s">
        <v>2815</v>
      </c>
      <c r="C4" s="3">
        <v>1</v>
      </c>
      <c r="D4" s="3">
        <f>F4+5*2</f>
        <v>90</v>
      </c>
      <c r="E4" s="3">
        <f t="shared" si="0"/>
        <v>45</v>
      </c>
      <c r="F4" s="3">
        <v>80</v>
      </c>
      <c r="G4" s="3">
        <f t="shared" si="1"/>
        <v>40</v>
      </c>
      <c r="H4" s="3">
        <f>(D4-80)/2</f>
        <v>5</v>
      </c>
      <c r="I4" s="7">
        <f>(E4/1000*E4/1000-G4/1000*G4/1000)*3.1416*C4*7.85*1000</f>
        <v>10.481163</v>
      </c>
      <c r="J4" s="7"/>
      <c r="K4" s="3">
        <f t="shared" si="2"/>
        <v>78.6087225</v>
      </c>
    </row>
    <row r="5" s="1" customFormat="1" ht="24" customHeight="1" spans="1:11">
      <c r="A5" s="3">
        <v>3</v>
      </c>
      <c r="B5" s="4" t="s">
        <v>2816</v>
      </c>
      <c r="C5" s="3">
        <v>1</v>
      </c>
      <c r="D5" s="3">
        <v>168.3</v>
      </c>
      <c r="E5" s="3">
        <f t="shared" si="0"/>
        <v>84.15</v>
      </c>
      <c r="F5" s="3">
        <v>150</v>
      </c>
      <c r="G5" s="3">
        <f t="shared" si="1"/>
        <v>75</v>
      </c>
      <c r="H5" s="3">
        <v>4.5</v>
      </c>
      <c r="I5" s="6">
        <f>(D5-H5)*H5*0.02467</f>
        <v>18.184257</v>
      </c>
      <c r="J5" s="7"/>
      <c r="K5" s="3">
        <f t="shared" si="2"/>
        <v>136.3819275</v>
      </c>
    </row>
    <row r="6" s="1" customFormat="1" ht="24" customHeight="1" spans="1:12">
      <c r="A6" s="3">
        <v>4</v>
      </c>
      <c r="B6" s="5" t="s">
        <v>2817</v>
      </c>
      <c r="C6" s="6">
        <v>1</v>
      </c>
      <c r="D6" s="6">
        <v>219</v>
      </c>
      <c r="E6" s="6">
        <f>D6-2*H6</f>
        <v>203</v>
      </c>
      <c r="F6" s="6">
        <v>200</v>
      </c>
      <c r="G6" s="6">
        <f t="shared" si="1"/>
        <v>100</v>
      </c>
      <c r="H6" s="6">
        <v>8</v>
      </c>
      <c r="I6" s="6">
        <f>(D6-H6)*H6*0.02467</f>
        <v>41.64296</v>
      </c>
      <c r="J6" s="6">
        <v>42.13</v>
      </c>
      <c r="K6" s="6">
        <f t="shared" si="2"/>
        <v>312.3222</v>
      </c>
      <c r="L6" s="8"/>
    </row>
    <row r="7" s="1" customFormat="1" ht="24" customHeight="1" spans="1:12">
      <c r="A7" s="3">
        <v>5</v>
      </c>
      <c r="B7" s="5" t="s">
        <v>2818</v>
      </c>
      <c r="C7" s="6">
        <v>1</v>
      </c>
      <c r="D7" s="6">
        <v>273</v>
      </c>
      <c r="E7" s="6">
        <f>D7-2*H7</f>
        <v>257</v>
      </c>
      <c r="F7" s="6">
        <v>250</v>
      </c>
      <c r="G7" s="6">
        <f t="shared" si="1"/>
        <v>125</v>
      </c>
      <c r="H7" s="6">
        <v>8</v>
      </c>
      <c r="I7" s="6">
        <f>(D7-H7)*H7*0.02467</f>
        <v>52.3004</v>
      </c>
      <c r="J7" s="6">
        <v>52.78</v>
      </c>
      <c r="K7" s="6">
        <f t="shared" si="2"/>
        <v>392.253</v>
      </c>
      <c r="L7" s="8"/>
    </row>
    <row r="8" s="1" customFormat="1" ht="24" customHeight="1" spans="1:11">
      <c r="A8" s="3">
        <v>6</v>
      </c>
      <c r="B8" s="5" t="s">
        <v>2819</v>
      </c>
      <c r="C8" s="6">
        <v>1</v>
      </c>
      <c r="D8" s="6">
        <v>325</v>
      </c>
      <c r="E8" s="6">
        <f t="shared" si="0"/>
        <v>162.5</v>
      </c>
      <c r="F8" s="6">
        <v>300</v>
      </c>
      <c r="G8" s="6">
        <f t="shared" si="1"/>
        <v>150</v>
      </c>
      <c r="H8" s="6">
        <v>8</v>
      </c>
      <c r="I8" s="6">
        <f>(D8-H8)*H8*0.02467</f>
        <v>62.56312</v>
      </c>
      <c r="J8" s="6">
        <v>63.04</v>
      </c>
      <c r="K8" s="6">
        <f t="shared" si="2"/>
        <v>469.2234</v>
      </c>
    </row>
    <row r="9" s="1" customFormat="1" ht="24" customHeight="1" spans="1:11">
      <c r="A9" s="3">
        <v>7</v>
      </c>
      <c r="B9" s="4" t="s">
        <v>2820</v>
      </c>
      <c r="C9" s="3">
        <v>1</v>
      </c>
      <c r="D9" s="3">
        <v>377</v>
      </c>
      <c r="E9" s="3">
        <f t="shared" si="0"/>
        <v>188.5</v>
      </c>
      <c r="F9" s="3">
        <v>350</v>
      </c>
      <c r="G9" s="3">
        <f t="shared" si="1"/>
        <v>175</v>
      </c>
      <c r="H9" s="3">
        <v>8</v>
      </c>
      <c r="I9" s="6">
        <f>(D9-H9)*H9*0.02467</f>
        <v>72.82584</v>
      </c>
      <c r="J9" s="7">
        <v>73.3</v>
      </c>
      <c r="K9" s="3">
        <f t="shared" si="2"/>
        <v>546.1938</v>
      </c>
    </row>
    <row r="10" s="1" customFormat="1" ht="24" customHeight="1" spans="1:11">
      <c r="A10" s="3"/>
      <c r="B10" s="4"/>
      <c r="C10" s="3"/>
      <c r="D10" s="3"/>
      <c r="E10" s="3"/>
      <c r="F10" s="3"/>
      <c r="G10" s="3"/>
      <c r="H10" s="3"/>
      <c r="I10" s="7"/>
      <c r="J10" s="7"/>
      <c r="K10" s="3"/>
    </row>
    <row r="11" s="1" customFormat="1" ht="24" customHeight="1" spans="1:11">
      <c r="A11" s="3"/>
      <c r="B11" s="4"/>
      <c r="C11" s="3"/>
      <c r="D11" s="3"/>
      <c r="E11" s="3"/>
      <c r="F11" s="3"/>
      <c r="G11" s="3"/>
      <c r="H11" s="3"/>
      <c r="I11" s="7"/>
      <c r="J11" s="7"/>
      <c r="K11" s="3"/>
    </row>
    <row r="12" s="1" customFormat="1" ht="24" customHeight="1" spans="1:11">
      <c r="A12" s="3"/>
      <c r="B12" s="4"/>
      <c r="C12" s="3"/>
      <c r="D12" s="3"/>
      <c r="E12" s="3"/>
      <c r="F12" s="3"/>
      <c r="G12" s="3"/>
      <c r="H12" s="3"/>
      <c r="I12" s="7"/>
      <c r="J12" s="7"/>
      <c r="K12" s="3"/>
    </row>
    <row r="17" spans="7:7">
      <c r="G17">
        <f>3.1415926*7.85*1000/1000000</f>
        <v>0.02466150191</v>
      </c>
    </row>
  </sheetData>
  <mergeCells count="1">
    <mergeCell ref="A1:F1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D43"/>
  <sheetViews>
    <sheetView workbookViewId="0">
      <selection activeCell="A1" sqref="A1:D1"/>
    </sheetView>
  </sheetViews>
  <sheetFormatPr defaultColWidth="9" defaultRowHeight="14.25" outlineLevelCol="3"/>
  <cols>
    <col min="1" max="1" width="36.375" style="932" customWidth="1"/>
    <col min="2" max="2" width="9.375" style="932" customWidth="1"/>
    <col min="3" max="3" width="10" style="932" customWidth="1"/>
    <col min="4" max="4" width="24" style="932" customWidth="1"/>
    <col min="5" max="16384" width="9" style="932"/>
  </cols>
  <sheetData>
    <row r="1" ht="22.15" customHeight="1" spans="1:4">
      <c r="A1" s="933" t="s">
        <v>189</v>
      </c>
      <c r="B1" s="933"/>
      <c r="C1" s="933"/>
      <c r="D1" s="933"/>
    </row>
    <row r="2" ht="27.95" customHeight="1" spans="1:4">
      <c r="A2" s="934" t="s">
        <v>190</v>
      </c>
      <c r="B2" s="935" t="s">
        <v>55</v>
      </c>
      <c r="C2" s="935" t="s">
        <v>191</v>
      </c>
      <c r="D2" s="935" t="s">
        <v>119</v>
      </c>
    </row>
    <row r="3" ht="15" customHeight="1" spans="1:4">
      <c r="A3" s="936" t="s">
        <v>192</v>
      </c>
      <c r="B3" s="937"/>
      <c r="C3" s="937"/>
      <c r="D3" s="937"/>
    </row>
    <row r="4" ht="15" customHeight="1" spans="1:4">
      <c r="A4" s="938" t="s">
        <v>193</v>
      </c>
      <c r="B4" s="935" t="s">
        <v>194</v>
      </c>
      <c r="C4" s="937">
        <v>1.0034</v>
      </c>
      <c r="D4" s="937"/>
    </row>
    <row r="5" ht="15" customHeight="1" spans="1:4">
      <c r="A5" s="938" t="s">
        <v>195</v>
      </c>
      <c r="B5" s="935" t="s">
        <v>194</v>
      </c>
      <c r="C5" s="937">
        <v>0.87</v>
      </c>
      <c r="D5" s="937"/>
    </row>
    <row r="6" ht="15" customHeight="1" spans="1:4">
      <c r="A6" s="938" t="s">
        <v>196</v>
      </c>
      <c r="B6" s="935" t="s">
        <v>194</v>
      </c>
      <c r="C6" s="937">
        <v>0.8588</v>
      </c>
      <c r="D6" s="937"/>
    </row>
    <row r="7" ht="15" customHeight="1" spans="1:4">
      <c r="A7" s="938" t="s">
        <v>197</v>
      </c>
      <c r="B7" s="935" t="s">
        <v>198</v>
      </c>
      <c r="C7" s="937">
        <v>4586</v>
      </c>
      <c r="D7" s="939" t="s">
        <v>199</v>
      </c>
    </row>
    <row r="8" ht="15" customHeight="1" spans="1:4">
      <c r="A8" s="938" t="s">
        <v>200</v>
      </c>
      <c r="B8" s="935" t="s">
        <v>198</v>
      </c>
      <c r="C8" s="937">
        <f>C7</f>
        <v>4586</v>
      </c>
      <c r="D8" s="940"/>
    </row>
    <row r="9" ht="15" customHeight="1" spans="1:4">
      <c r="A9" s="938" t="s">
        <v>201</v>
      </c>
      <c r="B9" s="935" t="s">
        <v>198</v>
      </c>
      <c r="C9" s="941">
        <v>2522</v>
      </c>
      <c r="D9" s="940"/>
    </row>
    <row r="10" ht="15" customHeight="1" spans="1:4">
      <c r="A10" s="936" t="s">
        <v>202</v>
      </c>
      <c r="B10" s="937"/>
      <c r="C10" s="937"/>
      <c r="D10" s="940"/>
    </row>
    <row r="11" ht="15" customHeight="1" spans="1:4">
      <c r="A11" s="938" t="s">
        <v>203</v>
      </c>
      <c r="B11" s="937"/>
      <c r="C11" s="937"/>
      <c r="D11" s="940"/>
    </row>
    <row r="12" ht="15" customHeight="1" spans="1:4">
      <c r="A12" s="938" t="s">
        <v>204</v>
      </c>
      <c r="B12" s="937" t="s">
        <v>76</v>
      </c>
      <c r="C12" s="937" t="e">
        <f>#REF!+#REF!</f>
        <v>#REF!</v>
      </c>
      <c r="D12" s="942" t="s">
        <v>205</v>
      </c>
    </row>
    <row r="13" ht="15" customHeight="1" spans="1:4">
      <c r="A13" s="938" t="s">
        <v>206</v>
      </c>
      <c r="B13" s="937" t="s">
        <v>76</v>
      </c>
      <c r="C13" s="937" t="e">
        <f>C12</f>
        <v>#REF!</v>
      </c>
      <c r="D13" s="940"/>
    </row>
    <row r="14" ht="15" customHeight="1" spans="1:4">
      <c r="A14" s="938" t="s">
        <v>207</v>
      </c>
      <c r="B14" s="935" t="s">
        <v>80</v>
      </c>
      <c r="C14" s="937" t="e">
        <f>#REF!</f>
        <v>#REF!</v>
      </c>
      <c r="D14" s="942" t="s">
        <v>208</v>
      </c>
    </row>
    <row r="15" ht="15" customHeight="1" spans="1:4">
      <c r="A15" s="938" t="s">
        <v>209</v>
      </c>
      <c r="B15" s="937" t="s">
        <v>76</v>
      </c>
      <c r="C15" s="937" t="e">
        <f>C16</f>
        <v>#REF!</v>
      </c>
      <c r="D15" s="940"/>
    </row>
    <row r="16" ht="15" customHeight="1" spans="1:4">
      <c r="A16" s="938" t="s">
        <v>210</v>
      </c>
      <c r="B16" s="937" t="s">
        <v>76</v>
      </c>
      <c r="C16" s="943" t="e">
        <f>#REF!-C18</f>
        <v>#REF!</v>
      </c>
      <c r="D16" s="940"/>
    </row>
    <row r="17" ht="15" customHeight="1" spans="1:4">
      <c r="A17" s="938" t="s">
        <v>211</v>
      </c>
      <c r="B17" s="935" t="s">
        <v>80</v>
      </c>
      <c r="C17" s="937" t="e">
        <f>#REF!</f>
        <v>#REF!</v>
      </c>
      <c r="D17" s="940"/>
    </row>
    <row r="18" ht="15" customHeight="1" spans="1:4">
      <c r="A18" s="938" t="s">
        <v>212</v>
      </c>
      <c r="B18" s="937" t="s">
        <v>76</v>
      </c>
      <c r="C18" s="937" t="e">
        <f>C19</f>
        <v>#REF!</v>
      </c>
      <c r="D18" s="940"/>
    </row>
    <row r="19" ht="15" customHeight="1" spans="1:4">
      <c r="A19" s="938" t="s">
        <v>213</v>
      </c>
      <c r="B19" s="937" t="s">
        <v>76</v>
      </c>
      <c r="C19" s="937" t="e">
        <f>#REF!</f>
        <v>#REF!</v>
      </c>
      <c r="D19" s="940"/>
    </row>
    <row r="20" ht="15" customHeight="1" spans="1:4">
      <c r="A20" s="938" t="s">
        <v>214</v>
      </c>
      <c r="B20" s="937"/>
      <c r="C20" s="937"/>
      <c r="D20" s="940"/>
    </row>
    <row r="21" ht="15" customHeight="1" spans="1:4">
      <c r="A21" s="938" t="s">
        <v>215</v>
      </c>
      <c r="B21" s="937" t="s">
        <v>76</v>
      </c>
      <c r="C21" s="937" t="e">
        <f>C22+C23</f>
        <v>#REF!</v>
      </c>
      <c r="D21" s="940"/>
    </row>
    <row r="22" ht="15" customHeight="1" spans="1:4">
      <c r="A22" s="938" t="s">
        <v>216</v>
      </c>
      <c r="B22" s="937" t="s">
        <v>76</v>
      </c>
      <c r="C22" s="937" t="e">
        <f>#REF!</f>
        <v>#REF!</v>
      </c>
      <c r="D22" s="940"/>
    </row>
    <row r="23" ht="15" customHeight="1" spans="1:4">
      <c r="A23" s="938" t="s">
        <v>217</v>
      </c>
      <c r="B23" s="937" t="s">
        <v>76</v>
      </c>
      <c r="C23" s="937" t="e">
        <f>#REF!</f>
        <v>#REF!</v>
      </c>
      <c r="D23" s="940"/>
    </row>
    <row r="24" ht="15" customHeight="1" spans="1:4">
      <c r="A24" s="938" t="s">
        <v>218</v>
      </c>
      <c r="B24" s="935" t="s">
        <v>62</v>
      </c>
      <c r="C24" s="937"/>
      <c r="D24" s="940"/>
    </row>
    <row r="25" ht="15" customHeight="1" spans="1:4">
      <c r="A25" s="938" t="s">
        <v>219</v>
      </c>
      <c r="B25" s="935" t="s">
        <v>62</v>
      </c>
      <c r="C25" s="937" t="e">
        <f>#REF!</f>
        <v>#REF!</v>
      </c>
      <c r="D25" s="281" t="s">
        <v>220</v>
      </c>
    </row>
    <row r="26" ht="15" customHeight="1" spans="1:4">
      <c r="A26" s="938" t="s">
        <v>221</v>
      </c>
      <c r="B26" s="935" t="s">
        <v>62</v>
      </c>
      <c r="C26" s="937" t="e">
        <f>#REF!</f>
        <v>#REF!</v>
      </c>
      <c r="D26" s="939" t="s">
        <v>222</v>
      </c>
    </row>
    <row r="27" ht="15" customHeight="1" spans="1:4">
      <c r="A27" s="938" t="s">
        <v>223</v>
      </c>
      <c r="B27" s="937"/>
      <c r="C27" s="937"/>
      <c r="D27" s="940"/>
    </row>
    <row r="28" ht="15" customHeight="1" spans="1:4">
      <c r="A28" s="938" t="s">
        <v>224</v>
      </c>
      <c r="B28" s="935" t="s">
        <v>62</v>
      </c>
      <c r="C28" s="937" t="e">
        <f>#REF!</f>
        <v>#REF!</v>
      </c>
      <c r="D28" s="944"/>
    </row>
    <row r="29" ht="15" customHeight="1" spans="1:4">
      <c r="A29" s="938" t="s">
        <v>225</v>
      </c>
      <c r="B29" s="935" t="s">
        <v>226</v>
      </c>
      <c r="C29" s="937" t="e">
        <f>#REF!</f>
        <v>#REF!</v>
      </c>
      <c r="D29" s="940"/>
    </row>
    <row r="30" ht="15" customHeight="1" spans="1:4">
      <c r="A30" s="938" t="s">
        <v>227</v>
      </c>
      <c r="B30" s="935" t="s">
        <v>228</v>
      </c>
      <c r="C30" s="937"/>
      <c r="D30" s="940"/>
    </row>
    <row r="31" ht="15" customHeight="1" spans="1:4">
      <c r="A31" s="938" t="s">
        <v>229</v>
      </c>
      <c r="B31" s="937"/>
      <c r="C31" s="937"/>
      <c r="D31" s="940"/>
    </row>
    <row r="32" ht="15" customHeight="1" spans="1:4">
      <c r="A32" s="936" t="s">
        <v>230</v>
      </c>
      <c r="B32" s="935" t="s">
        <v>103</v>
      </c>
      <c r="C32" s="937"/>
      <c r="D32" s="940"/>
    </row>
    <row r="33" ht="18" customHeight="1" spans="1:4">
      <c r="A33" s="936" t="s">
        <v>231</v>
      </c>
      <c r="B33" s="935" t="s">
        <v>62</v>
      </c>
      <c r="C33" s="937"/>
      <c r="D33" s="945"/>
    </row>
    <row r="34" ht="15" customHeight="1" spans="1:4">
      <c r="A34" s="936" t="s">
        <v>232</v>
      </c>
      <c r="B34" s="935" t="s">
        <v>106</v>
      </c>
      <c r="C34" s="937">
        <f>总概算核!F40</f>
        <v>2512.26</v>
      </c>
      <c r="D34" s="937"/>
    </row>
    <row r="35" ht="15" customHeight="1" spans="1:4">
      <c r="A35" s="938" t="s">
        <v>233</v>
      </c>
      <c r="B35" s="935" t="s">
        <v>106</v>
      </c>
      <c r="C35" s="937" t="e">
        <f>#REF!</f>
        <v>#REF!</v>
      </c>
      <c r="D35" s="937"/>
    </row>
    <row r="36" ht="15" customHeight="1" spans="1:4">
      <c r="A36" s="938" t="s">
        <v>234</v>
      </c>
      <c r="B36" s="935" t="s">
        <v>106</v>
      </c>
      <c r="C36" s="937" t="e">
        <f>#REF!</f>
        <v>#REF!</v>
      </c>
      <c r="D36" s="937"/>
    </row>
    <row r="37" ht="15" customHeight="1" spans="1:4">
      <c r="A37" s="938" t="s">
        <v>235</v>
      </c>
      <c r="B37" s="935" t="s">
        <v>106</v>
      </c>
      <c r="C37" s="937" t="e">
        <f>#REF!</f>
        <v>#REF!</v>
      </c>
      <c r="D37" s="937"/>
    </row>
    <row r="38" ht="15" customHeight="1" spans="1:4">
      <c r="A38" s="938" t="s">
        <v>236</v>
      </c>
      <c r="B38" s="935" t="s">
        <v>106</v>
      </c>
      <c r="C38" s="937" t="e">
        <f>#REF!</f>
        <v>#REF!</v>
      </c>
      <c r="D38" s="937"/>
    </row>
    <row r="39" ht="15" customHeight="1" spans="1:4">
      <c r="A39" s="936" t="s">
        <v>237</v>
      </c>
      <c r="B39" s="937"/>
      <c r="C39" s="937"/>
      <c r="D39" s="937"/>
    </row>
    <row r="40" ht="15" customHeight="1" spans="1:4">
      <c r="A40" s="938" t="s">
        <v>238</v>
      </c>
      <c r="B40" s="935" t="s">
        <v>106</v>
      </c>
      <c r="C40" s="937">
        <v>100.28</v>
      </c>
      <c r="D40" s="937"/>
    </row>
    <row r="41" ht="15" customHeight="1" spans="1:4">
      <c r="A41" s="938" t="s">
        <v>239</v>
      </c>
      <c r="B41" s="935" t="s">
        <v>114</v>
      </c>
      <c r="C41" s="937">
        <v>269</v>
      </c>
      <c r="D41" s="937"/>
    </row>
    <row r="43" spans="3:3">
      <c r="C43" s="932">
        <f>C41/10000</f>
        <v>0.0269</v>
      </c>
    </row>
  </sheetData>
  <mergeCells count="1">
    <mergeCell ref="A1:D1"/>
  </mergeCells>
  <printOptions horizontalCentered="1"/>
  <pageMargins left="0.751388888888889" right="0.751388888888889" top="1" bottom="1" header="0.5" footer="0.5"/>
  <pageSetup paperSize="9" orientation="portrait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5"/>
  </sheetPr>
  <dimension ref="A1:D41"/>
  <sheetViews>
    <sheetView workbookViewId="0">
      <selection activeCell="A1" sqref="A1"/>
    </sheetView>
  </sheetViews>
  <sheetFormatPr defaultColWidth="9" defaultRowHeight="14.25" outlineLevelCol="3"/>
  <cols>
    <col min="1" max="1" width="41" style="922" customWidth="1"/>
    <col min="2" max="2" width="10.375" style="923" customWidth="1"/>
    <col min="3" max="3" width="12.125" style="923" customWidth="1"/>
    <col min="4" max="4" width="15.5" style="923" customWidth="1"/>
    <col min="5" max="5" width="9" style="923"/>
    <col min="6" max="6" width="12.625" style="923" customWidth="1"/>
    <col min="7" max="256" width="9" style="923"/>
    <col min="257" max="257" width="41" style="923" customWidth="1"/>
    <col min="258" max="258" width="10.375" style="923" customWidth="1"/>
    <col min="259" max="259" width="12.125" style="923" customWidth="1"/>
    <col min="260" max="260" width="15.5" style="923" customWidth="1"/>
    <col min="261" max="261" width="9" style="923"/>
    <col min="262" max="262" width="12.625" style="923" customWidth="1"/>
    <col min="263" max="512" width="9" style="923"/>
    <col min="513" max="513" width="41" style="923" customWidth="1"/>
    <col min="514" max="514" width="10.375" style="923" customWidth="1"/>
    <col min="515" max="515" width="12.125" style="923" customWidth="1"/>
    <col min="516" max="516" width="15.5" style="923" customWidth="1"/>
    <col min="517" max="517" width="9" style="923"/>
    <col min="518" max="518" width="12.625" style="923" customWidth="1"/>
    <col min="519" max="768" width="9" style="923"/>
    <col min="769" max="769" width="41" style="923" customWidth="1"/>
    <col min="770" max="770" width="10.375" style="923" customWidth="1"/>
    <col min="771" max="771" width="12.125" style="923" customWidth="1"/>
    <col min="772" max="772" width="15.5" style="923" customWidth="1"/>
    <col min="773" max="773" width="9" style="923"/>
    <col min="774" max="774" width="12.625" style="923" customWidth="1"/>
    <col min="775" max="1024" width="9" style="923"/>
    <col min="1025" max="1025" width="41" style="923" customWidth="1"/>
    <col min="1026" max="1026" width="10.375" style="923" customWidth="1"/>
    <col min="1027" max="1027" width="12.125" style="923" customWidth="1"/>
    <col min="1028" max="1028" width="15.5" style="923" customWidth="1"/>
    <col min="1029" max="1029" width="9" style="923"/>
    <col min="1030" max="1030" width="12.625" style="923" customWidth="1"/>
    <col min="1031" max="1280" width="9" style="923"/>
    <col min="1281" max="1281" width="41" style="923" customWidth="1"/>
    <col min="1282" max="1282" width="10.375" style="923" customWidth="1"/>
    <col min="1283" max="1283" width="12.125" style="923" customWidth="1"/>
    <col min="1284" max="1284" width="15.5" style="923" customWidth="1"/>
    <col min="1285" max="1285" width="9" style="923"/>
    <col min="1286" max="1286" width="12.625" style="923" customWidth="1"/>
    <col min="1287" max="1536" width="9" style="923"/>
    <col min="1537" max="1537" width="41" style="923" customWidth="1"/>
    <col min="1538" max="1538" width="10.375" style="923" customWidth="1"/>
    <col min="1539" max="1539" width="12.125" style="923" customWidth="1"/>
    <col min="1540" max="1540" width="15.5" style="923" customWidth="1"/>
    <col min="1541" max="1541" width="9" style="923"/>
    <col min="1542" max="1542" width="12.625" style="923" customWidth="1"/>
    <col min="1543" max="1792" width="9" style="923"/>
    <col min="1793" max="1793" width="41" style="923" customWidth="1"/>
    <col min="1794" max="1794" width="10.375" style="923" customWidth="1"/>
    <col min="1795" max="1795" width="12.125" style="923" customWidth="1"/>
    <col min="1796" max="1796" width="15.5" style="923" customWidth="1"/>
    <col min="1797" max="1797" width="9" style="923"/>
    <col min="1798" max="1798" width="12.625" style="923" customWidth="1"/>
    <col min="1799" max="2048" width="9" style="923"/>
    <col min="2049" max="2049" width="41" style="923" customWidth="1"/>
    <col min="2050" max="2050" width="10.375" style="923" customWidth="1"/>
    <col min="2051" max="2051" width="12.125" style="923" customWidth="1"/>
    <col min="2052" max="2052" width="15.5" style="923" customWidth="1"/>
    <col min="2053" max="2053" width="9" style="923"/>
    <col min="2054" max="2054" width="12.625" style="923" customWidth="1"/>
    <col min="2055" max="2304" width="9" style="923"/>
    <col min="2305" max="2305" width="41" style="923" customWidth="1"/>
    <col min="2306" max="2306" width="10.375" style="923" customWidth="1"/>
    <col min="2307" max="2307" width="12.125" style="923" customWidth="1"/>
    <col min="2308" max="2308" width="15.5" style="923" customWidth="1"/>
    <col min="2309" max="2309" width="9" style="923"/>
    <col min="2310" max="2310" width="12.625" style="923" customWidth="1"/>
    <col min="2311" max="2560" width="9" style="923"/>
    <col min="2561" max="2561" width="41" style="923" customWidth="1"/>
    <col min="2562" max="2562" width="10.375" style="923" customWidth="1"/>
    <col min="2563" max="2563" width="12.125" style="923" customWidth="1"/>
    <col min="2564" max="2564" width="15.5" style="923" customWidth="1"/>
    <col min="2565" max="2565" width="9" style="923"/>
    <col min="2566" max="2566" width="12.625" style="923" customWidth="1"/>
    <col min="2567" max="2816" width="9" style="923"/>
    <col min="2817" max="2817" width="41" style="923" customWidth="1"/>
    <col min="2818" max="2818" width="10.375" style="923" customWidth="1"/>
    <col min="2819" max="2819" width="12.125" style="923" customWidth="1"/>
    <col min="2820" max="2820" width="15.5" style="923" customWidth="1"/>
    <col min="2821" max="2821" width="9" style="923"/>
    <col min="2822" max="2822" width="12.625" style="923" customWidth="1"/>
    <col min="2823" max="3072" width="9" style="923"/>
    <col min="3073" max="3073" width="41" style="923" customWidth="1"/>
    <col min="3074" max="3074" width="10.375" style="923" customWidth="1"/>
    <col min="3075" max="3075" width="12.125" style="923" customWidth="1"/>
    <col min="3076" max="3076" width="15.5" style="923" customWidth="1"/>
    <col min="3077" max="3077" width="9" style="923"/>
    <col min="3078" max="3078" width="12.625" style="923" customWidth="1"/>
    <col min="3079" max="3328" width="9" style="923"/>
    <col min="3329" max="3329" width="41" style="923" customWidth="1"/>
    <col min="3330" max="3330" width="10.375" style="923" customWidth="1"/>
    <col min="3331" max="3331" width="12.125" style="923" customWidth="1"/>
    <col min="3332" max="3332" width="15.5" style="923" customWidth="1"/>
    <col min="3333" max="3333" width="9" style="923"/>
    <col min="3334" max="3334" width="12.625" style="923" customWidth="1"/>
    <col min="3335" max="3584" width="9" style="923"/>
    <col min="3585" max="3585" width="41" style="923" customWidth="1"/>
    <col min="3586" max="3586" width="10.375" style="923" customWidth="1"/>
    <col min="3587" max="3587" width="12.125" style="923" customWidth="1"/>
    <col min="3588" max="3588" width="15.5" style="923" customWidth="1"/>
    <col min="3589" max="3589" width="9" style="923"/>
    <col min="3590" max="3590" width="12.625" style="923" customWidth="1"/>
    <col min="3591" max="3840" width="9" style="923"/>
    <col min="3841" max="3841" width="41" style="923" customWidth="1"/>
    <col min="3842" max="3842" width="10.375" style="923" customWidth="1"/>
    <col min="3843" max="3843" width="12.125" style="923" customWidth="1"/>
    <col min="3844" max="3844" width="15.5" style="923" customWidth="1"/>
    <col min="3845" max="3845" width="9" style="923"/>
    <col min="3846" max="3846" width="12.625" style="923" customWidth="1"/>
    <col min="3847" max="4096" width="9" style="923"/>
    <col min="4097" max="4097" width="41" style="923" customWidth="1"/>
    <col min="4098" max="4098" width="10.375" style="923" customWidth="1"/>
    <col min="4099" max="4099" width="12.125" style="923" customWidth="1"/>
    <col min="4100" max="4100" width="15.5" style="923" customWidth="1"/>
    <col min="4101" max="4101" width="9" style="923"/>
    <col min="4102" max="4102" width="12.625" style="923" customWidth="1"/>
    <col min="4103" max="4352" width="9" style="923"/>
    <col min="4353" max="4353" width="41" style="923" customWidth="1"/>
    <col min="4354" max="4354" width="10.375" style="923" customWidth="1"/>
    <col min="4355" max="4355" width="12.125" style="923" customWidth="1"/>
    <col min="4356" max="4356" width="15.5" style="923" customWidth="1"/>
    <col min="4357" max="4357" width="9" style="923"/>
    <col min="4358" max="4358" width="12.625" style="923" customWidth="1"/>
    <col min="4359" max="4608" width="9" style="923"/>
    <col min="4609" max="4609" width="41" style="923" customWidth="1"/>
    <col min="4610" max="4610" width="10.375" style="923" customWidth="1"/>
    <col min="4611" max="4611" width="12.125" style="923" customWidth="1"/>
    <col min="4612" max="4612" width="15.5" style="923" customWidth="1"/>
    <col min="4613" max="4613" width="9" style="923"/>
    <col min="4614" max="4614" width="12.625" style="923" customWidth="1"/>
    <col min="4615" max="4864" width="9" style="923"/>
    <col min="4865" max="4865" width="41" style="923" customWidth="1"/>
    <col min="4866" max="4866" width="10.375" style="923" customWidth="1"/>
    <col min="4867" max="4867" width="12.125" style="923" customWidth="1"/>
    <col min="4868" max="4868" width="15.5" style="923" customWidth="1"/>
    <col min="4869" max="4869" width="9" style="923"/>
    <col min="4870" max="4870" width="12.625" style="923" customWidth="1"/>
    <col min="4871" max="5120" width="9" style="923"/>
    <col min="5121" max="5121" width="41" style="923" customWidth="1"/>
    <col min="5122" max="5122" width="10.375" style="923" customWidth="1"/>
    <col min="5123" max="5123" width="12.125" style="923" customWidth="1"/>
    <col min="5124" max="5124" width="15.5" style="923" customWidth="1"/>
    <col min="5125" max="5125" width="9" style="923"/>
    <col min="5126" max="5126" width="12.625" style="923" customWidth="1"/>
    <col min="5127" max="5376" width="9" style="923"/>
    <col min="5377" max="5377" width="41" style="923" customWidth="1"/>
    <col min="5378" max="5378" width="10.375" style="923" customWidth="1"/>
    <col min="5379" max="5379" width="12.125" style="923" customWidth="1"/>
    <col min="5380" max="5380" width="15.5" style="923" customWidth="1"/>
    <col min="5381" max="5381" width="9" style="923"/>
    <col min="5382" max="5382" width="12.625" style="923" customWidth="1"/>
    <col min="5383" max="5632" width="9" style="923"/>
    <col min="5633" max="5633" width="41" style="923" customWidth="1"/>
    <col min="5634" max="5634" width="10.375" style="923" customWidth="1"/>
    <col min="5635" max="5635" width="12.125" style="923" customWidth="1"/>
    <col min="5636" max="5636" width="15.5" style="923" customWidth="1"/>
    <col min="5637" max="5637" width="9" style="923"/>
    <col min="5638" max="5638" width="12.625" style="923" customWidth="1"/>
    <col min="5639" max="5888" width="9" style="923"/>
    <col min="5889" max="5889" width="41" style="923" customWidth="1"/>
    <col min="5890" max="5890" width="10.375" style="923" customWidth="1"/>
    <col min="5891" max="5891" width="12.125" style="923" customWidth="1"/>
    <col min="5892" max="5892" width="15.5" style="923" customWidth="1"/>
    <col min="5893" max="5893" width="9" style="923"/>
    <col min="5894" max="5894" width="12.625" style="923" customWidth="1"/>
    <col min="5895" max="6144" width="9" style="923"/>
    <col min="6145" max="6145" width="41" style="923" customWidth="1"/>
    <col min="6146" max="6146" width="10.375" style="923" customWidth="1"/>
    <col min="6147" max="6147" width="12.125" style="923" customWidth="1"/>
    <col min="6148" max="6148" width="15.5" style="923" customWidth="1"/>
    <col min="6149" max="6149" width="9" style="923"/>
    <col min="6150" max="6150" width="12.625" style="923" customWidth="1"/>
    <col min="6151" max="6400" width="9" style="923"/>
    <col min="6401" max="6401" width="41" style="923" customWidth="1"/>
    <col min="6402" max="6402" width="10.375" style="923" customWidth="1"/>
    <col min="6403" max="6403" width="12.125" style="923" customWidth="1"/>
    <col min="6404" max="6404" width="15.5" style="923" customWidth="1"/>
    <col min="6405" max="6405" width="9" style="923"/>
    <col min="6406" max="6406" width="12.625" style="923" customWidth="1"/>
    <col min="6407" max="6656" width="9" style="923"/>
    <col min="6657" max="6657" width="41" style="923" customWidth="1"/>
    <col min="6658" max="6658" width="10.375" style="923" customWidth="1"/>
    <col min="6659" max="6659" width="12.125" style="923" customWidth="1"/>
    <col min="6660" max="6660" width="15.5" style="923" customWidth="1"/>
    <col min="6661" max="6661" width="9" style="923"/>
    <col min="6662" max="6662" width="12.625" style="923" customWidth="1"/>
    <col min="6663" max="6912" width="9" style="923"/>
    <col min="6913" max="6913" width="41" style="923" customWidth="1"/>
    <col min="6914" max="6914" width="10.375" style="923" customWidth="1"/>
    <col min="6915" max="6915" width="12.125" style="923" customWidth="1"/>
    <col min="6916" max="6916" width="15.5" style="923" customWidth="1"/>
    <col min="6917" max="6917" width="9" style="923"/>
    <col min="6918" max="6918" width="12.625" style="923" customWidth="1"/>
    <col min="6919" max="7168" width="9" style="923"/>
    <col min="7169" max="7169" width="41" style="923" customWidth="1"/>
    <col min="7170" max="7170" width="10.375" style="923" customWidth="1"/>
    <col min="7171" max="7171" width="12.125" style="923" customWidth="1"/>
    <col min="7172" max="7172" width="15.5" style="923" customWidth="1"/>
    <col min="7173" max="7173" width="9" style="923"/>
    <col min="7174" max="7174" width="12.625" style="923" customWidth="1"/>
    <col min="7175" max="7424" width="9" style="923"/>
    <col min="7425" max="7425" width="41" style="923" customWidth="1"/>
    <col min="7426" max="7426" width="10.375" style="923" customWidth="1"/>
    <col min="7427" max="7427" width="12.125" style="923" customWidth="1"/>
    <col min="7428" max="7428" width="15.5" style="923" customWidth="1"/>
    <col min="7429" max="7429" width="9" style="923"/>
    <col min="7430" max="7430" width="12.625" style="923" customWidth="1"/>
    <col min="7431" max="7680" width="9" style="923"/>
    <col min="7681" max="7681" width="41" style="923" customWidth="1"/>
    <col min="7682" max="7682" width="10.375" style="923" customWidth="1"/>
    <col min="7683" max="7683" width="12.125" style="923" customWidth="1"/>
    <col min="7684" max="7684" width="15.5" style="923" customWidth="1"/>
    <col min="7685" max="7685" width="9" style="923"/>
    <col min="7686" max="7686" width="12.625" style="923" customWidth="1"/>
    <col min="7687" max="7936" width="9" style="923"/>
    <col min="7937" max="7937" width="41" style="923" customWidth="1"/>
    <col min="7938" max="7938" width="10.375" style="923" customWidth="1"/>
    <col min="7939" max="7939" width="12.125" style="923" customWidth="1"/>
    <col min="7940" max="7940" width="15.5" style="923" customWidth="1"/>
    <col min="7941" max="7941" width="9" style="923"/>
    <col min="7942" max="7942" width="12.625" style="923" customWidth="1"/>
    <col min="7943" max="8192" width="9" style="923"/>
    <col min="8193" max="8193" width="41" style="923" customWidth="1"/>
    <col min="8194" max="8194" width="10.375" style="923" customWidth="1"/>
    <col min="8195" max="8195" width="12.125" style="923" customWidth="1"/>
    <col min="8196" max="8196" width="15.5" style="923" customWidth="1"/>
    <col min="8197" max="8197" width="9" style="923"/>
    <col min="8198" max="8198" width="12.625" style="923" customWidth="1"/>
    <col min="8199" max="8448" width="9" style="923"/>
    <col min="8449" max="8449" width="41" style="923" customWidth="1"/>
    <col min="8450" max="8450" width="10.375" style="923" customWidth="1"/>
    <col min="8451" max="8451" width="12.125" style="923" customWidth="1"/>
    <col min="8452" max="8452" width="15.5" style="923" customWidth="1"/>
    <col min="8453" max="8453" width="9" style="923"/>
    <col min="8454" max="8454" width="12.625" style="923" customWidth="1"/>
    <col min="8455" max="8704" width="9" style="923"/>
    <col min="8705" max="8705" width="41" style="923" customWidth="1"/>
    <col min="8706" max="8706" width="10.375" style="923" customWidth="1"/>
    <col min="8707" max="8707" width="12.125" style="923" customWidth="1"/>
    <col min="8708" max="8708" width="15.5" style="923" customWidth="1"/>
    <col min="8709" max="8709" width="9" style="923"/>
    <col min="8710" max="8710" width="12.625" style="923" customWidth="1"/>
    <col min="8711" max="8960" width="9" style="923"/>
    <col min="8961" max="8961" width="41" style="923" customWidth="1"/>
    <col min="8962" max="8962" width="10.375" style="923" customWidth="1"/>
    <col min="8963" max="8963" width="12.125" style="923" customWidth="1"/>
    <col min="8964" max="8964" width="15.5" style="923" customWidth="1"/>
    <col min="8965" max="8965" width="9" style="923"/>
    <col min="8966" max="8966" width="12.625" style="923" customWidth="1"/>
    <col min="8967" max="9216" width="9" style="923"/>
    <col min="9217" max="9217" width="41" style="923" customWidth="1"/>
    <col min="9218" max="9218" width="10.375" style="923" customWidth="1"/>
    <col min="9219" max="9219" width="12.125" style="923" customWidth="1"/>
    <col min="9220" max="9220" width="15.5" style="923" customWidth="1"/>
    <col min="9221" max="9221" width="9" style="923"/>
    <col min="9222" max="9222" width="12.625" style="923" customWidth="1"/>
    <col min="9223" max="9472" width="9" style="923"/>
    <col min="9473" max="9473" width="41" style="923" customWidth="1"/>
    <col min="9474" max="9474" width="10.375" style="923" customWidth="1"/>
    <col min="9475" max="9475" width="12.125" style="923" customWidth="1"/>
    <col min="9476" max="9476" width="15.5" style="923" customWidth="1"/>
    <col min="9477" max="9477" width="9" style="923"/>
    <col min="9478" max="9478" width="12.625" style="923" customWidth="1"/>
    <col min="9479" max="9728" width="9" style="923"/>
    <col min="9729" max="9729" width="41" style="923" customWidth="1"/>
    <col min="9730" max="9730" width="10.375" style="923" customWidth="1"/>
    <col min="9731" max="9731" width="12.125" style="923" customWidth="1"/>
    <col min="9732" max="9732" width="15.5" style="923" customWidth="1"/>
    <col min="9733" max="9733" width="9" style="923"/>
    <col min="9734" max="9734" width="12.625" style="923" customWidth="1"/>
    <col min="9735" max="9984" width="9" style="923"/>
    <col min="9985" max="9985" width="41" style="923" customWidth="1"/>
    <col min="9986" max="9986" width="10.375" style="923" customWidth="1"/>
    <col min="9987" max="9987" width="12.125" style="923" customWidth="1"/>
    <col min="9988" max="9988" width="15.5" style="923" customWidth="1"/>
    <col min="9989" max="9989" width="9" style="923"/>
    <col min="9990" max="9990" width="12.625" style="923" customWidth="1"/>
    <col min="9991" max="10240" width="9" style="923"/>
    <col min="10241" max="10241" width="41" style="923" customWidth="1"/>
    <col min="10242" max="10242" width="10.375" style="923" customWidth="1"/>
    <col min="10243" max="10243" width="12.125" style="923" customWidth="1"/>
    <col min="10244" max="10244" width="15.5" style="923" customWidth="1"/>
    <col min="10245" max="10245" width="9" style="923"/>
    <col min="10246" max="10246" width="12.625" style="923" customWidth="1"/>
    <col min="10247" max="10496" width="9" style="923"/>
    <col min="10497" max="10497" width="41" style="923" customWidth="1"/>
    <col min="10498" max="10498" width="10.375" style="923" customWidth="1"/>
    <col min="10499" max="10499" width="12.125" style="923" customWidth="1"/>
    <col min="10500" max="10500" width="15.5" style="923" customWidth="1"/>
    <col min="10501" max="10501" width="9" style="923"/>
    <col min="10502" max="10502" width="12.625" style="923" customWidth="1"/>
    <col min="10503" max="10752" width="9" style="923"/>
    <col min="10753" max="10753" width="41" style="923" customWidth="1"/>
    <col min="10754" max="10754" width="10.375" style="923" customWidth="1"/>
    <col min="10755" max="10755" width="12.125" style="923" customWidth="1"/>
    <col min="10756" max="10756" width="15.5" style="923" customWidth="1"/>
    <col min="10757" max="10757" width="9" style="923"/>
    <col min="10758" max="10758" width="12.625" style="923" customWidth="1"/>
    <col min="10759" max="11008" width="9" style="923"/>
    <col min="11009" max="11009" width="41" style="923" customWidth="1"/>
    <col min="11010" max="11010" width="10.375" style="923" customWidth="1"/>
    <col min="11011" max="11011" width="12.125" style="923" customWidth="1"/>
    <col min="11012" max="11012" width="15.5" style="923" customWidth="1"/>
    <col min="11013" max="11013" width="9" style="923"/>
    <col min="11014" max="11014" width="12.625" style="923" customWidth="1"/>
    <col min="11015" max="11264" width="9" style="923"/>
    <col min="11265" max="11265" width="41" style="923" customWidth="1"/>
    <col min="11266" max="11266" width="10.375" style="923" customWidth="1"/>
    <col min="11267" max="11267" width="12.125" style="923" customWidth="1"/>
    <col min="11268" max="11268" width="15.5" style="923" customWidth="1"/>
    <col min="11269" max="11269" width="9" style="923"/>
    <col min="11270" max="11270" width="12.625" style="923" customWidth="1"/>
    <col min="11271" max="11520" width="9" style="923"/>
    <col min="11521" max="11521" width="41" style="923" customWidth="1"/>
    <col min="11522" max="11522" width="10.375" style="923" customWidth="1"/>
    <col min="11523" max="11523" width="12.125" style="923" customWidth="1"/>
    <col min="11524" max="11524" width="15.5" style="923" customWidth="1"/>
    <col min="11525" max="11525" width="9" style="923"/>
    <col min="11526" max="11526" width="12.625" style="923" customWidth="1"/>
    <col min="11527" max="11776" width="9" style="923"/>
    <col min="11777" max="11777" width="41" style="923" customWidth="1"/>
    <col min="11778" max="11778" width="10.375" style="923" customWidth="1"/>
    <col min="11779" max="11779" width="12.125" style="923" customWidth="1"/>
    <col min="11780" max="11780" width="15.5" style="923" customWidth="1"/>
    <col min="11781" max="11781" width="9" style="923"/>
    <col min="11782" max="11782" width="12.625" style="923" customWidth="1"/>
    <col min="11783" max="12032" width="9" style="923"/>
    <col min="12033" max="12033" width="41" style="923" customWidth="1"/>
    <col min="12034" max="12034" width="10.375" style="923" customWidth="1"/>
    <col min="12035" max="12035" width="12.125" style="923" customWidth="1"/>
    <col min="12036" max="12036" width="15.5" style="923" customWidth="1"/>
    <col min="12037" max="12037" width="9" style="923"/>
    <col min="12038" max="12038" width="12.625" style="923" customWidth="1"/>
    <col min="12039" max="12288" width="9" style="923"/>
    <col min="12289" max="12289" width="41" style="923" customWidth="1"/>
    <col min="12290" max="12290" width="10.375" style="923" customWidth="1"/>
    <col min="12291" max="12291" width="12.125" style="923" customWidth="1"/>
    <col min="12292" max="12292" width="15.5" style="923" customWidth="1"/>
    <col min="12293" max="12293" width="9" style="923"/>
    <col min="12294" max="12294" width="12.625" style="923" customWidth="1"/>
    <col min="12295" max="12544" width="9" style="923"/>
    <col min="12545" max="12545" width="41" style="923" customWidth="1"/>
    <col min="12546" max="12546" width="10.375" style="923" customWidth="1"/>
    <col min="12547" max="12547" width="12.125" style="923" customWidth="1"/>
    <col min="12548" max="12548" width="15.5" style="923" customWidth="1"/>
    <col min="12549" max="12549" width="9" style="923"/>
    <col min="12550" max="12550" width="12.625" style="923" customWidth="1"/>
    <col min="12551" max="12800" width="9" style="923"/>
    <col min="12801" max="12801" width="41" style="923" customWidth="1"/>
    <col min="12802" max="12802" width="10.375" style="923" customWidth="1"/>
    <col min="12803" max="12803" width="12.125" style="923" customWidth="1"/>
    <col min="12804" max="12804" width="15.5" style="923" customWidth="1"/>
    <col min="12805" max="12805" width="9" style="923"/>
    <col min="12806" max="12806" width="12.625" style="923" customWidth="1"/>
    <col min="12807" max="13056" width="9" style="923"/>
    <col min="13057" max="13057" width="41" style="923" customWidth="1"/>
    <col min="13058" max="13058" width="10.375" style="923" customWidth="1"/>
    <col min="13059" max="13059" width="12.125" style="923" customWidth="1"/>
    <col min="13060" max="13060" width="15.5" style="923" customWidth="1"/>
    <col min="13061" max="13061" width="9" style="923"/>
    <col min="13062" max="13062" width="12.625" style="923" customWidth="1"/>
    <col min="13063" max="13312" width="9" style="923"/>
    <col min="13313" max="13313" width="41" style="923" customWidth="1"/>
    <col min="13314" max="13314" width="10.375" style="923" customWidth="1"/>
    <col min="13315" max="13315" width="12.125" style="923" customWidth="1"/>
    <col min="13316" max="13316" width="15.5" style="923" customWidth="1"/>
    <col min="13317" max="13317" width="9" style="923"/>
    <col min="13318" max="13318" width="12.625" style="923" customWidth="1"/>
    <col min="13319" max="13568" width="9" style="923"/>
    <col min="13569" max="13569" width="41" style="923" customWidth="1"/>
    <col min="13570" max="13570" width="10.375" style="923" customWidth="1"/>
    <col min="13571" max="13571" width="12.125" style="923" customWidth="1"/>
    <col min="13572" max="13572" width="15.5" style="923" customWidth="1"/>
    <col min="13573" max="13573" width="9" style="923"/>
    <col min="13574" max="13574" width="12.625" style="923" customWidth="1"/>
    <col min="13575" max="13824" width="9" style="923"/>
    <col min="13825" max="13825" width="41" style="923" customWidth="1"/>
    <col min="13826" max="13826" width="10.375" style="923" customWidth="1"/>
    <col min="13827" max="13827" width="12.125" style="923" customWidth="1"/>
    <col min="13828" max="13828" width="15.5" style="923" customWidth="1"/>
    <col min="13829" max="13829" width="9" style="923"/>
    <col min="13830" max="13830" width="12.625" style="923" customWidth="1"/>
    <col min="13831" max="14080" width="9" style="923"/>
    <col min="14081" max="14081" width="41" style="923" customWidth="1"/>
    <col min="14082" max="14082" width="10.375" style="923" customWidth="1"/>
    <col min="14083" max="14083" width="12.125" style="923" customWidth="1"/>
    <col min="14084" max="14084" width="15.5" style="923" customWidth="1"/>
    <col min="14085" max="14085" width="9" style="923"/>
    <col min="14086" max="14086" width="12.625" style="923" customWidth="1"/>
    <col min="14087" max="14336" width="9" style="923"/>
    <col min="14337" max="14337" width="41" style="923" customWidth="1"/>
    <col min="14338" max="14338" width="10.375" style="923" customWidth="1"/>
    <col min="14339" max="14339" width="12.125" style="923" customWidth="1"/>
    <col min="14340" max="14340" width="15.5" style="923" customWidth="1"/>
    <col min="14341" max="14341" width="9" style="923"/>
    <col min="14342" max="14342" width="12.625" style="923" customWidth="1"/>
    <col min="14343" max="14592" width="9" style="923"/>
    <col min="14593" max="14593" width="41" style="923" customWidth="1"/>
    <col min="14594" max="14594" width="10.375" style="923" customWidth="1"/>
    <col min="14595" max="14595" width="12.125" style="923" customWidth="1"/>
    <col min="14596" max="14596" width="15.5" style="923" customWidth="1"/>
    <col min="14597" max="14597" width="9" style="923"/>
    <col min="14598" max="14598" width="12.625" style="923" customWidth="1"/>
    <col min="14599" max="14848" width="9" style="923"/>
    <col min="14849" max="14849" width="41" style="923" customWidth="1"/>
    <col min="14850" max="14850" width="10.375" style="923" customWidth="1"/>
    <col min="14851" max="14851" width="12.125" style="923" customWidth="1"/>
    <col min="14852" max="14852" width="15.5" style="923" customWidth="1"/>
    <col min="14853" max="14853" width="9" style="923"/>
    <col min="14854" max="14854" width="12.625" style="923" customWidth="1"/>
    <col min="14855" max="15104" width="9" style="923"/>
    <col min="15105" max="15105" width="41" style="923" customWidth="1"/>
    <col min="15106" max="15106" width="10.375" style="923" customWidth="1"/>
    <col min="15107" max="15107" width="12.125" style="923" customWidth="1"/>
    <col min="15108" max="15108" width="15.5" style="923" customWidth="1"/>
    <col min="15109" max="15109" width="9" style="923"/>
    <col min="15110" max="15110" width="12.625" style="923" customWidth="1"/>
    <col min="15111" max="15360" width="9" style="923"/>
    <col min="15361" max="15361" width="41" style="923" customWidth="1"/>
    <col min="15362" max="15362" width="10.375" style="923" customWidth="1"/>
    <col min="15363" max="15363" width="12.125" style="923" customWidth="1"/>
    <col min="15364" max="15364" width="15.5" style="923" customWidth="1"/>
    <col min="15365" max="15365" width="9" style="923"/>
    <col min="15366" max="15366" width="12.625" style="923" customWidth="1"/>
    <col min="15367" max="15616" width="9" style="923"/>
    <col min="15617" max="15617" width="41" style="923" customWidth="1"/>
    <col min="15618" max="15618" width="10.375" style="923" customWidth="1"/>
    <col min="15619" max="15619" width="12.125" style="923" customWidth="1"/>
    <col min="15620" max="15620" width="15.5" style="923" customWidth="1"/>
    <col min="15621" max="15621" width="9" style="923"/>
    <col min="15622" max="15622" width="12.625" style="923" customWidth="1"/>
    <col min="15623" max="15872" width="9" style="923"/>
    <col min="15873" max="15873" width="41" style="923" customWidth="1"/>
    <col min="15874" max="15874" width="10.375" style="923" customWidth="1"/>
    <col min="15875" max="15875" width="12.125" style="923" customWidth="1"/>
    <col min="15876" max="15876" width="15.5" style="923" customWidth="1"/>
    <col min="15877" max="15877" width="9" style="923"/>
    <col min="15878" max="15878" width="12.625" style="923" customWidth="1"/>
    <col min="15879" max="16128" width="9" style="923"/>
    <col min="16129" max="16129" width="41" style="923" customWidth="1"/>
    <col min="16130" max="16130" width="10.375" style="923" customWidth="1"/>
    <col min="16131" max="16131" width="12.125" style="923" customWidth="1"/>
    <col min="16132" max="16132" width="15.5" style="923" customWidth="1"/>
    <col min="16133" max="16133" width="9" style="923"/>
    <col min="16134" max="16134" width="12.625" style="923" customWidth="1"/>
    <col min="16135" max="16384" width="9" style="923"/>
  </cols>
  <sheetData>
    <row r="1" ht="18" customHeight="1" spans="1:1">
      <c r="A1" s="922" t="s">
        <v>240</v>
      </c>
    </row>
    <row r="2" ht="21" customHeight="1" spans="1:4">
      <c r="A2" s="924" t="s">
        <v>241</v>
      </c>
      <c r="B2" s="924"/>
      <c r="C2" s="924"/>
      <c r="D2" s="924"/>
    </row>
    <row r="3" ht="35.1" customHeight="1" spans="1:4">
      <c r="A3" s="925" t="s">
        <v>242</v>
      </c>
      <c r="B3" s="926" t="s">
        <v>55</v>
      </c>
      <c r="C3" s="926" t="s">
        <v>243</v>
      </c>
      <c r="D3" s="926" t="s">
        <v>244</v>
      </c>
    </row>
    <row r="4" ht="18" customHeight="1" spans="1:4">
      <c r="A4" s="927" t="s">
        <v>245</v>
      </c>
      <c r="B4" s="928" t="s">
        <v>246</v>
      </c>
      <c r="C4" s="926">
        <v>1</v>
      </c>
      <c r="D4" s="926"/>
    </row>
    <row r="5" ht="18" customHeight="1" spans="1:4">
      <c r="A5" s="929" t="s">
        <v>247</v>
      </c>
      <c r="B5" s="926" t="s">
        <v>62</v>
      </c>
      <c r="C5" s="926">
        <v>2</v>
      </c>
      <c r="D5" s="926"/>
    </row>
    <row r="6" ht="18" customHeight="1" spans="1:4">
      <c r="A6" s="929" t="s">
        <v>248</v>
      </c>
      <c r="B6" s="926" t="s">
        <v>62</v>
      </c>
      <c r="C6" s="926">
        <v>3</v>
      </c>
      <c r="D6" s="926"/>
    </row>
    <row r="7" ht="18" customHeight="1" spans="1:4">
      <c r="A7" s="929" t="s">
        <v>249</v>
      </c>
      <c r="B7" s="926" t="s">
        <v>250</v>
      </c>
      <c r="C7" s="926">
        <v>4</v>
      </c>
      <c r="D7" s="926"/>
    </row>
    <row r="8" ht="18" customHeight="1" spans="1:4">
      <c r="A8" s="929" t="s">
        <v>251</v>
      </c>
      <c r="B8" s="926" t="s">
        <v>194</v>
      </c>
      <c r="C8" s="926">
        <v>5</v>
      </c>
      <c r="D8" s="926">
        <v>0.8588</v>
      </c>
    </row>
    <row r="9" ht="18" customHeight="1" spans="1:4">
      <c r="A9" s="929" t="s">
        <v>252</v>
      </c>
      <c r="B9" s="926" t="s">
        <v>194</v>
      </c>
      <c r="C9" s="926">
        <v>6</v>
      </c>
      <c r="D9" s="926">
        <v>0.8588</v>
      </c>
    </row>
    <row r="10" ht="18" customHeight="1" spans="1:4">
      <c r="A10" s="929" t="s">
        <v>253</v>
      </c>
      <c r="B10" s="926" t="s">
        <v>194</v>
      </c>
      <c r="C10" s="926">
        <v>7</v>
      </c>
      <c r="D10" s="926">
        <v>0.8588</v>
      </c>
    </row>
    <row r="11" ht="18" customHeight="1" spans="1:4">
      <c r="A11" s="929" t="s">
        <v>254</v>
      </c>
      <c r="B11" s="926" t="s">
        <v>194</v>
      </c>
      <c r="C11" s="926">
        <v>8</v>
      </c>
      <c r="D11" s="926"/>
    </row>
    <row r="12" ht="18" customHeight="1" spans="1:4">
      <c r="A12" s="929" t="s">
        <v>255</v>
      </c>
      <c r="B12" s="926" t="s">
        <v>256</v>
      </c>
      <c r="C12" s="926">
        <v>9</v>
      </c>
      <c r="D12" s="926">
        <v>90</v>
      </c>
    </row>
    <row r="13" ht="18" customHeight="1" spans="1:4">
      <c r="A13" s="929" t="s">
        <v>257</v>
      </c>
      <c r="B13" s="926" t="s">
        <v>258</v>
      </c>
      <c r="C13" s="926">
        <v>10</v>
      </c>
      <c r="D13" s="930">
        <v>0.1189</v>
      </c>
    </row>
    <row r="14" ht="18" customHeight="1" spans="1:4">
      <c r="A14" s="929" t="s">
        <v>259</v>
      </c>
      <c r="B14" s="926" t="s">
        <v>194</v>
      </c>
      <c r="C14" s="926">
        <v>11</v>
      </c>
      <c r="D14" s="926">
        <v>0.01</v>
      </c>
    </row>
    <row r="15" ht="18" customHeight="1" spans="1:4">
      <c r="A15" s="929" t="s">
        <v>260</v>
      </c>
      <c r="B15" s="926" t="s">
        <v>194</v>
      </c>
      <c r="C15" s="926">
        <v>12</v>
      </c>
      <c r="D15" s="926"/>
    </row>
    <row r="16" ht="18" customHeight="1" spans="1:4">
      <c r="A16" s="929" t="s">
        <v>261</v>
      </c>
      <c r="B16" s="926" t="s">
        <v>258</v>
      </c>
      <c r="C16" s="926">
        <v>13</v>
      </c>
      <c r="D16" s="926"/>
    </row>
    <row r="17" ht="18" customHeight="1" spans="1:4">
      <c r="A17" s="929" t="s">
        <v>262</v>
      </c>
      <c r="B17" s="926" t="s">
        <v>258</v>
      </c>
      <c r="C17" s="926">
        <v>14</v>
      </c>
      <c r="D17" s="931">
        <v>1</v>
      </c>
    </row>
    <row r="18" ht="18" customHeight="1" spans="1:4">
      <c r="A18" s="929" t="s">
        <v>263</v>
      </c>
      <c r="B18" s="926" t="s">
        <v>256</v>
      </c>
      <c r="C18" s="926">
        <v>15</v>
      </c>
      <c r="D18" s="281"/>
    </row>
    <row r="19" ht="18" customHeight="1" spans="1:4">
      <c r="A19" s="927" t="s">
        <v>264</v>
      </c>
      <c r="B19" s="928" t="s">
        <v>246</v>
      </c>
      <c r="C19" s="926">
        <v>16</v>
      </c>
      <c r="D19" s="281"/>
    </row>
    <row r="20" ht="18" customHeight="1" spans="1:4">
      <c r="A20" s="929" t="s">
        <v>265</v>
      </c>
      <c r="B20" s="926" t="s">
        <v>266</v>
      </c>
      <c r="C20" s="926">
        <v>17</v>
      </c>
      <c r="D20" s="281">
        <v>29.09</v>
      </c>
    </row>
    <row r="21" ht="18" customHeight="1" spans="1:4">
      <c r="A21" s="929" t="s">
        <v>267</v>
      </c>
      <c r="B21" s="926" t="s">
        <v>266</v>
      </c>
      <c r="C21" s="926">
        <v>18</v>
      </c>
      <c r="D21" s="926"/>
    </row>
    <row r="22" ht="18" customHeight="1" spans="1:4">
      <c r="A22" s="929" t="s">
        <v>268</v>
      </c>
      <c r="B22" s="926" t="s">
        <v>266</v>
      </c>
      <c r="C22" s="926">
        <v>19</v>
      </c>
      <c r="D22" s="926"/>
    </row>
    <row r="23" ht="18" customHeight="1" spans="1:4">
      <c r="A23" s="929" t="s">
        <v>269</v>
      </c>
      <c r="B23" s="926" t="s">
        <v>266</v>
      </c>
      <c r="C23" s="926">
        <v>20</v>
      </c>
      <c r="D23" s="926"/>
    </row>
    <row r="24" ht="18" customHeight="1" spans="1:4">
      <c r="A24" s="929" t="s">
        <v>270</v>
      </c>
      <c r="B24" s="926" t="s">
        <v>266</v>
      </c>
      <c r="C24" s="926">
        <v>21</v>
      </c>
      <c r="D24" s="926"/>
    </row>
    <row r="25" ht="18" customHeight="1" spans="1:4">
      <c r="A25" s="927" t="s">
        <v>271</v>
      </c>
      <c r="B25" s="928" t="s">
        <v>246</v>
      </c>
      <c r="C25" s="926">
        <v>22</v>
      </c>
      <c r="D25" s="926"/>
    </row>
    <row r="26" ht="18" customHeight="1" spans="1:4">
      <c r="A26" s="929" t="s">
        <v>272</v>
      </c>
      <c r="B26" s="926" t="s">
        <v>64</v>
      </c>
      <c r="C26" s="926">
        <v>23</v>
      </c>
      <c r="D26" s="281">
        <v>1019</v>
      </c>
    </row>
    <row r="27" ht="18" customHeight="1" spans="1:4">
      <c r="A27" s="929" t="s">
        <v>273</v>
      </c>
      <c r="B27" s="926" t="s">
        <v>198</v>
      </c>
      <c r="C27" s="926">
        <v>24</v>
      </c>
      <c r="D27" s="281">
        <v>4586</v>
      </c>
    </row>
    <row r="28" ht="18" customHeight="1" spans="1:4">
      <c r="A28" s="929" t="s">
        <v>274</v>
      </c>
      <c r="B28" s="926" t="s">
        <v>106</v>
      </c>
      <c r="C28" s="926">
        <v>25</v>
      </c>
      <c r="D28" s="281">
        <v>123.36</v>
      </c>
    </row>
    <row r="29" ht="18" customHeight="1" spans="1:4">
      <c r="A29" s="929" t="s">
        <v>275</v>
      </c>
      <c r="B29" s="926" t="s">
        <v>258</v>
      </c>
      <c r="C29" s="926">
        <v>26</v>
      </c>
      <c r="D29" s="931">
        <v>1</v>
      </c>
    </row>
    <row r="30" ht="18" customHeight="1" spans="1:4">
      <c r="A30" s="927" t="s">
        <v>276</v>
      </c>
      <c r="B30" s="928" t="s">
        <v>246</v>
      </c>
      <c r="C30" s="926">
        <v>27</v>
      </c>
      <c r="D30" s="281"/>
    </row>
    <row r="31" ht="18" customHeight="1" spans="1:4">
      <c r="A31" s="929" t="s">
        <v>277</v>
      </c>
      <c r="B31" s="926" t="s">
        <v>194</v>
      </c>
      <c r="C31" s="926">
        <v>28</v>
      </c>
      <c r="D31" s="281">
        <v>0.8588</v>
      </c>
    </row>
    <row r="32" ht="18" customHeight="1" spans="1:4">
      <c r="A32" s="929" t="s">
        <v>278</v>
      </c>
      <c r="B32" s="926" t="s">
        <v>194</v>
      </c>
      <c r="C32" s="926">
        <v>29</v>
      </c>
      <c r="D32" s="926"/>
    </row>
    <row r="33" ht="18" customHeight="1" spans="1:4">
      <c r="A33" s="929" t="s">
        <v>279</v>
      </c>
      <c r="B33" s="926" t="s">
        <v>194</v>
      </c>
      <c r="C33" s="926">
        <v>30</v>
      </c>
      <c r="D33" s="926"/>
    </row>
    <row r="34" ht="18" customHeight="1" spans="1:4">
      <c r="A34" s="929" t="s">
        <v>280</v>
      </c>
      <c r="B34" s="926" t="s">
        <v>194</v>
      </c>
      <c r="C34" s="926">
        <v>31</v>
      </c>
      <c r="D34" s="926"/>
    </row>
    <row r="35" ht="18" customHeight="1" spans="1:4">
      <c r="A35" s="929" t="s">
        <v>281</v>
      </c>
      <c r="B35" s="926" t="s">
        <v>194</v>
      </c>
      <c r="C35" s="926">
        <v>32</v>
      </c>
      <c r="D35" s="926"/>
    </row>
    <row r="36" ht="18" customHeight="1" spans="1:4">
      <c r="A36" s="929" t="s">
        <v>282</v>
      </c>
      <c r="B36" s="926" t="s">
        <v>194</v>
      </c>
      <c r="C36" s="926">
        <v>33</v>
      </c>
      <c r="D36" s="926"/>
    </row>
    <row r="37" ht="18" customHeight="1" spans="1:4">
      <c r="A37" s="929" t="s">
        <v>283</v>
      </c>
      <c r="B37" s="926" t="s">
        <v>284</v>
      </c>
      <c r="C37" s="926">
        <v>34</v>
      </c>
      <c r="D37" s="926"/>
    </row>
    <row r="38" ht="18" customHeight="1" spans="1:4">
      <c r="A38" s="929" t="s">
        <v>285</v>
      </c>
      <c r="B38" s="926" t="s">
        <v>284</v>
      </c>
      <c r="C38" s="926">
        <v>35</v>
      </c>
      <c r="D38" s="926"/>
    </row>
    <row r="39" ht="18" customHeight="1" spans="1:4">
      <c r="A39" s="929" t="s">
        <v>286</v>
      </c>
      <c r="B39" s="926" t="s">
        <v>284</v>
      </c>
      <c r="C39" s="926">
        <v>36</v>
      </c>
      <c r="D39" s="926"/>
    </row>
    <row r="40" ht="18" customHeight="1" spans="1:4">
      <c r="A40" s="929" t="s">
        <v>287</v>
      </c>
      <c r="B40" s="926" t="s">
        <v>284</v>
      </c>
      <c r="C40" s="926">
        <v>37</v>
      </c>
      <c r="D40" s="926"/>
    </row>
    <row r="41" ht="18" customHeight="1" spans="1:4">
      <c r="A41" s="929" t="s">
        <v>288</v>
      </c>
      <c r="B41" s="926" t="s">
        <v>284</v>
      </c>
      <c r="C41" s="926">
        <v>38</v>
      </c>
      <c r="D41" s="926"/>
    </row>
  </sheetData>
  <mergeCells count="1">
    <mergeCell ref="A2:D2"/>
  </mergeCells>
  <pageMargins left="0.75" right="0.538888888888889" top="0.393055555555556" bottom="0.432638888888889" header="0.5" footer="0.432638888888889"/>
  <pageSetup paperSize="9" orientation="portrait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4"/>
  <sheetViews>
    <sheetView topLeftCell="A16" workbookViewId="0">
      <selection activeCell="I39" sqref="I39"/>
    </sheetView>
  </sheetViews>
  <sheetFormatPr defaultColWidth="9" defaultRowHeight="14.25" outlineLevelCol="5"/>
  <cols>
    <col min="3" max="3" width="22.75" customWidth="1"/>
    <col min="5" max="5" width="20.125" customWidth="1"/>
  </cols>
  <sheetData>
    <row r="1" customHeight="1"/>
    <row r="2" customHeight="1" spans="2:6">
      <c r="B2" s="912"/>
      <c r="C2" s="912"/>
      <c r="D2" s="912"/>
      <c r="E2" s="912"/>
      <c r="F2" s="912"/>
    </row>
    <row r="3" customHeight="1" spans="2:6">
      <c r="B3" s="912"/>
      <c r="C3" s="912"/>
      <c r="D3" s="912"/>
      <c r="E3" s="912"/>
      <c r="F3" s="912"/>
    </row>
    <row r="4" customHeight="1" spans="2:6">
      <c r="B4" s="913" t="s">
        <v>289</v>
      </c>
      <c r="C4" s="913"/>
      <c r="D4" s="913"/>
      <c r="E4" s="913"/>
      <c r="F4" s="913"/>
    </row>
    <row r="5" spans="2:6">
      <c r="B5" s="914" t="s">
        <v>290</v>
      </c>
      <c r="C5" s="914"/>
      <c r="D5" s="914"/>
      <c r="E5" s="914"/>
      <c r="F5" s="914"/>
    </row>
    <row r="6" spans="2:6">
      <c r="B6" s="915" t="s">
        <v>291</v>
      </c>
      <c r="C6" s="915" t="s">
        <v>292</v>
      </c>
      <c r="D6" s="915" t="s">
        <v>55</v>
      </c>
      <c r="E6" s="915" t="s">
        <v>191</v>
      </c>
      <c r="F6" s="915" t="s">
        <v>119</v>
      </c>
    </row>
    <row r="7" spans="2:6">
      <c r="B7" s="179" t="s">
        <v>293</v>
      </c>
      <c r="C7" s="179" t="s">
        <v>294</v>
      </c>
      <c r="D7" s="916"/>
      <c r="E7" s="916"/>
      <c r="F7" s="916"/>
    </row>
    <row r="8" spans="2:6">
      <c r="B8" s="916">
        <v>1</v>
      </c>
      <c r="C8" s="179" t="s">
        <v>295</v>
      </c>
      <c r="D8" s="916"/>
      <c r="E8" s="179" t="s">
        <v>296</v>
      </c>
      <c r="F8" s="916"/>
    </row>
    <row r="9" spans="2:6">
      <c r="B9" s="916">
        <v>2</v>
      </c>
      <c r="C9" s="179" t="s">
        <v>297</v>
      </c>
      <c r="D9" s="916" t="s">
        <v>146</v>
      </c>
      <c r="E9" s="916">
        <v>1.2</v>
      </c>
      <c r="F9" s="916"/>
    </row>
    <row r="10" spans="2:6">
      <c r="B10" s="179" t="s">
        <v>298</v>
      </c>
      <c r="C10" s="179" t="s">
        <v>299</v>
      </c>
      <c r="D10" s="916"/>
      <c r="E10" s="916"/>
      <c r="F10" s="916"/>
    </row>
    <row r="11" spans="2:6">
      <c r="B11" s="916">
        <v>1</v>
      </c>
      <c r="C11" s="917" t="s">
        <v>300</v>
      </c>
      <c r="D11" s="916"/>
      <c r="E11" s="179" t="s">
        <v>301</v>
      </c>
      <c r="F11" s="916"/>
    </row>
    <row r="12" spans="2:6">
      <c r="B12" s="916">
        <v>2</v>
      </c>
      <c r="C12" s="917" t="s">
        <v>127</v>
      </c>
      <c r="D12" s="179" t="s">
        <v>250</v>
      </c>
      <c r="E12" s="916">
        <v>5</v>
      </c>
      <c r="F12" s="916"/>
    </row>
    <row r="13" spans="2:6">
      <c r="B13" s="916">
        <v>3</v>
      </c>
      <c r="C13" s="917" t="s">
        <v>302</v>
      </c>
      <c r="D13" s="916"/>
      <c r="E13" s="916" t="s">
        <v>303</v>
      </c>
      <c r="F13" s="916"/>
    </row>
    <row r="14" spans="2:6">
      <c r="B14" s="916">
        <v>4</v>
      </c>
      <c r="C14" s="917" t="s">
        <v>304</v>
      </c>
      <c r="D14" s="179" t="s">
        <v>68</v>
      </c>
      <c r="E14" s="916">
        <v>50</v>
      </c>
      <c r="F14" s="916"/>
    </row>
    <row r="15" spans="2:6">
      <c r="B15" s="179" t="s">
        <v>305</v>
      </c>
      <c r="C15" s="179" t="s">
        <v>306</v>
      </c>
      <c r="D15" s="916"/>
      <c r="E15" s="179" t="s">
        <v>307</v>
      </c>
      <c r="F15" s="916"/>
    </row>
    <row r="16" spans="2:6">
      <c r="B16" s="916">
        <v>1</v>
      </c>
      <c r="C16" s="917" t="s">
        <v>308</v>
      </c>
      <c r="D16" s="916" t="s">
        <v>309</v>
      </c>
      <c r="E16" s="916">
        <v>36.8</v>
      </c>
      <c r="F16" s="916"/>
    </row>
    <row r="17" spans="2:6">
      <c r="B17" s="916">
        <v>2</v>
      </c>
      <c r="C17" s="917" t="s">
        <v>310</v>
      </c>
      <c r="D17" s="179" t="s">
        <v>311</v>
      </c>
      <c r="E17" s="916">
        <v>156.6</v>
      </c>
      <c r="F17" s="916"/>
    </row>
    <row r="18" spans="2:6">
      <c r="B18" s="179" t="s">
        <v>312</v>
      </c>
      <c r="C18" s="179" t="s">
        <v>313</v>
      </c>
      <c r="D18" s="916"/>
      <c r="E18" s="916"/>
      <c r="F18" s="916"/>
    </row>
    <row r="19" spans="2:6">
      <c r="B19" s="916">
        <v>1</v>
      </c>
      <c r="C19" s="917" t="s">
        <v>314</v>
      </c>
      <c r="D19" s="916"/>
      <c r="E19" s="179" t="s">
        <v>315</v>
      </c>
      <c r="F19" s="916"/>
    </row>
    <row r="20" spans="2:6">
      <c r="B20" s="916">
        <v>2</v>
      </c>
      <c r="C20" s="917" t="s">
        <v>316</v>
      </c>
      <c r="D20" s="179" t="s">
        <v>317</v>
      </c>
      <c r="E20" s="916">
        <v>5941.84</v>
      </c>
      <c r="F20" s="916"/>
    </row>
    <row r="21" spans="2:6">
      <c r="B21" s="916">
        <v>3</v>
      </c>
      <c r="C21" s="917" t="s">
        <v>318</v>
      </c>
      <c r="D21" s="179" t="s">
        <v>80</v>
      </c>
      <c r="E21" s="916">
        <v>2</v>
      </c>
      <c r="F21" s="916"/>
    </row>
    <row r="22" spans="2:6">
      <c r="B22" s="916">
        <v>3.1</v>
      </c>
      <c r="C22" s="917" t="s">
        <v>319</v>
      </c>
      <c r="D22" s="916" t="s">
        <v>309</v>
      </c>
      <c r="E22" s="916">
        <v>0.806</v>
      </c>
      <c r="F22" s="916"/>
    </row>
    <row r="23" spans="2:6">
      <c r="B23" s="916">
        <v>3.2</v>
      </c>
      <c r="C23" s="917" t="s">
        <v>320</v>
      </c>
      <c r="D23" s="916" t="s">
        <v>321</v>
      </c>
      <c r="E23" s="916">
        <v>874</v>
      </c>
      <c r="F23" s="916"/>
    </row>
    <row r="24" spans="2:6">
      <c r="B24" s="916">
        <v>4</v>
      </c>
      <c r="C24" s="917" t="s">
        <v>322</v>
      </c>
      <c r="D24" s="179" t="s">
        <v>311</v>
      </c>
      <c r="E24" s="916">
        <v>15.5</v>
      </c>
      <c r="F24" s="916"/>
    </row>
    <row r="25" spans="2:6">
      <c r="B25" s="179" t="s">
        <v>323</v>
      </c>
      <c r="C25" s="179" t="s">
        <v>324</v>
      </c>
      <c r="D25" s="916"/>
      <c r="E25" s="916"/>
      <c r="F25" s="916"/>
    </row>
    <row r="26" spans="2:6">
      <c r="B26" s="19">
        <v>1</v>
      </c>
      <c r="C26" s="918" t="s">
        <v>325</v>
      </c>
      <c r="D26" s="19"/>
      <c r="E26" s="19"/>
      <c r="F26" s="916"/>
    </row>
    <row r="27" spans="2:6">
      <c r="B27" s="19">
        <v>1.1</v>
      </c>
      <c r="C27" s="918" t="s">
        <v>326</v>
      </c>
      <c r="D27" s="19" t="s">
        <v>327</v>
      </c>
      <c r="E27" s="16">
        <f>71.28+43.2</f>
        <v>114.48</v>
      </c>
      <c r="F27" s="916"/>
    </row>
    <row r="28" spans="2:6">
      <c r="B28" s="19">
        <v>1.2</v>
      </c>
      <c r="C28" s="918" t="s">
        <v>328</v>
      </c>
      <c r="D28" s="19" t="s">
        <v>329</v>
      </c>
      <c r="E28" s="16">
        <v>2</v>
      </c>
      <c r="F28" s="916"/>
    </row>
    <row r="29" spans="2:6">
      <c r="B29" s="19">
        <v>1.3</v>
      </c>
      <c r="C29" s="918" t="s">
        <v>330</v>
      </c>
      <c r="D29" s="916" t="s">
        <v>331</v>
      </c>
      <c r="E29" s="16">
        <v>1244</v>
      </c>
      <c r="F29" s="916"/>
    </row>
    <row r="30" spans="2:6">
      <c r="B30" s="19">
        <v>1.4</v>
      </c>
      <c r="C30" s="918" t="s">
        <v>332</v>
      </c>
      <c r="D30" s="19" t="s">
        <v>333</v>
      </c>
      <c r="E30" s="16">
        <v>22</v>
      </c>
      <c r="F30" s="916"/>
    </row>
    <row r="31" spans="2:6">
      <c r="B31" s="19">
        <v>1.5</v>
      </c>
      <c r="C31" s="918" t="s">
        <v>334</v>
      </c>
      <c r="D31" s="19" t="s">
        <v>321</v>
      </c>
      <c r="E31" s="16">
        <f>132*2</f>
        <v>264</v>
      </c>
      <c r="F31" s="916"/>
    </row>
    <row r="32" spans="2:6">
      <c r="B32" s="19">
        <v>2</v>
      </c>
      <c r="C32" s="918" t="s">
        <v>335</v>
      </c>
      <c r="D32" s="19"/>
      <c r="E32" s="16"/>
      <c r="F32" s="916"/>
    </row>
    <row r="33" spans="2:6">
      <c r="B33" s="19">
        <v>1.1</v>
      </c>
      <c r="C33" s="918" t="s">
        <v>326</v>
      </c>
      <c r="D33" s="19" t="s">
        <v>327</v>
      </c>
      <c r="E33" s="16">
        <f>108+43.2+74.52</f>
        <v>225.72</v>
      </c>
      <c r="F33" s="916"/>
    </row>
    <row r="34" spans="2:6">
      <c r="B34" s="19">
        <v>1.2</v>
      </c>
      <c r="C34" s="918" t="s">
        <v>328</v>
      </c>
      <c r="D34" s="19" t="s">
        <v>329</v>
      </c>
      <c r="E34" s="16">
        <v>4</v>
      </c>
      <c r="F34" s="916"/>
    </row>
    <row r="35" spans="2:6">
      <c r="B35" s="19">
        <v>1.3</v>
      </c>
      <c r="C35" s="918" t="s">
        <v>330</v>
      </c>
      <c r="D35" s="916" t="s">
        <v>331</v>
      </c>
      <c r="E35" s="16">
        <v>1061</v>
      </c>
      <c r="F35" s="916"/>
    </row>
    <row r="36" spans="2:6">
      <c r="B36" s="19"/>
      <c r="C36" s="918" t="s">
        <v>336</v>
      </c>
      <c r="D36" s="916" t="s">
        <v>331</v>
      </c>
      <c r="E36" s="16">
        <v>781</v>
      </c>
      <c r="F36" s="916"/>
    </row>
    <row r="37" spans="2:6">
      <c r="B37" s="19"/>
      <c r="C37" s="918" t="s">
        <v>337</v>
      </c>
      <c r="D37" s="916" t="s">
        <v>331</v>
      </c>
      <c r="E37" s="16">
        <v>280</v>
      </c>
      <c r="F37" s="916"/>
    </row>
    <row r="38" spans="2:6">
      <c r="B38" s="19">
        <v>1.4</v>
      </c>
      <c r="C38" s="918" t="s">
        <v>332</v>
      </c>
      <c r="D38" s="19"/>
      <c r="E38" s="16"/>
      <c r="F38" s="916"/>
    </row>
    <row r="39" spans="2:6">
      <c r="B39" s="19"/>
      <c r="C39" s="918" t="s">
        <v>336</v>
      </c>
      <c r="D39" s="19" t="s">
        <v>333</v>
      </c>
      <c r="E39" s="16">
        <v>128</v>
      </c>
      <c r="F39" s="916"/>
    </row>
    <row r="40" spans="2:6">
      <c r="B40" s="19"/>
      <c r="C40" s="918" t="s">
        <v>337</v>
      </c>
      <c r="D40" s="19" t="s">
        <v>333</v>
      </c>
      <c r="E40" s="16">
        <v>80</v>
      </c>
      <c r="F40" s="916"/>
    </row>
    <row r="41" spans="2:6">
      <c r="B41" s="19">
        <v>1.5</v>
      </c>
      <c r="C41" s="918" t="s">
        <v>334</v>
      </c>
      <c r="D41" s="19" t="s">
        <v>321</v>
      </c>
      <c r="E41" s="16">
        <v>610</v>
      </c>
      <c r="F41" s="916"/>
    </row>
    <row r="42" spans="2:6">
      <c r="B42" s="179">
        <v>2</v>
      </c>
      <c r="C42" s="917" t="s">
        <v>338</v>
      </c>
      <c r="D42" s="179" t="s">
        <v>339</v>
      </c>
      <c r="E42" s="916" t="s">
        <v>340</v>
      </c>
      <c r="F42" s="916"/>
    </row>
    <row r="43" spans="2:6">
      <c r="B43" s="179">
        <v>3</v>
      </c>
      <c r="C43" s="917" t="s">
        <v>341</v>
      </c>
      <c r="D43" s="916"/>
      <c r="E43" s="916"/>
      <c r="F43" s="916"/>
    </row>
    <row r="44" spans="2:6">
      <c r="B44" s="916">
        <v>3.1</v>
      </c>
      <c r="C44" s="917" t="s">
        <v>342</v>
      </c>
      <c r="D44" s="179" t="s">
        <v>146</v>
      </c>
      <c r="E44" s="916">
        <v>2130</v>
      </c>
      <c r="F44" s="916" t="s">
        <v>343</v>
      </c>
    </row>
    <row r="45" spans="2:6">
      <c r="B45" s="916">
        <v>3.2</v>
      </c>
      <c r="C45" s="917" t="s">
        <v>344</v>
      </c>
      <c r="D45" s="179" t="s">
        <v>146</v>
      </c>
      <c r="E45" s="916">
        <v>2790</v>
      </c>
      <c r="F45" s="916" t="s">
        <v>343</v>
      </c>
    </row>
    <row r="46" spans="2:6">
      <c r="B46" s="916">
        <v>3.3</v>
      </c>
      <c r="C46" s="917" t="s">
        <v>345</v>
      </c>
      <c r="D46" s="179" t="s">
        <v>80</v>
      </c>
      <c r="E46" s="916">
        <v>20</v>
      </c>
      <c r="F46" s="916"/>
    </row>
    <row r="47" spans="2:6">
      <c r="B47" s="916">
        <v>3.4</v>
      </c>
      <c r="C47" s="917" t="s">
        <v>346</v>
      </c>
      <c r="D47" s="179" t="s">
        <v>284</v>
      </c>
      <c r="E47" s="916">
        <v>50</v>
      </c>
      <c r="F47" s="916"/>
    </row>
    <row r="48" spans="2:6">
      <c r="B48" s="916">
        <v>3.5</v>
      </c>
      <c r="C48" s="917" t="s">
        <v>347</v>
      </c>
      <c r="D48" s="179" t="s">
        <v>80</v>
      </c>
      <c r="E48" s="916">
        <v>12</v>
      </c>
      <c r="F48" s="916"/>
    </row>
    <row r="49" spans="2:6">
      <c r="B49" s="179" t="s">
        <v>348</v>
      </c>
      <c r="C49" s="179" t="s">
        <v>349</v>
      </c>
      <c r="D49" s="916"/>
      <c r="E49" s="916"/>
      <c r="F49" s="916"/>
    </row>
    <row r="50" spans="2:6">
      <c r="B50" s="916">
        <v>1</v>
      </c>
      <c r="C50" s="917" t="s">
        <v>350</v>
      </c>
      <c r="D50" s="179" t="s">
        <v>351</v>
      </c>
      <c r="E50" s="916">
        <v>7</v>
      </c>
      <c r="F50" s="916"/>
    </row>
    <row r="51" spans="1:6">
      <c r="A51" s="919" t="s">
        <v>352</v>
      </c>
      <c r="B51" s="179" t="s">
        <v>353</v>
      </c>
      <c r="C51" s="179" t="s">
        <v>354</v>
      </c>
      <c r="D51" s="916"/>
      <c r="E51" s="916"/>
      <c r="F51" s="916"/>
    </row>
    <row r="52" spans="2:6">
      <c r="B52" s="916"/>
      <c r="C52" s="917" t="s">
        <v>355</v>
      </c>
      <c r="D52" s="179" t="s">
        <v>106</v>
      </c>
      <c r="E52" s="920">
        <f>总概算核!F47</f>
        <v>2602.49874595291</v>
      </c>
      <c r="F52" s="19"/>
    </row>
    <row r="53" spans="2:6">
      <c r="B53" s="19"/>
      <c r="C53" s="918" t="str">
        <f>总概算核!B42</f>
        <v>工程部分投资</v>
      </c>
      <c r="D53" s="179" t="s">
        <v>106</v>
      </c>
      <c r="E53" s="921">
        <f>总概算核!F42</f>
        <v>2512.26</v>
      </c>
      <c r="F53" s="19"/>
    </row>
    <row r="54" spans="2:6">
      <c r="B54" s="19"/>
      <c r="C54" s="918" t="str">
        <f>总概算核!B43</f>
        <v>其他费用</v>
      </c>
      <c r="D54" s="179" t="s">
        <v>106</v>
      </c>
      <c r="E54" s="921">
        <f>总概算核!F43</f>
        <v>90.2387459529147</v>
      </c>
      <c r="F54" s="19"/>
    </row>
  </sheetData>
  <mergeCells count="4">
    <mergeCell ref="B2:F2"/>
    <mergeCell ref="B3:F3"/>
    <mergeCell ref="B4:F4"/>
    <mergeCell ref="B5:F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G29"/>
  <sheetViews>
    <sheetView workbookViewId="0">
      <selection activeCell="K28" sqref="K28"/>
    </sheetView>
  </sheetViews>
  <sheetFormatPr defaultColWidth="9" defaultRowHeight="14.25" outlineLevelCol="6"/>
  <cols>
    <col min="3" max="3" width="33.75" customWidth="1"/>
    <col min="6" max="7" width="9.625"/>
  </cols>
  <sheetData>
    <row r="1" customHeight="1"/>
    <row r="2" customHeight="1"/>
    <row r="5" ht="15" spans="2:7">
      <c r="B5" s="897" t="s">
        <v>356</v>
      </c>
      <c r="C5" s="897"/>
      <c r="D5" s="897"/>
      <c r="E5" s="897"/>
      <c r="F5" s="897"/>
      <c r="G5" s="897"/>
    </row>
    <row r="6" ht="15.75" spans="2:7">
      <c r="B6" s="898" t="s">
        <v>357</v>
      </c>
      <c r="C6" s="899" t="s">
        <v>358</v>
      </c>
      <c r="D6" s="899" t="s">
        <v>359</v>
      </c>
      <c r="E6" s="899" t="s">
        <v>360</v>
      </c>
      <c r="F6" s="899" t="s">
        <v>361</v>
      </c>
      <c r="G6" s="900" t="s">
        <v>362</v>
      </c>
    </row>
    <row r="7" ht="15.75" spans="2:7">
      <c r="B7" s="898"/>
      <c r="C7" s="899"/>
      <c r="D7" s="899"/>
      <c r="E7" s="899"/>
      <c r="F7" s="899"/>
      <c r="G7" s="900"/>
    </row>
    <row r="8" ht="15" spans="2:7">
      <c r="B8" s="898" t="s">
        <v>363</v>
      </c>
      <c r="C8" s="901" t="s">
        <v>364</v>
      </c>
      <c r="D8" s="902"/>
      <c r="E8" s="902"/>
      <c r="F8" s="903">
        <f>F10</f>
        <v>42.73</v>
      </c>
      <c r="G8" s="904">
        <f>G9</f>
        <v>55.3309566</v>
      </c>
    </row>
    <row r="9" ht="15" spans="2:7">
      <c r="B9" s="905">
        <v>1</v>
      </c>
      <c r="C9" s="901" t="s">
        <v>365</v>
      </c>
      <c r="D9" s="902"/>
      <c r="E9" s="902"/>
      <c r="F9" s="903"/>
      <c r="G9" s="904">
        <f>G10</f>
        <v>55.3309566</v>
      </c>
    </row>
    <row r="10" ht="15" spans="2:7">
      <c r="B10" s="905">
        <v>1.1</v>
      </c>
      <c r="C10" s="901" t="s">
        <v>366</v>
      </c>
      <c r="D10" s="902"/>
      <c r="E10" s="902"/>
      <c r="F10" s="903">
        <f>F11</f>
        <v>42.73</v>
      </c>
      <c r="G10" s="904">
        <f>G11</f>
        <v>55.3309566</v>
      </c>
    </row>
    <row r="11" ht="15" spans="2:7">
      <c r="B11" s="905" t="s">
        <v>367</v>
      </c>
      <c r="C11" s="901" t="s">
        <v>368</v>
      </c>
      <c r="D11" s="902"/>
      <c r="E11" s="902"/>
      <c r="F11" s="904">
        <f>F12+F13</f>
        <v>42.73</v>
      </c>
      <c r="G11" s="904">
        <f>G12+G13</f>
        <v>55.3309566</v>
      </c>
    </row>
    <row r="12" ht="15" spans="2:7">
      <c r="B12" s="905"/>
      <c r="C12" s="901" t="s">
        <v>369</v>
      </c>
      <c r="D12" s="901" t="s">
        <v>370</v>
      </c>
      <c r="E12" s="902">
        <f>27580*0.37</f>
        <v>10204.6</v>
      </c>
      <c r="F12" s="903">
        <v>0.81</v>
      </c>
      <c r="G12" s="904">
        <f>E12*F12/10000</f>
        <v>0.8265726</v>
      </c>
    </row>
    <row r="13" ht="15" spans="2:7">
      <c r="B13" s="905"/>
      <c r="C13" s="901" t="s">
        <v>371</v>
      </c>
      <c r="D13" s="901" t="s">
        <v>370</v>
      </c>
      <c r="E13" s="902">
        <f>39400*0.33</f>
        <v>13002</v>
      </c>
      <c r="F13" s="903">
        <v>41.92</v>
      </c>
      <c r="G13" s="904">
        <f>E13*F13/10000</f>
        <v>54.504384</v>
      </c>
    </row>
    <row r="14" ht="15" spans="2:7">
      <c r="B14" s="905"/>
      <c r="C14" s="901" t="s">
        <v>372</v>
      </c>
      <c r="D14" s="901" t="s">
        <v>370</v>
      </c>
      <c r="E14" s="902"/>
      <c r="F14" s="903"/>
      <c r="G14" s="904"/>
    </row>
    <row r="15" ht="15" spans="2:7">
      <c r="B15" s="905" t="s">
        <v>373</v>
      </c>
      <c r="C15" s="906" t="s">
        <v>374</v>
      </c>
      <c r="D15" s="902"/>
      <c r="E15" s="902"/>
      <c r="F15" s="903"/>
      <c r="G15" s="904"/>
    </row>
    <row r="16" ht="15" spans="2:7">
      <c r="B16" s="905"/>
      <c r="C16" s="901" t="s">
        <v>375</v>
      </c>
      <c r="D16" s="901" t="s">
        <v>370</v>
      </c>
      <c r="E16" s="902"/>
      <c r="F16" s="903"/>
      <c r="G16" s="904"/>
    </row>
    <row r="17" ht="15" spans="2:7">
      <c r="B17" s="905"/>
      <c r="C17" s="901" t="s">
        <v>372</v>
      </c>
      <c r="D17" s="901" t="s">
        <v>370</v>
      </c>
      <c r="E17" s="902"/>
      <c r="F17" s="903"/>
      <c r="G17" s="904"/>
    </row>
    <row r="18" ht="15" spans="2:7">
      <c r="B18" s="905">
        <v>1.2</v>
      </c>
      <c r="C18" s="901" t="s">
        <v>376</v>
      </c>
      <c r="D18" s="902"/>
      <c r="E18" s="902"/>
      <c r="F18" s="903"/>
      <c r="G18" s="904"/>
    </row>
    <row r="19" ht="15" spans="2:7">
      <c r="B19" s="898" t="s">
        <v>377</v>
      </c>
      <c r="C19" s="901" t="s">
        <v>378</v>
      </c>
      <c r="D19" s="902"/>
      <c r="E19" s="902"/>
      <c r="F19" s="903"/>
      <c r="G19" s="904"/>
    </row>
    <row r="20" ht="15" spans="2:7">
      <c r="B20" s="898" t="s">
        <v>379</v>
      </c>
      <c r="C20" s="901" t="s">
        <v>380</v>
      </c>
      <c r="D20" s="902"/>
      <c r="E20" s="902"/>
      <c r="F20" s="903"/>
      <c r="G20" s="904">
        <f>G21+G22+G23+G24+G25</f>
        <v>2.2685692206</v>
      </c>
    </row>
    <row r="21" ht="15" spans="2:7">
      <c r="B21" s="905">
        <v>1</v>
      </c>
      <c r="C21" s="901" t="s">
        <v>381</v>
      </c>
      <c r="D21" s="901" t="s">
        <v>382</v>
      </c>
      <c r="E21" s="907">
        <v>0.015</v>
      </c>
      <c r="F21" s="903">
        <f>G10</f>
        <v>55.3309566</v>
      </c>
      <c r="G21" s="904">
        <f>E21*F21</f>
        <v>0.829964349</v>
      </c>
    </row>
    <row r="22" ht="15" spans="2:7">
      <c r="B22" s="905">
        <v>2</v>
      </c>
      <c r="C22" s="901" t="s">
        <v>383</v>
      </c>
      <c r="D22" s="901" t="s">
        <v>382</v>
      </c>
      <c r="E22" s="902" t="s">
        <v>384</v>
      </c>
      <c r="F22" s="903">
        <f>F21</f>
        <v>55.3309566</v>
      </c>
      <c r="G22" s="904">
        <f>F22*0.01</f>
        <v>0.553309566</v>
      </c>
    </row>
    <row r="23" ht="26.25" spans="2:7">
      <c r="B23" s="905">
        <v>3</v>
      </c>
      <c r="C23" s="901" t="s">
        <v>385</v>
      </c>
      <c r="D23" s="901" t="s">
        <v>382</v>
      </c>
      <c r="E23" s="902" t="s">
        <v>386</v>
      </c>
      <c r="F23" s="903">
        <f>F22</f>
        <v>55.3309566</v>
      </c>
      <c r="G23" s="904">
        <f>F23*0.006</f>
        <v>0.3319857396</v>
      </c>
    </row>
    <row r="24" ht="15" spans="2:7">
      <c r="B24" s="905">
        <v>4</v>
      </c>
      <c r="C24" s="901" t="s">
        <v>387</v>
      </c>
      <c r="D24" s="901" t="s">
        <v>382</v>
      </c>
      <c r="E24" s="907">
        <v>0.005</v>
      </c>
      <c r="F24" s="903">
        <f>F23</f>
        <v>55.3309566</v>
      </c>
      <c r="G24" s="904">
        <f>F24*0.005</f>
        <v>0.276654783</v>
      </c>
    </row>
    <row r="25" ht="15" spans="2:7">
      <c r="B25" s="905">
        <v>5</v>
      </c>
      <c r="C25" s="901" t="s">
        <v>388</v>
      </c>
      <c r="D25" s="901" t="s">
        <v>382</v>
      </c>
      <c r="E25" s="902" t="s">
        <v>389</v>
      </c>
      <c r="F25" s="903">
        <f>F24</f>
        <v>55.3309566</v>
      </c>
      <c r="G25" s="904">
        <f>F25*0.005</f>
        <v>0.276654783</v>
      </c>
    </row>
    <row r="26" ht="15" spans="2:7">
      <c r="B26" s="898" t="s">
        <v>390</v>
      </c>
      <c r="C26" s="901" t="s">
        <v>391</v>
      </c>
      <c r="D26" s="902"/>
      <c r="E26" s="902"/>
      <c r="F26" s="903"/>
      <c r="G26" s="904">
        <f>G27</f>
        <v>4.607962065648</v>
      </c>
    </row>
    <row r="27" ht="15" spans="2:7">
      <c r="B27" s="905"/>
      <c r="C27" s="901" t="s">
        <v>392</v>
      </c>
      <c r="D27" s="901" t="s">
        <v>382</v>
      </c>
      <c r="E27" s="902" t="s">
        <v>393</v>
      </c>
      <c r="F27" s="903">
        <f>G10+G20</f>
        <v>57.5995258206</v>
      </c>
      <c r="G27" s="904">
        <f>F27*0.08</f>
        <v>4.607962065648</v>
      </c>
    </row>
    <row r="28" ht="15" spans="2:7">
      <c r="B28" s="908" t="s">
        <v>394</v>
      </c>
      <c r="C28" s="909" t="s">
        <v>395</v>
      </c>
      <c r="D28" s="909" t="s">
        <v>382</v>
      </c>
      <c r="E28" s="910"/>
      <c r="F28" s="910"/>
      <c r="G28" s="911">
        <f>G8+G20+G26</f>
        <v>62.207487886248</v>
      </c>
    </row>
    <row r="29" ht="15"/>
  </sheetData>
  <mergeCells count="7">
    <mergeCell ref="B5:G5"/>
    <mergeCell ref="B6:B7"/>
    <mergeCell ref="C6:C7"/>
    <mergeCell ref="D6:D7"/>
    <mergeCell ref="E6:E7"/>
    <mergeCell ref="F6:F7"/>
    <mergeCell ref="G6:G7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G31"/>
  <sheetViews>
    <sheetView workbookViewId="0">
      <selection activeCell="J28" sqref="J28"/>
    </sheetView>
  </sheetViews>
  <sheetFormatPr defaultColWidth="9" defaultRowHeight="14.25" outlineLevelCol="6"/>
  <cols>
    <col min="3" max="3" width="24.875" customWidth="1"/>
  </cols>
  <sheetData>
    <row r="1" customHeight="1"/>
    <row r="4" ht="15"/>
    <row r="5" ht="15.75" spans="2:7">
      <c r="B5" s="879" t="s">
        <v>357</v>
      </c>
      <c r="C5" s="880" t="s">
        <v>396</v>
      </c>
      <c r="D5" s="880" t="s">
        <v>359</v>
      </c>
      <c r="E5" s="880" t="s">
        <v>361</v>
      </c>
      <c r="F5" s="881" t="s">
        <v>397</v>
      </c>
      <c r="G5" s="882" t="s">
        <v>398</v>
      </c>
    </row>
    <row r="6" ht="15.75" spans="2:7">
      <c r="B6" s="879"/>
      <c r="C6" s="880"/>
      <c r="D6" s="880"/>
      <c r="E6" s="880"/>
      <c r="F6" s="883" t="s">
        <v>399</v>
      </c>
      <c r="G6" s="884" t="s">
        <v>400</v>
      </c>
    </row>
    <row r="7" ht="16" customHeight="1" spans="2:7">
      <c r="B7" s="885" t="s">
        <v>363</v>
      </c>
      <c r="C7" s="886" t="s">
        <v>401</v>
      </c>
      <c r="D7" s="887"/>
      <c r="E7" s="887"/>
      <c r="F7" s="887"/>
      <c r="G7" s="888"/>
    </row>
    <row r="8" ht="16" customHeight="1" spans="2:7">
      <c r="B8" s="885" t="s">
        <v>377</v>
      </c>
      <c r="C8" s="886" t="s">
        <v>402</v>
      </c>
      <c r="D8" s="887"/>
      <c r="E8" s="887"/>
      <c r="F8" s="887"/>
      <c r="G8" s="889">
        <f>G9</f>
        <v>0.192</v>
      </c>
    </row>
    <row r="9" ht="16" customHeight="1" spans="2:7">
      <c r="B9" s="890">
        <v>1</v>
      </c>
      <c r="C9" s="886" t="s">
        <v>403</v>
      </c>
      <c r="D9" s="886" t="s">
        <v>404</v>
      </c>
      <c r="E9" s="887">
        <v>16</v>
      </c>
      <c r="F9" s="887">
        <v>120</v>
      </c>
      <c r="G9" s="889">
        <f>E9*F9/10000</f>
        <v>0.192</v>
      </c>
    </row>
    <row r="10" ht="16" customHeight="1" spans="2:7">
      <c r="B10" s="885" t="s">
        <v>379</v>
      </c>
      <c r="C10" s="886" t="s">
        <v>405</v>
      </c>
      <c r="D10" s="887"/>
      <c r="E10" s="887"/>
      <c r="F10" s="887"/>
      <c r="G10" s="889">
        <f>G11+G12+G13+G14+G15+G16</f>
        <v>5.48</v>
      </c>
    </row>
    <row r="11" ht="24" customHeight="1" spans="2:7">
      <c r="B11" s="890">
        <v>1</v>
      </c>
      <c r="C11" s="886" t="s">
        <v>406</v>
      </c>
      <c r="D11" s="886" t="s">
        <v>407</v>
      </c>
      <c r="E11" s="887">
        <v>2</v>
      </c>
      <c r="F11" s="887">
        <v>12000</v>
      </c>
      <c r="G11" s="889">
        <f t="shared" ref="G11:G16" si="0">E11*F11/10000</f>
        <v>2.4</v>
      </c>
    </row>
    <row r="12" ht="16" customHeight="1" spans="2:7">
      <c r="B12" s="890">
        <v>2</v>
      </c>
      <c r="C12" s="886" t="s">
        <v>408</v>
      </c>
      <c r="D12" s="886" t="s">
        <v>407</v>
      </c>
      <c r="E12" s="887">
        <v>2</v>
      </c>
      <c r="F12" s="887">
        <v>4000</v>
      </c>
      <c r="G12" s="889">
        <f t="shared" si="0"/>
        <v>0.8</v>
      </c>
    </row>
    <row r="13" ht="16" customHeight="1" spans="2:7">
      <c r="B13" s="890">
        <v>3</v>
      </c>
      <c r="C13" s="886" t="s">
        <v>409</v>
      </c>
      <c r="D13" s="886" t="s">
        <v>407</v>
      </c>
      <c r="E13" s="887">
        <v>2</v>
      </c>
      <c r="F13" s="887">
        <v>4000</v>
      </c>
      <c r="G13" s="889">
        <f t="shared" si="0"/>
        <v>0.8</v>
      </c>
    </row>
    <row r="14" ht="16" customHeight="1" spans="2:7">
      <c r="B14" s="890">
        <v>4</v>
      </c>
      <c r="C14" s="886" t="s">
        <v>410</v>
      </c>
      <c r="D14" s="886" t="s">
        <v>411</v>
      </c>
      <c r="E14" s="887">
        <v>60</v>
      </c>
      <c r="F14" s="887">
        <v>200</v>
      </c>
      <c r="G14" s="889">
        <f t="shared" si="0"/>
        <v>1.2</v>
      </c>
    </row>
    <row r="15" ht="16" customHeight="1" spans="2:7">
      <c r="B15" s="890">
        <v>5</v>
      </c>
      <c r="C15" s="886" t="s">
        <v>412</v>
      </c>
      <c r="D15" s="886" t="s">
        <v>407</v>
      </c>
      <c r="E15" s="887">
        <v>2</v>
      </c>
      <c r="F15" s="887">
        <v>200</v>
      </c>
      <c r="G15" s="889">
        <f t="shared" si="0"/>
        <v>0.04</v>
      </c>
    </row>
    <row r="16" ht="16" customHeight="1" spans="2:7">
      <c r="B16" s="890">
        <v>6</v>
      </c>
      <c r="C16" s="886" t="s">
        <v>413</v>
      </c>
      <c r="D16" s="886" t="s">
        <v>414</v>
      </c>
      <c r="E16" s="887">
        <v>8</v>
      </c>
      <c r="F16" s="887">
        <v>300</v>
      </c>
      <c r="G16" s="889">
        <f t="shared" si="0"/>
        <v>0.24</v>
      </c>
    </row>
    <row r="17" ht="16" customHeight="1" spans="2:7">
      <c r="B17" s="890"/>
      <c r="C17" s="886" t="s">
        <v>415</v>
      </c>
      <c r="D17" s="887"/>
      <c r="E17" s="887"/>
      <c r="F17" s="887"/>
      <c r="G17" s="889">
        <f>G8+G10</f>
        <v>5.672</v>
      </c>
    </row>
    <row r="18" ht="16" customHeight="1" spans="2:7">
      <c r="B18" s="885" t="s">
        <v>390</v>
      </c>
      <c r="C18" s="886" t="s">
        <v>416</v>
      </c>
      <c r="D18" s="887"/>
      <c r="E18" s="887"/>
      <c r="F18" s="887"/>
      <c r="G18" s="889">
        <f>G19+G23+G24+G27</f>
        <v>2.51048</v>
      </c>
    </row>
    <row r="19" ht="16" customHeight="1" spans="2:7">
      <c r="B19" s="890">
        <v>1</v>
      </c>
      <c r="C19" s="886" t="s">
        <v>417</v>
      </c>
      <c r="D19" s="887"/>
      <c r="E19" s="887"/>
      <c r="F19" s="887"/>
      <c r="G19" s="889">
        <f>G20+G21+G22</f>
        <v>0.2836</v>
      </c>
    </row>
    <row r="20" ht="16" customHeight="1" spans="2:7">
      <c r="B20" s="890">
        <v>1.1</v>
      </c>
      <c r="C20" s="886" t="s">
        <v>418</v>
      </c>
      <c r="D20" s="891">
        <v>0.02</v>
      </c>
      <c r="E20" s="887"/>
      <c r="F20" s="887"/>
      <c r="G20" s="889">
        <f>G17*0.02</f>
        <v>0.11344</v>
      </c>
    </row>
    <row r="21" ht="16" customHeight="1" spans="2:7">
      <c r="B21" s="890">
        <v>1.2</v>
      </c>
      <c r="C21" s="886" t="s">
        <v>419</v>
      </c>
      <c r="D21" s="887"/>
      <c r="E21" s="887"/>
      <c r="F21" s="887"/>
      <c r="G21" s="889">
        <f>G17*0.01</f>
        <v>0.05672</v>
      </c>
    </row>
    <row r="22" ht="16" customHeight="1" spans="2:7">
      <c r="B22" s="890">
        <v>1.3</v>
      </c>
      <c r="C22" s="886" t="s">
        <v>420</v>
      </c>
      <c r="D22" s="891">
        <v>0.02</v>
      </c>
      <c r="E22" s="887"/>
      <c r="F22" s="887"/>
      <c r="G22" s="889">
        <f>G17*0.02</f>
        <v>0.11344</v>
      </c>
    </row>
    <row r="23" ht="16" customHeight="1" spans="2:7">
      <c r="B23" s="890">
        <v>2</v>
      </c>
      <c r="C23" s="886" t="s">
        <v>421</v>
      </c>
      <c r="D23" s="887"/>
      <c r="E23" s="887"/>
      <c r="F23" s="887"/>
      <c r="G23" s="889">
        <v>0.5</v>
      </c>
    </row>
    <row r="24" ht="16" customHeight="1" spans="2:7">
      <c r="B24" s="890">
        <v>3</v>
      </c>
      <c r="C24" s="886" t="s">
        <v>422</v>
      </c>
      <c r="D24" s="887"/>
      <c r="E24" s="887"/>
      <c r="F24" s="887"/>
      <c r="G24" s="889">
        <f>G25+G26</f>
        <v>1.69852</v>
      </c>
    </row>
    <row r="25" ht="16" customHeight="1" spans="2:7">
      <c r="B25" s="890">
        <v>3.1</v>
      </c>
      <c r="C25" s="886" t="s">
        <v>423</v>
      </c>
      <c r="D25" s="886" t="s">
        <v>424</v>
      </c>
      <c r="E25" s="887"/>
      <c r="F25" s="887"/>
      <c r="G25" s="889">
        <v>1.5</v>
      </c>
    </row>
    <row r="26" ht="16" customHeight="1" spans="2:7">
      <c r="B26" s="890">
        <v>3.2</v>
      </c>
      <c r="C26" s="886" t="s">
        <v>425</v>
      </c>
      <c r="D26" s="892">
        <v>0.035</v>
      </c>
      <c r="E26" s="887"/>
      <c r="F26" s="887"/>
      <c r="G26" s="889">
        <f>G17*0.035</f>
        <v>0.19852</v>
      </c>
    </row>
    <row r="27" ht="16" customHeight="1" spans="2:7">
      <c r="B27" s="890">
        <v>4</v>
      </c>
      <c r="C27" s="886" t="s">
        <v>426</v>
      </c>
      <c r="D27" s="892">
        <v>0.005</v>
      </c>
      <c r="E27" s="887"/>
      <c r="F27" s="887"/>
      <c r="G27" s="889">
        <f>G17*0.005</f>
        <v>0.02836</v>
      </c>
    </row>
    <row r="28" ht="16" customHeight="1" spans="2:7">
      <c r="B28" s="890"/>
      <c r="C28" s="886" t="s">
        <v>427</v>
      </c>
      <c r="D28" s="887"/>
      <c r="E28" s="887"/>
      <c r="F28" s="887"/>
      <c r="G28" s="889">
        <f>G17+G18</f>
        <v>8.18248</v>
      </c>
    </row>
    <row r="29" ht="16" customHeight="1" spans="2:7">
      <c r="B29" s="885" t="s">
        <v>428</v>
      </c>
      <c r="C29" s="886" t="s">
        <v>392</v>
      </c>
      <c r="D29" s="891">
        <v>0.08</v>
      </c>
      <c r="E29" s="887"/>
      <c r="F29" s="887"/>
      <c r="G29" s="889">
        <f>G28*0.08</f>
        <v>0.6545984</v>
      </c>
    </row>
    <row r="30" ht="16" customHeight="1" spans="2:7">
      <c r="B30" s="893"/>
      <c r="C30" s="894" t="s">
        <v>429</v>
      </c>
      <c r="D30" s="895"/>
      <c r="E30" s="895"/>
      <c r="F30" s="895"/>
      <c r="G30" s="896">
        <f>G28+G29</f>
        <v>8.8370784</v>
      </c>
    </row>
    <row r="31" ht="15"/>
  </sheetData>
  <mergeCells count="4">
    <mergeCell ref="B5:B6"/>
    <mergeCell ref="C5:C6"/>
    <mergeCell ref="D5:D6"/>
    <mergeCell ref="E5:E6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H37"/>
  <sheetViews>
    <sheetView workbookViewId="0">
      <selection activeCell="A1" sqref="A1"/>
    </sheetView>
  </sheetViews>
  <sheetFormatPr defaultColWidth="9" defaultRowHeight="14.25" outlineLevelCol="7"/>
  <cols>
    <col min="3" max="3" width="31.5" customWidth="1"/>
  </cols>
  <sheetData>
    <row r="1" customHeight="1"/>
    <row r="2" ht="15"/>
    <row r="3" ht="15.75" spans="2:8">
      <c r="B3" s="865" t="s">
        <v>430</v>
      </c>
      <c r="C3" s="866" t="s">
        <v>396</v>
      </c>
      <c r="D3" s="866" t="s">
        <v>431</v>
      </c>
      <c r="E3" s="866" t="s">
        <v>432</v>
      </c>
      <c r="F3" s="866"/>
      <c r="G3" s="866" t="s">
        <v>416</v>
      </c>
      <c r="H3" s="867" t="s">
        <v>433</v>
      </c>
    </row>
    <row r="4" ht="25.5" spans="2:8">
      <c r="B4" s="865"/>
      <c r="C4" s="866"/>
      <c r="D4" s="866"/>
      <c r="E4" s="868" t="s">
        <v>434</v>
      </c>
      <c r="F4" s="868" t="s">
        <v>435</v>
      </c>
      <c r="G4" s="866"/>
      <c r="H4" s="867"/>
    </row>
    <row r="5" ht="16" customHeight="1" spans="2:8">
      <c r="B5" s="869"/>
      <c r="C5" s="868" t="s">
        <v>436</v>
      </c>
      <c r="D5" s="870">
        <f>D6+D7+D8+D9</f>
        <v>4.4</v>
      </c>
      <c r="E5" s="871"/>
      <c r="F5" s="871"/>
      <c r="G5" s="871"/>
      <c r="H5" s="872">
        <f>D5</f>
        <v>4.4</v>
      </c>
    </row>
    <row r="6" ht="16" customHeight="1" spans="2:8">
      <c r="B6" s="873">
        <v>1</v>
      </c>
      <c r="C6" s="868" t="s">
        <v>437</v>
      </c>
      <c r="D6" s="870">
        <f>2.6/2</f>
        <v>1.3</v>
      </c>
      <c r="E6" s="871"/>
      <c r="F6" s="871"/>
      <c r="G6" s="871"/>
      <c r="H6" s="872">
        <f>D6</f>
        <v>1.3</v>
      </c>
    </row>
    <row r="7" ht="16" customHeight="1" spans="2:8">
      <c r="B7" s="873">
        <v>2</v>
      </c>
      <c r="C7" s="868" t="s">
        <v>438</v>
      </c>
      <c r="D7" s="871">
        <f>4.5/3</f>
        <v>1.5</v>
      </c>
      <c r="E7" s="871"/>
      <c r="F7" s="871"/>
      <c r="G7" s="871"/>
      <c r="H7" s="872">
        <f>D7</f>
        <v>1.5</v>
      </c>
    </row>
    <row r="8" ht="16" customHeight="1" spans="2:8">
      <c r="B8" s="873">
        <v>3</v>
      </c>
      <c r="C8" s="868" t="s">
        <v>439</v>
      </c>
      <c r="D8" s="870">
        <f>1.6/2</f>
        <v>0.8</v>
      </c>
      <c r="E8" s="871"/>
      <c r="F8" s="871"/>
      <c r="G8" s="871"/>
      <c r="H8" s="872">
        <f>D8</f>
        <v>0.8</v>
      </c>
    </row>
    <row r="9" ht="16" customHeight="1" spans="2:8">
      <c r="B9" s="873">
        <v>4</v>
      </c>
      <c r="C9" s="868" t="s">
        <v>440</v>
      </c>
      <c r="D9" s="871">
        <f>0.8</f>
        <v>0.8</v>
      </c>
      <c r="E9" s="871"/>
      <c r="F9" s="871"/>
      <c r="G9" s="871"/>
      <c r="H9" s="872">
        <f>D9</f>
        <v>0.8</v>
      </c>
    </row>
    <row r="10" ht="16" customHeight="1" spans="2:8">
      <c r="B10" s="873">
        <v>5</v>
      </c>
      <c r="C10" s="868" t="s">
        <v>441</v>
      </c>
      <c r="D10" s="871"/>
      <c r="E10" s="871"/>
      <c r="F10" s="871"/>
      <c r="G10" s="871"/>
      <c r="H10" s="874"/>
    </row>
    <row r="11" ht="16" customHeight="1" spans="2:8">
      <c r="B11" s="869"/>
      <c r="C11" s="868" t="s">
        <v>442</v>
      </c>
      <c r="D11" s="871"/>
      <c r="E11" s="870">
        <f>E12</f>
        <v>0.6625</v>
      </c>
      <c r="F11" s="870">
        <f>F12+F13+F14+F15</f>
        <v>1.32</v>
      </c>
      <c r="G11" s="871"/>
      <c r="H11" s="872">
        <f>E11+F11</f>
        <v>1.9825</v>
      </c>
    </row>
    <row r="12" ht="16" customHeight="1" spans="2:8">
      <c r="B12" s="873">
        <v>1</v>
      </c>
      <c r="C12" s="868" t="s">
        <v>437</v>
      </c>
      <c r="D12" s="871"/>
      <c r="E12" s="870">
        <f>2.65/4</f>
        <v>0.6625</v>
      </c>
      <c r="F12" s="870">
        <f>0.44/2</f>
        <v>0.22</v>
      </c>
      <c r="G12" s="871"/>
      <c r="H12" s="872">
        <f>E12+F12</f>
        <v>0.8825</v>
      </c>
    </row>
    <row r="13" ht="16" customHeight="1" spans="2:8">
      <c r="B13" s="873">
        <v>2</v>
      </c>
      <c r="C13" s="868" t="s">
        <v>438</v>
      </c>
      <c r="D13" s="871"/>
      <c r="E13" s="870"/>
      <c r="F13" s="870">
        <f>1.56/3</f>
        <v>0.52</v>
      </c>
      <c r="G13" s="871"/>
      <c r="H13" s="872">
        <f>E13+F13</f>
        <v>0.52</v>
      </c>
    </row>
    <row r="14" ht="16" customHeight="1" spans="2:8">
      <c r="B14" s="873">
        <v>3</v>
      </c>
      <c r="C14" s="868" t="s">
        <v>439</v>
      </c>
      <c r="D14" s="871"/>
      <c r="E14" s="871"/>
      <c r="F14" s="871">
        <v>0.26</v>
      </c>
      <c r="G14" s="871"/>
      <c r="H14" s="872">
        <f>E14+F14</f>
        <v>0.26</v>
      </c>
    </row>
    <row r="15" ht="16" customHeight="1" spans="2:8">
      <c r="B15" s="873">
        <v>4</v>
      </c>
      <c r="C15" s="868" t="s">
        <v>440</v>
      </c>
      <c r="D15" s="871"/>
      <c r="E15" s="871"/>
      <c r="F15" s="871">
        <v>0.32</v>
      </c>
      <c r="G15" s="871"/>
      <c r="H15" s="872">
        <f>E15+F15</f>
        <v>0.32</v>
      </c>
    </row>
    <row r="16" ht="16" customHeight="1" spans="2:8">
      <c r="B16" s="873">
        <v>5</v>
      </c>
      <c r="C16" s="868" t="s">
        <v>441</v>
      </c>
      <c r="D16" s="871"/>
      <c r="E16" s="871"/>
      <c r="F16" s="871"/>
      <c r="G16" s="871"/>
      <c r="H16" s="874"/>
    </row>
    <row r="17" ht="16" customHeight="1" spans="2:8">
      <c r="B17" s="869"/>
      <c r="C17" s="868" t="s">
        <v>443</v>
      </c>
      <c r="D17" s="870">
        <f>D18+D24</f>
        <v>6.92666666666667</v>
      </c>
      <c r="E17" s="871"/>
      <c r="F17" s="871"/>
      <c r="G17" s="871"/>
      <c r="H17" s="872">
        <f t="shared" ref="H17:H22" si="0">D17</f>
        <v>6.92666666666667</v>
      </c>
    </row>
    <row r="18" ht="16" customHeight="1" spans="2:8">
      <c r="B18" s="873">
        <v>1</v>
      </c>
      <c r="C18" s="868" t="s">
        <v>444</v>
      </c>
      <c r="D18" s="870">
        <f>D19+D20+D21+D22</f>
        <v>6.37666666666667</v>
      </c>
      <c r="E18" s="871"/>
      <c r="F18" s="871"/>
      <c r="G18" s="871"/>
      <c r="H18" s="872">
        <f t="shared" si="0"/>
        <v>6.37666666666667</v>
      </c>
    </row>
    <row r="19" ht="16" customHeight="1" spans="2:8">
      <c r="B19" s="869"/>
      <c r="C19" s="868" t="s">
        <v>437</v>
      </c>
      <c r="D19" s="870">
        <f>1.68*2</f>
        <v>3.36</v>
      </c>
      <c r="E19" s="871"/>
      <c r="F19" s="871"/>
      <c r="G19" s="871"/>
      <c r="H19" s="872">
        <f t="shared" si="0"/>
        <v>3.36</v>
      </c>
    </row>
    <row r="20" ht="16" customHeight="1" spans="2:8">
      <c r="B20" s="869"/>
      <c r="C20" s="868" t="s">
        <v>438</v>
      </c>
      <c r="D20" s="870">
        <f>2.42</f>
        <v>2.42</v>
      </c>
      <c r="E20" s="871"/>
      <c r="F20" s="871"/>
      <c r="G20" s="871"/>
      <c r="H20" s="872">
        <f t="shared" si="0"/>
        <v>2.42</v>
      </c>
    </row>
    <row r="21" ht="16" customHeight="1" spans="2:8">
      <c r="B21" s="869"/>
      <c r="C21" s="868" t="s">
        <v>439</v>
      </c>
      <c r="D21" s="871">
        <f>0.62/2</f>
        <v>0.31</v>
      </c>
      <c r="E21" s="871"/>
      <c r="F21" s="871"/>
      <c r="G21" s="871"/>
      <c r="H21" s="872">
        <f t="shared" si="0"/>
        <v>0.31</v>
      </c>
    </row>
    <row r="22" ht="16" customHeight="1" spans="2:8">
      <c r="B22" s="869"/>
      <c r="C22" s="868" t="s">
        <v>440</v>
      </c>
      <c r="D22" s="871">
        <f>0.86/3</f>
        <v>0.286666666666667</v>
      </c>
      <c r="E22" s="871"/>
      <c r="F22" s="871"/>
      <c r="G22" s="871"/>
      <c r="H22" s="872">
        <f t="shared" si="0"/>
        <v>0.286666666666667</v>
      </c>
    </row>
    <row r="23" ht="16" customHeight="1" spans="2:8">
      <c r="B23" s="869"/>
      <c r="C23" s="868" t="s">
        <v>441</v>
      </c>
      <c r="D23" s="870"/>
      <c r="E23" s="871"/>
      <c r="F23" s="871"/>
      <c r="G23" s="871"/>
      <c r="H23" s="872"/>
    </row>
    <row r="24" ht="16" customHeight="1" spans="2:8">
      <c r="B24" s="873">
        <v>2</v>
      </c>
      <c r="C24" s="868" t="s">
        <v>445</v>
      </c>
      <c r="D24" s="870">
        <v>0.55</v>
      </c>
      <c r="E24" s="871"/>
      <c r="F24" s="871"/>
      <c r="G24" s="871"/>
      <c r="H24" s="872">
        <f>D24</f>
        <v>0.55</v>
      </c>
    </row>
    <row r="25" ht="16" customHeight="1" spans="2:8">
      <c r="B25" s="869"/>
      <c r="C25" s="868" t="s">
        <v>446</v>
      </c>
      <c r="D25" s="870">
        <f>D5+D11+D17</f>
        <v>11.3266666666667</v>
      </c>
      <c r="E25" s="870">
        <f>E5+E11+E17</f>
        <v>0.6625</v>
      </c>
      <c r="F25" s="870">
        <f>F5+F11+F17</f>
        <v>1.32</v>
      </c>
      <c r="G25" s="870"/>
      <c r="H25" s="870">
        <f>H5+H11+H17</f>
        <v>13.3091666666667</v>
      </c>
    </row>
    <row r="26" ht="16" customHeight="1" spans="2:8">
      <c r="B26" s="869"/>
      <c r="C26" s="868" t="s">
        <v>447</v>
      </c>
      <c r="D26" s="871"/>
      <c r="E26" s="871"/>
      <c r="F26" s="871"/>
      <c r="G26" s="870">
        <f>G27+G27+G29+G30+G31</f>
        <v>4.79855</v>
      </c>
      <c r="H26" s="870">
        <f>H27+H27+H29+H30+H31</f>
        <v>4.79855</v>
      </c>
    </row>
    <row r="27" ht="16" customHeight="1" spans="2:8">
      <c r="B27" s="873">
        <v>1</v>
      </c>
      <c r="C27" s="868" t="s">
        <v>448</v>
      </c>
      <c r="D27" s="871"/>
      <c r="E27" s="871"/>
      <c r="F27" s="871"/>
      <c r="G27" s="870">
        <f>H25*0.03</f>
        <v>0.399275</v>
      </c>
      <c r="H27" s="872">
        <f>G27</f>
        <v>0.399275</v>
      </c>
    </row>
    <row r="28" ht="16" customHeight="1" spans="2:8">
      <c r="B28" s="873">
        <v>2</v>
      </c>
      <c r="C28" s="868" t="s">
        <v>449</v>
      </c>
      <c r="D28" s="871"/>
      <c r="E28" s="871"/>
      <c r="F28" s="871"/>
      <c r="G28" s="871"/>
      <c r="H28" s="874"/>
    </row>
    <row r="29" ht="16" customHeight="1" spans="2:8">
      <c r="B29" s="873">
        <v>3</v>
      </c>
      <c r="C29" s="868" t="s">
        <v>450</v>
      </c>
      <c r="D29" s="871"/>
      <c r="E29" s="871"/>
      <c r="F29" s="871"/>
      <c r="G29" s="870">
        <v>3</v>
      </c>
      <c r="H29" s="872">
        <f>G29</f>
        <v>3</v>
      </c>
    </row>
    <row r="30" ht="16" customHeight="1" spans="2:8">
      <c r="B30" s="873">
        <v>4</v>
      </c>
      <c r="C30" s="868" t="s">
        <v>451</v>
      </c>
      <c r="D30" s="871"/>
      <c r="E30" s="871"/>
      <c r="F30" s="871"/>
      <c r="G30" s="871"/>
      <c r="H30" s="874"/>
    </row>
    <row r="31" ht="16" customHeight="1" spans="2:8">
      <c r="B31" s="873">
        <v>5</v>
      </c>
      <c r="C31" s="868" t="s">
        <v>452</v>
      </c>
      <c r="D31" s="871"/>
      <c r="E31" s="871"/>
      <c r="F31" s="871"/>
      <c r="G31" s="870">
        <v>1</v>
      </c>
      <c r="H31" s="872">
        <f>G31</f>
        <v>1</v>
      </c>
    </row>
    <row r="32" ht="16" customHeight="1" spans="2:8">
      <c r="B32" s="869"/>
      <c r="C32" s="868" t="s">
        <v>453</v>
      </c>
      <c r="D32" s="870">
        <f>D25+D26</f>
        <v>11.3266666666667</v>
      </c>
      <c r="E32" s="870">
        <f>E25+E26</f>
        <v>0.6625</v>
      </c>
      <c r="F32" s="870">
        <f>F25+F26</f>
        <v>1.32</v>
      </c>
      <c r="G32" s="870">
        <f>G25+G26</f>
        <v>4.79855</v>
      </c>
      <c r="H32" s="870">
        <f>H25+H26</f>
        <v>18.1077166666667</v>
      </c>
    </row>
    <row r="33" ht="16" customHeight="1" spans="2:8">
      <c r="B33" s="869"/>
      <c r="C33" s="868" t="s">
        <v>392</v>
      </c>
      <c r="D33" s="871"/>
      <c r="E33" s="871"/>
      <c r="F33" s="871"/>
      <c r="G33" s="871"/>
      <c r="H33" s="872">
        <f>H32*0.06</f>
        <v>1.086463</v>
      </c>
    </row>
    <row r="34" ht="16" customHeight="1" spans="2:8">
      <c r="B34" s="869"/>
      <c r="C34" s="868" t="s">
        <v>454</v>
      </c>
      <c r="D34" s="871"/>
      <c r="E34" s="871"/>
      <c r="F34" s="871"/>
      <c r="G34" s="871"/>
      <c r="H34" s="872">
        <f>H32+H33</f>
        <v>19.1941796666667</v>
      </c>
    </row>
    <row r="35" ht="16" customHeight="1" spans="2:8">
      <c r="B35" s="869"/>
      <c r="C35" s="868" t="s">
        <v>455</v>
      </c>
      <c r="D35" s="871"/>
      <c r="E35" s="871"/>
      <c r="F35" s="871"/>
      <c r="G35" s="871"/>
      <c r="H35" s="872"/>
    </row>
    <row r="36" ht="16" customHeight="1" spans="2:8">
      <c r="B36" s="875"/>
      <c r="C36" s="876" t="s">
        <v>433</v>
      </c>
      <c r="D36" s="877"/>
      <c r="E36" s="877"/>
      <c r="F36" s="877"/>
      <c r="G36" s="877"/>
      <c r="H36" s="878">
        <f>H34+H35</f>
        <v>19.1941796666667</v>
      </c>
    </row>
    <row r="37" ht="15"/>
  </sheetData>
  <mergeCells count="6">
    <mergeCell ref="E3:F3"/>
    <mergeCell ref="B3:B4"/>
    <mergeCell ref="C3:C4"/>
    <mergeCell ref="D3:D4"/>
    <mergeCell ref="G3:G4"/>
    <mergeCell ref="H3:H4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5 4 " > < c o m m e n t   s : r e f = " R 7 "   r g b C l r = " 1 9 C 7 B 4 " / > < c o m m e n t   s : r e f = " G 8 "   r g b C l r = " 1 9 C 7 B 4 " / > < c o m m e n t   s : r e f = " T 8 "   r g b C l r = " 1 9 C 7 B 4 " / > < / c o m m e n t L i s t > < c o m m e n t L i s t   s h e e t S t i d = " 5 7 " / > < c o m m e n t L i s t   s h e e t S t i d = " 4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水利要素辅助表</vt:lpstr>
      <vt:lpstr>特性表</vt:lpstr>
      <vt:lpstr>特性表1</vt:lpstr>
      <vt:lpstr>工程概要表</vt:lpstr>
      <vt:lpstr>效益表</vt:lpstr>
      <vt:lpstr>111</vt:lpstr>
      <vt:lpstr>征地补偿</vt:lpstr>
      <vt:lpstr>环保</vt:lpstr>
      <vt:lpstr>水土保持</vt:lpstr>
      <vt:lpstr>总概算核</vt:lpstr>
      <vt:lpstr>高效节水汇总表</vt:lpstr>
      <vt:lpstr>灌溉排水工程核</vt:lpstr>
      <vt:lpstr>建筑工程</vt:lpstr>
      <vt:lpstr>机电设备安装核</vt:lpstr>
      <vt:lpstr>金属结构及安装核</vt:lpstr>
      <vt:lpstr>渠道概算核</vt:lpstr>
      <vt:lpstr>暗管排水</vt:lpstr>
      <vt:lpstr>林业预算</vt:lpstr>
      <vt:lpstr>临时工程费</vt:lpstr>
      <vt:lpstr>田间林网工程</vt:lpstr>
      <vt:lpstr>独立费用</vt:lpstr>
      <vt:lpstr>费用计算</vt:lpstr>
      <vt:lpstr>单价汇总</vt:lpstr>
      <vt:lpstr>材料预算价</vt:lpstr>
      <vt:lpstr>配合比</vt:lpstr>
      <vt:lpstr>05版台时汇总</vt:lpstr>
      <vt:lpstr>05版台时</vt:lpstr>
      <vt:lpstr>人工工资</vt:lpstr>
      <vt:lpstr>附录</vt:lpstr>
      <vt:lpstr>附录-混凝土配合比</vt:lpstr>
      <vt:lpstr>Sheet1</vt:lpstr>
      <vt:lpstr>管材价格</vt:lpstr>
      <vt:lpstr>工程量计算表</vt:lpstr>
      <vt:lpstr>钢管重量换算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Administrator</cp:lastModifiedBy>
  <cp:revision>1</cp:revision>
  <dcterms:created xsi:type="dcterms:W3CDTF">2003-01-11T07:11:00Z</dcterms:created>
  <cp:lastPrinted>2022-11-01T06:39:00Z</cp:lastPrinted>
  <dcterms:modified xsi:type="dcterms:W3CDTF">2023-12-13T03:28:38Z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4090F66033C1406491B612AF93301CC0_13</vt:lpwstr>
  </property>
</Properties>
</file>