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44" firstSheet="3" activeTab="4"/>
  </bookViews>
  <sheets>
    <sheet name="总概算 (合)" sheetId="86" state="hidden" r:id="rId1"/>
    <sheet name="勘测设计、监理费" sheetId="115" state="hidden" r:id="rId2"/>
    <sheet name="测量费" sheetId="114" state="hidden" r:id="rId3"/>
    <sheet name="汇总表" sheetId="117" r:id="rId4"/>
    <sheet name="概算表" sheetId="116" r:id="rId5"/>
    <sheet name="建筑工程概算表2" sheetId="49" r:id="rId6"/>
    <sheet name="兰跃渠金属结构" sheetId="89" r:id="rId7"/>
    <sheet name="单价汇总 3" sheetId="72" r:id="rId8"/>
    <sheet name="土方" sheetId="78" r:id="rId9"/>
    <sheet name="堆砌石" sheetId="79" r:id="rId10"/>
    <sheet name="主材" sheetId="73" r:id="rId11"/>
    <sheet name="混凝土" sheetId="80" r:id="rId12"/>
    <sheet name="混凝土单价" sheetId="77" r:id="rId13"/>
    <sheet name="机械" sheetId="75" r:id="rId14"/>
    <sheet name="费率" sheetId="76" r:id="rId15"/>
    <sheet name="人工" sheetId="26" r:id="rId16"/>
    <sheet name="管材价格" sheetId="74" r:id="rId17"/>
    <sheet name="河道治理工程" sheetId="81" r:id="rId18"/>
    <sheet name="安装工程" sheetId="90" r:id="rId19"/>
    <sheet name="Sheet1" sheetId="91" r:id="rId20"/>
    <sheet name="JYVKNHAY" sheetId="44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</externalReferences>
  <definedNames>
    <definedName name="_1_125涵洞" localSheetId="17">#REF!</definedName>
    <definedName name="_1_125涵洞" localSheetId="6">#REF!</definedName>
    <definedName name="_1_125涵洞" localSheetId="0">#REF!</definedName>
    <definedName name="_1_125涵洞">#REF!</definedName>
    <definedName name="_120度弯头φ120" localSheetId="6">[1]附表2材料价格表!#REF!</definedName>
    <definedName name="_120度弯头φ120">[1]附表2材料价格表!#REF!</definedName>
    <definedName name="_120度弯头φ140" localSheetId="6">[1]附表2材料价格表!#REF!</definedName>
    <definedName name="_120度弯头φ140">[1]附表2材料价格表!#REF!</definedName>
    <definedName name="_120度弯头φ160" localSheetId="6">[1]附表2材料价格表!#REF!</definedName>
    <definedName name="_120度弯头φ160">[1]附表2材料价格表!#REF!</definedName>
    <definedName name="_1单元" localSheetId="17">#REF!</definedName>
    <definedName name="_1单元" localSheetId="6">#REF!</definedName>
    <definedName name="_1单元" localSheetId="0">#REF!</definedName>
    <definedName name="_1单元">#REF!</definedName>
    <definedName name="_2_分水闸" localSheetId="17">#REF!</definedName>
    <definedName name="_2_分水闸" localSheetId="6">#REF!</definedName>
    <definedName name="_2_分水闸" localSheetId="0">#REF!</definedName>
    <definedName name="_2_分水闸">#REF!</definedName>
    <definedName name="_2_涵洞" localSheetId="17">#REF!</definedName>
    <definedName name="_2_涵洞" localSheetId="6">#REF!</definedName>
    <definedName name="_2_涵洞" localSheetId="0">#REF!</definedName>
    <definedName name="_2_涵洞">#REF!</definedName>
    <definedName name="_2m3装载机" localSheetId="6">[1]附表3机械台班!#REF!</definedName>
    <definedName name="_2m3装载机">[1]附表3机械台班!#REF!</definedName>
    <definedName name="_2单元" localSheetId="17">#REF!</definedName>
    <definedName name="_2单元" localSheetId="6">#REF!</definedName>
    <definedName name="_2单元" localSheetId="0">#REF!</definedName>
    <definedName name="_2单元">#REF!</definedName>
    <definedName name="_3_涵洞" localSheetId="17">#REF!</definedName>
    <definedName name="_3_涵洞" localSheetId="6">#REF!</definedName>
    <definedName name="_3_涵洞" localSheetId="0">#REF!</definedName>
    <definedName name="_3_涵洞">#REF!</definedName>
    <definedName name="_32.5水泥" localSheetId="6">[1]附表2材料价格表!#REF!</definedName>
    <definedName name="_32.5水泥">[1]附表2材料价格表!#REF!</definedName>
    <definedName name="_Fill" localSheetId="17" hidden="1">[2]eqpmad2!#REF!</definedName>
    <definedName name="_Fill" localSheetId="6" hidden="1">[2]eqpmad2!#REF!</definedName>
    <definedName name="_Fill" localSheetId="0" hidden="1">[2]eqpmad2!#REF!</definedName>
    <definedName name="_Fill" hidden="1">[2]eqpmad2!#REF!</definedName>
    <definedName name="_PA7" localSheetId="6">'[3]SW-TEO'!#REF!</definedName>
    <definedName name="_PA7">'[3]SW-TEO'!#REF!</definedName>
    <definedName name="_PA8" localSheetId="6">'[3]SW-TEO'!#REF!</definedName>
    <definedName name="_PA8">'[3]SW-TEO'!#REF!</definedName>
    <definedName name="_PD1" localSheetId="6">'[3]SW-TEO'!#REF!</definedName>
    <definedName name="_PD1">'[3]SW-TEO'!#REF!</definedName>
    <definedName name="_PE12" localSheetId="6">'[3]SW-TEO'!#REF!</definedName>
    <definedName name="_PE12">'[3]SW-TEO'!#REF!</definedName>
    <definedName name="_PE13" localSheetId="6">'[3]SW-TEO'!#REF!</definedName>
    <definedName name="_PE13">'[3]SW-TEO'!#REF!</definedName>
    <definedName name="_PE20" localSheetId="6">[4]附表2!#REF!</definedName>
    <definedName name="_PE20">[4]附表2!#REF!</definedName>
    <definedName name="_PE40" localSheetId="6">[4]附表2!#REF!</definedName>
    <definedName name="_PE40">[4]附表2!#REF!</definedName>
    <definedName name="_PE6" localSheetId="6">'[3]SW-TEO'!#REF!</definedName>
    <definedName name="_PE6">'[3]SW-TEO'!#REF!</definedName>
    <definedName name="_PE7" localSheetId="6">'[3]SW-TEO'!#REF!</definedName>
    <definedName name="_PE7">'[3]SW-TEO'!#REF!</definedName>
    <definedName name="_PE8" localSheetId="6">'[3]SW-TEO'!#REF!</definedName>
    <definedName name="_PE8">'[3]SW-TEO'!#REF!</definedName>
    <definedName name="_PE9" localSheetId="6">'[3]SW-TEO'!#REF!</definedName>
    <definedName name="_PE9">'[3]SW-TEO'!#REF!</definedName>
    <definedName name="_PH1" localSheetId="6">'[3]SW-TEO'!#REF!</definedName>
    <definedName name="_PH1">'[3]SW-TEO'!#REF!</definedName>
    <definedName name="_PI1" localSheetId="6">'[3]SW-TEO'!#REF!</definedName>
    <definedName name="_PI1">'[3]SW-TEO'!#REF!</definedName>
    <definedName name="_PK1" localSheetId="6">'[3]SW-TEO'!#REF!</definedName>
    <definedName name="_PK1">'[3]SW-TEO'!#REF!</definedName>
    <definedName name="_PK3" localSheetId="6">'[3]SW-TEO'!#REF!</definedName>
    <definedName name="_PK3">'[3]SW-TEO'!#REF!</definedName>
    <definedName name="_PVC11008" localSheetId="6">[4]附表2!#REF!</definedName>
    <definedName name="_PVC11008">[4]附表2!#REF!</definedName>
    <definedName name="_PVC16008" localSheetId="6">[4]附表2!#REF!</definedName>
    <definedName name="_PVC16008">[4]附表2!#REF!</definedName>
    <definedName name="_PVC20008" localSheetId="6">[4]附表2!#REF!</definedName>
    <definedName name="_PVC20008">[4]附表2!#REF!</definedName>
    <definedName name="_PVC25008" localSheetId="6">[4]附表2!#REF!</definedName>
    <definedName name="_PVC25008">[4]附表2!#REF!</definedName>
    <definedName name="_PVC31508" localSheetId="6">[4]附表2!#REF!</definedName>
    <definedName name="_PVC31508">[4]附表2!#REF!</definedName>
    <definedName name="_PVC9006" localSheetId="6">[4]附表2!#REF!</definedName>
    <definedName name="_PVC9006">[4]附表2!#REF!</definedName>
    <definedName name="_PVC9008" localSheetId="6">[4]附表2!#REF!</definedName>
    <definedName name="_PVC9008">[4]附表2!#REF!</definedName>
    <definedName name="￠160PVC管_0.6pa" localSheetId="6">[1]附表2材料价格表!#REF!</definedName>
    <definedName name="￠160PVC管_0.6pa">[1]附表2材料价格表!#REF!</definedName>
    <definedName name="￠180PVC管_0.6pa" localSheetId="6">[1]附表2材料价格表!#REF!</definedName>
    <definedName name="￠180PVC管_0.6pa">[1]附表2材料价格表!#REF!</definedName>
    <definedName name="￠90PVC管_0.6pa" localSheetId="6">[1]附表2材料价格表!#REF!</definedName>
    <definedName name="￠90PVC管_0.6pa">[1]附表2材料价格表!#REF!</definedName>
    <definedName name="aa" localSheetId="17">#REF!</definedName>
    <definedName name="aa" localSheetId="6">#REF!</definedName>
    <definedName name="aa" localSheetId="0">#REF!</definedName>
    <definedName name="aa">#REF!</definedName>
    <definedName name="aaaa" localSheetId="17">#REF!</definedName>
    <definedName name="aaaa" localSheetId="6">#REF!</definedName>
    <definedName name="aaaa" localSheetId="0">#REF!</definedName>
    <definedName name="aaaa">#REF!</definedName>
    <definedName name="aaaaaaa" localSheetId="17" hidden="1">[2]eqpmad2!#REF!</definedName>
    <definedName name="aaaaaaa" localSheetId="6" hidden="1">[2]eqpmad2!#REF!</definedName>
    <definedName name="aaaaaaa" localSheetId="0" hidden="1">[2]eqpmad2!#REF!</definedName>
    <definedName name="aaaaaaa" hidden="1">[2]eqpmad2!#REF!</definedName>
    <definedName name="abc" localSheetId="17">#REF!</definedName>
    <definedName name="abc" localSheetId="6">#REF!</definedName>
    <definedName name="abc" localSheetId="0">#REF!</definedName>
    <definedName name="abc">#REF!</definedName>
    <definedName name="aiu_bottom" localSheetId="6">'[5]Financ. Overview'!#REF!</definedName>
    <definedName name="aiu_bottom">'[5]Financ. Overview'!#REF!</definedName>
    <definedName name="anscount" hidden="1">5</definedName>
    <definedName name="as" localSheetId="17">[6]定额!#REF!</definedName>
    <definedName name="as" localSheetId="6">[6]定额!#REF!</definedName>
    <definedName name="as" localSheetId="0">[6]定额!#REF!</definedName>
    <definedName name="as">[6]定额!#REF!</definedName>
    <definedName name="bb" localSheetId="0" hidden="1">{"'现金流量表（全部投资）'!$B$4:$P$23"}</definedName>
    <definedName name="bb" hidden="1">{"'现金流量表（全部投资）'!$B$4:$P$23"}</definedName>
    <definedName name="CarType" localSheetId="20">[7]数据字典!$L$2:$L$9</definedName>
    <definedName name="cc" localSheetId="0" hidden="1">{"'现金流量表（全部投资）'!$B$4:$P$23"}</definedName>
    <definedName name="cc">{"'现金流量表（全部投资）'!$B$4:$P$23"}</definedName>
    <definedName name="Database" localSheetId="17" hidden="1">#REF!</definedName>
    <definedName name="Database" localSheetId="0" hidden="1">#REF!</definedName>
    <definedName name="Database">'[8]#REF!'!$A$9:$X$81</definedName>
    <definedName name="dd" localSheetId="0" hidden="1">{"'现金流量表（全部投资）'!$B$4:$P$23"}</definedName>
    <definedName name="dd">{"'现金流量表（全部投资）'!$B$4:$P$23"}</definedName>
    <definedName name="dj" localSheetId="0">'[9]5'!$F$1</definedName>
    <definedName name="dj">'[10]5'!$F$1</definedName>
    <definedName name="Document_array" localSheetId="20">{"Book1","2012世行概算6.19.xls"}</definedName>
    <definedName name="e" localSheetId="0" hidden="1">{"'现金流量表（全部投资）'!$B$4:$P$23"}</definedName>
    <definedName name="e" hidden="1">{"'现金流量表（全部投资）'!$B$4:$P$23"}</definedName>
    <definedName name="ee" localSheetId="0" hidden="1">{"'现金流量表（全部投资）'!$B$4:$P$23"}</definedName>
    <definedName name="ee">{"'现金流量表（全部投资）'!$B$4:$P$23"}</definedName>
    <definedName name="fd" hidden="1">{"'现金流量表（全部投资）'!$B$4:$P$23"}</definedName>
    <definedName name="ff" localSheetId="0" hidden="1">{"'现金流量表（全部投资）'!$B$4:$P$23"}</definedName>
    <definedName name="ff" hidden="1">{"'现金流量表（全部投资）'!$B$4:$P$23"}</definedName>
    <definedName name="FRC">[11]Main!$C$9</definedName>
    <definedName name="gc" localSheetId="6" hidden="1">[2]eqpmad2!#REF!</definedName>
    <definedName name="gc" hidden="1">[2]eqpmad2!#REF!</definedName>
    <definedName name="gg" localSheetId="0" hidden="1">{"'现金流量表（全部投资）'!$B$4:$P$23"}</definedName>
    <definedName name="gg" hidden="1">{"'现金流量表（全部投资）'!$B$4:$P$23"}</definedName>
    <definedName name="hostfee">'[5]Financ. Overview'!$H$12</definedName>
    <definedName name="hraiu_bottom" localSheetId="6">'[5]Financ. Overview'!#REF!</definedName>
    <definedName name="hraiu_bottom">'[5]Financ. Overview'!#REF!</definedName>
    <definedName name="HTML_CodePage" hidden="1">936</definedName>
    <definedName name="HTML_Control" localSheetId="0" hidden="1">{"'现金流量表（全部投资）'!$B$4:$P$23"}</definedName>
    <definedName name="HTML_Control">{"'现金流量表（全部投资）'!$B$4:$P$23"}</definedName>
    <definedName name="HTML_Description">"lin zijian"</definedName>
    <definedName name="HTML_Email">""</definedName>
    <definedName name="HTML_Header">"现金流量表（全部投资）"</definedName>
    <definedName name="HTML_LastUpdate">"96-12-2"</definedName>
    <definedName name="HTML_LineAfter">TRUE</definedName>
    <definedName name="HTML_LineBefore">TRUE</definedName>
    <definedName name="HTML_Name">"linzijia"</definedName>
    <definedName name="HTML_OBDlg2">TRUE</definedName>
    <definedName name="HTML_OBDlg4">TRUE</definedName>
    <definedName name="HTML_OS" hidden="1">0</definedName>
    <definedName name="HTML_PathFile">"C:\lin\bk\MyHTML.htm"</definedName>
    <definedName name="HTML_Title">"PROJECT11"</definedName>
    <definedName name="huangling">'[12]表5-2工程监理费南'!$E$10</definedName>
    <definedName name="hvac" localSheetId="6">'[5]Financ. Overview'!#REF!</definedName>
    <definedName name="hvac">'[5]Financ. Overview'!#REF!</definedName>
    <definedName name="HWSheet">1</definedName>
    <definedName name="IS80_50_250" localSheetId="6">[1]附表2材料价格表!#REF!</definedName>
    <definedName name="IS80_50_250">[1]附表2材料价格表!#REF!</definedName>
    <definedName name="kk" hidden="1">{"'现金流量表（全部投资）'!$B$4:$P$23"}</definedName>
    <definedName name="kl" localSheetId="6">#REF!</definedName>
    <definedName name="KL" localSheetId="0" hidden="1">[13]Sheet2!$E$1:$E$65536,[13]Sheet2!$N$1:$P$65536</definedName>
    <definedName name="kl">#REF!</definedName>
    <definedName name="l" localSheetId="17">#REF!</definedName>
    <definedName name="l" localSheetId="6">#REF!</definedName>
    <definedName name="l" localSheetId="0">#REF!</definedName>
    <definedName name="l">#REF!</definedName>
    <definedName name="LCountry" localSheetId="0">[14]数据字典!$Q$2:$Q$246</definedName>
    <definedName name="LCountry">[15]数据字典!$Q$2:$Q$246</definedName>
    <definedName name="LGender" localSheetId="20">[16]数据字典!$L$2:$L$3</definedName>
    <definedName name="LGender" localSheetId="0">[17]数据字典!$L$2:$L$3</definedName>
    <definedName name="LGender">[18]数据字典!$L$2:$L$3</definedName>
    <definedName name="limcount" hidden="1">5</definedName>
    <definedName name="LPZone" localSheetId="0">[14]数据字典!$L$12:$L$42</definedName>
    <definedName name="LPZone">[15]数据字典!$L$12:$L$42</definedName>
    <definedName name="M10浆砌砖基础" localSheetId="17">[19]附表4直接工程费单价表!#REF!</definedName>
    <definedName name="M10浆砌砖基础" localSheetId="6">[20]附表4直接工程费单价表!#REF!</definedName>
    <definedName name="M10浆砌砖基础" localSheetId="0">[19]附表4直接工程费单价表!#REF!</definedName>
    <definedName name="M10浆砌砖基础">[20]附表4直接工程费单价表!#REF!</definedName>
    <definedName name="Module.Prix_SMC" localSheetId="20">JYVKNHAY!Module.Prix_SMC</definedName>
    <definedName name="Module.Prix_SMC" localSheetId="5">建筑工程概算表2!Module.Prix_SMC</definedName>
    <definedName name="Module.Prix_SMC" localSheetId="6">#N/A</definedName>
    <definedName name="Module.Prix_SMC" localSheetId="0">#N/A</definedName>
    <definedName name="Module.Prix_SMC">JYVKNHAY!Module.Prix_SMC</definedName>
    <definedName name="OS" localSheetId="6">[21]Open!#REF!</definedName>
    <definedName name="OS">[21]Open!#REF!</definedName>
    <definedName name="pr_toolbox">[5]Toolbox!$A$3:$I$80</definedName>
    <definedName name="_xlnm.Print_Area" localSheetId="19">Sheet1!$A$1:$G$209</definedName>
    <definedName name="_xlnm.Print_Area" localSheetId="18">安装工程!$A$1:$G$141</definedName>
    <definedName name="_xlnm.Print_Area" localSheetId="2">测量费!$A$1:$G$17</definedName>
    <definedName name="_xlnm.Print_Area" localSheetId="7">'单价汇总 3'!$A$1:$N$34</definedName>
    <definedName name="_xlnm.Print_Area" localSheetId="9">堆砌石!$A$1:$G$504</definedName>
    <definedName name="_xlnm.Print_Area" localSheetId="14">费率!$A$1:$K$9</definedName>
    <definedName name="_xlnm.Print_Area" localSheetId="17">河道治理工程!$A$1:$G$202</definedName>
    <definedName name="_xlnm.Print_Area" localSheetId="11">混凝土!$A$1:$G$1864</definedName>
    <definedName name="_xlnm.Print_Area" localSheetId="12">混凝土单价!$A$1:$M$19</definedName>
    <definedName name="_xlnm.Print_Area" localSheetId="13">机械!$A$1:$J$55</definedName>
    <definedName name="_xlnm.Print_Area" localSheetId="5">建筑工程概算表2!$A$1:$G$272</definedName>
    <definedName name="_xlnm.Print_Area" localSheetId="6">兰跃渠金属结构!$A$1:$H$10</definedName>
    <definedName name="_xlnm.Print_Area" localSheetId="8">土方!$A$1:$G$560</definedName>
    <definedName name="_xlnm.Print_Area" localSheetId="10">主材!$A$1:$AA$34</definedName>
    <definedName name="_xlnm.Print_Area" localSheetId="0">'总概算 (合)'!$A$1:$F$48</definedName>
    <definedName name="_xlnm.Print_Titles" localSheetId="7">'单价汇总 3'!$1:$5</definedName>
    <definedName name="_xlnm.Print_Titles" localSheetId="13">机械!$1:$3</definedName>
    <definedName name="_xlnm.Print_Titles" localSheetId="5">建筑工程概算表2!$2:$2</definedName>
    <definedName name="_xlnm.Print_Titles" localSheetId="6">兰跃渠金属结构!$1:$3</definedName>
    <definedName name="_xlnm.Print_Titles" localSheetId="0">'总概算 (合)'!$1:$3</definedName>
    <definedName name="_xlnm.Print_Titles" hidden="1">#REF!</definedName>
    <definedName name="Print_titles1" localSheetId="0">[22]定额!$A$1:$IV$3</definedName>
    <definedName name="Print_titles1">[23]定额!$A$1:$IV$3</definedName>
    <definedName name="Prix_SMC" localSheetId="20">JYVKNHAY!Prix_SMC</definedName>
    <definedName name="Prix_SMC" localSheetId="5">建筑工程概算表2!Prix_SMC</definedName>
    <definedName name="Prix_SMC" localSheetId="6">#N/A</definedName>
    <definedName name="Prix_SMC">JYVKNHAY!Prix_SMC</definedName>
    <definedName name="PVC变径短管1.5寸" localSheetId="6">[1]附表2材料价格表!#REF!</definedName>
    <definedName name="PVC变径短管1.5寸">[1]附表2材料价格表!#REF!</definedName>
    <definedName name="PVC堵头φ40" localSheetId="6">[1]附表2材料价格表!#REF!</definedName>
    <definedName name="PVC堵头φ40">[1]附表2材料价格表!#REF!</definedName>
    <definedName name="PVC活节φ1.5寸" localSheetId="6">[1]附表2材料价格表!#REF!</definedName>
    <definedName name="PVC活节φ1.5寸">[1]附表2材料价格表!#REF!</definedName>
    <definedName name="PVC连丝1.5寸" localSheetId="6">[1]附表2材料价格表!#REF!</definedName>
    <definedName name="PVC连丝1.5寸">[1]附表2材料价格表!#REF!</definedName>
    <definedName name="PVC球阀1.5寸" localSheetId="6">[1]附表2材料价格表!#REF!</definedName>
    <definedName name="PVC球阀1.5寸">[1]附表2材料价格表!#REF!</definedName>
    <definedName name="PVC三通φ16×16×16" localSheetId="6">[1]附表2材料价格表!#REF!</definedName>
    <definedName name="PVC三通φ16×16×16">[1]附表2材料价格表!#REF!</definedName>
    <definedName name="PVC三通φ40×1.5×40" localSheetId="6">[1]附表2材料价格表!#REF!</definedName>
    <definedName name="PVC三通φ40×1.5×40">[1]附表2材料价格表!#REF!</definedName>
    <definedName name="PVC塑管φ40" localSheetId="6">[1]附表2材料价格表!#REF!</definedName>
    <definedName name="PVC塑管φ40">[1]附表2材料价格表!#REF!</definedName>
    <definedName name="PVC直通φ16" localSheetId="6">[1]附表2材料价格表!#REF!</definedName>
    <definedName name="PVC直通φ16">[1]附表2材料价格表!#REF!</definedName>
    <definedName name="q" localSheetId="17">#REF!</definedName>
    <definedName name="q" localSheetId="6">#REF!</definedName>
    <definedName name="q" localSheetId="0">#REF!</definedName>
    <definedName name="q">#REF!</definedName>
    <definedName name="QJ30_240_12_200" localSheetId="6">[1]附表2材料价格表!#REF!</definedName>
    <definedName name="QJ30_240_12_200">[1]附表2材料价格表!#REF!</definedName>
    <definedName name="QJ50_120_12_250" localSheetId="6">[1]附表2材料价格表!#REF!</definedName>
    <definedName name="QJ50_120_12_250">[1]附表2材料价格表!#REF!</definedName>
    <definedName name="range_jxtb">[24]DE!$A$8:$M$405</definedName>
    <definedName name="s_c_list">[25]Toolbox!$A$7:$H$969</definedName>
    <definedName name="SCG" localSheetId="6">'[26]G.1R-Shou COP Gf'!#REF!</definedName>
    <definedName name="SCG">'[26]G.1R-Shou COP Gf'!#REF!</definedName>
    <definedName name="sdlfee">'[5]Financ. Overview'!$H$13</definedName>
    <definedName name="sencount" hidden="1">1</definedName>
    <definedName name="solar_ratio">'[27]POWER ASSUMPTIONS'!$H$7</definedName>
    <definedName name="ss" localSheetId="0" hidden="1">{"'现金流量表（全部投资）'!$B$4:$P$23"}</definedName>
    <definedName name="ss">{"'现金流量表（全部投资）'!$B$4:$P$23"}</definedName>
    <definedName name="ss7fee">'[5]Financ. Overview'!$H$18</definedName>
    <definedName name="subsfee">'[5]Financ. Overview'!$H$14</definedName>
    <definedName name="toolbox">[28]Toolbox!$C$5:$T$1578</definedName>
    <definedName name="UPVC管道Φ100" localSheetId="17">[19]附表2材料价格计算表!#REF!</definedName>
    <definedName name="UPVC管道Φ100" localSheetId="6">[20]附表2材料价格计算表!#REF!</definedName>
    <definedName name="UPVC管道Φ100" localSheetId="0">[19]附表2材料价格计算表!#REF!</definedName>
    <definedName name="UPVC管道Φ100">[20]附表2材料价格计算表!#REF!</definedName>
    <definedName name="UPVC管道Φ50" localSheetId="17">[19]附表2材料价格计算表!#REF!</definedName>
    <definedName name="UPVC管道Φ50" localSheetId="6">[20]附表2材料价格计算表!#REF!</definedName>
    <definedName name="UPVC管道Φ50" localSheetId="0">[19]附表2材料价格计算表!#REF!</definedName>
    <definedName name="UPVC管道Φ50">[20]附表2材料价格计算表!#REF!</definedName>
    <definedName name="UT线夹_NUT_2" localSheetId="6">[1]附表2材料价格表!#REF!</definedName>
    <definedName name="UT线夹_NUT_2">[1]附表2材料价格表!#REF!</definedName>
    <definedName name="UT线夹NUT_2" localSheetId="6">[1]附表2材料价格表!#REF!</definedName>
    <definedName name="UT线夹NUT_2">[1]附表2材料价格表!#REF!</definedName>
    <definedName name="UT型线夹NUT_1" localSheetId="6">[1]附表2材料价格表!#REF!</definedName>
    <definedName name="UT型线夹NUT_1">[1]附表2材料价格表!#REF!</definedName>
    <definedName name="UT型线夹NUT2" localSheetId="17">[19]附表2材料价格计算表!#REF!</definedName>
    <definedName name="UT型线夹NUT2" localSheetId="6">[20]附表2材料价格计算表!#REF!</definedName>
    <definedName name="UT型线夹NUT2" localSheetId="0">[19]附表2材料价格计算表!#REF!</definedName>
    <definedName name="UT型线夹NUT2">[20]附表2材料价格计算表!#REF!</definedName>
    <definedName name="U型抱箍U16_200" localSheetId="6">[1]附表2材料价格表!#REF!</definedName>
    <definedName name="U型抱箍U16_200">[1]附表2材料价格表!#REF!</definedName>
    <definedName name="U型挂环U_16" localSheetId="6">[1]附表2材料价格表!#REF!</definedName>
    <definedName name="U型挂环U_16">[1]附表2材料价格表!#REF!</definedName>
    <definedName name="U型挂环U_7" localSheetId="6">[1]附表2材料价格表!#REF!</definedName>
    <definedName name="U型挂环U_7">[1]附表2材料价格表!#REF!</definedName>
    <definedName name="V5.1Fee">'[5]Financ. Overview'!$H$15</definedName>
    <definedName name="w" localSheetId="17">#REF!</definedName>
    <definedName name="w" localSheetId="6">#REF!</definedName>
    <definedName name="w" localSheetId="0">#REF!</definedName>
    <definedName name="w">#REF!</definedName>
    <definedName name="ww" localSheetId="0" hidden="1">{"'现金流量表（全部投资）'!$B$4:$P$23"}</definedName>
    <definedName name="ww" hidden="1">{"'现金流量表（全部投资）'!$B$4:$P$23"}</definedName>
    <definedName name="x" localSheetId="17">#REF!</definedName>
    <definedName name="x" localSheetId="6">#REF!</definedName>
    <definedName name="x" localSheetId="0">#REF!</definedName>
    <definedName name="x">#REF!</definedName>
    <definedName name="xx" localSheetId="0" hidden="1">{"'现金流量表（全部投资）'!$B$4:$P$23"}</definedName>
    <definedName name="xx" hidden="1">{"'现金流量表（全部投资）'!$B$4:$P$23"}</definedName>
    <definedName name="z" localSheetId="17">#REF!</definedName>
    <definedName name="z" localSheetId="6">#REF!</definedName>
    <definedName name="z" localSheetId="0">#REF!</definedName>
    <definedName name="z">#REF!</definedName>
    <definedName name="Z_D416CCE0_90DA_11D2_8B33_444553540000_.wvu.Cols" localSheetId="0" hidden="1">[22]材料表!$E$1:$E$65536,[22]材料表!$J$1:$L$65536</definedName>
    <definedName name="Z_D416CCE0_90DA_11D2_8B33_444553540000_.wvu.Cols" hidden="1">[23]材料表!$E$1:$E$65536,[23]材料表!$J$1:$L$65536</definedName>
    <definedName name="Z_D416CCE0_90DA_11D2_8B33_444553540000_.wvu.PrintTitles" localSheetId="17" hidden="1">#REF!</definedName>
    <definedName name="Z_D416CCE0_90DA_11D2_8B33_444553540000_.wvu.PrintTitles" localSheetId="6" hidden="1">#REF!</definedName>
    <definedName name="Z_D416CCE0_90DA_11D2_8B33_444553540000_.wvu.PrintTitles" localSheetId="0" hidden="1">#REF!</definedName>
    <definedName name="Z_D416CCE0_90DA_11D2_8B33_444553540000_.wvu.PrintTitles" hidden="1">#REF!</definedName>
    <definedName name="Z_E7D01C20_B8FC_11D1_9E4F_B5D6E120E308_.wvu.Cols" localSheetId="0" hidden="1">[22]材料表!$E$1:$E$65536,[22]材料表!$J$1:$L$65536</definedName>
    <definedName name="Z_E7D01C20_B8FC_11D1_9E4F_B5D6E120E308_.wvu.Cols" hidden="1">[23]材料表!$E$1:$E$65536,[23]材料表!$J$1:$L$65536</definedName>
    <definedName name="Z_E7D01C20_B8FC_11D1_9E4F_B5D6E120E308_.wvu.PrintTitles" localSheetId="17" hidden="1">#REF!</definedName>
    <definedName name="Z_E7D01C20_B8FC_11D1_9E4F_B5D6E120E308_.wvu.PrintTitles" localSheetId="6" hidden="1">#REF!</definedName>
    <definedName name="Z_E7D01C20_B8FC_11D1_9E4F_B5D6E120E308_.wvu.PrintTitles" localSheetId="0" hidden="1">#REF!</definedName>
    <definedName name="Z_E7D01C20_B8FC_11D1_9E4F_B5D6E120E308_.wvu.PrintTitles" hidden="1">#REF!</definedName>
    <definedName name="Z32_Cost_red" localSheetId="6">'[5]Financ. Overview'!#REF!</definedName>
    <definedName name="Z32_Cost_red">'[5]Financ. Overview'!#REF!</definedName>
    <definedName name="φ10PVC管" localSheetId="6">[1]附表2材料价格表!#REF!</definedName>
    <definedName name="φ10PVC管">[1]附表2材料价格表!#REF!</definedName>
    <definedName name="φ225沉淀管" localSheetId="6">[1]附表2材料价格表!#REF!</definedName>
    <definedName name="φ225沉淀管">[1]附表2材料价格表!#REF!</definedName>
    <definedName name="φ225滤水管" localSheetId="6">[1]附表2材料价格表!#REF!</definedName>
    <definedName name="φ225滤水管">[1]附表2材料价格表!#REF!</definedName>
    <definedName name="φ310铸铁管" localSheetId="6">[1]附表2材料价格表!#REF!</definedName>
    <definedName name="φ310铸铁管">[1]附表2材料价格表!#REF!</definedName>
    <definedName name="φ350铸铁管" localSheetId="6">[1]附表2材料价格表!#REF!</definedName>
    <definedName name="φ350铸铁管">[1]附表2材料价格表!#REF!</definedName>
    <definedName name="安全阀Dg120" localSheetId="6">[1]附表2材料价格表!#REF!</definedName>
    <definedName name="安全阀Dg120">[1]附表2材料价格表!#REF!</definedName>
    <definedName name="安全阀Dg90" localSheetId="6">[1]附表2材料价格表!#REF!</definedName>
    <definedName name="安全阀Dg90">[1]附表2材料价格表!#REF!</definedName>
    <definedName name="安装单价" localSheetId="17">#REF!</definedName>
    <definedName name="安装单价" localSheetId="6">#REF!</definedName>
    <definedName name="安装单价" localSheetId="0">#REF!</definedName>
    <definedName name="安装单价">#REF!</definedName>
    <definedName name="安装工程机械系数" localSheetId="17">#REF!</definedName>
    <definedName name="安装工程机械系数" localSheetId="6">#REF!</definedName>
    <definedName name="安装工程机械系数" localSheetId="0">#REF!</definedName>
    <definedName name="安装工程机械系数">#REF!</definedName>
    <definedName name="安装工程量" localSheetId="17">#REF!</definedName>
    <definedName name="安装工程量" localSheetId="6">#REF!</definedName>
    <definedName name="安装工程量" localSheetId="0">#REF!</definedName>
    <definedName name="安装工程量">#REF!</definedName>
    <definedName name="柏树" localSheetId="6">[1]附表2材料价格表!#REF!</definedName>
    <definedName name="柏树">[1]附表2材料价格表!#REF!</definedName>
    <definedName name="柏油路1">'[29]估算表-干沟、支干沟'!$M$9</definedName>
    <definedName name="板枋材" localSheetId="17">#REF!</definedName>
    <definedName name="板枋材" localSheetId="6">#REF!</definedName>
    <definedName name="板枋材" localSheetId="0">#REF!</definedName>
    <definedName name="板枋材">#REF!</definedName>
    <definedName name="宝丰">宝丰</definedName>
    <definedName name="备" localSheetId="0">'[30]#REF'!$I$2</definedName>
    <definedName name="备">'[31]#REF'!$I$2</definedName>
    <definedName name="苯板" localSheetId="17">[19]附表2材料价格计算表!#REF!</definedName>
    <definedName name="苯板" localSheetId="6">[20]附表2材料价格计算表!#REF!</definedName>
    <definedName name="苯板" localSheetId="0">[19]附表2材料价格计算表!#REF!</definedName>
    <definedName name="苯板">[20]附表2材料价格计算表!#REF!</definedName>
    <definedName name="避雷器HY5WS_17_50" localSheetId="6">[1]附表2材料价格表!#REF!</definedName>
    <definedName name="避雷器HY5WS_17_50">[1]附表2材料价格表!#REF!</definedName>
    <definedName name="编" localSheetId="0">'[30]#REF'!$A$2</definedName>
    <definedName name="编">'[31]#REF'!$A$2</definedName>
    <definedName name="扁钢" localSheetId="6">[1]附表2材料价格表!#REF!</definedName>
    <definedName name="扁钢">[1]附表2材料价格表!#REF!</definedName>
    <definedName name="变电构架安装__离心杆构架独" localSheetId="17">[32]定额!#REF!</definedName>
    <definedName name="变电构架安装__离心杆构架独" localSheetId="6">[32]定额!#REF!</definedName>
    <definedName name="变电构架安装__离心杆构架独" localSheetId="0">[32]定额!#REF!</definedName>
    <definedName name="变电构架安装__离心杆构架独">[32]定额!#REF!</definedName>
    <definedName name="变电构架安装离心杆构架" localSheetId="17">[33]定额!#REF!</definedName>
    <definedName name="变电构架安装离心杆构架" localSheetId="6">[33]定额!#REF!</definedName>
    <definedName name="变电构架安装离心杆构架" localSheetId="0">[33]定额!#REF!</definedName>
    <definedName name="变电构架安装离心杆构架">[33]定额!#REF!</definedName>
    <definedName name="变径11090" localSheetId="6">[4]附表2!#REF!</definedName>
    <definedName name="变径11090">[4]附表2!#REF!</definedName>
    <definedName name="变径160110" localSheetId="6">[4]附表2!#REF!</definedName>
    <definedName name="变径160110">[4]附表2!#REF!</definedName>
    <definedName name="变径16090" localSheetId="6">[4]附表2!#REF!</definedName>
    <definedName name="变径16090">[4]附表2!#REF!</definedName>
    <definedName name="变径200125" localSheetId="6">[4]附表2!#REF!</definedName>
    <definedName name="变径200125">[4]附表2!#REF!</definedName>
    <definedName name="变径200160" localSheetId="6">[4]附表2!#REF!</definedName>
    <definedName name="变径200160">[4]附表2!#REF!</definedName>
    <definedName name="变径250125" localSheetId="6">[4]附表2!#REF!</definedName>
    <definedName name="变径250125">[4]附表2!#REF!</definedName>
    <definedName name="变径250200" localSheetId="6">[4]附表2!#REF!</definedName>
    <definedName name="变径250200">[4]附表2!#REF!</definedName>
    <definedName name="变径250300" localSheetId="6">[4]附表2!#REF!</definedName>
    <definedName name="变径250300">[4]附表2!#REF!</definedName>
    <definedName name="变径315200" localSheetId="6">[4]附表2!#REF!</definedName>
    <definedName name="变径315200">[4]附表2!#REF!</definedName>
    <definedName name="变径315250" localSheetId="6">[4]附表2!#REF!</definedName>
    <definedName name="变径315250">[4]附表2!#REF!</definedName>
    <definedName name="变径三通Dg180×90" localSheetId="6">[1]附表2材料价格表!#REF!</definedName>
    <definedName name="变径三通Dg180×90">[1]附表2材料价格表!#REF!</definedName>
    <definedName name="变径三通φ110×80×90" localSheetId="6">[1]附表2材料价格表!#REF!</definedName>
    <definedName name="变径三通φ110×80×90">[1]附表2材料价格表!#REF!</definedName>
    <definedName name="变径三通φ125×80×110" localSheetId="6">[1]附表2材料价格表!#REF!</definedName>
    <definedName name="变径三通φ125×80×110">[1]附表2材料价格表!#REF!</definedName>
    <definedName name="变径三通φ160×80×110" localSheetId="6">[1]附表2材料价格表!#REF!</definedName>
    <definedName name="变径三通φ160×80×110">[1]附表2材料价格表!#REF!</definedName>
    <definedName name="变径三通φ160×80×125" localSheetId="6">[1]附表2材料价格表!#REF!</definedName>
    <definedName name="变径三通φ160×80×125">[1]附表2材料价格表!#REF!</definedName>
    <definedName name="变径三通φ200×80×160" localSheetId="6">[1]附表2材料价格表!#REF!</definedName>
    <definedName name="变径三通φ200×80×160">[1]附表2材料价格表!#REF!</definedName>
    <definedName name="变频机组8.5kvA" localSheetId="6">[1]附表3机械台班!#REF!</definedName>
    <definedName name="变频机组8.5kvA">[1]附表3机械台班!#REF!</definedName>
    <definedName name="变频振捣器4.5kw" localSheetId="17">#REF!</definedName>
    <definedName name="变频振捣器4.5kw" localSheetId="6">#REF!</definedName>
    <definedName name="变频振捣器4.5kw" localSheetId="0">#REF!</definedName>
    <definedName name="变频振捣器4.5kw">#REF!</definedName>
    <definedName name="变压器160KVA" localSheetId="6">[1]附表2材料价格表!#REF!</definedName>
    <definedName name="变压器160KVA">[1]附表2材料价格表!#REF!</definedName>
    <definedName name="变压器80KVA" localSheetId="6">[1]附表2材料价格表!#REF!</definedName>
    <definedName name="变压器80KVA">[1]附表2材料价格表!#REF!</definedName>
    <definedName name="变压器油" localSheetId="17">[19]附表2材料价格计算表!#REF!</definedName>
    <definedName name="变压器油" localSheetId="6">[20]附表2材料价格计算表!#REF!</definedName>
    <definedName name="变压器油" localSheetId="0">[19]附表2材料价格计算表!#REF!</definedName>
    <definedName name="变压器油">[20]附表2材料价格计算表!#REF!</definedName>
    <definedName name="并沟线夹_BJ_2" localSheetId="6">[1]附表2材料价格表!#REF!</definedName>
    <definedName name="并沟线夹_BJ_2">[1]附表2材料价格表!#REF!</definedName>
    <definedName name="并沟线夹1635mm" localSheetId="17">[19]附表2材料价格计算表!#REF!</definedName>
    <definedName name="并沟线夹1635mm" localSheetId="6">[20]附表2材料价格计算表!#REF!</definedName>
    <definedName name="并沟线夹1635mm" localSheetId="0">[19]附表2材料价格计算表!#REF!</definedName>
    <definedName name="并沟线夹1635mm">[20]附表2材料价格计算表!#REF!</definedName>
    <definedName name="并沟线夹BJ_2" localSheetId="6">[1]附表2材料价格表!#REF!</definedName>
    <definedName name="并沟线夹BJ_2">[1]附表2材料价格表!#REF!</definedName>
    <definedName name="并沟线夹JB2" localSheetId="17">[19]附表2材料价格计算表!#REF!</definedName>
    <definedName name="并沟线夹JB2" localSheetId="6">[20]附表2材料价格计算表!#REF!</definedName>
    <definedName name="并沟线夹JB2" localSheetId="0">[19]附表2材料价格计算表!#REF!</definedName>
    <definedName name="并沟线夹JB2">[20]附表2材料价格计算表!#REF!</definedName>
    <definedName name="玻璃" localSheetId="6">[1]附表2材料价格表!#REF!</definedName>
    <definedName name="玻璃">[1]附表2材料价格表!#REF!</definedName>
    <definedName name="补充" localSheetId="6">[4]附表4单价!#REF!</definedName>
    <definedName name="补充">[4]附表4单价!#REF!</definedName>
    <definedName name="不可预见费" localSheetId="6">#REF!</definedName>
    <definedName name="不可预见费" localSheetId="0">[34]表6不可预见!$H$14</definedName>
    <definedName name="不可预见费">#REF!</definedName>
    <definedName name="不可预见费南" localSheetId="0">'[35]表6不可预见费南 '!$H$10</definedName>
    <definedName name="不可预见费南">'[36]表6不可预见费南 '!$H$10</definedName>
    <definedName name="材" localSheetId="6">[1]附表5直接工程费单价表!#REF!</definedName>
    <definedName name="材">[1]附表5直接工程费单价表!#REF!</definedName>
    <definedName name="材1_23_1">0</definedName>
    <definedName name="材10001" localSheetId="6">[1]附表5直接工程费单价表!#REF!</definedName>
    <definedName name="材10001">[1]附表5直接工程费单价表!#REF!</definedName>
    <definedName name="材100017" localSheetId="17">[19]附表4直接工程费单价表!#REF!</definedName>
    <definedName name="材100017" localSheetId="6">[20]附表4直接工程费单价表!#REF!</definedName>
    <definedName name="材100017" localSheetId="0">[19]附表4直接工程费单价表!#REF!</definedName>
    <definedName name="材100017">[20]附表4直接工程费单价表!#REF!</definedName>
    <definedName name="材10002" localSheetId="6">[1]附表5直接工程费单价表!#REF!</definedName>
    <definedName name="材10002">[1]附表5直接工程费单价表!#REF!</definedName>
    <definedName name="材100023" localSheetId="17">[19]附表4直接工程费单价表!#REF!</definedName>
    <definedName name="材100023" localSheetId="6">[20]附表4直接工程费单价表!#REF!</definedName>
    <definedName name="材100023" localSheetId="0">[19]附表4直接工程费单价表!#REF!</definedName>
    <definedName name="材100023">[20]附表4直接工程费单价表!#REF!</definedName>
    <definedName name="材10003" localSheetId="6">[1]附表5直接工程费单价表!#REF!</definedName>
    <definedName name="材10003">[1]附表5直接工程费单价表!#REF!</definedName>
    <definedName name="材100049" localSheetId="17">[19]附表4直接工程费单价表!#REF!</definedName>
    <definedName name="材100049" localSheetId="6">[20]附表4直接工程费单价表!#REF!</definedName>
    <definedName name="材100049" localSheetId="0">[19]附表4直接工程费单价表!#REF!</definedName>
    <definedName name="材100049">[20]附表4直接工程费单价表!#REF!</definedName>
    <definedName name="材10008" localSheetId="6">[1]附表5直接工程费单价表!#REF!</definedName>
    <definedName name="材10008">[1]附表5直接工程费单价表!#REF!</definedName>
    <definedName name="材10019" localSheetId="6">[1]附表5直接工程费单价表!#REF!</definedName>
    <definedName name="材10019">[1]附表5直接工程费单价表!#REF!</definedName>
    <definedName name="材10020" localSheetId="6">[1]附表5直接工程费单价表!#REF!</definedName>
    <definedName name="材10020">[1]附表5直接工程费单价表!#REF!</definedName>
    <definedName name="材10021" localSheetId="6">[1]附表5直接工程费单价表!#REF!</definedName>
    <definedName name="材10021">[1]附表5直接工程费单价表!#REF!</definedName>
    <definedName name="材10045" localSheetId="6">[1]附表5直接工程费单价表!#REF!</definedName>
    <definedName name="材10045">[1]附表5直接工程费单价表!#REF!</definedName>
    <definedName name="材10047" localSheetId="6">[1]附表5直接工程费单价表!#REF!</definedName>
    <definedName name="材10047">[1]附表5直接工程费单价表!#REF!</definedName>
    <definedName name="材10049" localSheetId="6">[1]附表5直接工程费单价表!#REF!</definedName>
    <definedName name="材10049">[1]附表5直接工程费单价表!#REF!</definedName>
    <definedName name="材10052" localSheetId="6">[1]附表5直接工程费单价表!#REF!</definedName>
    <definedName name="材10052">[1]附表5直接工程费单价表!#REF!</definedName>
    <definedName name="材10054" localSheetId="6">[1]附表5直接工程费单价表!#REF!</definedName>
    <definedName name="材10054">[1]附表5直接工程费单价表!#REF!</definedName>
    <definedName name="材10056" localSheetId="6">[1]附表5直接工程费单价表!#REF!</definedName>
    <definedName name="材10056">[1]附表5直接工程费单价表!#REF!</definedName>
    <definedName name="材10066" localSheetId="6">[1]附表5直接工程费单价表!#REF!</definedName>
    <definedName name="材10066">[1]附表5直接工程费单价表!#REF!</definedName>
    <definedName name="材10071" localSheetId="6">[1]附表5直接工程费单价表!#REF!</definedName>
    <definedName name="材10071">[1]附表5直接工程费单价表!#REF!</definedName>
    <definedName name="材10075" localSheetId="6">[1]附表5直接工程费单价表!#REF!</definedName>
    <definedName name="材10075">[1]附表5直接工程费单价表!#REF!</definedName>
    <definedName name="材10090" localSheetId="6">[1]附表5直接工程费单价表!#REF!</definedName>
    <definedName name="材10090">[1]附表5直接工程费单价表!#REF!</definedName>
    <definedName name="材10095" localSheetId="6">[1]附表5直接工程费单价表!#REF!</definedName>
    <definedName name="材10095">[1]附表5直接工程费单价表!#REF!</definedName>
    <definedName name="材10114" localSheetId="6">[1]附表5直接工程费单价表!#REF!</definedName>
    <definedName name="材10114">[1]附表5直接工程费单价表!#REF!</definedName>
    <definedName name="材10116" localSheetId="6">[1]附表5直接工程费单价表!#REF!</definedName>
    <definedName name="材10116">[1]附表5直接工程费单价表!#REF!</definedName>
    <definedName name="材10118" localSheetId="6">[1]附表5直接工程费单价表!#REF!</definedName>
    <definedName name="材10118">[1]附表5直接工程费单价表!#REF!</definedName>
    <definedName name="材10204" localSheetId="6">[1]附表5直接工程费单价表!#REF!</definedName>
    <definedName name="材10204">[1]附表5直接工程费单价表!#REF!</definedName>
    <definedName name="材10269" localSheetId="6">[1]附表5直接工程费单价表!#REF!</definedName>
    <definedName name="材10269">[1]附表5直接工程费单价表!#REF!</definedName>
    <definedName name="材10270" localSheetId="6">[1]附表5直接工程费单价表!#REF!</definedName>
    <definedName name="材10270">[1]附表5直接工程费单价表!#REF!</definedName>
    <definedName name="材10271" localSheetId="6">[1]附表5直接工程费单价表!#REF!</definedName>
    <definedName name="材10271">[1]附表5直接工程费单价表!#REF!</definedName>
    <definedName name="材10272" localSheetId="6">[1]附表5直接工程费单价表!#REF!</definedName>
    <definedName name="材10272">[1]附表5直接工程费单价表!#REF!</definedName>
    <definedName name="材10273" localSheetId="6">[1]附表5直接工程费单价表!#REF!</definedName>
    <definedName name="材10273">[1]附表5直接工程费单价表!#REF!</definedName>
    <definedName name="材10275" localSheetId="6">[1]附表5直接工程费单价表!#REF!</definedName>
    <definedName name="材10275">[1]附表5直接工程费单价表!#REF!</definedName>
    <definedName name="材10277" localSheetId="6">[1]附表5直接工程费单价表!#REF!</definedName>
    <definedName name="材10277">[1]附表5直接工程费单价表!#REF!</definedName>
    <definedName name="材10278" localSheetId="6">[1]附表5直接工程费单价表!#REF!</definedName>
    <definedName name="材10278">[1]附表5直接工程费单价表!#REF!</definedName>
    <definedName name="材10279" localSheetId="6">[1]附表5直接工程费单价表!#REF!</definedName>
    <definedName name="材10279">[1]附表5直接工程费单价表!#REF!</definedName>
    <definedName name="材10279A" localSheetId="6">[1]附表5直接工程费单价表!#REF!</definedName>
    <definedName name="材10279A">[1]附表5直接工程费单价表!#REF!</definedName>
    <definedName name="材10280" localSheetId="6">[1]附表5直接工程费单价表!#REF!</definedName>
    <definedName name="材10280">[1]附表5直接工程费单价表!#REF!</definedName>
    <definedName name="材10280A" localSheetId="6">[1]附表5直接工程费单价表!#REF!</definedName>
    <definedName name="材10280A">[1]附表5直接工程费单价表!#REF!</definedName>
    <definedName name="材10281" localSheetId="6">[1]附表5直接工程费单价表!#REF!</definedName>
    <definedName name="材10281">[1]附表5直接工程费单价表!#REF!</definedName>
    <definedName name="材10281A" localSheetId="6">[1]附表5直接工程费单价表!#REF!</definedName>
    <definedName name="材10281A">[1]附表5直接工程费单价表!#REF!</definedName>
    <definedName name="材10282" localSheetId="6">[1]附表5直接工程费单价表!#REF!</definedName>
    <definedName name="材10282">[1]附表5直接工程费单价表!#REF!</definedName>
    <definedName name="材10282A" localSheetId="6">[1]附表5直接工程费单价表!#REF!</definedName>
    <definedName name="材10282A">[1]附表5直接工程费单价表!#REF!</definedName>
    <definedName name="材10283" localSheetId="6">[1]附表5直接工程费单价表!#REF!</definedName>
    <definedName name="材10283">[1]附表5直接工程费单价表!#REF!</definedName>
    <definedName name="材10283A" localSheetId="6">[1]附表5直接工程费单价表!#REF!</definedName>
    <definedName name="材10283A">[1]附表5直接工程费单价表!#REF!</definedName>
    <definedName name="材10309" localSheetId="6">[1]附表5直接工程费单价表!#REF!</definedName>
    <definedName name="材10309">[1]附表5直接工程费单价表!#REF!</definedName>
    <definedName name="材10310" localSheetId="6">[1]附表5直接工程费单价表!#REF!</definedName>
    <definedName name="材10310">[1]附表5直接工程费单价表!#REF!</definedName>
    <definedName name="材10311" localSheetId="6">[1]附表5直接工程费单价表!#REF!</definedName>
    <definedName name="材10311">[1]附表5直接工程费单价表!#REF!</definedName>
    <definedName name="材10339" localSheetId="6">[1]附表5直接工程费单价表!#REF!</definedName>
    <definedName name="材10339">[1]附表5直接工程费单价表!#REF!</definedName>
    <definedName name="材10345" localSheetId="6">[1]附表5直接工程费单价表!#REF!</definedName>
    <definedName name="材10345">[1]附表5直接工程费单价表!#REF!</definedName>
    <definedName name="材10360" localSheetId="6">[1]附表5直接工程费单价表!#REF!</definedName>
    <definedName name="材10360">[1]附表5直接工程费单价表!#REF!</definedName>
    <definedName name="材10361" localSheetId="6">[1]附表5直接工程费单价表!#REF!</definedName>
    <definedName name="材10361">[1]附表5直接工程费单价表!#REF!</definedName>
    <definedName name="材10365" localSheetId="6">[1]附表5直接工程费单价表!#REF!</definedName>
    <definedName name="材10365">[1]附表5直接工程费单价表!#REF!</definedName>
    <definedName name="材10366" localSheetId="6">[1]附表5直接工程费单价表!#REF!</definedName>
    <definedName name="材10366">[1]附表5直接工程费单价表!#REF!</definedName>
    <definedName name="材10367" localSheetId="6">[1]附表5直接工程费单价表!#REF!</definedName>
    <definedName name="材10367">[1]附表5直接工程费单价表!#REF!</definedName>
    <definedName name="材10464" localSheetId="6">[1]附表5直接工程费单价表!#REF!</definedName>
    <definedName name="材10464">[1]附表5直接工程费单价表!#REF!</definedName>
    <definedName name="材10465" localSheetId="6">[1]附表5直接工程费单价表!#REF!</definedName>
    <definedName name="材10465">[1]附表5直接工程费单价表!#REF!</definedName>
    <definedName name="材10469" localSheetId="6">[1]附表5直接工程费单价表!#REF!</definedName>
    <definedName name="材10469">[1]附表5直接工程费单价表!#REF!</definedName>
    <definedName name="材10469A" localSheetId="6">[1]附表5直接工程费单价表!#REF!</definedName>
    <definedName name="材10469A">[1]附表5直接工程费单价表!#REF!</definedName>
    <definedName name="材10473" localSheetId="6">[1]附表5直接工程费单价表!#REF!</definedName>
    <definedName name="材10473">[1]附表5直接工程费单价表!#REF!</definedName>
    <definedName name="材10474" localSheetId="6">[1]附表5直接工程费单价表!#REF!</definedName>
    <definedName name="材10474">[1]附表5直接工程费单价表!#REF!</definedName>
    <definedName name="材12001" localSheetId="6">[1]附表5直接工程费单价表!#REF!</definedName>
    <definedName name="材12001">[1]附表5直接工程费单价表!#REF!</definedName>
    <definedName name="材12074" localSheetId="6">[1]附表5直接工程费单价表!#REF!</definedName>
    <definedName name="材12074">[1]附表5直接工程费单价表!#REF!</definedName>
    <definedName name="材12075" localSheetId="6">[1]附表5直接工程费单价表!#REF!</definedName>
    <definedName name="材12075">[1]附表5直接工程费单价表!#REF!</definedName>
    <definedName name="材2_19_3" localSheetId="6">[1]附表5直接工程费单价表!#REF!</definedName>
    <definedName name="材2_19_3">[1]附表5直接工程费单价表!#REF!</definedName>
    <definedName name="材2_19_4" localSheetId="6">[1]附表5直接工程费单价表!#REF!</definedName>
    <definedName name="材2_19_4">[1]附表5直接工程费单价表!#REF!</definedName>
    <definedName name="材20484" localSheetId="6">[1]附表5直接工程费单价表!#REF!</definedName>
    <definedName name="材20484">[1]附表5直接工程费单价表!#REF!</definedName>
    <definedName name="材20485" localSheetId="6">[1]附表5直接工程费单价表!#REF!</definedName>
    <definedName name="材20485">[1]附表5直接工程费单价表!#REF!</definedName>
    <definedName name="材20488" localSheetId="6">[1]附表5直接工程费单价表!#REF!</definedName>
    <definedName name="材20488">[1]附表5直接工程费单价表!#REF!</definedName>
    <definedName name="材30001" localSheetId="6">[1]附表5直接工程费单价表!#REF!</definedName>
    <definedName name="材30001">[1]附表5直接工程费单价表!#REF!</definedName>
    <definedName name="材30002" localSheetId="6">[1]附表5直接工程费单价表!#REF!</definedName>
    <definedName name="材30002">[1]附表5直接工程费单价表!#REF!</definedName>
    <definedName name="材30016" localSheetId="6">[1]附表5直接工程费单价表!#REF!</definedName>
    <definedName name="材30016">[1]附表5直接工程费单价表!#REF!</definedName>
    <definedName name="材30019" localSheetId="6">[1]附表5直接工程费单价表!#REF!</definedName>
    <definedName name="材30019">[1]附表5直接工程费单价表!#REF!</definedName>
    <definedName name="材30020" localSheetId="6">[1]附表5直接工程费单价表!#REF!</definedName>
    <definedName name="材30020">[1]附表5直接工程费单价表!#REF!</definedName>
    <definedName name="材30021" localSheetId="6">[1]附表5直接工程费单价表!#REF!</definedName>
    <definedName name="材30021">[1]附表5直接工程费单价表!#REF!</definedName>
    <definedName name="材30022" localSheetId="6">[1]附表5直接工程费单价表!#REF!</definedName>
    <definedName name="材30022">[1]附表5直接工程费单价表!#REF!</definedName>
    <definedName name="材30023" localSheetId="6">[1]附表5直接工程费单价表!#REF!</definedName>
    <definedName name="材30023">[1]附表5直接工程费单价表!#REF!</definedName>
    <definedName name="材30024" localSheetId="6">[1]附表5直接工程费单价表!#REF!</definedName>
    <definedName name="材30024">[1]附表5直接工程费单价表!#REF!</definedName>
    <definedName name="材30025" localSheetId="6">[1]附表5直接工程费单价表!#REF!</definedName>
    <definedName name="材30025">[1]附表5直接工程费单价表!#REF!</definedName>
    <definedName name="材30027" localSheetId="6">[1]附表5直接工程费单价表!#REF!</definedName>
    <definedName name="材30027">[1]附表5直接工程费单价表!#REF!</definedName>
    <definedName name="材30028" localSheetId="17">[19]附表4直接工程费单价表!#REF!</definedName>
    <definedName name="材30028" localSheetId="6">[1]附表5直接工程费单价表!#REF!</definedName>
    <definedName name="材30028" localSheetId="0">[19]附表4直接工程费单价表!#REF!</definedName>
    <definedName name="材30028">[1]附表5直接工程费单价表!#REF!</definedName>
    <definedName name="材30038" localSheetId="6">[1]附表5直接工程费单价表!#REF!</definedName>
    <definedName name="材30038">[1]附表5直接工程费单价表!#REF!</definedName>
    <definedName name="材30048" localSheetId="6">[1]附表5直接工程费单价表!#REF!</definedName>
    <definedName name="材30048">[1]附表5直接工程费单价表!#REF!</definedName>
    <definedName name="材30048、30051" localSheetId="6">[1]附表5直接工程费单价表!#REF!</definedName>
    <definedName name="材30048、30051">[1]附表5直接工程费单价表!#REF!</definedName>
    <definedName name="材30049" localSheetId="6">[1]附表5直接工程费单价表!#REF!</definedName>
    <definedName name="材30049">[1]附表5直接工程费单价表!#REF!</definedName>
    <definedName name="材30064" localSheetId="17">[19]附表4直接工程费单价表!#REF!</definedName>
    <definedName name="材30064" localSheetId="6">[20]附表4直接工程费单价表!#REF!</definedName>
    <definedName name="材30064" localSheetId="0">[19]附表4直接工程费单价表!#REF!</definedName>
    <definedName name="材30064">[20]附表4直接工程费单价表!#REF!</definedName>
    <definedName name="材30067" localSheetId="17">[19]附表4直接工程费单价表!#REF!</definedName>
    <definedName name="材30067" localSheetId="6">[20]附表4直接工程费单价表!#REF!</definedName>
    <definedName name="材30067" localSheetId="0">[19]附表4直接工程费单价表!#REF!</definedName>
    <definedName name="材30067">[20]附表4直接工程费单价表!#REF!</definedName>
    <definedName name="材40004" localSheetId="17">[19]附表4直接工程费单价表!#REF!</definedName>
    <definedName name="材40004" localSheetId="6">[20]附表4直接工程费单价表!#REF!</definedName>
    <definedName name="材40004" localSheetId="0">[19]附表4直接工程费单价表!#REF!</definedName>
    <definedName name="材40004">[20]附表4直接工程费单价表!#REF!</definedName>
    <definedName name="材40006" localSheetId="0">[37]直接工程费!$F$192</definedName>
    <definedName name="材40006">[38]直接工程费!$F$192</definedName>
    <definedName name="材40006b" localSheetId="17">[19]附表4直接工程费单价表!#REF!</definedName>
    <definedName name="材40006b" localSheetId="6">[20]附表4直接工程费单价表!#REF!</definedName>
    <definedName name="材40006b" localSheetId="0">[19]附表4直接工程费单价表!#REF!</definedName>
    <definedName name="材40006b">[20]附表4直接工程费单价表!#REF!</definedName>
    <definedName name="材40006细石" localSheetId="17">[19]附表4直接工程费单价表!#REF!</definedName>
    <definedName name="材40006细石" localSheetId="6">[20]附表4直接工程费单价表!#REF!</definedName>
    <definedName name="材40006细石" localSheetId="0">[19]附表4直接工程费单价表!#REF!</definedName>
    <definedName name="材40006细石">[20]附表4直接工程费单价表!#REF!</definedName>
    <definedName name="材40030" localSheetId="17">[19]附表4直接工程费单价表!#REF!</definedName>
    <definedName name="材40030" localSheetId="6">[20]附表4直接工程费单价表!#REF!</definedName>
    <definedName name="材40030" localSheetId="0">[19]附表4直接工程费单价表!#REF!</definedName>
    <definedName name="材40030">[20]附表4直接工程费单价表!#REF!</definedName>
    <definedName name="材40031" localSheetId="6">[1]附表5直接工程费单价表!#REF!</definedName>
    <definedName name="材40031">[1]附表5直接工程费单价表!#REF!</definedName>
    <definedName name="材4003115" localSheetId="17">[19]附表4直接工程费单价表!#REF!</definedName>
    <definedName name="材4003115" localSheetId="6">[20]附表4直接工程费单价表!#REF!</definedName>
    <definedName name="材4003115" localSheetId="0">[19]附表4直接工程费单价表!#REF!</definedName>
    <definedName name="材4003115">[20]附表4直接工程费单价表!#REF!</definedName>
    <definedName name="材40041b" localSheetId="17">[19]附表4直接工程费单价表!#REF!</definedName>
    <definedName name="材40041b" localSheetId="6">[20]附表4直接工程费单价表!#REF!</definedName>
    <definedName name="材40041b" localSheetId="0">[19]附表4直接工程费单价表!#REF!</definedName>
    <definedName name="材40041b">[20]附表4直接工程费单价表!#REF!</definedName>
    <definedName name="材40056" localSheetId="17">[19]附表4直接工程费单价表!#REF!</definedName>
    <definedName name="材40056" localSheetId="6">[20]附表4直接工程费单价表!#REF!</definedName>
    <definedName name="材40056" localSheetId="0">[19]附表4直接工程费单价表!#REF!</definedName>
    <definedName name="材40056">[20]附表4直接工程费单价表!#REF!</definedName>
    <definedName name="材40058" localSheetId="6">[1]附表5直接工程费单价表!#REF!</definedName>
    <definedName name="材40058">[1]附表5直接工程费单价表!#REF!</definedName>
    <definedName name="材40058A" localSheetId="6">[1]附表5直接工程费单价表!#REF!</definedName>
    <definedName name="材40058A">[1]附表5直接工程费单价表!#REF!</definedName>
    <definedName name="材40061" localSheetId="6">[1]附表5直接工程费单价表!#REF!</definedName>
    <definedName name="材40061">[1]附表5直接工程费单价表!#REF!</definedName>
    <definedName name="材40062" localSheetId="6">[1]附表5直接工程费单价表!#REF!</definedName>
    <definedName name="材40062">[1]附表5直接工程费单价表!#REF!</definedName>
    <definedName name="材40063" localSheetId="17">[19]附表4直接工程费单价表!#REF!</definedName>
    <definedName name="材40063" localSheetId="6">[20]附表4直接工程费单价表!#REF!</definedName>
    <definedName name="材40063" localSheetId="0">[19]附表4直接工程费单价表!#REF!</definedName>
    <definedName name="材40063">[20]附表4直接工程费单价表!#REF!</definedName>
    <definedName name="材40064" localSheetId="17">[19]附表4直接工程费单价表!#REF!</definedName>
    <definedName name="材40064" localSheetId="6">[20]附表4直接工程费单价表!#REF!</definedName>
    <definedName name="材40064" localSheetId="0">[19]附表4直接工程费单价表!#REF!</definedName>
    <definedName name="材40064">[20]附表4直接工程费单价表!#REF!</definedName>
    <definedName name="材40067" localSheetId="6">[1]附表5直接工程费单价表!#REF!</definedName>
    <definedName name="材40067">[1]附表5直接工程费单价表!#REF!</definedName>
    <definedName name="材40067A" localSheetId="6">[1]附表5直接工程费单价表!#REF!</definedName>
    <definedName name="材40067A">[1]附表5直接工程费单价表!#REF!</definedName>
    <definedName name="材40068" localSheetId="6">[1]附表5直接工程费单价表!#REF!</definedName>
    <definedName name="材40068">[1]附表5直接工程费单价表!#REF!</definedName>
    <definedName name="材40069" localSheetId="6">[1]附表5直接工程费单价表!#REF!</definedName>
    <definedName name="材40069">[1]附表5直接工程费单价表!#REF!</definedName>
    <definedName name="材40070" localSheetId="6">[1]附表5直接工程费单价表!#REF!</definedName>
    <definedName name="材40070">[1]附表5直接工程费单价表!#REF!</definedName>
    <definedName name="材40072" localSheetId="6">[1]附表5直接工程费单价表!#REF!</definedName>
    <definedName name="材40072">[1]附表5直接工程费单价表!#REF!</definedName>
    <definedName name="材40073" localSheetId="17">[19]附表4直接工程费单价表!#REF!</definedName>
    <definedName name="材40073" localSheetId="6">[20]附表4直接工程费单价表!#REF!</definedName>
    <definedName name="材40073" localSheetId="0">[19]附表4直接工程费单价表!#REF!</definedName>
    <definedName name="材40073">[20]附表4直接工程费单价表!#REF!</definedName>
    <definedName name="材40074" localSheetId="6">[1]附表5直接工程费单价表!#REF!</definedName>
    <definedName name="材40074">[1]附表5直接工程费单价表!#REF!</definedName>
    <definedName name="材40075" localSheetId="6">[1]附表5直接工程费单价表!#REF!</definedName>
    <definedName name="材40075">[1]附表5直接工程费单价表!#REF!</definedName>
    <definedName name="材40076" localSheetId="6">[1]附表5直接工程费单价表!#REF!</definedName>
    <definedName name="材40076">[1]附表5直接工程费单价表!#REF!</definedName>
    <definedName name="材4007620" localSheetId="17">[19]附表4直接工程费单价表!#REF!</definedName>
    <definedName name="材4007620" localSheetId="6">[20]附表4直接工程费单价表!#REF!</definedName>
    <definedName name="材4007620" localSheetId="0">[19]附表4直接工程费单价表!#REF!</definedName>
    <definedName name="材4007620">[20]附表4直接工程费单价表!#REF!</definedName>
    <definedName name="材40077" localSheetId="17">[19]附表4直接工程费单价表!#REF!</definedName>
    <definedName name="材40077" localSheetId="6">[20]附表4直接工程费单价表!#REF!</definedName>
    <definedName name="材40077" localSheetId="0">[19]附表4直接工程费单价表!#REF!</definedName>
    <definedName name="材40077">[20]附表4直接工程费单价表!#REF!</definedName>
    <definedName name="材40079" localSheetId="17">[19]附表4直接工程费单价表!#REF!</definedName>
    <definedName name="材40079" localSheetId="6">[1]附表5直接工程费单价表!#REF!</definedName>
    <definedName name="材40079" localSheetId="0">[19]附表4直接工程费单价表!#REF!</definedName>
    <definedName name="材40079">[1]附表5直接工程费单价表!#REF!</definedName>
    <definedName name="材40090" localSheetId="6">[1]附表5直接工程费单价表!#REF!</definedName>
    <definedName name="材40090">[1]附表5直接工程费单价表!#REF!</definedName>
    <definedName name="材40096" localSheetId="6">[1]附表5直接工程费单价表!#REF!</definedName>
    <definedName name="材40096">[1]附表5直接工程费单价表!#REF!</definedName>
    <definedName name="材40101" localSheetId="6">[1]附表5直接工程费单价表!#REF!</definedName>
    <definedName name="材40101">[1]附表5直接工程费单价表!#REF!</definedName>
    <definedName name="材40101A" localSheetId="6">[1]附表5直接工程费单价表!#REF!</definedName>
    <definedName name="材40101A">[1]附表5直接工程费单价表!#REF!</definedName>
    <definedName name="材40101B" localSheetId="6">[1]附表5直接工程费单价表!#REF!</definedName>
    <definedName name="材40101B">[1]附表5直接工程费单价表!#REF!</definedName>
    <definedName name="材40109" localSheetId="6">[1]附表5直接工程费单价表!#REF!</definedName>
    <definedName name="材40109">[1]附表5直接工程费单价表!#REF!</definedName>
    <definedName name="材40110" localSheetId="6">[1]附表5直接工程费单价表!#REF!</definedName>
    <definedName name="材40110">[1]附表5直接工程费单价表!#REF!</definedName>
    <definedName name="材40111" localSheetId="6">[1]附表5直接工程费单价表!#REF!</definedName>
    <definedName name="材40111">[1]附表5直接工程费单价表!#REF!</definedName>
    <definedName name="材40112" localSheetId="6">[1]附表5直接工程费单价表!#REF!</definedName>
    <definedName name="材40112">[1]附表5直接工程费单价表!#REF!</definedName>
    <definedName name="材40113" localSheetId="6">[1]附表5直接工程费单价表!#REF!</definedName>
    <definedName name="材40113">[1]附表5直接工程费单价表!#REF!</definedName>
    <definedName name="材40114" localSheetId="6">[1]附表5直接工程费单价表!#REF!</definedName>
    <definedName name="材40114">[1]附表5直接工程费单价表!#REF!</definedName>
    <definedName name="材40115" localSheetId="17">[19]附表4直接工程费单价表!#REF!</definedName>
    <definedName name="材40115" localSheetId="6">[1]附表5直接工程费单价表!#REF!</definedName>
    <definedName name="材40115" localSheetId="0">[19]附表4直接工程费单价表!#REF!</definedName>
    <definedName name="材40115">[1]附表5直接工程费单价表!#REF!</definedName>
    <definedName name="材40116" localSheetId="17">[19]附表4直接工程费单价表!#REF!</definedName>
    <definedName name="材40116" localSheetId="6">[1]附表5直接工程费单价表!#REF!</definedName>
    <definedName name="材40116" localSheetId="0">[19]附表4直接工程费单价表!#REF!</definedName>
    <definedName name="材40116">[1]附表5直接工程费单价表!#REF!</definedName>
    <definedName name="材40117" localSheetId="6">[1]附表5直接工程费单价表!#REF!</definedName>
    <definedName name="材40117">[1]附表5直接工程费单价表!#REF!</definedName>
    <definedName name="材40118" localSheetId="6">[1]附表5直接工程费单价表!#REF!</definedName>
    <definedName name="材40118">[1]附表5直接工程费单价表!#REF!</definedName>
    <definedName name="材40120" localSheetId="6">[1]附表5直接工程费单价表!#REF!</definedName>
    <definedName name="材40120">[1]附表5直接工程费单价表!#REF!</definedName>
    <definedName name="材40124" localSheetId="6">[1]附表5直接工程费单价表!#REF!</definedName>
    <definedName name="材40124">[1]附表5直接工程费单价表!#REF!</definedName>
    <definedName name="材40125" localSheetId="6">[1]附表5直接工程费单价表!#REF!</definedName>
    <definedName name="材40125">[1]附表5直接工程费单价表!#REF!</definedName>
    <definedName name="材40133" localSheetId="17">[19]附表4直接工程费单价表!#REF!</definedName>
    <definedName name="材40133" localSheetId="6">[20]附表4直接工程费单价表!#REF!</definedName>
    <definedName name="材40133" localSheetId="0">[19]附表4直接工程费单价表!#REF!</definedName>
    <definedName name="材40133">[20]附表4直接工程费单价表!#REF!</definedName>
    <definedName name="材40134" localSheetId="6">[1]附表5直接工程费单价表!#REF!</definedName>
    <definedName name="材40134">[1]附表5直接工程费单价表!#REF!</definedName>
    <definedName name="材40143" localSheetId="6">[1]附表5直接工程费单价表!#REF!</definedName>
    <definedName name="材40143">[1]附表5直接工程费单价表!#REF!</definedName>
    <definedName name="材40203" localSheetId="17">[19]附表4直接工程费单价表!#REF!</definedName>
    <definedName name="材40203" localSheetId="6">[20]附表4直接工程费单价表!#REF!</definedName>
    <definedName name="材40203" localSheetId="0">[19]附表4直接工程费单价表!#REF!</definedName>
    <definedName name="材40203">[20]附表4直接工程费单价表!#REF!</definedName>
    <definedName name="材40210" localSheetId="17">[19]附表4直接工程费单价表!#REF!</definedName>
    <definedName name="材40210" localSheetId="6">[20]附表4直接工程费单价表!#REF!</definedName>
    <definedName name="材40210" localSheetId="0">[19]附表4直接工程费单价表!#REF!</definedName>
    <definedName name="材40210">[20]附表4直接工程费单价表!#REF!</definedName>
    <definedName name="材40214苯" localSheetId="17">[19]附表4直接工程费单价表!#REF!</definedName>
    <definedName name="材40214苯" localSheetId="6">[20]附表4直接工程费单价表!#REF!</definedName>
    <definedName name="材40214苯" localSheetId="0">[19]附表4直接工程费单价表!#REF!</definedName>
    <definedName name="材40214苯">[20]附表4直接工程费单价表!#REF!</definedName>
    <definedName name="材40224" localSheetId="6">[1]附表5直接工程费单价表!#REF!</definedName>
    <definedName name="材40224">[1]附表5直接工程费单价表!#REF!</definedName>
    <definedName name="材40260" localSheetId="6">[1]附表5直接工程费单价表!#REF!</definedName>
    <definedName name="材40260">[1]附表5直接工程费单价表!#REF!</definedName>
    <definedName name="材40263" localSheetId="6">[1]附表5直接工程费单价表!#REF!</definedName>
    <definedName name="材40263">[1]附表5直接工程费单价表!#REF!</definedName>
    <definedName name="材40271" localSheetId="6">[1]附表5直接工程费单价表!#REF!</definedName>
    <definedName name="材40271">[1]附表5直接工程费单价表!#REF!</definedName>
    <definedName name="材40286" localSheetId="6">[1]附表5直接工程费单价表!#REF!</definedName>
    <definedName name="材40286">[1]附表5直接工程费单价表!#REF!</definedName>
    <definedName name="材40287" localSheetId="6">[1]附表5直接工程费单价表!#REF!</definedName>
    <definedName name="材40287">[1]附表5直接工程费单价表!#REF!</definedName>
    <definedName name="材40288" localSheetId="6">[1]附表5直接工程费单价表!#REF!</definedName>
    <definedName name="材40288">[1]附表5直接工程费单价表!#REF!</definedName>
    <definedName name="材40289" localSheetId="6">[1]附表5直接工程费单价表!#REF!</definedName>
    <definedName name="材40289">[1]附表5直接工程费单价表!#REF!</definedName>
    <definedName name="材40289A" localSheetId="6">[1]附表5直接工程费单价表!#REF!</definedName>
    <definedName name="材40289A">[1]附表5直接工程费单价表!#REF!</definedName>
    <definedName name="材40306" localSheetId="6">[1]附表5直接工程费单价表!#REF!</definedName>
    <definedName name="材40306">[1]附表5直接工程费单价表!#REF!</definedName>
    <definedName name="材40306A" localSheetId="6">[1]附表5直接工程费单价表!#REF!</definedName>
    <definedName name="材40306A">[1]附表5直接工程费单价表!#REF!</definedName>
    <definedName name="材40306B" localSheetId="6">[1]附表5直接工程费单价表!#REF!</definedName>
    <definedName name="材40306B">[1]附表5直接工程费单价表!#REF!</definedName>
    <definedName name="材50003" localSheetId="6">[1]附表5直接工程费单价表!#REF!</definedName>
    <definedName name="材50003">[1]附表5直接工程费单价表!#REF!</definedName>
    <definedName name="材50004" localSheetId="6">[1]附表5直接工程费单价表!#REF!</definedName>
    <definedName name="材50004">[1]附表5直接工程费单价表!#REF!</definedName>
    <definedName name="材50005" localSheetId="6">[1]附表5直接工程费单价表!#REF!</definedName>
    <definedName name="材50005">[1]附表5直接工程费单价表!#REF!</definedName>
    <definedName name="材50006" localSheetId="6">[1]附表5直接工程费单价表!#REF!</definedName>
    <definedName name="材50006">[1]附表5直接工程费单价表!#REF!</definedName>
    <definedName name="材50014" localSheetId="17">[39]附表4工程费单价表!#REF!</definedName>
    <definedName name="材50014" localSheetId="6">[40]附表4工程费单价表!#REF!</definedName>
    <definedName name="材50014" localSheetId="0">[39]附表4工程费单价表!#REF!</definedName>
    <definedName name="材50014">[40]附表4工程费单价表!#REF!</definedName>
    <definedName name="材50045" localSheetId="6">[1]附表5直接工程费单价表!#REF!</definedName>
    <definedName name="材50045">[1]附表5直接工程费单价表!#REF!</definedName>
    <definedName name="材50046" localSheetId="6">[1]附表5直接工程费单价表!#REF!</definedName>
    <definedName name="材50046">[1]附表5直接工程费单价表!#REF!</definedName>
    <definedName name="材50049" localSheetId="6">[1]附表5直接工程费单价表!#REF!</definedName>
    <definedName name="材50049">[1]附表5直接工程费单价表!#REF!</definedName>
    <definedName name="材50050" localSheetId="6">[1]附表5直接工程费单价表!#REF!</definedName>
    <definedName name="材50050">[1]附表5直接工程费单价表!#REF!</definedName>
    <definedName name="材50064" localSheetId="17">[19]附表4直接工程费单价表!#REF!</definedName>
    <definedName name="材50064" localSheetId="6">[20]附表4直接工程费单价表!#REF!</definedName>
    <definedName name="材50064" localSheetId="0">[19]附表4直接工程费单价表!#REF!</definedName>
    <definedName name="材50064">[20]附表4直接工程费单价表!#REF!</definedName>
    <definedName name="材50067" localSheetId="17">[19]附表4直接工程费单价表!#REF!</definedName>
    <definedName name="材50067" localSheetId="6">[20]附表4直接工程费单价表!#REF!</definedName>
    <definedName name="材50067" localSheetId="0">[19]附表4直接工程费单价表!#REF!</definedName>
    <definedName name="材50067">[20]附表4直接工程费单价表!#REF!</definedName>
    <definedName name="材50113" localSheetId="17">[39]附表4工程费单价表!#REF!</definedName>
    <definedName name="材50113" localSheetId="6">[40]附表4工程费单价表!#REF!</definedName>
    <definedName name="材50113" localSheetId="0">[39]附表4工程费单价表!#REF!</definedName>
    <definedName name="材50113">[40]附表4工程费单价表!#REF!</definedName>
    <definedName name="材50115">0</definedName>
    <definedName name="材70007" localSheetId="17">[19]附表4直接工程费单价表!#REF!</definedName>
    <definedName name="材70007" localSheetId="6">[20]附表4直接工程费单价表!#REF!</definedName>
    <definedName name="材70007" localSheetId="0">[19]附表4直接工程费单价表!#REF!</definedName>
    <definedName name="材70007">[20]附表4直接工程费单价表!#REF!</definedName>
    <definedName name="材70013" localSheetId="17">[19]附表4直接工程费单价表!#REF!</definedName>
    <definedName name="材70013" localSheetId="6">[20]附表4直接工程费单价表!#REF!</definedName>
    <definedName name="材70013" localSheetId="0">[19]附表4直接工程费单价表!#REF!</definedName>
    <definedName name="材70013">[20]附表4直接工程费单价表!#REF!</definedName>
    <definedName name="材70014" localSheetId="17">[19]附表4直接工程费单价表!#REF!</definedName>
    <definedName name="材70014" localSheetId="6">[20]附表4直接工程费单价表!#REF!</definedName>
    <definedName name="材70014" localSheetId="0">[19]附表4直接工程费单价表!#REF!</definedName>
    <definedName name="材70014">[20]附表4直接工程费单价表!#REF!</definedName>
    <definedName name="材70070" localSheetId="17">[19]附表4直接工程费单价表!#REF!</definedName>
    <definedName name="材70070" localSheetId="6">[20]附表4直接工程费单价表!#REF!</definedName>
    <definedName name="材70070" localSheetId="0">[19]附表4直接工程费单价表!#REF!</definedName>
    <definedName name="材70070">[20]附表4直接工程费单价表!#REF!</definedName>
    <definedName name="材70105" localSheetId="17">[19]附表4直接工程费单价表!#REF!</definedName>
    <definedName name="材70105" localSheetId="6">[20]附表4直接工程费单价表!#REF!</definedName>
    <definedName name="材70105" localSheetId="0">[19]附表4直接工程费单价表!#REF!</definedName>
    <definedName name="材70105">[20]附表4直接工程费单价表!#REF!</definedName>
    <definedName name="材70106" localSheetId="17">[19]附表4直接工程费单价表!#REF!</definedName>
    <definedName name="材70106" localSheetId="6">[20]附表4直接工程费单价表!#REF!</definedName>
    <definedName name="材70106" localSheetId="0">[19]附表4直接工程费单价表!#REF!</definedName>
    <definedName name="材70106">[20]附表4直接工程费单价表!#REF!</definedName>
    <definedName name="材70125" localSheetId="17">[19]附表4直接工程费单价表!#REF!</definedName>
    <definedName name="材70125" localSheetId="6">[20]附表4直接工程费单价表!#REF!</definedName>
    <definedName name="材70125" localSheetId="0">[19]附表4直接工程费单价表!#REF!</definedName>
    <definedName name="材70125">[20]附表4直接工程费单价表!#REF!</definedName>
    <definedName name="材70194" localSheetId="6">[1]附表5直接工程费单价表!#REF!</definedName>
    <definedName name="材70194">[1]附表5直接工程费单价表!#REF!</definedName>
    <definedName name="材70195" localSheetId="6">[1]附表5直接工程费单价表!#REF!</definedName>
    <definedName name="材70195">[1]附表5直接工程费单价表!#REF!</definedName>
    <definedName name="材70196" localSheetId="6">[1]附表5直接工程费单价表!#REF!</definedName>
    <definedName name="材70196">[1]附表5直接工程费单价表!#REF!</definedName>
    <definedName name="材80023加8002410" localSheetId="17">[19]附表4直接工程费单价表!#REF!</definedName>
    <definedName name="材80023加8002410" localSheetId="6">[20]附表4直接工程费单价表!#REF!</definedName>
    <definedName name="材80023加8002410" localSheetId="0">[19]附表4直接工程费单价表!#REF!</definedName>
    <definedName name="材80023加8002410">[20]附表4直接工程费单价表!#REF!</definedName>
    <definedName name="材80033" localSheetId="17">[19]附表4直接工程费单价表!#REF!</definedName>
    <definedName name="材80033" localSheetId="6">[20]附表4直接工程费单价表!#REF!</definedName>
    <definedName name="材80033" localSheetId="0">[19]附表4直接工程费单价表!#REF!</definedName>
    <definedName name="材80033">[20]附表4直接工程费单价表!#REF!</definedName>
    <definedName name="材80034" localSheetId="17">[19]附表4直接工程费单价表!#REF!</definedName>
    <definedName name="材80034" localSheetId="6">[20]附表4直接工程费单价表!#REF!</definedName>
    <definedName name="材80034" localSheetId="0">[19]附表4直接工程费单价表!#REF!</definedName>
    <definedName name="材80034">[20]附表4直接工程费单价表!#REF!</definedName>
    <definedName name="材90013" localSheetId="17">[19]附表4直接工程费单价表!#REF!</definedName>
    <definedName name="材90013" localSheetId="6">[20]附表4直接工程费单价表!#REF!</definedName>
    <definedName name="材90013" localSheetId="0">[19]附表4直接工程费单价表!#REF!</definedName>
    <definedName name="材90013">[20]附表4直接工程费单价表!#REF!</definedName>
    <definedName name="材90014" localSheetId="6">[1]附表5直接工程费单价表!#REF!</definedName>
    <definedName name="材90014">[1]附表5直接工程费单价表!#REF!</definedName>
    <definedName name="材90017" localSheetId="6">[1]附表5直接工程费单价表!#REF!</definedName>
    <definedName name="材90017">[1]附表5直接工程费单价表!#REF!</definedName>
    <definedName name="材90017A" localSheetId="6">[1]附表5直接工程费单价表!#REF!</definedName>
    <definedName name="材90017A">[1]附表5直接工程费单价表!#REF!</definedName>
    <definedName name="材90085" localSheetId="6">[1]附表5直接工程费单价表!#REF!</definedName>
    <definedName name="材90085">[1]附表5直接工程费单价表!#REF!</definedName>
    <definedName name="材90086" localSheetId="6">[1]附表5直接工程费单价表!#REF!</definedName>
    <definedName name="材90086">[1]附表5直接工程费单价表!#REF!</definedName>
    <definedName name="材90087" localSheetId="6">[1]附表5直接工程费单价表!#REF!</definedName>
    <definedName name="材90087">[1]附表5直接工程费单价表!#REF!</definedName>
    <definedName name="材90087A" localSheetId="6">[1]附表5直接工程费单价表!#REF!</definedName>
    <definedName name="材90087A">[1]附表5直接工程费单价表!#REF!</definedName>
    <definedName name="材90136" localSheetId="6">[1]附表5直接工程费单价表!#REF!</definedName>
    <definedName name="材90136">[1]附表5直接工程费单价表!#REF!</definedName>
    <definedName name="材90147" localSheetId="6">[1]附表5直接工程费单价表!#REF!</definedName>
    <definedName name="材90147">[1]附表5直接工程费单价表!#REF!</definedName>
    <definedName name="材90189" localSheetId="6">[1]附表5直接工程费单价表!#REF!</definedName>
    <definedName name="材90189">[1]附表5直接工程费单价表!#REF!</definedName>
    <definedName name="材补1" localSheetId="6">[1]附表5直接工程费单价表!#REF!</definedName>
    <definedName name="材补1">[1]附表5直接工程费单价表!#REF!</definedName>
    <definedName name="材补1A" localSheetId="6">[1]附表5直接工程费单价表!#REF!</definedName>
    <definedName name="材补1A">[1]附表5直接工程费单价表!#REF!</definedName>
    <definedName name="材补2" localSheetId="6">[1]附表5直接工程费单价表!#REF!</definedName>
    <definedName name="材补2">[1]附表5直接工程费单价表!#REF!</definedName>
    <definedName name="材补3" localSheetId="6">[1]附表5直接工程费单价表!#REF!</definedName>
    <definedName name="材补3">[1]附表5直接工程费单价表!#REF!</definedName>
    <definedName name="材补4" localSheetId="6">[1]附表5直接工程费单价表!#REF!</definedName>
    <definedName name="材补4">[1]附表5直接工程费单价表!#REF!</definedName>
    <definedName name="材补5" localSheetId="6">[1]附表5直接工程费单价表!#REF!</definedName>
    <definedName name="材补5">[1]附表5直接工程费单价表!#REF!</definedName>
    <definedName name="材参60432" localSheetId="6">[1]附表5直接工程费单价表!#REF!</definedName>
    <definedName name="材参60432">[1]附表5直接工程费单价表!#REF!</definedName>
    <definedName name="材建11_25换" localSheetId="6">[1]附表5直接工程费单价表!#REF!</definedName>
    <definedName name="材建11_25换">[1]附表5直接工程费单价表!#REF!</definedName>
    <definedName name="材建4_10换" localSheetId="6">[1]附表5直接工程费单价表!#REF!</definedName>
    <definedName name="材建4_10换">[1]附表5直接工程费单价表!#REF!</definedName>
    <definedName name="材井" localSheetId="6">#REF!</definedName>
    <definedName name="材井">#REF!</definedName>
    <definedName name="材料差价" localSheetId="0">'[41]#REF'!$C$2</definedName>
    <definedName name="材料差价">'[42]#REF'!$C$2</definedName>
    <definedName name="采后处理中心" hidden="1">1</definedName>
    <definedName name="槽钢" localSheetId="17">[19]附表2材料价格计算表!#REF!</definedName>
    <definedName name="槽钢" localSheetId="6">[20]附表2材料价格计算表!#REF!</definedName>
    <definedName name="槽钢" localSheetId="0">[19]附表2材料价格计算表!#REF!</definedName>
    <definedName name="槽钢">[20]附表2材料价格计算表!#REF!</definedName>
    <definedName name="草" localSheetId="17">#REF!</definedName>
    <definedName name="草" localSheetId="6">#REF!</definedName>
    <definedName name="草" localSheetId="0">#REF!</definedName>
    <definedName name="草">#REF!</definedName>
    <definedName name="插入式振捣器2.2kw" localSheetId="17">#REF!</definedName>
    <definedName name="插入式振捣器2.2kw" localSheetId="6">#REF!</definedName>
    <definedName name="插入式振捣器2.2kw" localSheetId="0">#REF!</definedName>
    <definedName name="插入式振捣器2.2kw">#REF!</definedName>
    <definedName name="插入式振动器1.1kw" localSheetId="6">[1]附表3机械台班!#REF!</definedName>
    <definedName name="插入式振动器1.1kw">[1]附表3机械台班!#REF!</definedName>
    <definedName name="插入式振动器1.5kw" localSheetId="6">[1]附表3机械台班!#REF!</definedName>
    <definedName name="插入式振动器1.5kw">[1]附表3机械台班!#REF!</definedName>
    <definedName name="插入式振动器2.2kw">[43]附表3机械!$K$56</definedName>
    <definedName name="插座φ33" localSheetId="6">[1]附表2材料价格表!#REF!</definedName>
    <definedName name="插座φ33">[1]附表2材料价格表!#REF!</definedName>
    <definedName name="拆迁补偿费" localSheetId="6">#REF!</definedName>
    <definedName name="拆迁补偿费">#REF!</definedName>
    <definedName name="柴油" localSheetId="17">#REF!</definedName>
    <definedName name="柴油" localSheetId="6">#REF!</definedName>
    <definedName name="柴油" localSheetId="0">#REF!</definedName>
    <definedName name="柴油">#REF!</definedName>
    <definedName name="铲运机2.75m3" localSheetId="6">[1]附表3机械台班!#REF!</definedName>
    <definedName name="铲运机2.75m3">[1]附表3机械台班!#REF!</definedName>
    <definedName name="承插式三通" localSheetId="6">[4]附表2!#REF!</definedName>
    <definedName name="承插式三通">[4]附表2!#REF!</definedName>
    <definedName name="冲击钻机CZ_22型" localSheetId="6">[1]附表3机械台班!#REF!</definedName>
    <definedName name="冲击钻机CZ_22型">[1]附表3机械台班!#REF!</definedName>
    <definedName name="初">#N/A</definedName>
    <definedName name="瓷横担_S210" localSheetId="6">[1]附表2材料价格表!#REF!</definedName>
    <definedName name="瓷横担_S210">[1]附表2材料价格表!#REF!</definedName>
    <definedName name="瓷横担S210" localSheetId="17">[19]附表2材料价格计算表!#REF!</definedName>
    <definedName name="瓷横担S210" localSheetId="6">[1]附表2材料价格表!#REF!</definedName>
    <definedName name="瓷横担S210" localSheetId="0">[19]附表2材料价格计算表!#REF!</definedName>
    <definedName name="瓷横担S210">[1]附表2材料价格表!#REF!</definedName>
    <definedName name="瓷横担S210Z" localSheetId="17">[19]附表2材料价格计算表!#REF!</definedName>
    <definedName name="瓷横担S210Z" localSheetId="6">[20]附表2材料价格计算表!#REF!</definedName>
    <definedName name="瓷横担S210Z" localSheetId="0">[19]附表2材料价格计算表!#REF!</definedName>
    <definedName name="瓷横担S210Z">[20]附表2材料价格计算表!#REF!</definedName>
    <definedName name="瓷瓶" localSheetId="17">[19]附表2材料价格计算表!#REF!</definedName>
    <definedName name="瓷瓶" localSheetId="6">[1]附表2材料价格表!#REF!</definedName>
    <definedName name="瓷瓶" localSheetId="0">[19]附表2材料价格计算表!#REF!</definedName>
    <definedName name="瓷瓶">[1]附表2材料价格表!#REF!</definedName>
    <definedName name="刺槐" localSheetId="6">[4]附表2!#REF!</definedName>
    <definedName name="刺槐">[4]附表2!#REF!</definedName>
    <definedName name="粗砂" localSheetId="6">[1]附表2材料价格表!#REF!</definedName>
    <definedName name="粗砂">[1]附表2材料价格表!#REF!</definedName>
    <definedName name="大大大" hidden="1">{"'现金流量表（全部投资）'!$B$4:$P$23"}</definedName>
    <definedName name="单" localSheetId="0">'[30]#REF'!$E$2</definedName>
    <definedName name="单">'[31]#REF'!$E$2</definedName>
    <definedName name="单10245c" localSheetId="17">[39]附表4工程费单价表!#REF!</definedName>
    <definedName name="单10245c" localSheetId="6">[40]附表4工程费单价表!#REF!</definedName>
    <definedName name="单10245c" localSheetId="0">[39]附表4工程费单价表!#REF!</definedName>
    <definedName name="单10245c">[40]附表4工程费单价表!#REF!</definedName>
    <definedName name="单承PVC塑管φ110×3.2×9000" localSheetId="6">[1]附表2材料价格表!#REF!</definedName>
    <definedName name="单承PVC塑管φ110×3.2×9000">[1]附表2材料价格表!#REF!</definedName>
    <definedName name="单承PVC塑管φ125×3.7×9000" localSheetId="6">[1]附表2材料价格表!#REF!</definedName>
    <definedName name="单承PVC塑管φ125×3.7×9000">[1]附表2材料价格表!#REF!</definedName>
    <definedName name="单承PVC塑管φ160×4.7×9000" localSheetId="6">[1]附表2材料价格表!#REF!</definedName>
    <definedName name="单承PVC塑管φ160×4.7×9000">[1]附表2材料价格表!#REF!</definedName>
    <definedName name="单承PVC塑管φ200×5.9×10000" localSheetId="6">[1]附表2材料价格表!#REF!</definedName>
    <definedName name="单承PVC塑管φ200×5.9×10000">[1]附表2材料价格表!#REF!</definedName>
    <definedName name="单承PVC塑管φ200×5.9×9000" localSheetId="6">[1]附表2材料价格表!#REF!</definedName>
    <definedName name="单承PVC塑管φ200×5.9×9000">[1]附表2材料价格表!#REF!</definedName>
    <definedName name="单承PVC塑管φ225×6.6×10000" localSheetId="6">[1]附表2材料价格表!#REF!</definedName>
    <definedName name="单承PVC塑管φ225×6.6×10000">[1]附表2材料价格表!#REF!</definedName>
    <definedName name="单承PVC塑管φ250×7.3×10000" localSheetId="6">[1]附表2材料价格表!#REF!</definedName>
    <definedName name="单承PVC塑管φ250×7.3×10000">[1]附表2材料价格表!#REF!</definedName>
    <definedName name="单承PVC塑管φ315×9.2×10000" localSheetId="6">[1]附表2材料价格表!#REF!</definedName>
    <definedName name="单承PVC塑管φ315×9.2×10000">[1]附表2材料价格表!#REF!</definedName>
    <definedName name="单承PVC塑管φ355×10.4×10000" localSheetId="6">[1]附表2材料价格表!#REF!</definedName>
    <definedName name="单承PVC塑管φ355×10.4×10000">[1]附表2材料价格表!#REF!</definedName>
    <definedName name="单承PVC塑管φ400×11.7×10000" localSheetId="6">[1]附表2材料价格表!#REF!</definedName>
    <definedName name="单承PVC塑管φ400×11.7×10000">[1]附表2材料价格表!#REF!</definedName>
    <definedName name="单承PVC塑管φ500×14.6×10000" localSheetId="6">[1]附表2材料价格表!#REF!</definedName>
    <definedName name="单承PVC塑管φ500×14.6×10000">[1]附表2材料价格表!#REF!</definedName>
    <definedName name="单承PVC塑管φ90×2.8×9000" localSheetId="6">[1]附表2材料价格表!#REF!</definedName>
    <definedName name="单承PVC塑管φ90×2.8×9000">[1]附表2材料价格表!#REF!</definedName>
    <definedName name="单斗挖掘机油动斗容0.5m3" localSheetId="0">[44]机械汇总!$K$6</definedName>
    <definedName name="单斗挖掘机油动斗容0.5m3">[45]机械汇总!$K$6</definedName>
    <definedName name="单价" localSheetId="6">[1]附表5直接工程费单价表!#REF!</definedName>
    <definedName name="单价" localSheetId="0">'[46]5'!$F$1</definedName>
    <definedName name="单价">[1]附表5直接工程费单价表!#REF!</definedName>
    <definedName name="单盘插头" localSheetId="6">[1]附表2材料价格表!#REF!</definedName>
    <definedName name="单盘插头">[1]附表2材料价格表!#REF!</definedName>
    <definedName name="单盘插头110" localSheetId="6">[1]附表2材料价格表!#REF!</definedName>
    <definedName name="单盘插头110">[1]附表2材料价格表!#REF!</definedName>
    <definedName name="单盘插头φ160" localSheetId="6">[1]附表2材料价格表!#REF!</definedName>
    <definedName name="单盘插头φ160">[1]附表2材料价格表!#REF!</definedName>
    <definedName name="单盘插头φ200" localSheetId="6">[1]附表2材料价格表!#REF!</definedName>
    <definedName name="单盘插头φ200">[1]附表2材料价格表!#REF!</definedName>
    <definedName name="单盘插头φ225" localSheetId="6">[1]附表2材料价格表!#REF!</definedName>
    <definedName name="单盘插头φ225">[1]附表2材料价格表!#REF!</definedName>
    <definedName name="单盘插头φ250" localSheetId="6">[1]附表2材料价格表!#REF!</definedName>
    <definedName name="单盘插头φ250">[1]附表2材料价格表!#REF!</definedName>
    <definedName name="单盘插头φ315" localSheetId="6">[1]附表2材料价格表!#REF!</definedName>
    <definedName name="单盘插头φ315">[1]附表2材料价格表!#REF!</definedName>
    <definedName name="单盘插头φ355" localSheetId="6">[1]附表2材料价格表!#REF!</definedName>
    <definedName name="单盘插头φ355">[1]附表2材料价格表!#REF!</definedName>
    <definedName name="单盘插头φ400" localSheetId="6">[1]附表2材料价格表!#REF!</definedName>
    <definedName name="单盘插头φ400">[1]附表2材料价格表!#REF!</definedName>
    <definedName name="单盘插头φ500" localSheetId="6">[1]附表2材料价格表!#REF!</definedName>
    <definedName name="单盘插头φ500">[1]附表2材料价格表!#REF!</definedName>
    <definedName name="单盘铝承头φ76" localSheetId="6">[1]附表2材料价格表!#REF!</definedName>
    <definedName name="单盘铝承头φ76">[1]附表2材料价格表!#REF!</definedName>
    <definedName name="单盘三通φ110×80×110" localSheetId="6">[1]附表2材料价格表!#REF!</definedName>
    <definedName name="单盘三通φ110×80×110">[1]附表2材料价格表!#REF!</definedName>
    <definedName name="单盘三通φ125×80×125" localSheetId="6">[1]附表2材料价格表!#REF!</definedName>
    <definedName name="单盘三通φ125×80×125">[1]附表2材料价格表!#REF!</definedName>
    <definedName name="单盘三通φ160×80×160" localSheetId="6">[1]附表2材料价格表!#REF!</definedName>
    <definedName name="单盘三通φ160×80×160">[1]附表2材料价格表!#REF!</definedName>
    <definedName name="单盘三通φ200×80×200" localSheetId="6">[1]附表2材料价格表!#REF!</definedName>
    <definedName name="单盘三通φ200×80×200">[1]附表2材料价格表!#REF!</definedName>
    <definedName name="单位" localSheetId="0">'[30]#REF'!$C$2</definedName>
    <definedName name="单位">'[31]#REF'!$C$2</definedName>
    <definedName name="挡浸沟涵洞" localSheetId="17">#REF!</definedName>
    <definedName name="挡浸沟涵洞" localSheetId="6">#REF!</definedName>
    <definedName name="挡浸沟涵洞" localSheetId="0">#REF!</definedName>
    <definedName name="挡浸沟涵洞">#REF!</definedName>
    <definedName name="导火线" localSheetId="17">#REF!</definedName>
    <definedName name="导火线" localSheetId="6">#REF!</definedName>
    <definedName name="导火线" localSheetId="0">#REF!</definedName>
    <definedName name="导火线">#REF!</definedName>
    <definedName name="导线" localSheetId="6">[1]附表2材料价格表!#REF!</definedName>
    <definedName name="导线">[1]附表2材料价格表!#REF!</definedName>
    <definedName name="导线_BLX_16" localSheetId="6">[1]附表2材料价格表!#REF!</definedName>
    <definedName name="导线_BLX_16">[1]附表2材料价格表!#REF!</definedName>
    <definedName name="导线_LGJ" localSheetId="6">[1]附表2材料价格表!#REF!</definedName>
    <definedName name="导线_LGJ">[1]附表2材料价格表!#REF!</definedName>
    <definedName name="导线BLGJ" localSheetId="17">[19]附表2材料价格计算表!#REF!</definedName>
    <definedName name="导线BLGJ" localSheetId="6">[20]附表2材料价格计算表!#REF!</definedName>
    <definedName name="导线BLGJ" localSheetId="0">[19]附表2材料价格计算表!#REF!</definedName>
    <definedName name="导线BLGJ">[20]附表2材料价格计算表!#REF!</definedName>
    <definedName name="导线BLX_16" localSheetId="6">[1]附表2材料价格表!#REF!</definedName>
    <definedName name="导线BLX_16">[1]附表2材料价格表!#REF!</definedName>
    <definedName name="导线BLX16" localSheetId="17">[19]附表2材料价格计算表!#REF!</definedName>
    <definedName name="导线BLX16" localSheetId="6">[20]附表2材料价格计算表!#REF!</definedName>
    <definedName name="导线BLX16" localSheetId="0">[19]附表2材料价格计算表!#REF!</definedName>
    <definedName name="导线BLX16">[20]附表2材料价格计算表!#REF!</definedName>
    <definedName name="导线L_G_J" localSheetId="6">[1]附表2材料价格表!#REF!</definedName>
    <definedName name="导线L_G_J">[1]附表2材料价格表!#REF!</definedName>
    <definedName name="导线LGJ" localSheetId="6">[1]附表2材料价格表!#REF!</definedName>
    <definedName name="导线LGJ">[1]附表2材料价格表!#REF!</definedName>
    <definedName name="导线LGJ_1" localSheetId="6">[1]附表2材料价格表!#REF!</definedName>
    <definedName name="导线LGJ_1">[1]附表2材料价格表!#REF!</definedName>
    <definedName name="导线LGJ1" localSheetId="6">[1]附表2材料价格表!#REF!</definedName>
    <definedName name="导线LGJ1">[1]附表2材料价格表!#REF!</definedName>
    <definedName name="道路工程" localSheetId="0">[34]表3工程施工费表!$I$10</definedName>
    <definedName name="道路工程">[47]表3工程施工费表!$I$10</definedName>
    <definedName name="道路影响投资" localSheetId="17">#REF!</definedName>
    <definedName name="道路影响投资" localSheetId="6">#REF!</definedName>
    <definedName name="道路影响投资" localSheetId="0">#REF!</definedName>
    <definedName name="道路影响投资">#REF!</definedName>
    <definedName name="的" localSheetId="17">#REF!</definedName>
    <definedName name="的" localSheetId="6">#REF!</definedName>
    <definedName name="的" localSheetId="0">#REF!</definedName>
    <definedName name="的">#REF!</definedName>
    <definedName name="滴灌带φ16" localSheetId="6">[1]附表2材料价格表!#REF!</definedName>
    <definedName name="滴灌带φ16">[1]附表2材料价格表!#REF!</definedName>
    <definedName name="滴头" localSheetId="6">[4]附表2!#REF!</definedName>
    <definedName name="滴头">[4]附表2!#REF!</definedName>
    <definedName name="电" localSheetId="17">#REF!</definedName>
    <definedName name="电" localSheetId="6">#REF!</definedName>
    <definedName name="电" localSheetId="0">#REF!</definedName>
    <definedName name="电">#REF!</definedName>
    <definedName name="电动葫芦3t" localSheetId="6">[1]附表3机械台班!#REF!</definedName>
    <definedName name="电动葫芦3t" localSheetId="0">[48]附表3机械台班计算表!$K$100</definedName>
    <definedName name="电动葫芦3t">[1]附表3机械台班!#REF!</definedName>
    <definedName name="电杆" localSheetId="6">[1]附表2材料价格表!#REF!</definedName>
    <definedName name="电杆">[1]附表2材料价格表!#REF!</definedName>
    <definedName name="电杆_10m" localSheetId="6">[1]附表2材料价格表!#REF!</definedName>
    <definedName name="电杆_10m">[1]附表2材料价格表!#REF!</definedName>
    <definedName name="电焊机25kvA" localSheetId="6">[1]附表3机械台班!#REF!</definedName>
    <definedName name="电焊机25kvA">[1]附表3机械台班!#REF!</definedName>
    <definedName name="电焊机30KVA" localSheetId="6">[1]附表3机械台班!#REF!</definedName>
    <definedName name="电焊机30KVA">[1]附表3机械台班!#REF!</definedName>
    <definedName name="电焊机交流30kVA">[43]附表3机械!$K$120</definedName>
    <definedName name="电焊条" localSheetId="17">#REF!</definedName>
    <definedName name="电焊条" localSheetId="6">#REF!</definedName>
    <definedName name="电焊条" localSheetId="0">#REF!</definedName>
    <definedName name="电焊条">#REF!</definedName>
    <definedName name="电焊条结32" localSheetId="17">[19]附表2材料价格计算表!#REF!</definedName>
    <definedName name="电焊条结32" localSheetId="6">[20]附表2材料价格计算表!#REF!</definedName>
    <definedName name="电焊条结32" localSheetId="0">[19]附表2材料价格计算表!#REF!</definedName>
    <definedName name="电焊条结32">[20]附表2材料价格计算表!#REF!</definedName>
    <definedName name="电气设备调差系数" localSheetId="17">#REF!</definedName>
    <definedName name="电气设备调差系数" localSheetId="6">#REF!</definedName>
    <definedName name="电气设备调差系数" localSheetId="0">#REF!</definedName>
    <definedName name="电气设备调差系数">#REF!</definedName>
    <definedName name="电石" localSheetId="17">#REF!</definedName>
    <definedName name="电石" localSheetId="6">#REF!</definedName>
    <definedName name="电石" localSheetId="0">#REF!</definedName>
    <definedName name="电石">#REF!</definedName>
    <definedName name="跌落开关RW11_200_10" localSheetId="6">[1]附表2材料价格表!#REF!</definedName>
    <definedName name="跌落开关RW11_200_10">[1]附表2材料价格表!#REF!</definedName>
    <definedName name="定额编号_1213" localSheetId="17">[49]新定额单价!#REF!</definedName>
    <definedName name="定额编号_1213" localSheetId="6">#REF!</definedName>
    <definedName name="定额编号_1213" localSheetId="0">[49]新定额单价!#REF!</definedName>
    <definedName name="定额编号_1213">#REF!</definedName>
    <definedName name="定额编号_2154" localSheetId="17">[49]新定额单价!#REF!</definedName>
    <definedName name="定额编号_2154" localSheetId="6">[50]新定额单价!#REF!</definedName>
    <definedName name="定额编号_2154" localSheetId="0">[49]新定额单价!#REF!</definedName>
    <definedName name="定额编号_2154">[50]新定额单价!#REF!</definedName>
    <definedName name="定额编号_3007" localSheetId="17">#REF!</definedName>
    <definedName name="定额编号_3007" localSheetId="6">#REF!</definedName>
    <definedName name="定额编号_3007" localSheetId="0">#REF!</definedName>
    <definedName name="定额编号_3007">#REF!</definedName>
    <definedName name="定额编号_4067" localSheetId="17">#REF!</definedName>
    <definedName name="定额编号_4067" localSheetId="6">#REF!</definedName>
    <definedName name="定额编号_4067" localSheetId="0">#REF!</definedName>
    <definedName name="定额编号_4067">#REF!</definedName>
    <definedName name="定额编号_4069" localSheetId="17">#REF!</definedName>
    <definedName name="定额编号_4069" localSheetId="6">#REF!</definedName>
    <definedName name="定额编号_4069" localSheetId="0">#REF!</definedName>
    <definedName name="定额编号_4069">#REF!</definedName>
    <definedName name="定额编号_6091" localSheetId="17">#REF!</definedName>
    <definedName name="定额编号_6091" localSheetId="6">#REF!</definedName>
    <definedName name="定额编号_6091" localSheetId="0">#REF!</definedName>
    <definedName name="定额编号_6091">#REF!</definedName>
    <definedName name="定额编号_6093" localSheetId="17">#REF!</definedName>
    <definedName name="定额编号_6093" localSheetId="6">#REF!</definedName>
    <definedName name="定额编号_6093" localSheetId="0">#REF!</definedName>
    <definedName name="定额编号_6093">#REF!</definedName>
    <definedName name="定额编号_8020" localSheetId="17">#REF!</definedName>
    <definedName name="定额编号_8020" localSheetId="6">#REF!</definedName>
    <definedName name="定额编号_8020" localSheetId="0">#REF!</definedName>
    <definedName name="定额编号_8020">#REF!</definedName>
    <definedName name="定额编号_8243" localSheetId="17">#REF!</definedName>
    <definedName name="定额编号_8243" localSheetId="6">#REF!</definedName>
    <definedName name="定额编号_8243" localSheetId="0">#REF!</definedName>
    <definedName name="定额编号_8243">#REF!</definedName>
    <definedName name="堵头φ76" localSheetId="6">[1]附表2材料价格表!#REF!</definedName>
    <definedName name="堵头φ76">[1]附表2材料价格表!#REF!</definedName>
    <definedName name="镀锌扁钢" localSheetId="17">[19]附表2材料价格计算表!#REF!</definedName>
    <definedName name="镀锌扁钢" localSheetId="6">[20]附表2材料价格计算表!#REF!</definedName>
    <definedName name="镀锌扁钢" localSheetId="0">[19]附表2材料价格计算表!#REF!</definedName>
    <definedName name="镀锌扁钢">[20]附表2材料价格计算表!#REF!</definedName>
    <definedName name="镀锌钢管" localSheetId="17">#REF!</definedName>
    <definedName name="镀锌钢管" localSheetId="6">#REF!</definedName>
    <definedName name="镀锌钢管" localSheetId="0">#REF!</definedName>
    <definedName name="镀锌钢管">#REF!</definedName>
    <definedName name="镀锌钢绞拉线GJ_50" localSheetId="6">[1]附表2材料价格表!#REF!</definedName>
    <definedName name="镀锌钢绞拉线GJ_50">[1]附表2材料价格表!#REF!</definedName>
    <definedName name="镀锌钢绞线GL35" localSheetId="17">[19]附表2材料价格计算表!#REF!</definedName>
    <definedName name="镀锌钢绞线GL35" localSheetId="6">[20]附表2材料价格计算表!#REF!</definedName>
    <definedName name="镀锌钢绞线GL35" localSheetId="0">[19]附表2材料价格计算表!#REF!</definedName>
    <definedName name="镀锌钢绞线GL35">[20]附表2材料价格计算表!#REF!</definedName>
    <definedName name="镀锌钢绞线GL50" localSheetId="17">[19]附表2材料价格计算表!#REF!</definedName>
    <definedName name="镀锌钢绞线GL50" localSheetId="6">[20]附表2材料价格计算表!#REF!</definedName>
    <definedName name="镀锌钢绞线GL50" localSheetId="0">[19]附表2材料价格计算表!#REF!</definedName>
    <definedName name="镀锌钢绞线GL50">[20]附表2材料价格计算表!#REF!</definedName>
    <definedName name="镀锌铁丝8" localSheetId="6">[1]附表2材料价格表!#REF!</definedName>
    <definedName name="镀锌铁丝8">[1]附表2材料价格表!#REF!</definedName>
    <definedName name="对焊机150型" localSheetId="6">[1]附表3机械台班!#REF!</definedName>
    <definedName name="对焊机150型">[1]附表3机械台班!#REF!</definedName>
    <definedName name="对焊机电弧150kvA" localSheetId="17">#REF!</definedName>
    <definedName name="对焊机电弧150kvA" localSheetId="6">#REF!</definedName>
    <definedName name="对焊机电弧150kvA" localSheetId="0">#REF!</definedName>
    <definedName name="对焊机电弧150kvA">#REF!</definedName>
    <definedName name="镦">[51]材料费!$D$6</definedName>
    <definedName name="多" localSheetId="17">#REF!</definedName>
    <definedName name="多" localSheetId="6">[52]单价表!#REF!</definedName>
    <definedName name="多" localSheetId="0">#REF!</definedName>
    <definedName name="多">[52]单价表!#REF!</definedName>
    <definedName name="多眼拉板_60_6_300" localSheetId="6">[1]附表2材料价格表!#REF!</definedName>
    <definedName name="多眼拉板_60_6_300">[1]附表2材料价格表!#REF!</definedName>
    <definedName name="多眼拉板_60_6_350" localSheetId="6">[1]附表2材料价格表!#REF!</definedName>
    <definedName name="多眼拉板_60_6_350">[1]附表2材料价格表!#REF!</definedName>
    <definedName name="二丁脂" localSheetId="6">[1]附表2材料价格表!#REF!</definedName>
    <definedName name="二丁脂">[1]附表2材料价格表!#REF!</definedName>
    <definedName name="二合抱箍抱1_190" localSheetId="6">[1]附表2材料价格表!#REF!</definedName>
    <definedName name="二合抱箍抱1_190">[1]附表2材料价格表!#REF!</definedName>
    <definedName name="二合抱箍抱2_200" localSheetId="6">[1]附表2材料价格表!#REF!</definedName>
    <definedName name="二合抱箍抱2_200">[1]附表2材料价格表!#REF!</definedName>
    <definedName name="阀兰阀体" localSheetId="6">[1]附表2材料价格表!#REF!</definedName>
    <definedName name="阀兰阀体">[1]附表2材料价格表!#REF!</definedName>
    <definedName name="阀兰阀体80" localSheetId="6">[1]附表2材料价格表!#REF!</definedName>
    <definedName name="阀兰阀体80">[1]附表2材料价格表!#REF!</definedName>
    <definedName name="阀门φ120" localSheetId="6">[1]附表2材料价格表!#REF!</definedName>
    <definedName name="阀门φ120">[1]附表2材料价格表!#REF!</definedName>
    <definedName name="阀门φ90" localSheetId="6">[1]附表2材料价格表!#REF!</definedName>
    <definedName name="阀门φ90">[1]附表2材料价格表!#REF!</definedName>
    <definedName name="法兰螺栓" localSheetId="6">[1]附表2材料价格表!#REF!</definedName>
    <definedName name="法兰螺栓">[1]附表2材料价格表!#REF!</definedName>
    <definedName name="法兰盘φ120" localSheetId="6">[1]附表2材料价格表!#REF!</definedName>
    <definedName name="法兰盘φ120">[1]附表2材料价格表!#REF!</definedName>
    <definedName name="法兰盘φ90" localSheetId="6">[1]附表2材料价格表!#REF!</definedName>
    <definedName name="法兰盘φ90">[1]附表2材料价格表!#REF!</definedName>
    <definedName name="放空管φ150×1500" localSheetId="6">[1]附表2材料价格表!#REF!</definedName>
    <definedName name="放空管φ150×1500">[1]附表2材料价格表!#REF!</definedName>
    <definedName name="风" localSheetId="17">#REF!</definedName>
    <definedName name="风" localSheetId="6">#REF!</definedName>
    <definedName name="风" localSheetId="0">#REF!</definedName>
    <definedName name="风">#REF!</definedName>
    <definedName name="风砂水枪" localSheetId="17">#REF!</definedName>
    <definedName name="风砂水枪" localSheetId="0">#REF!</definedName>
    <definedName name="风砂水枪">[53]附表3机械台班计算表!$K$36</definedName>
    <definedName name="风水枪" localSheetId="6">[1]附表3机械台班!#REF!</definedName>
    <definedName name="风水枪">[1]附表3机械台班!#REF!</definedName>
    <definedName name="封井泥球" localSheetId="6">[1]附表2材料价格表!#REF!</definedName>
    <definedName name="封井泥球">[1]附表2材料价格表!#REF!</definedName>
    <definedName name="浮力塞" localSheetId="6">[1]附表2材料价格表!#REF!</definedName>
    <definedName name="浮力塞">[1]附表2材料价格表!#REF!</definedName>
    <definedName name="复合土工膜" localSheetId="6">[1]附表2材料价格表!#REF!</definedName>
    <definedName name="复合土工膜">[1]附表2材料价格表!#REF!</definedName>
    <definedName name="杆顶帽_帽_11" localSheetId="6">[1]附表2材料价格表!#REF!</definedName>
    <definedName name="杆顶帽_帽_11">[1]附表2材料价格表!#REF!</definedName>
    <definedName name="杆顶帽_帽_3" localSheetId="6">[1]附表2材料价格表!#REF!</definedName>
    <definedName name="杆顶帽_帽_3">[1]附表2材料价格表!#REF!</definedName>
    <definedName name="干沟护坡">'[29]估算表-干沟、支干沟'!$M$7</definedName>
    <definedName name="干沟清淤">'[29]估算表-干沟、支干沟'!$M$6</definedName>
    <definedName name="干沟尾水">'[29]估算表-干沟、支干沟'!$M$8</definedName>
    <definedName name="钢板" localSheetId="6">[1]附表2材料价格表!#REF!</definedName>
    <definedName name="钢板">[1]附表2材料价格表!#REF!</definedName>
    <definedName name="钢板4mm" localSheetId="6">[1]附表2材料价格表!#REF!</definedName>
    <definedName name="钢板4mm">[1]附表2材料价格表!#REF!</definedName>
    <definedName name="钢材" localSheetId="6">[1]附表2材料价格表!#REF!</definedName>
    <definedName name="钢材">[1]附表2材料价格表!#REF!</definedName>
    <definedName name="钢垫板" localSheetId="17">[19]附表2材料价格计算表!#REF!</definedName>
    <definedName name="钢垫板" localSheetId="6">[20]附表2材料价格计算表!#REF!</definedName>
    <definedName name="钢垫板" localSheetId="0">[19]附表2材料价格计算表!#REF!</definedName>
    <definedName name="钢垫板">[20]附表2材料价格计算表!#REF!</definedName>
    <definedName name="钢管" localSheetId="6">[1]附表2材料价格表!#REF!</definedName>
    <definedName name="钢管">[1]附表2材料价格表!#REF!</definedName>
    <definedName name="钢管200" localSheetId="6">[4]附表2!#REF!</definedName>
    <definedName name="钢管200">[4]附表2!#REF!</definedName>
    <definedName name="钢管250" localSheetId="6">[4]附表2!#REF!</definedName>
    <definedName name="钢管250">[4]附表2!#REF!</definedName>
    <definedName name="钢管300" localSheetId="6">[4]附表2!#REF!</definedName>
    <definedName name="钢管300">[4]附表2!#REF!</definedName>
    <definedName name="钢管φ120" localSheetId="6">[1]附表2材料价格表!#REF!</definedName>
    <definedName name="钢管φ120">[1]附表2材料价格表!#REF!</definedName>
    <definedName name="钢管φ140" localSheetId="6">[1]附表2材料价格表!#REF!</definedName>
    <definedName name="钢管φ140">[1]附表2材料价格表!#REF!</definedName>
    <definedName name="钢管φ160" localSheetId="6">[1]附表2材料价格表!#REF!</definedName>
    <definedName name="钢管φ160">[1]附表2材料价格表!#REF!</definedName>
    <definedName name="钢绞拉线GJ_35" localSheetId="6">[1]附表2材料价格表!#REF!</definedName>
    <definedName name="钢绞拉线GJ_35">[1]附表2材料价格表!#REF!</definedName>
    <definedName name="钢绞线GJ_25" localSheetId="6">[1]附表2材料价格表!#REF!</definedName>
    <definedName name="钢绞线GJ_25">[1]附表2材料价格表!#REF!</definedName>
    <definedName name="钢绞线GJ_35" localSheetId="6">[1]附表2材料价格表!#REF!</definedName>
    <definedName name="钢绞线GJ_35">[1]附表2材料价格表!#REF!</definedName>
    <definedName name="钢绞线GJ_35kg" localSheetId="6">[1]附表2材料价格表!#REF!</definedName>
    <definedName name="钢绞线GJ_35kg">[1]附表2材料价格表!#REF!</definedName>
    <definedName name="钢筋" localSheetId="17">#REF!</definedName>
    <definedName name="钢筋" localSheetId="6">#REF!</definedName>
    <definedName name="钢筋" localSheetId="0">#REF!</definedName>
    <definedName name="钢筋">#REF!</definedName>
    <definedName name="钢筋1" localSheetId="0">[54]材料调差!$L$5</definedName>
    <definedName name="钢筋1">[55]材料调差!$L$5</definedName>
    <definedName name="钢筋10以内" localSheetId="6">[1]附表2材料价格表!#REF!</definedName>
    <definedName name="钢筋10以内">[1]附表2材料价格表!#REF!</definedName>
    <definedName name="钢筋10以外" localSheetId="6">[1]附表2材料价格表!#REF!</definedName>
    <definedName name="钢筋10以外">[1]附表2材料价格表!#REF!</definedName>
    <definedName name="钢筋φ12" localSheetId="6">[1]附表2材料价格表!#REF!</definedName>
    <definedName name="钢筋φ12">[1]附表2材料价格表!#REF!</definedName>
    <definedName name="钢筋φ16" localSheetId="6">[1]附表2材料价格表!#REF!</definedName>
    <definedName name="钢筋φ16">[1]附表2材料价格表!#REF!</definedName>
    <definedName name="钢筋φ8" localSheetId="6">[1]附表2材料价格表!#REF!</definedName>
    <definedName name="钢筋φ8">[1]附表2材料价格表!#REF!</definedName>
    <definedName name="钢筋调直机14kw" localSheetId="17">#REF!</definedName>
    <definedName name="钢筋调直机14kw" localSheetId="6">#REF!</definedName>
    <definedName name="钢筋调直机14kw" localSheetId="0">#REF!</definedName>
    <definedName name="钢筋调直机14kw">#REF!</definedName>
    <definedName name="钢筋切断机10kw" localSheetId="17">#REF!</definedName>
    <definedName name="钢筋切断机10kw" localSheetId="6">#REF!</definedName>
    <definedName name="钢筋切断机10kw" localSheetId="0">#REF!</definedName>
    <definedName name="钢筋切断机10kw">#REF!</definedName>
    <definedName name="钢筋切断机20kw" localSheetId="6">[1]附表3机械台班!#REF!</definedName>
    <definedName name="钢筋切断机20kw">[1]附表3机械台班!#REF!</definedName>
    <definedName name="钢筋砼C20管" localSheetId="6">[1]附表2材料价格表!#REF!</definedName>
    <definedName name="钢筋砼C20管">[1]附表2材料价格表!#REF!</definedName>
    <definedName name="钢筋砼C20管_DN600" localSheetId="6">[1]附表2材料价格表!#REF!</definedName>
    <definedName name="钢筋砼C20管_DN600">[1]附表2材料价格表!#REF!</definedName>
    <definedName name="钢筋砼管C25Φ1000" localSheetId="0">[48]附表2材料价格计算表!$D$43</definedName>
    <definedName name="钢筋砼管C25Φ1000">[45]材价汇!$D$43</definedName>
    <definedName name="钢筋砼管C25Φ400" localSheetId="0">[44]材价汇!$D$40</definedName>
    <definedName name="钢筋砼管C25Φ400">[45]材价汇!$D$40</definedName>
    <definedName name="钢筋砼管C25Φ500" localSheetId="0">[44]材价汇!$D$41</definedName>
    <definedName name="钢筋砼管C25Φ500">[45]材价汇!$D$41</definedName>
    <definedName name="钢筋砼管C25Φ600" localSheetId="17">[19]附表2材料价格计算表!#REF!</definedName>
    <definedName name="钢筋砼管C25Φ600" localSheetId="6">[20]附表2材料价格计算表!#REF!</definedName>
    <definedName name="钢筋砼管C25Φ600" localSheetId="0">[19]附表2材料价格计算表!#REF!</definedName>
    <definedName name="钢筋砼管C25Φ600">[20]附表2材料价格计算表!#REF!</definedName>
    <definedName name="钢筋砼管C25Φ800" localSheetId="0">[44]材价汇!$D$42</definedName>
    <definedName name="钢筋砼管C25Φ800">[45]材价汇!$D$42</definedName>
    <definedName name="钢筋弯曲机40mm" localSheetId="17">#REF!</definedName>
    <definedName name="钢筋弯曲机40mm" localSheetId="6">#REF!</definedName>
    <definedName name="钢筋弯曲机40mm" localSheetId="0">#REF!</definedName>
    <definedName name="钢筋弯曲机40mm">#REF!</definedName>
    <definedName name="钢筋弯曲机φ6_40" localSheetId="6">[1]附表3机械台班!#REF!</definedName>
    <definedName name="钢筋弯曲机φ6_40">[1]附表3机械台班!#REF!</definedName>
    <definedName name="钢模板" localSheetId="6">[1]附表2材料价格表!#REF!</definedName>
    <definedName name="钢模板">[1]附表2材料价格表!#REF!</definedName>
    <definedName name="钢芯铝绞线LGJ_50_8" localSheetId="6">[1]附表2材料价格表!#REF!</definedName>
    <definedName name="钢芯铝绞线LGJ_50_8">[1]附表2材料价格表!#REF!</definedName>
    <definedName name="高">#N/A</definedName>
    <definedName name="给水栓" localSheetId="6">[1]附表2材料价格表!#REF!</definedName>
    <definedName name="给水栓">[1]附表2材料价格表!#REF!</definedName>
    <definedName name="给水栓三通Dg160×60" localSheetId="6">[1]附表2材料价格表!#REF!</definedName>
    <definedName name="给水栓三通Dg160×60">[1]附表2材料价格表!#REF!</definedName>
    <definedName name="给水栓三通Dg180×60" localSheetId="6">[1]附表2材料价格表!#REF!</definedName>
    <definedName name="给水栓三通Dg180×60">[1]附表2材料价格表!#REF!</definedName>
    <definedName name="给水栓三通Dg90×60" localSheetId="6">[1]附表2材料价格表!#REF!</definedName>
    <definedName name="给水栓三通Dg90×60">[1]附表2材料价格表!#REF!</definedName>
    <definedName name="工" localSheetId="17">#REF!</definedName>
    <definedName name="工" localSheetId="6">#REF!</definedName>
    <definedName name="工" localSheetId="0">#REF!</definedName>
    <definedName name="工">#REF!</definedName>
    <definedName name="工100002" localSheetId="6">[4]附表4单价!#REF!</definedName>
    <definedName name="工100002">[4]附表4单价!#REF!</definedName>
    <definedName name="工10017" localSheetId="17">[19]附表4直接工程费单价表!#REF!</definedName>
    <definedName name="工10017" localSheetId="6">[20]附表4直接工程费单价表!#REF!</definedName>
    <definedName name="工10017" localSheetId="0">[19]附表4直接工程费单价表!#REF!</definedName>
    <definedName name="工10017">[20]附表4直接工程费单价表!#REF!</definedName>
    <definedName name="工10020" localSheetId="0">[19]附表4直接工程费单价表!$F$15</definedName>
    <definedName name="工10020">[4]附表4单价!$F$60</definedName>
    <definedName name="工10029" localSheetId="0">[19]附表4直接工程费单价表!$F$29</definedName>
    <definedName name="工10029">[4]附表4单价!$F$74</definedName>
    <definedName name="工10042" localSheetId="17">[19]附表4直接工程费单价表!#REF!</definedName>
    <definedName name="工10042" localSheetId="6">[20]附表4直接工程费单价表!#REF!</definedName>
    <definedName name="工10042" localSheetId="0">[19]附表4直接工程费单价表!#REF!</definedName>
    <definedName name="工10042">[20]附表4直接工程费单价表!#REF!</definedName>
    <definedName name="工10043" localSheetId="17">[19]附表4直接工程费单价表!#REF!</definedName>
    <definedName name="工10043" localSheetId="6">[20]附表4直接工程费单价表!#REF!</definedName>
    <definedName name="工10043" localSheetId="0">[19]附表4直接工程费单价表!#REF!</definedName>
    <definedName name="工10043">[20]附表4直接工程费单价表!#REF!</definedName>
    <definedName name="工10203" localSheetId="0">[19]附表4直接工程费单价表!$F$46</definedName>
    <definedName name="工10203">[20]附表4直接工程费单价表!$F$46</definedName>
    <definedName name="工10269" localSheetId="17">[19]附表4直接工程费单价表!#REF!</definedName>
    <definedName name="工10269" localSheetId="6">[20]附表4直接工程费单价表!#REF!</definedName>
    <definedName name="工10269" localSheetId="0">[19]附表4直接工程费单价表!#REF!</definedName>
    <definedName name="工10269">[20]附表4直接工程费单价表!#REF!</definedName>
    <definedName name="工10302">[4]附表4单价!$F$110</definedName>
    <definedName name="工10305">[4]附表4单价!$F$144</definedName>
    <definedName name="工10333" localSheetId="17">[19]附表4直接工程费单价表!#REF!</definedName>
    <definedName name="工10333" localSheetId="6">[20]附表4直接工程费单价表!#REF!</definedName>
    <definedName name="工10333" localSheetId="0">[19]附表4直接工程费单价表!#REF!</definedName>
    <definedName name="工10333">[20]附表4直接工程费单价表!#REF!</definedName>
    <definedName name="工10334" localSheetId="0">[19]附表4直接工程费单价表!$F$63</definedName>
    <definedName name="工10334">[4]附表4单价!$F$196</definedName>
    <definedName name="工10344" localSheetId="17">[19]附表4直接工程费单价表!#REF!</definedName>
    <definedName name="工10344" localSheetId="6">[20]附表4直接工程费单价表!#REF!</definedName>
    <definedName name="工10344" localSheetId="0">[19]附表4直接工程费单价表!#REF!</definedName>
    <definedName name="工10344">[20]附表4直接工程费单价表!#REF!</definedName>
    <definedName name="工10345" localSheetId="0">[19]附表4直接工程费单价表!$F$83</definedName>
    <definedName name="工10345">[20]附表4直接工程费单价表!$F$83</definedName>
    <definedName name="工10364">[4]附表4单价!$F$256</definedName>
    <definedName name="工30003" localSheetId="0">[19]附表4直接工程费单价表!$F$100</definedName>
    <definedName name="工30003">[20]附表4直接工程费单价表!$F$100</definedName>
    <definedName name="工30017" localSheetId="0">[19]附表4直接工程费单价表!$F$118</definedName>
    <definedName name="工30017">[4]附表4单价!$F$337</definedName>
    <definedName name="工30018" localSheetId="0">[19]附表4直接工程费单价表!$F$136</definedName>
    <definedName name="工30018">[4]附表4单价!$F$359</definedName>
    <definedName name="工30019" localSheetId="0">[19]附表4直接工程费单价表!$F$154</definedName>
    <definedName name="工30019">[4]附表4单价!$F$379</definedName>
    <definedName name="工30019b" localSheetId="0">[19]附表4直接工程费单价表!$F$172</definedName>
    <definedName name="工30019b">[20]附表4直接工程费单价表!$F$172</definedName>
    <definedName name="工30020" localSheetId="0">[19]附表4直接工程费单价表!$F$190</definedName>
    <definedName name="工30020">[4]附表4单价!$F$400</definedName>
    <definedName name="工30021" localSheetId="0">[19]附表4直接工程费单价表!$F$208</definedName>
    <definedName name="工30021">[4]附表4单价!$F$421</definedName>
    <definedName name="工30021b" localSheetId="0">[19]附表4直接工程费单价表!$F$226</definedName>
    <definedName name="工30021b">[20]附表4直接工程费单价表!$F$226</definedName>
    <definedName name="工30028" localSheetId="17">[19]附表4直接工程费单价表!#REF!</definedName>
    <definedName name="工30028" localSheetId="6">[20]附表4直接工程费单价表!#REF!</definedName>
    <definedName name="工30028" localSheetId="0">[19]附表4直接工程费单价表!#REF!</definedName>
    <definedName name="工30028">[20]附表4直接工程费单价表!#REF!</definedName>
    <definedName name="工30058" localSheetId="0">[19]附表4直接工程费单价表!$F$244</definedName>
    <definedName name="工30058">[4]附表4单价!$F$730</definedName>
    <definedName name="工30064" localSheetId="17">[19]附表4直接工程费单价表!#REF!</definedName>
    <definedName name="工30064" localSheetId="6">[20]附表4直接工程费单价表!#REF!</definedName>
    <definedName name="工30064" localSheetId="0">[19]附表4直接工程费单价表!#REF!</definedName>
    <definedName name="工30064">[20]附表4直接工程费单价表!#REF!</definedName>
    <definedName name="工30065" localSheetId="0">[19]附表4直接工程费单价表!$F$261</definedName>
    <definedName name="工30065">[4]附表4单价!$F$1560</definedName>
    <definedName name="工30066" localSheetId="0">[19]附表4直接工程费单价表!$F$278</definedName>
    <definedName name="工30066">[20]附表4直接工程费单价表!$F$278</definedName>
    <definedName name="工40004" localSheetId="17">[19]附表4直接工程费单价表!#REF!</definedName>
    <definedName name="工40004" localSheetId="6">[20]附表4直接工程费单价表!#REF!</definedName>
    <definedName name="工40004" localSheetId="0">[19]附表4直接工程费单价表!#REF!</definedName>
    <definedName name="工40004">[20]附表4直接工程费单价表!#REF!</definedName>
    <definedName name="工40006" localSheetId="0">[19]附表4直接工程费单价表!$F$311</definedName>
    <definedName name="工40006">[20]附表4直接工程费单价表!$F$311</definedName>
    <definedName name="工40006b" localSheetId="17">[19]附表4直接工程费单价表!#REF!</definedName>
    <definedName name="工40006b" localSheetId="6">[20]附表4直接工程费单价表!#REF!</definedName>
    <definedName name="工40006b" localSheetId="0">[19]附表4直接工程费单价表!#REF!</definedName>
    <definedName name="工40006b">[20]附表4直接工程费单价表!#REF!</definedName>
    <definedName name="工40006d">[4]附表4单价!$F$492</definedName>
    <definedName name="工40006细石" localSheetId="17">[19]附表4直接工程费单价表!#REF!</definedName>
    <definedName name="工40006细石" localSheetId="6">[20]附表4直接工程费单价表!#REF!</definedName>
    <definedName name="工40006细石" localSheetId="0">[19]附表4直接工程费单价表!#REF!</definedName>
    <definedName name="工40006细石">[20]附表4直接工程费单价表!#REF!</definedName>
    <definedName name="工40023b">[4]附表4单价!$F$607</definedName>
    <definedName name="工40030" localSheetId="17">[19]附表4直接工程费单价表!#REF!</definedName>
    <definedName name="工40030" localSheetId="6">[20]附表4直接工程费单价表!#REF!</definedName>
    <definedName name="工40030" localSheetId="0">[19]附表4直接工程费单价表!#REF!</definedName>
    <definedName name="工40030">[20]附表4直接工程费单价表!#REF!</definedName>
    <definedName name="工40031a" localSheetId="17">[19]附表4直接工程费单价表!#REF!</definedName>
    <definedName name="工40031a" localSheetId="6">[20]附表4直接工程费单价表!#REF!</definedName>
    <definedName name="工40031a" localSheetId="0">[19]附表4直接工程费单价表!#REF!</definedName>
    <definedName name="工40031a">[20]附表4直接工程费单价表!#REF!</definedName>
    <definedName name="工40041a" localSheetId="0">[19]附表4直接工程费单价表!$F$408</definedName>
    <definedName name="工40041a">[20]附表4直接工程费单价表!$F$408</definedName>
    <definedName name="工40041b" localSheetId="17">[19]附表4直接工程费单价表!#REF!</definedName>
    <definedName name="工40041b" localSheetId="6">[20]附表4直接工程费单价表!#REF!</definedName>
    <definedName name="工40041b" localSheetId="0">[19]附表4直接工程费单价表!#REF!</definedName>
    <definedName name="工40041b">[20]附表4直接工程费单价表!#REF!</definedName>
    <definedName name="工40056" localSheetId="17">[19]附表4直接工程费单价表!#REF!</definedName>
    <definedName name="工40056" localSheetId="6">[4]附表4单价!#REF!</definedName>
    <definedName name="工40056" localSheetId="0">[19]附表4直接工程费单价表!#REF!</definedName>
    <definedName name="工40056">[4]附表4单价!#REF!</definedName>
    <definedName name="工40056a" localSheetId="6">[4]附表4单价!#REF!</definedName>
    <definedName name="工40056a">[4]附表4单价!#REF!</definedName>
    <definedName name="工40066">[4]附表4单价!$F$776</definedName>
    <definedName name="工40073" localSheetId="17">[19]附表4直接工程费单价表!#REF!</definedName>
    <definedName name="工40073" localSheetId="6">[20]附表4直接工程费单价表!#REF!</definedName>
    <definedName name="工40073" localSheetId="0">[19]附表4直接工程费单价表!#REF!</definedName>
    <definedName name="工40073">[20]附表4直接工程费单价表!#REF!</definedName>
    <definedName name="工40076" localSheetId="17">[19]附表4直接工程费单价表!#REF!</definedName>
    <definedName name="工40076" localSheetId="6">[20]附表4直接工程费单价表!#REF!</definedName>
    <definedName name="工40076" localSheetId="0">[19]附表4直接工程费单价表!#REF!</definedName>
    <definedName name="工40076">[20]附表4直接工程费单价表!#REF!</definedName>
    <definedName name="工40076d">[4]附表4单价!$F$842</definedName>
    <definedName name="工40077" localSheetId="17">[19]附表4直接工程费单价表!#REF!</definedName>
    <definedName name="工40077" localSheetId="6">[20]附表4直接工程费单价表!#REF!</definedName>
    <definedName name="工40077" localSheetId="0">[19]附表4直接工程费单价表!#REF!</definedName>
    <definedName name="工40077">[20]附表4直接工程费单价表!#REF!</definedName>
    <definedName name="工40079" localSheetId="0">[19]附表4直接工程费单价表!$F$565</definedName>
    <definedName name="工40079">[20]附表4直接工程费单价表!$F$565</definedName>
    <definedName name="工40115">[4]附表4单价!$F$989</definedName>
    <definedName name="工40116" localSheetId="0">[19]附表4直接工程费单价表!$F$629</definedName>
    <definedName name="工40116">[20]附表4直接工程费单价表!$F$629</definedName>
    <definedName name="工40123">[4]附表4单价!$F$1012</definedName>
    <definedName name="工40124">[4]附表4单价!$F$1040</definedName>
    <definedName name="工40136">[4]附表4单价!$F$1096</definedName>
    <definedName name="工40139">[4]附表4单价!$F$1129</definedName>
    <definedName name="工40159">[4]附表4单价!$F$1174</definedName>
    <definedName name="工40172" localSheetId="6">[4]附表4单价!#REF!</definedName>
    <definedName name="工40172">[4]附表4单价!#REF!</definedName>
    <definedName name="工40190" localSheetId="6">[4]附表4单价!#REF!</definedName>
    <definedName name="工40190" localSheetId="0">[19]附表4直接工程费单价表!$F$816</definedName>
    <definedName name="工40190">[4]附表4单价!#REF!</definedName>
    <definedName name="工40192" localSheetId="17">[19]附表4直接工程费单价表!#REF!</definedName>
    <definedName name="工40192" localSheetId="6">[20]附表4直接工程费单价表!#REF!</definedName>
    <definedName name="工40192" localSheetId="0">[19]附表4直接工程费单价表!#REF!</definedName>
    <definedName name="工40192">[20]附表4直接工程费单价表!#REF!</definedName>
    <definedName name="工40199" localSheetId="6">[4]附表4单价!#REF!</definedName>
    <definedName name="工40199">[4]附表4单价!#REF!</definedName>
    <definedName name="工40203" localSheetId="17">[19]附表4直接工程费单价表!#REF!</definedName>
    <definedName name="工40203" localSheetId="6">[20]附表4直接工程费单价表!#REF!</definedName>
    <definedName name="工40203" localSheetId="0">[19]附表4直接工程费单价表!#REF!</definedName>
    <definedName name="工40203">[20]附表4直接工程费单价表!#REF!</definedName>
    <definedName name="工40211" localSheetId="0">[19]附表4直接工程费单价表!$F$853</definedName>
    <definedName name="工40211">[20]附表4直接工程费单价表!$F$853</definedName>
    <definedName name="工40211补" localSheetId="6">[4]附表4单价!#REF!</definedName>
    <definedName name="工40211补">[4]附表4单价!#REF!</definedName>
    <definedName name="工40215" localSheetId="0">[19]附表4直接工程费单价表!$F$900</definedName>
    <definedName name="工40215">[20]附表4直接工程费单价表!$F$900</definedName>
    <definedName name="工40215补">[4]附表4单价!$F$1222</definedName>
    <definedName name="工40216">[4]附表4单价!$F$2138</definedName>
    <definedName name="工40218">[4]附表4单价!$F$2192</definedName>
    <definedName name="工40220">[4]附表4单价!$F$2220</definedName>
    <definedName name="工40226">[4]附表4单价!$F$2240</definedName>
    <definedName name="工40231">[4]附表4单价!$F$2291</definedName>
    <definedName name="工40233">[4]附表4单价!$F$2337</definedName>
    <definedName name="工40235">[4]附表4单价!$F$2360</definedName>
    <definedName name="工50060" localSheetId="6">[4]附表4单价!#REF!</definedName>
    <definedName name="工50060">[4]附表4单价!#REF!</definedName>
    <definedName name="工50061" localSheetId="6">[4]附表4单价!#REF!</definedName>
    <definedName name="工50061">[4]附表4单价!#REF!</definedName>
    <definedName name="工50062" localSheetId="6">[4]附表4单价!#REF!</definedName>
    <definedName name="工50062">[4]附表4单价!#REF!</definedName>
    <definedName name="工50064" localSheetId="17">[19]附表4直接工程费单价表!#REF!</definedName>
    <definedName name="工50064" localSheetId="6">[20]附表4直接工程费单价表!#REF!</definedName>
    <definedName name="工50064" localSheetId="0">[19]附表4直接工程费单价表!#REF!</definedName>
    <definedName name="工50064">[20]附表4直接工程费单价表!#REF!</definedName>
    <definedName name="工50067" localSheetId="17">[19]附表4直接工程费单价表!#REF!</definedName>
    <definedName name="工50067" localSheetId="6">[20]附表4直接工程费单价表!#REF!</definedName>
    <definedName name="工50067" localSheetId="0">[19]附表4直接工程费单价表!#REF!</definedName>
    <definedName name="工50067">[20]附表4直接工程费单价表!#REF!</definedName>
    <definedName name="工50079改1" localSheetId="6">[4]附表4单价!#REF!</definedName>
    <definedName name="工50079改1">[4]附表4单价!#REF!</definedName>
    <definedName name="工50079改2" localSheetId="6">[4]附表4单价!#REF!</definedName>
    <definedName name="工50079改2">[4]附表4单价!#REF!</definedName>
    <definedName name="工50079改3" localSheetId="6">[4]附表4单价!#REF!</definedName>
    <definedName name="工50079改3">[4]附表4单价!#REF!</definedName>
    <definedName name="工50079改4" localSheetId="6">[4]附表4单价!#REF!</definedName>
    <definedName name="工50079改4">[4]附表4单价!#REF!</definedName>
    <definedName name="工50079改5" localSheetId="6">[4]附表4单价!#REF!</definedName>
    <definedName name="工50079改5">[4]附表4单价!#REF!</definedName>
    <definedName name="工50079改6" localSheetId="6">[4]附表4单价!#REF!</definedName>
    <definedName name="工50079改6">[4]附表4单价!#REF!</definedName>
    <definedName name="工50079改7" localSheetId="6">[4]附表4单价!#REF!</definedName>
    <definedName name="工50079改7">[4]附表4单价!#REF!</definedName>
    <definedName name="工50079改8" localSheetId="6">[4]附表4单价!#REF!</definedName>
    <definedName name="工50079改8">[4]附表4单价!#REF!</definedName>
    <definedName name="工50079改9" localSheetId="6">[4]附表4单价!#REF!</definedName>
    <definedName name="工50079改9">[4]附表4单价!#REF!</definedName>
    <definedName name="工50110a" localSheetId="6">[4]附表4单价!#REF!</definedName>
    <definedName name="工50110a">[4]附表4单价!#REF!</definedName>
    <definedName name="工50111" localSheetId="0">[19]附表4直接工程费单价表!$F$952</definedName>
    <definedName name="工50111">[4]附表4单价!$F$1367</definedName>
    <definedName name="工50112" localSheetId="6">[4]附表4单价!#REF!</definedName>
    <definedName name="工50112">[4]附表4单价!#REF!</definedName>
    <definedName name="工50113" localSheetId="6">[4]附表4单价!#REF!</definedName>
    <definedName name="工50113">[4]附表4单价!#REF!</definedName>
    <definedName name="工70001" localSheetId="0">[19]附表4直接工程费单价表!$F$1031</definedName>
    <definedName name="工70001">[4]附表4单价!$F$1502</definedName>
    <definedName name="工70007" localSheetId="17">[19]附表4直接工程费单价表!#REF!</definedName>
    <definedName name="工70007" localSheetId="6">[20]附表4直接工程费单价表!#REF!</definedName>
    <definedName name="工70007" localSheetId="0">[19]附表4直接工程费单价表!#REF!</definedName>
    <definedName name="工70007">[20]附表4直接工程费单价表!#REF!</definedName>
    <definedName name="工70014" localSheetId="17">[19]附表4直接工程费单价表!#REF!</definedName>
    <definedName name="工70014" localSheetId="6">[20]附表4直接工程费单价表!#REF!</definedName>
    <definedName name="工70014" localSheetId="0">[19]附表4直接工程费单价表!#REF!</definedName>
    <definedName name="工70014">[20]附表4直接工程费单价表!#REF!</definedName>
    <definedName name="工70046" localSheetId="6">[4]附表4单价!#REF!</definedName>
    <definedName name="工70046">[4]附表4单价!#REF!</definedName>
    <definedName name="工70048" localSheetId="6">[4]附表4单价!#REF!</definedName>
    <definedName name="工70048">[4]附表4单价!#REF!</definedName>
    <definedName name="工80014a" localSheetId="6">[4]附表4单价!#REF!</definedName>
    <definedName name="工80014a">[4]附表4单价!#REF!</definedName>
    <definedName name="工80014b" localSheetId="6">[4]附表4单价!#REF!</definedName>
    <definedName name="工80014b">[4]附表4单价!#REF!</definedName>
    <definedName name="工80015" localSheetId="17">[19]附表4直接工程费单价表!#REF!</definedName>
    <definedName name="工80015" localSheetId="0">[19]附表4直接工程费单价表!#REF!</definedName>
    <definedName name="工80015">[4]附表4单价!$F$1282</definedName>
    <definedName name="工80015加80016" localSheetId="17">[19]附表4直接工程费单价表!#REF!</definedName>
    <definedName name="工80015加80016" localSheetId="6">[20]附表4直接工程费单价表!#REF!</definedName>
    <definedName name="工80015加80016" localSheetId="0">[19]附表4直接工程费单价表!#REF!</definedName>
    <definedName name="工80015加80016">[20]附表4直接工程费单价表!#REF!</definedName>
    <definedName name="工80015加800166" localSheetId="0">[19]附表4直接工程费单价表!$F$1067</definedName>
    <definedName name="工80015加800166">[20]附表4直接工程费单价表!$F$1067</definedName>
    <definedName name="工80015减80016" localSheetId="17">[19]附表4直接工程费单价表!#REF!</definedName>
    <definedName name="工80015减80016" localSheetId="6">[20]附表4直接工程费单价表!#REF!</definedName>
    <definedName name="工80015减80016" localSheetId="0">[19]附表4直接工程费单价表!#REF!</definedName>
    <definedName name="工80015减80016">[20]附表4直接工程费单价表!#REF!</definedName>
    <definedName name="工80023" localSheetId="0">[19]附表4直接工程费单价表!$F$1089</definedName>
    <definedName name="工80023">[20]附表4直接工程费单价表!$F$1089</definedName>
    <definedName name="工80023a">[4]附表4单价!$F$1336</definedName>
    <definedName name="工90001" localSheetId="6">[4]附表4单价!#REF!</definedName>
    <definedName name="工90001" localSheetId="0">[19]附表4直接工程费单价表!$F$1107</definedName>
    <definedName name="工90001">[4]附表4单价!#REF!</definedName>
    <definedName name="工90001a" localSheetId="6">[4]附表4单价!#REF!</definedName>
    <definedName name="工90001a">[4]附表4单价!#REF!</definedName>
    <definedName name="工90001b" localSheetId="0">[19]附表4直接工程费单价表!$F$1125</definedName>
    <definedName name="工90001b">[20]附表4直接工程费单价表!$F$1125</definedName>
    <definedName name="工90001c" localSheetId="17">[19]附表4直接工程费单价表!#REF!</definedName>
    <definedName name="工90001c" localSheetId="6">[20]附表4直接工程费单价表!#REF!</definedName>
    <definedName name="工90001c" localSheetId="0">[19]附表4直接工程费单价表!#REF!</definedName>
    <definedName name="工90001c">[20]附表4直接工程费单价表!#REF!</definedName>
    <definedName name="工90013" localSheetId="17">[19]附表4直接工程费单价表!#REF!</definedName>
    <definedName name="工90013" localSheetId="6">[20]附表4直接工程费单价表!#REF!</definedName>
    <definedName name="工90013" localSheetId="0">[19]附表4直接工程费单价表!#REF!</definedName>
    <definedName name="工90013">[20]附表4直接工程费单价表!#REF!</definedName>
    <definedName name="工9001c" localSheetId="17">[19]附表4直接工程费单价表!#REF!</definedName>
    <definedName name="工9001c" localSheetId="6">[20]附表4直接工程费单价表!#REF!</definedName>
    <definedName name="工9001c" localSheetId="0">[19]附表4直接工程费单价表!#REF!</definedName>
    <definedName name="工9001c">[20]附表4直接工程费单价表!#REF!</definedName>
    <definedName name="工程监理费" localSheetId="6">#REF!</definedName>
    <definedName name="工程监理费" localSheetId="0">'[56]表5-2监理费'!$E$14</definedName>
    <definedName name="工程监理费">#REF!</definedName>
    <definedName name="工程监理费南" localSheetId="0">'[35]表5-2工程监理费南'!$E$10</definedName>
    <definedName name="工程监理费南">'[36]表5-2工程监理费南'!$E$10</definedName>
    <definedName name="工程胶" localSheetId="6">[1]附表2材料价格表!#REF!</definedName>
    <definedName name="工程胶">[1]附表2材料价格表!#REF!</definedName>
    <definedName name="工程量调整系数" localSheetId="17">#REF!</definedName>
    <definedName name="工程量调整系数" localSheetId="6">#REF!</definedName>
    <definedName name="工程量调整系数" localSheetId="0">#REF!</definedName>
    <definedName name="工程量调整系数">#REF!</definedName>
    <definedName name="工程量清单" localSheetId="17">#REF!</definedName>
    <definedName name="工程量清单" localSheetId="6">#REF!</definedName>
    <definedName name="工程量清单" localSheetId="0">#REF!</definedName>
    <definedName name="工程量清单">#REF!</definedName>
    <definedName name="工程施工费" localSheetId="6">#REF!</definedName>
    <definedName name="工程施工费">#REF!</definedName>
    <definedName name="工程施工费工" localSheetId="0">[44]表2预算汇总表!$H$338</definedName>
    <definedName name="工程施工费工">[45]表2预算汇总表!$H$338</definedName>
    <definedName name="工程施工费南" localSheetId="0">'[35]表3工程施工费南 '!$H$515</definedName>
    <definedName name="工程施工费南">'[36]表3工程施工费南 '!$H$515</definedName>
    <definedName name="工土地平整" localSheetId="17">[19]表3工程施工费用!#REF!</definedName>
    <definedName name="工土地平整" localSheetId="6">[20]表3工程施工费用!#REF!</definedName>
    <definedName name="工土地平整" localSheetId="0">[19]表3工程施工费用!#REF!</definedName>
    <definedName name="工土地平整">[20]表3工程施工费用!#REF!</definedName>
    <definedName name="沟槽石方开挖_______________工程" localSheetId="17">[49]新定额单价!#REF!</definedName>
    <definedName name="沟槽石方开挖_______________工程" localSheetId="6">[50]新定额单价!#REF!</definedName>
    <definedName name="沟槽石方开挖_______________工程" localSheetId="0">[49]新定额单价!#REF!</definedName>
    <definedName name="沟槽石方开挖_______________工程">[50]新定额单价!#REF!</definedName>
    <definedName name="关键" localSheetId="17">#REF!</definedName>
    <definedName name="关键" localSheetId="6">#REF!</definedName>
    <definedName name="关键" localSheetId="0">#REF!</definedName>
    <definedName name="关键">#REF!</definedName>
    <definedName name="管材" hidden="1">{"'现金流量表（全部投资）'!$B$4:$P$23"}</definedName>
    <definedName name="管件" localSheetId="17">[19]附表2材料价格计算表!#REF!</definedName>
    <definedName name="管件" localSheetId="6">[1]附表2材料价格表!#REF!</definedName>
    <definedName name="管件" localSheetId="0">[19]附表2材料价格计算表!#REF!</definedName>
    <definedName name="管件">[1]附表2材料价格表!#REF!</definedName>
    <definedName name="管件φ120" localSheetId="6">[1]附表2材料价格表!#REF!</definedName>
    <definedName name="管件φ120">[1]附表2材料价格表!#REF!</definedName>
    <definedName name="管件φ90" localSheetId="6">[1]附表2材料价格表!#REF!</definedName>
    <definedName name="管件φ90">[1]附表2材料价格表!#REF!</definedName>
    <definedName name="灌排工程" localSheetId="6">#REF!</definedName>
    <definedName name="灌排工程">#REF!</definedName>
    <definedName name="灌渠影响投资" localSheetId="17">#REF!</definedName>
    <definedName name="灌渠影响投资" localSheetId="6">#REF!</definedName>
    <definedName name="灌渠影响投资" localSheetId="0">#REF!</definedName>
    <definedName name="灌渠影响投资">#REF!</definedName>
    <definedName name="光轮压路机12_15t" localSheetId="6">[1]附表3机械台班!#REF!</definedName>
    <definedName name="光轮压路机12_15t">[1]附表3机械台班!#REF!</definedName>
    <definedName name="光轮压路机6_8t" localSheetId="6">[1]附表3机械台班!#REF!</definedName>
    <definedName name="光轮压路机6_8t">[1]附表3机械台班!#REF!</definedName>
    <definedName name="光轮压路机8_10t" localSheetId="6">[1]附表3机械台班!#REF!</definedName>
    <definedName name="光轮压路机8_10t">[1]附表3机械台班!#REF!</definedName>
    <definedName name="国槐" localSheetId="17">[19]附表2材料价格计算表!#REF!</definedName>
    <definedName name="国槐" localSheetId="6">[20]附表2材料价格计算表!#REF!</definedName>
    <definedName name="国槐" localSheetId="0">[19]附表2材料价格计算表!#REF!</definedName>
    <definedName name="国槐">[20]附表2材料价格计算表!#REF!</definedName>
    <definedName name="合计" localSheetId="0">'[30]#REF'!$G$2</definedName>
    <definedName name="合计">'[31]#REF'!$G$2</definedName>
    <definedName name="合金钻头" localSheetId="17">#REF!</definedName>
    <definedName name="合金钻头" localSheetId="6">#REF!</definedName>
    <definedName name="合金钻头" localSheetId="0">#REF!</definedName>
    <definedName name="合金钻头">#REF!</definedName>
    <definedName name="合作杨" localSheetId="0">[44]材价汇!$D$48</definedName>
    <definedName name="合作杨">[45]材价汇!$D$48</definedName>
    <definedName name="黑龙沟涵洞_含60米渠道" localSheetId="17">#REF!</definedName>
    <definedName name="黑龙沟涵洞_含60米渠道" localSheetId="6">#REF!</definedName>
    <definedName name="黑龙沟涵洞_含60米渠道" localSheetId="0">#REF!</definedName>
    <definedName name="黑龙沟涵洞_含60米渠道">#REF!</definedName>
    <definedName name="环氧树脂" localSheetId="6">[1]附表2材料价格表!#REF!</definedName>
    <definedName name="环氧树脂">[1]附表2材料价格表!#REF!</definedName>
    <definedName name="黄油" localSheetId="6">[1]附表2材料价格表!#REF!</definedName>
    <definedName name="黄油" localSheetId="0">[44]材价汇!$D$37</definedName>
    <definedName name="黄油">[1]附表2材料价格表!#REF!</definedName>
    <definedName name="灰浆搅拌机" localSheetId="6">[1]附表3机械台班!#REF!</definedName>
    <definedName name="灰浆搅拌机">[1]附表3机械台班!#REF!</definedName>
    <definedName name="恢复认得" localSheetId="17">#REF!,#REF!</definedName>
    <definedName name="恢复认得" localSheetId="6">#REF!,#REF!</definedName>
    <definedName name="恢复认得" localSheetId="0">#REF!,#REF!</definedName>
    <definedName name="恢复认得">#REF!,#REF!</definedName>
    <definedName name="汇总" localSheetId="17">#REF!</definedName>
    <definedName name="汇总" localSheetId="6">#REF!</definedName>
    <definedName name="汇总" localSheetId="0">#REF!</definedName>
    <definedName name="汇总">#REF!</definedName>
    <definedName name="汇总表" localSheetId="17">#REF!</definedName>
    <definedName name="汇总表" localSheetId="6">#REF!</definedName>
    <definedName name="汇总表" localSheetId="0">#REF!</definedName>
    <definedName name="汇总表">#REF!</definedName>
    <definedName name="混凝土拌制" localSheetId="17">[57]单位估价!#REF!</definedName>
    <definedName name="混凝土拌制" localSheetId="6">[58]单位估价!#REF!</definedName>
    <definedName name="混凝土拌制" localSheetId="0">[57]单位估价!#REF!</definedName>
    <definedName name="混凝土拌制">[58]单位估价!#REF!</definedName>
    <definedName name="混凝土拌制1" localSheetId="6">[58]单位估价!#REF!</definedName>
    <definedName name="混凝土拌制1">[58]单位估价!#REF!</definedName>
    <definedName name="混凝土泵" localSheetId="6">[1]附表3机械台班!#REF!</definedName>
    <definedName name="混凝土泵">[1]附表3机械台班!#REF!</definedName>
    <definedName name="混凝土垂直运输" localSheetId="6">[58]单位估价!#REF!</definedName>
    <definedName name="混凝土垂直运输" localSheetId="0">[59]单价分析表!$F$336</definedName>
    <definedName name="混凝土垂直运输">[58]单位估价!#REF!</definedName>
    <definedName name="混凝土底盘" localSheetId="6">[1]附表2材料价格表!#REF!</definedName>
    <definedName name="混凝土底盘">[1]附表2材料价格表!#REF!</definedName>
    <definedName name="混凝土底盘800×800×800" localSheetId="6">[1]附表2材料价格表!#REF!</definedName>
    <definedName name="混凝土底盘800×800×800">[1]附表2材料价格表!#REF!</definedName>
    <definedName name="混凝土底盘800800180" localSheetId="17">[19]附表2材料价格计算表!#REF!</definedName>
    <definedName name="混凝土底盘800800180" localSheetId="6">[20]附表2材料价格计算表!#REF!</definedName>
    <definedName name="混凝土底盘800800180" localSheetId="0">[19]附表2材料价格计算表!#REF!</definedName>
    <definedName name="混凝土底盘800800180">[20]附表2材料价格计算表!#REF!</definedName>
    <definedName name="混凝土拉盘LP6" localSheetId="17">[19]附表2材料价格计算表!#REF!</definedName>
    <definedName name="混凝土拉盘LP6" localSheetId="6">[20]附表2材料价格计算表!#REF!</definedName>
    <definedName name="混凝土拉盘LP6" localSheetId="0">[19]附表2材料价格计算表!#REF!</definedName>
    <definedName name="混凝土拉盘LP6">[20]附表2材料价格计算表!#REF!</definedName>
    <definedName name="混凝土拉线盘LP8" localSheetId="17">[19]附表2材料价格计算表!#REF!</definedName>
    <definedName name="混凝土拉线盘LP8" localSheetId="6">[20]附表2材料价格计算表!#REF!</definedName>
    <definedName name="混凝土拉线盘LP8" localSheetId="0">[19]附表2材料价格计算表!#REF!</definedName>
    <definedName name="混凝土拉线盘LP8">[20]附表2材料价格计算表!#REF!</definedName>
    <definedName name="混凝土水平运输" localSheetId="17">[57]单位估价!#REF!</definedName>
    <definedName name="混凝土水平运输" localSheetId="6">[58]单位估价!#REF!</definedName>
    <definedName name="混凝土水平运输" localSheetId="0">[57]单位估价!#REF!</definedName>
    <definedName name="混凝土水平运输">[58]单位估价!#REF!</definedName>
    <definedName name="混凝土运输" localSheetId="6">[1]附表5直接工程费单价表!#REF!</definedName>
    <definedName name="混凝土运输">[1]附表5直接工程费单价表!#REF!</definedName>
    <definedName name="混凝土柱" localSheetId="6">[1]附表2材料价格表!#REF!</definedName>
    <definedName name="混凝土柱">[1]附表2材料价格表!#REF!</definedName>
    <definedName name="机" localSheetId="6">[1]附表5直接工程费单价表!#REF!</definedName>
    <definedName name="机">[1]附表5直接工程费单价表!#REF!</definedName>
    <definedName name="机1_23_1" localSheetId="6">[1]附表5直接工程费单价表!#REF!</definedName>
    <definedName name="机1_23_1">[1]附表5直接工程费单价表!#REF!</definedName>
    <definedName name="机10001">0</definedName>
    <definedName name="机100017" localSheetId="17">[19]附表4直接工程费单价表!#REF!</definedName>
    <definedName name="机100017" localSheetId="6">[20]附表4直接工程费单价表!#REF!</definedName>
    <definedName name="机100017" localSheetId="0">[19]附表4直接工程费单价表!#REF!</definedName>
    <definedName name="机100017">[20]附表4直接工程费单价表!#REF!</definedName>
    <definedName name="机10002">0</definedName>
    <definedName name="机100023" localSheetId="17">[19]附表4直接工程费单价表!#REF!</definedName>
    <definedName name="机100023" localSheetId="6">[20]附表4直接工程费单价表!#REF!</definedName>
    <definedName name="机100023" localSheetId="0">[19]附表4直接工程费单价表!#REF!</definedName>
    <definedName name="机100023">[20]附表4直接工程费单价表!#REF!</definedName>
    <definedName name="机100049" localSheetId="17">[19]附表4直接工程费单价表!#REF!</definedName>
    <definedName name="机100049" localSheetId="6">[20]附表4直接工程费单价表!#REF!</definedName>
    <definedName name="机100049" localSheetId="0">[19]附表4直接工程费单价表!#REF!</definedName>
    <definedName name="机100049">[20]附表4直接工程费单价表!#REF!</definedName>
    <definedName name="机10008">0</definedName>
    <definedName name="机10018">0</definedName>
    <definedName name="机10019">0</definedName>
    <definedName name="机10020">0</definedName>
    <definedName name="机10021">0</definedName>
    <definedName name="机10023">0</definedName>
    <definedName name="机10043" localSheetId="17">[19]附表4直接工程费单价表!#REF!</definedName>
    <definedName name="机10043" localSheetId="6">[20]附表4直接工程费单价表!#REF!</definedName>
    <definedName name="机10043" localSheetId="0">[19]附表4直接工程费单价表!#REF!</definedName>
    <definedName name="机10043">[20]附表4直接工程费单价表!#REF!</definedName>
    <definedName name="机10045">0</definedName>
    <definedName name="机10047">0</definedName>
    <definedName name="机10049">0</definedName>
    <definedName name="机10052">0</definedName>
    <definedName name="机10054">0</definedName>
    <definedName name="机10056">0</definedName>
    <definedName name="机10066">0</definedName>
    <definedName name="机10071">0</definedName>
    <definedName name="机10075">0</definedName>
    <definedName name="机10090">0</definedName>
    <definedName name="机10095">"0单位估价表!$E$2291"</definedName>
    <definedName name="机10114">0</definedName>
    <definedName name="机10116">0</definedName>
    <definedName name="机10118">0</definedName>
    <definedName name="机10204" localSheetId="6">[1]附表5直接工程费单价表!#REF!</definedName>
    <definedName name="机10204">[1]附表5直接工程费单价表!#REF!</definedName>
    <definedName name="机10269" localSheetId="6">[1]附表5直接工程费单价表!#REF!</definedName>
    <definedName name="机10269">[1]附表5直接工程费单价表!#REF!</definedName>
    <definedName name="机10270" localSheetId="6">[1]附表5直接工程费单价表!#REF!</definedName>
    <definedName name="机10270">[1]附表5直接工程费单价表!#REF!</definedName>
    <definedName name="机10271" localSheetId="6">[1]附表5直接工程费单价表!#REF!</definedName>
    <definedName name="机10271">[1]附表5直接工程费单价表!#REF!</definedName>
    <definedName name="机10272" localSheetId="6">[1]附表5直接工程费单价表!#REF!</definedName>
    <definedName name="机10272">[1]附表5直接工程费单价表!#REF!</definedName>
    <definedName name="机10273" localSheetId="6">[1]附表5直接工程费单价表!#REF!</definedName>
    <definedName name="机10273">[1]附表5直接工程费单价表!#REF!</definedName>
    <definedName name="机10275" localSheetId="6">[1]附表5直接工程费单价表!#REF!</definedName>
    <definedName name="机10275">[1]附表5直接工程费单价表!#REF!</definedName>
    <definedName name="机10277" localSheetId="6">[1]附表5直接工程费单价表!#REF!</definedName>
    <definedName name="机10277">[1]附表5直接工程费单价表!#REF!</definedName>
    <definedName name="机10278" localSheetId="6">[1]附表5直接工程费单价表!#REF!</definedName>
    <definedName name="机10278">[1]附表5直接工程费单价表!#REF!</definedName>
    <definedName name="机10279" localSheetId="6">[1]附表5直接工程费单价表!#REF!</definedName>
    <definedName name="机10279">[1]附表5直接工程费单价表!#REF!</definedName>
    <definedName name="机10279A" localSheetId="6">[1]附表5直接工程费单价表!#REF!</definedName>
    <definedName name="机10279A">[1]附表5直接工程费单价表!#REF!</definedName>
    <definedName name="机10280" localSheetId="6">[1]附表5直接工程费单价表!#REF!</definedName>
    <definedName name="机10280">[1]附表5直接工程费单价表!#REF!</definedName>
    <definedName name="机10280A" localSheetId="6">[1]附表5直接工程费单价表!#REF!</definedName>
    <definedName name="机10280A">[1]附表5直接工程费单价表!#REF!</definedName>
    <definedName name="机10281" localSheetId="6">[1]附表5直接工程费单价表!#REF!</definedName>
    <definedName name="机10281">[1]附表5直接工程费单价表!#REF!</definedName>
    <definedName name="机10281A" localSheetId="6">[1]附表5直接工程费单价表!#REF!</definedName>
    <definedName name="机10281A">[1]附表5直接工程费单价表!#REF!</definedName>
    <definedName name="机10282" localSheetId="6">[1]附表5直接工程费单价表!#REF!</definedName>
    <definedName name="机10282">[1]附表5直接工程费单价表!#REF!</definedName>
    <definedName name="机10282A" localSheetId="6">[1]附表5直接工程费单价表!#REF!</definedName>
    <definedName name="机10282A">[1]附表5直接工程费单价表!#REF!</definedName>
    <definedName name="机10283" localSheetId="6">[1]附表5直接工程费单价表!#REF!</definedName>
    <definedName name="机10283">[1]附表5直接工程费单价表!#REF!</definedName>
    <definedName name="机10283A" localSheetId="6">[1]附表5直接工程费单价表!#REF!</definedName>
    <definedName name="机10283A">[1]附表5直接工程费单价表!#REF!</definedName>
    <definedName name="机10305" localSheetId="17">[39]附表4工程费单价表!#REF!</definedName>
    <definedName name="机10305" localSheetId="6">[40]附表4工程费单价表!#REF!</definedName>
    <definedName name="机10305" localSheetId="0">[39]附表4工程费单价表!#REF!</definedName>
    <definedName name="机10305">[40]附表4工程费单价表!#REF!</definedName>
    <definedName name="机10306" localSheetId="17">[19]附表4直接工程费单价表!#REF!</definedName>
    <definedName name="机10306" localSheetId="6">[20]附表4直接工程费单价表!#REF!</definedName>
    <definedName name="机10306" localSheetId="0">[19]附表4直接工程费单价表!#REF!</definedName>
    <definedName name="机10306">[20]附表4直接工程费单价表!#REF!</definedName>
    <definedName name="机10309" localSheetId="6">[1]附表5直接工程费单价表!#REF!</definedName>
    <definedName name="机10309">[1]附表5直接工程费单价表!#REF!</definedName>
    <definedName name="机10310" localSheetId="6">[1]附表5直接工程费单价表!#REF!</definedName>
    <definedName name="机10310">[1]附表5直接工程费单价表!#REF!</definedName>
    <definedName name="机10311" localSheetId="6">[1]附表5直接工程费单价表!#REF!</definedName>
    <definedName name="机10311">[1]附表5直接工程费单价表!#REF!</definedName>
    <definedName name="机10315" localSheetId="17">[39]附表4工程费单价表!#REF!</definedName>
    <definedName name="机10315" localSheetId="6">[40]附表4工程费单价表!#REF!</definedName>
    <definedName name="机10315" localSheetId="0">[39]附表4工程费单价表!#REF!</definedName>
    <definedName name="机10315">[40]附表4工程费单价表!#REF!</definedName>
    <definedName name="机10332" localSheetId="17">[19]附表4直接工程费单价表!#REF!</definedName>
    <definedName name="机10332" localSheetId="0">[19]附表4直接工程费单价表!#REF!</definedName>
    <definedName name="机10332">0</definedName>
    <definedName name="机10333" localSheetId="17">[19]附表4直接工程费单价表!#REF!</definedName>
    <definedName name="机10333" localSheetId="6">[20]附表4直接工程费单价表!#REF!</definedName>
    <definedName name="机10333" localSheetId="0">[19]附表4直接工程费单价表!#REF!</definedName>
    <definedName name="机10333">[20]附表4直接工程费单价表!#REF!</definedName>
    <definedName name="机10334" localSheetId="6">[1]附表5直接工程费单价表!#REF!</definedName>
    <definedName name="机10334">[1]附表5直接工程费单价表!#REF!</definedName>
    <definedName name="机10339" localSheetId="6">[1]附表5直接工程费单价表!#REF!</definedName>
    <definedName name="机10339">[1]附表5直接工程费单价表!#REF!</definedName>
    <definedName name="机10344" localSheetId="17">[19]附表4直接工程费单价表!#REF!</definedName>
    <definedName name="机10344" localSheetId="6">[20]附表4直接工程费单价表!#REF!</definedName>
    <definedName name="机10344" localSheetId="0">[19]附表4直接工程费单价表!#REF!</definedName>
    <definedName name="机10344">[20]附表4直接工程费单价表!#REF!</definedName>
    <definedName name="机10345" localSheetId="17">[19]附表4直接工程费单价表!#REF!</definedName>
    <definedName name="机10345" localSheetId="6">[1]附表5直接工程费单价表!#REF!</definedName>
    <definedName name="机10345" localSheetId="0">[19]附表4直接工程费单价表!#REF!</definedName>
    <definedName name="机10345">[1]附表5直接工程费单价表!#REF!</definedName>
    <definedName name="机10360" localSheetId="6">[1]附表5直接工程费单价表!#REF!</definedName>
    <definedName name="机10360">[1]附表5直接工程费单价表!#REF!</definedName>
    <definedName name="机10361" localSheetId="6">[1]附表5直接工程费单价表!#REF!</definedName>
    <definedName name="机10361">[1]附表5直接工程费单价表!#REF!</definedName>
    <definedName name="机10365" localSheetId="6">[1]附表5直接工程费单价表!#REF!</definedName>
    <definedName name="机10365">[1]附表5直接工程费单价表!#REF!</definedName>
    <definedName name="机10366" localSheetId="6">[1]附表5直接工程费单价表!#REF!</definedName>
    <definedName name="机10366">[1]附表5直接工程费单价表!#REF!</definedName>
    <definedName name="机10367" localSheetId="6">[1]附表5直接工程费单价表!#REF!</definedName>
    <definedName name="机10367">[1]附表5直接工程费单价表!#REF!</definedName>
    <definedName name="机10464">0</definedName>
    <definedName name="机10465" localSheetId="6">[1]附表5直接工程费单价表!#REF!</definedName>
    <definedName name="机10465">[1]附表5直接工程费单价表!#REF!</definedName>
    <definedName name="机10469" localSheetId="6">[1]附表5直接工程费单价表!#REF!</definedName>
    <definedName name="机10469">[1]附表5直接工程费单价表!#REF!</definedName>
    <definedName name="机10469A" localSheetId="6">[1]附表5直接工程费单价表!#REF!</definedName>
    <definedName name="机10469A">[1]附表5直接工程费单价表!#REF!</definedName>
    <definedName name="机10473" localSheetId="6">[1]附表5直接工程费单价表!#REF!</definedName>
    <definedName name="机10473">[1]附表5直接工程费单价表!#REF!</definedName>
    <definedName name="机10474" localSheetId="6">[1]附表5直接工程费单价表!#REF!</definedName>
    <definedName name="机10474">[1]附表5直接工程费单价表!#REF!</definedName>
    <definedName name="机12001" localSheetId="6">[1]附表5直接工程费单价表!#REF!</definedName>
    <definedName name="机12001">[1]附表5直接工程费单价表!#REF!</definedName>
    <definedName name="机12074" localSheetId="6">[1]附表5直接工程费单价表!#REF!</definedName>
    <definedName name="机12074">[1]附表5直接工程费单价表!#REF!</definedName>
    <definedName name="机12075" localSheetId="6">[1]附表5直接工程费单价表!#REF!</definedName>
    <definedName name="机12075">[1]附表5直接工程费单价表!#REF!</definedName>
    <definedName name="机2_19_3" localSheetId="6">[1]附表5直接工程费单价表!#REF!</definedName>
    <definedName name="机2_19_3">[1]附表5直接工程费单价表!#REF!</definedName>
    <definedName name="机2_19_4" localSheetId="6">[1]附表5直接工程费单价表!#REF!</definedName>
    <definedName name="机2_19_4">[1]附表5直接工程费单价表!#REF!</definedName>
    <definedName name="机20484" localSheetId="6">[1]附表5直接工程费单价表!#REF!</definedName>
    <definedName name="机20484">[1]附表5直接工程费单价表!#REF!</definedName>
    <definedName name="机20485" localSheetId="6">[1]附表5直接工程费单价表!#REF!</definedName>
    <definedName name="机20485">[1]附表5直接工程费单价表!#REF!</definedName>
    <definedName name="机20488" localSheetId="6">[1]附表5直接工程费单价表!#REF!</definedName>
    <definedName name="机20488">[1]附表5直接工程费单价表!#REF!</definedName>
    <definedName name="机30001">0</definedName>
    <definedName name="机30002">0</definedName>
    <definedName name="机30016" localSheetId="6">[1]附表5直接工程费单价表!#REF!</definedName>
    <definedName name="机30016">[1]附表5直接工程费单价表!#REF!</definedName>
    <definedName name="机30019" localSheetId="6">[1]附表5直接工程费单价表!#REF!</definedName>
    <definedName name="机30019">[1]附表5直接工程费单价表!#REF!</definedName>
    <definedName name="机30020" localSheetId="6">[1]附表5直接工程费单价表!#REF!</definedName>
    <definedName name="机30020">[1]附表5直接工程费单价表!#REF!</definedName>
    <definedName name="机30021" localSheetId="6">[1]附表5直接工程费单价表!#REF!</definedName>
    <definedName name="机30021">[1]附表5直接工程费单价表!#REF!</definedName>
    <definedName name="机30022" localSheetId="6">[1]附表5直接工程费单价表!#REF!</definedName>
    <definedName name="机30022">[1]附表5直接工程费单价表!#REF!</definedName>
    <definedName name="机30023" localSheetId="6">[1]附表5直接工程费单价表!#REF!</definedName>
    <definedName name="机30023">[1]附表5直接工程费单价表!#REF!</definedName>
    <definedName name="机30024">0</definedName>
    <definedName name="机30025" localSheetId="6">[1]附表5直接工程费单价表!#REF!</definedName>
    <definedName name="机30025">[1]附表5直接工程费单价表!#REF!</definedName>
    <definedName name="机30026">0</definedName>
    <definedName name="机30027" localSheetId="6">[1]附表5直接工程费单价表!#REF!</definedName>
    <definedName name="机30027">[1]附表5直接工程费单价表!#REF!</definedName>
    <definedName name="机30028">0</definedName>
    <definedName name="机30048" localSheetId="6">[1]附表5直接工程费单价表!#REF!</definedName>
    <definedName name="机30048">[1]附表5直接工程费单价表!#REF!</definedName>
    <definedName name="机30048、30051" localSheetId="6">[1]附表5直接工程费单价表!#REF!</definedName>
    <definedName name="机30048、30051">[1]附表5直接工程费单价表!#REF!</definedName>
    <definedName name="机30049" localSheetId="6">[1]附表5直接工程费单价表!#REF!</definedName>
    <definedName name="机30049">[1]附表5直接工程费单价表!#REF!</definedName>
    <definedName name="机40004" localSheetId="17">[19]附表4直接工程费单价表!#REF!</definedName>
    <definedName name="机40004" localSheetId="6">[20]附表4直接工程费单价表!#REF!</definedName>
    <definedName name="机40004" localSheetId="0">[19]附表4直接工程费单价表!#REF!</definedName>
    <definedName name="机40004">[20]附表4直接工程费单价表!#REF!</definedName>
    <definedName name="机40006" localSheetId="0">[37]直接工程费!$F$203</definedName>
    <definedName name="机40006">[38]直接工程费!$F$203</definedName>
    <definedName name="机40006b" localSheetId="17">[19]附表4直接工程费单价表!#REF!</definedName>
    <definedName name="机40006b" localSheetId="6">[20]附表4直接工程费单价表!#REF!</definedName>
    <definedName name="机40006b" localSheetId="0">[19]附表4直接工程费单价表!#REF!</definedName>
    <definedName name="机40006b">[20]附表4直接工程费单价表!#REF!</definedName>
    <definedName name="机40006细石" localSheetId="17">[19]附表4直接工程费单价表!#REF!</definedName>
    <definedName name="机40006细石" localSheetId="6">[20]附表4直接工程费单价表!#REF!</definedName>
    <definedName name="机40006细石" localSheetId="0">[19]附表4直接工程费单价表!#REF!</definedName>
    <definedName name="机40006细石">[20]附表4直接工程费单价表!#REF!</definedName>
    <definedName name="机40030" localSheetId="17">[19]附表4直接工程费单价表!#REF!</definedName>
    <definedName name="机40030" localSheetId="6">[20]附表4直接工程费单价表!#REF!</definedName>
    <definedName name="机40030" localSheetId="0">[19]附表4直接工程费单价表!#REF!</definedName>
    <definedName name="机40030">[20]附表4直接工程费单价表!#REF!</definedName>
    <definedName name="机40031" localSheetId="6">[1]附表5直接工程费单价表!#REF!</definedName>
    <definedName name="机40031">[1]附表5直接工程费单价表!#REF!</definedName>
    <definedName name="机4003115" localSheetId="17">[19]附表4直接工程费单价表!#REF!</definedName>
    <definedName name="机4003115" localSheetId="6">[20]附表4直接工程费单价表!#REF!</definedName>
    <definedName name="机4003115" localSheetId="0">[19]附表4直接工程费单价表!#REF!</definedName>
    <definedName name="机4003115">[20]附表4直接工程费单价表!#REF!</definedName>
    <definedName name="机40031C15" localSheetId="17">[19]附表4直接工程费单价表!#REF!</definedName>
    <definedName name="机40031C15" localSheetId="6">[20]附表4直接工程费单价表!#REF!</definedName>
    <definedName name="机40031C15" localSheetId="0">[19]附表4直接工程费单价表!#REF!</definedName>
    <definedName name="机40031C15">[20]附表4直接工程费单价表!#REF!</definedName>
    <definedName name="机40041b" localSheetId="17">[19]附表4直接工程费单价表!#REF!</definedName>
    <definedName name="机40041b" localSheetId="6">[20]附表4直接工程费单价表!#REF!</definedName>
    <definedName name="机40041b" localSheetId="0">[19]附表4直接工程费单价表!#REF!</definedName>
    <definedName name="机40041b">[20]附表4直接工程费单价表!#REF!</definedName>
    <definedName name="机40056" localSheetId="17">[19]附表4直接工程费单价表!#REF!</definedName>
    <definedName name="机40056" localSheetId="6">[4]附表4单价!#REF!</definedName>
    <definedName name="机40056" localSheetId="0">[19]附表4直接工程费单价表!#REF!</definedName>
    <definedName name="机40056">[4]附表4单价!#REF!</definedName>
    <definedName name="机40058" localSheetId="6">[1]附表5直接工程费单价表!#REF!</definedName>
    <definedName name="机40058">[1]附表5直接工程费单价表!#REF!</definedName>
    <definedName name="机40058A" localSheetId="6">[1]附表5直接工程费单价表!#REF!</definedName>
    <definedName name="机40058A">[1]附表5直接工程费单价表!#REF!</definedName>
    <definedName name="机40061" localSheetId="6">[1]附表5直接工程费单价表!#REF!</definedName>
    <definedName name="机40061">[1]附表5直接工程费单价表!#REF!</definedName>
    <definedName name="机40062" localSheetId="6">[1]附表5直接工程费单价表!#REF!</definedName>
    <definedName name="机40062">[1]附表5直接工程费单价表!#REF!</definedName>
    <definedName name="机40063" localSheetId="17">[19]附表4直接工程费单价表!#REF!</definedName>
    <definedName name="机40063" localSheetId="6">[20]附表4直接工程费单价表!#REF!</definedName>
    <definedName name="机40063" localSheetId="0">[19]附表4直接工程费单价表!#REF!</definedName>
    <definedName name="机40063">[20]附表4直接工程费单价表!#REF!</definedName>
    <definedName name="机40064" localSheetId="17">[19]附表4直接工程费单价表!#REF!</definedName>
    <definedName name="机40064" localSheetId="6">[20]附表4直接工程费单价表!#REF!</definedName>
    <definedName name="机40064" localSheetId="0">[19]附表4直接工程费单价表!#REF!</definedName>
    <definedName name="机40064">[20]附表4直接工程费单价表!#REF!</definedName>
    <definedName name="机40067" localSheetId="6">[1]附表5直接工程费单价表!#REF!</definedName>
    <definedName name="机40067">[1]附表5直接工程费单价表!#REF!</definedName>
    <definedName name="机40067A" localSheetId="6">[1]附表5直接工程费单价表!#REF!</definedName>
    <definedName name="机40067A">[1]附表5直接工程费单价表!#REF!</definedName>
    <definedName name="机40068" localSheetId="6">[1]附表5直接工程费单价表!#REF!</definedName>
    <definedName name="机40068">[1]附表5直接工程费单价表!#REF!</definedName>
    <definedName name="机40069" localSheetId="6">[1]附表5直接工程费单价表!#REF!</definedName>
    <definedName name="机40069">[1]附表5直接工程费单价表!#REF!</definedName>
    <definedName name="机40070" localSheetId="6">[1]附表5直接工程费单价表!#REF!</definedName>
    <definedName name="机40070">[1]附表5直接工程费单价表!#REF!</definedName>
    <definedName name="机40072" localSheetId="6">[1]附表5直接工程费单价表!#REF!</definedName>
    <definedName name="机40072">[1]附表5直接工程费单价表!#REF!</definedName>
    <definedName name="机40073" localSheetId="17">[19]附表4直接工程费单价表!#REF!</definedName>
    <definedName name="机40073" localSheetId="6">[20]附表4直接工程费单价表!#REF!</definedName>
    <definedName name="机40073" localSheetId="0">[19]附表4直接工程费单价表!#REF!</definedName>
    <definedName name="机40073">[20]附表4直接工程费单价表!#REF!</definedName>
    <definedName name="机40074" localSheetId="6">[1]附表5直接工程费单价表!#REF!</definedName>
    <definedName name="机40074">[1]附表5直接工程费单价表!#REF!</definedName>
    <definedName name="机40075" localSheetId="6">[1]附表5直接工程费单价表!#REF!</definedName>
    <definedName name="机40075">[1]附表5直接工程费单价表!#REF!</definedName>
    <definedName name="机40076" localSheetId="6">[1]附表5直接工程费单价表!#REF!</definedName>
    <definedName name="机40076">[1]附表5直接工程费单价表!#REF!</definedName>
    <definedName name="机4007620" localSheetId="17">[19]附表4直接工程费单价表!#REF!</definedName>
    <definedName name="机4007620" localSheetId="6">[20]附表4直接工程费单价表!#REF!</definedName>
    <definedName name="机4007620" localSheetId="0">[19]附表4直接工程费单价表!#REF!</definedName>
    <definedName name="机4007620">[20]附表4直接工程费单价表!#REF!</definedName>
    <definedName name="机40077" localSheetId="17">[19]附表4直接工程费单价表!#REF!</definedName>
    <definedName name="机40077" localSheetId="6">[20]附表4直接工程费单价表!#REF!</definedName>
    <definedName name="机40077" localSheetId="0">[19]附表4直接工程费单价表!#REF!</definedName>
    <definedName name="机40077">[20]附表4直接工程费单价表!#REF!</definedName>
    <definedName name="机40079" localSheetId="17">[19]附表4直接工程费单价表!#REF!</definedName>
    <definedName name="机40079" localSheetId="6">[1]附表5直接工程费单价表!#REF!</definedName>
    <definedName name="机40079" localSheetId="0">[19]附表4直接工程费单价表!#REF!</definedName>
    <definedName name="机40079">[1]附表5直接工程费单价表!#REF!</definedName>
    <definedName name="机40090" localSheetId="6">[1]附表5直接工程费单价表!#REF!</definedName>
    <definedName name="机40090">[1]附表5直接工程费单价表!#REF!</definedName>
    <definedName name="机40096" localSheetId="6">[1]附表5直接工程费单价表!#REF!</definedName>
    <definedName name="机40096">[1]附表5直接工程费单价表!#REF!</definedName>
    <definedName name="机40101" localSheetId="6">[1]附表5直接工程费单价表!#REF!</definedName>
    <definedName name="机40101">[1]附表5直接工程费单价表!#REF!</definedName>
    <definedName name="机40101A" localSheetId="6">[1]附表5直接工程费单价表!#REF!</definedName>
    <definedName name="机40101A">[1]附表5直接工程费单价表!#REF!</definedName>
    <definedName name="机40101B" localSheetId="6">[1]附表5直接工程费单价表!#REF!</definedName>
    <definedName name="机40101B">[1]附表5直接工程费单价表!#REF!</definedName>
    <definedName name="机40109" localSheetId="6">[1]附表5直接工程费单价表!#REF!</definedName>
    <definedName name="机40109">[1]附表5直接工程费单价表!#REF!</definedName>
    <definedName name="机40110" localSheetId="6">[1]附表5直接工程费单价表!#REF!</definedName>
    <definedName name="机40110">[1]附表5直接工程费单价表!#REF!</definedName>
    <definedName name="机40111" localSheetId="6">[1]附表5直接工程费单价表!#REF!</definedName>
    <definedName name="机40111">[1]附表5直接工程费单价表!#REF!</definedName>
    <definedName name="机40112" localSheetId="6">[1]附表5直接工程费单价表!#REF!</definedName>
    <definedName name="机40112">[1]附表5直接工程费单价表!#REF!</definedName>
    <definedName name="机40113" localSheetId="6">[1]附表5直接工程费单价表!#REF!</definedName>
    <definedName name="机40113">[1]附表5直接工程费单价表!#REF!</definedName>
    <definedName name="机40114" localSheetId="6">[1]附表5直接工程费单价表!#REF!</definedName>
    <definedName name="机40114">[1]附表5直接工程费单价表!#REF!</definedName>
    <definedName name="机40115" localSheetId="17">[19]附表4直接工程费单价表!#REF!</definedName>
    <definedName name="机40115" localSheetId="6">[1]附表5直接工程费单价表!#REF!</definedName>
    <definedName name="机40115" localSheetId="0">[19]附表4直接工程费单价表!#REF!</definedName>
    <definedName name="机40115">[1]附表5直接工程费单价表!#REF!</definedName>
    <definedName name="机40116" localSheetId="17">[19]附表4直接工程费单价表!#REF!</definedName>
    <definedName name="机40116" localSheetId="0">[19]附表4直接工程费单价表!#REF!</definedName>
    <definedName name="机40116">0</definedName>
    <definedName name="机40118">0</definedName>
    <definedName name="机40120" localSheetId="6">[1]附表5直接工程费单价表!#REF!</definedName>
    <definedName name="机40120">[1]附表5直接工程费单价表!#REF!</definedName>
    <definedName name="机40124" localSheetId="6">[1]附表5直接工程费单价表!#REF!</definedName>
    <definedName name="机40124">[1]附表5直接工程费单价表!#REF!</definedName>
    <definedName name="机40125" localSheetId="6">[1]附表5直接工程费单价表!#REF!</definedName>
    <definedName name="机40125">[1]附表5直接工程费单价表!#REF!</definedName>
    <definedName name="机40133" localSheetId="17">[19]附表4直接工程费单价表!#REF!</definedName>
    <definedName name="机40133" localSheetId="6">[20]附表4直接工程费单价表!#REF!</definedName>
    <definedName name="机40133" localSheetId="0">[19]附表4直接工程费单价表!#REF!</definedName>
    <definedName name="机40133">[20]附表4直接工程费单价表!#REF!</definedName>
    <definedName name="机40134" localSheetId="6">[1]附表5直接工程费单价表!#REF!</definedName>
    <definedName name="机40134">[1]附表5直接工程费单价表!#REF!</definedName>
    <definedName name="机40143" localSheetId="6">[1]附表5直接工程费单价表!#REF!</definedName>
    <definedName name="机40143">[1]附表5直接工程费单价表!#REF!</definedName>
    <definedName name="机40192" localSheetId="17">[19]附表4直接工程费单价表!#REF!</definedName>
    <definedName name="机40192" localSheetId="6">[20]附表4直接工程费单价表!#REF!</definedName>
    <definedName name="机40192" localSheetId="0">[19]附表4直接工程费单价表!#REF!</definedName>
    <definedName name="机40192">[20]附表4直接工程费单价表!#REF!</definedName>
    <definedName name="机40203" localSheetId="17">[19]附表4直接工程费单价表!#REF!</definedName>
    <definedName name="机40203" localSheetId="6">[20]附表4直接工程费单价表!#REF!</definedName>
    <definedName name="机40203" localSheetId="0">[19]附表4直接工程费单价表!#REF!</definedName>
    <definedName name="机40203">[20]附表4直接工程费单价表!#REF!</definedName>
    <definedName name="机40214苯" localSheetId="17">[19]附表4直接工程费单价表!#REF!</definedName>
    <definedName name="机40214苯" localSheetId="6">[20]附表4直接工程费单价表!#REF!</definedName>
    <definedName name="机40214苯" localSheetId="0">[19]附表4直接工程费单价表!#REF!</definedName>
    <definedName name="机40214苯">[20]附表4直接工程费单价表!#REF!</definedName>
    <definedName name="机40224" localSheetId="6">[1]附表5直接工程费单价表!#REF!</definedName>
    <definedName name="机40224">[1]附表5直接工程费单价表!#REF!</definedName>
    <definedName name="机40260" localSheetId="6">[1]附表5直接工程费单价表!#REF!</definedName>
    <definedName name="机40260">[1]附表5直接工程费单价表!#REF!</definedName>
    <definedName name="机40263">0</definedName>
    <definedName name="机40271">0</definedName>
    <definedName name="机40286" localSheetId="6">[1]附表5直接工程费单价表!#REF!</definedName>
    <definedName name="机40286">[1]附表5直接工程费单价表!#REF!</definedName>
    <definedName name="机40287" localSheetId="6">[1]附表5直接工程费单价表!#REF!</definedName>
    <definedName name="机40287">[1]附表5直接工程费单价表!#REF!</definedName>
    <definedName name="机40288" localSheetId="6">[1]附表5直接工程费单价表!#REF!</definedName>
    <definedName name="机40288">[1]附表5直接工程费单价表!#REF!</definedName>
    <definedName name="机40289" localSheetId="6">[1]附表5直接工程费单价表!#REF!</definedName>
    <definedName name="机40289">[1]附表5直接工程费单价表!#REF!</definedName>
    <definedName name="机40289A" localSheetId="6">[1]附表5直接工程费单价表!#REF!</definedName>
    <definedName name="机40289A">[1]附表5直接工程费单价表!#REF!</definedName>
    <definedName name="机40306" localSheetId="6">[1]附表5直接工程费单价表!#REF!</definedName>
    <definedName name="机40306">[1]附表5直接工程费单价表!#REF!</definedName>
    <definedName name="机40306A" localSheetId="6">[1]附表5直接工程费单价表!#REF!</definedName>
    <definedName name="机40306A">[1]附表5直接工程费单价表!#REF!</definedName>
    <definedName name="机40306B" localSheetId="6">[1]附表5直接工程费单价表!#REF!</definedName>
    <definedName name="机40306B">[1]附表5直接工程费单价表!#REF!</definedName>
    <definedName name="机50003" localSheetId="6">[1]附表5直接工程费单价表!#REF!</definedName>
    <definedName name="机50003">[1]附表5直接工程费单价表!#REF!</definedName>
    <definedName name="机50004" localSheetId="6">[1]附表5直接工程费单价表!#REF!</definedName>
    <definedName name="机50004">[1]附表5直接工程费单价表!#REF!</definedName>
    <definedName name="机50005" localSheetId="6">[1]附表5直接工程费单价表!#REF!</definedName>
    <definedName name="机50005">[1]附表5直接工程费单价表!#REF!</definedName>
    <definedName name="机50006" localSheetId="6">[1]附表5直接工程费单价表!#REF!</definedName>
    <definedName name="机50006">[1]附表5直接工程费单价表!#REF!</definedName>
    <definedName name="机50014" localSheetId="17">[39]附表4工程费单价表!#REF!</definedName>
    <definedName name="机50014" localSheetId="6">[40]附表4工程费单价表!#REF!</definedName>
    <definedName name="机50014" localSheetId="0">[39]附表4工程费单价表!#REF!</definedName>
    <definedName name="机50014">[40]附表4工程费单价表!#REF!</definedName>
    <definedName name="机50045" localSheetId="6">[1]附表5直接工程费单价表!#REF!</definedName>
    <definedName name="机50045">[1]附表5直接工程费单价表!#REF!</definedName>
    <definedName name="机50046" localSheetId="6">[1]附表5直接工程费单价表!#REF!</definedName>
    <definedName name="机50046">[1]附表5直接工程费单价表!#REF!</definedName>
    <definedName name="机50049" localSheetId="6">[1]附表5直接工程费单价表!#REF!</definedName>
    <definedName name="机50049">[1]附表5直接工程费单价表!#REF!</definedName>
    <definedName name="机50050" localSheetId="6">[1]附表5直接工程费单价表!#REF!</definedName>
    <definedName name="机50050">[1]附表5直接工程费单价表!#REF!</definedName>
    <definedName name="机50113" localSheetId="17">[39]附表4工程费单价表!#REF!</definedName>
    <definedName name="机50113" localSheetId="6">[40]附表4工程费单价表!#REF!</definedName>
    <definedName name="机50113" localSheetId="0">[39]附表4工程费单价表!#REF!</definedName>
    <definedName name="机50113">[40]附表4工程费单价表!#REF!</definedName>
    <definedName name="机50115">0</definedName>
    <definedName name="机70007" localSheetId="17">[19]附表4直接工程费单价表!#REF!</definedName>
    <definedName name="机70007" localSheetId="6">[20]附表4直接工程费单价表!#REF!</definedName>
    <definedName name="机70007" localSheetId="0">[19]附表4直接工程费单价表!#REF!</definedName>
    <definedName name="机70007">[20]附表4直接工程费单价表!#REF!</definedName>
    <definedName name="机70013" localSheetId="17">[19]附表4直接工程费单价表!#REF!</definedName>
    <definedName name="机70013" localSheetId="6">[20]附表4直接工程费单价表!#REF!</definedName>
    <definedName name="机70013" localSheetId="0">[19]附表4直接工程费单价表!#REF!</definedName>
    <definedName name="机70013">[20]附表4直接工程费单价表!#REF!</definedName>
    <definedName name="机70014" localSheetId="17">[19]附表4直接工程费单价表!#REF!</definedName>
    <definedName name="机70014" localSheetId="6">[20]附表4直接工程费单价表!#REF!</definedName>
    <definedName name="机70014" localSheetId="0">[19]附表4直接工程费单价表!#REF!</definedName>
    <definedName name="机70014">[20]附表4直接工程费单价表!#REF!</definedName>
    <definedName name="机70070" localSheetId="17">[19]附表4直接工程费单价表!#REF!</definedName>
    <definedName name="机70070" localSheetId="6">[20]附表4直接工程费单价表!#REF!</definedName>
    <definedName name="机70070" localSheetId="0">[19]附表4直接工程费单价表!#REF!</definedName>
    <definedName name="机70070">[20]附表4直接工程费单价表!#REF!</definedName>
    <definedName name="机70105" localSheetId="17">[19]附表4直接工程费单价表!#REF!</definedName>
    <definedName name="机70105" localSheetId="6">[20]附表4直接工程费单价表!#REF!</definedName>
    <definedName name="机70105" localSheetId="0">[19]附表4直接工程费单价表!#REF!</definedName>
    <definedName name="机70105">[20]附表4直接工程费单价表!#REF!</definedName>
    <definedName name="机70106" localSheetId="17">[19]附表4直接工程费单价表!#REF!</definedName>
    <definedName name="机70106" localSheetId="6">[20]附表4直接工程费单价表!#REF!</definedName>
    <definedName name="机70106" localSheetId="0">[19]附表4直接工程费单价表!#REF!</definedName>
    <definedName name="机70106">[20]附表4直接工程费单价表!#REF!</definedName>
    <definedName name="机70125" localSheetId="17">[19]附表4直接工程费单价表!#REF!</definedName>
    <definedName name="机70125" localSheetId="6">[20]附表4直接工程费单价表!#REF!</definedName>
    <definedName name="机70125" localSheetId="0">[19]附表4直接工程费单价表!#REF!</definedName>
    <definedName name="机70125">[20]附表4直接工程费单价表!#REF!</definedName>
    <definedName name="机70194" localSheetId="6">[1]附表5直接工程费单价表!#REF!</definedName>
    <definedName name="机70194">[1]附表5直接工程费单价表!#REF!</definedName>
    <definedName name="机70195" localSheetId="6">[1]附表5直接工程费单价表!#REF!</definedName>
    <definedName name="机70195">[1]附表5直接工程费单价表!#REF!</definedName>
    <definedName name="机70196" localSheetId="6">[1]附表5直接工程费单价表!#REF!</definedName>
    <definedName name="机70196">[1]附表5直接工程费单价表!#REF!</definedName>
    <definedName name="机80015" localSheetId="17">[19]附表4直接工程费单价表!#REF!</definedName>
    <definedName name="机80015" localSheetId="6">[20]附表4直接工程费单价表!#REF!</definedName>
    <definedName name="机80015" localSheetId="0">[19]附表4直接工程费单价表!#REF!</definedName>
    <definedName name="机80015">[20]附表4直接工程费单价表!#REF!</definedName>
    <definedName name="机80015加800162" localSheetId="17">[19]附表4直接工程费单价表!#REF!</definedName>
    <definedName name="机80015加800162" localSheetId="6">[20]附表4直接工程费单价表!#REF!</definedName>
    <definedName name="机80015加800162" localSheetId="0">[19]附表4直接工程费单价表!#REF!</definedName>
    <definedName name="机80015加800162">[20]附表4直接工程费单价表!#REF!</definedName>
    <definedName name="机80015减80016" localSheetId="17">[19]附表4直接工程费单价表!#REF!</definedName>
    <definedName name="机80015减80016" localSheetId="6">[20]附表4直接工程费单价表!#REF!</definedName>
    <definedName name="机80015减80016" localSheetId="0">[19]附表4直接工程费单价表!#REF!</definedName>
    <definedName name="机80015减80016">[20]附表4直接工程费单价表!#REF!</definedName>
    <definedName name="机80023加8002410" localSheetId="17">[19]附表4直接工程费单价表!#REF!</definedName>
    <definedName name="机80023加8002410" localSheetId="6">[20]附表4直接工程费单价表!#REF!</definedName>
    <definedName name="机80023加8002410" localSheetId="0">[19]附表4直接工程费单价表!#REF!</definedName>
    <definedName name="机80023加8002410">[20]附表4直接工程费单价表!#REF!</definedName>
    <definedName name="机80033" localSheetId="17">[19]附表4直接工程费单价表!#REF!</definedName>
    <definedName name="机80033" localSheetId="6">[20]附表4直接工程费单价表!#REF!</definedName>
    <definedName name="机80033" localSheetId="0">[19]附表4直接工程费单价表!#REF!</definedName>
    <definedName name="机80033">[20]附表4直接工程费单价表!#REF!</definedName>
    <definedName name="机80034" localSheetId="17">[19]附表4直接工程费单价表!#REF!</definedName>
    <definedName name="机80034" localSheetId="6">[20]附表4直接工程费单价表!#REF!</definedName>
    <definedName name="机80034" localSheetId="0">[19]附表4直接工程费单价表!#REF!</definedName>
    <definedName name="机80034">[20]附表4直接工程费单价表!#REF!</definedName>
    <definedName name="机90014" localSheetId="6">[1]附表5直接工程费单价表!#REF!</definedName>
    <definedName name="机90014">[1]附表5直接工程费单价表!#REF!</definedName>
    <definedName name="机90017" localSheetId="6">[1]附表5直接工程费单价表!#REF!</definedName>
    <definedName name="机90017">[1]附表5直接工程费单价表!#REF!</definedName>
    <definedName name="机90017A" localSheetId="6">[1]附表5直接工程费单价表!#REF!</definedName>
    <definedName name="机90017A">[1]附表5直接工程费单价表!#REF!</definedName>
    <definedName name="机90085" localSheetId="6">[1]附表5直接工程费单价表!#REF!</definedName>
    <definedName name="机90085">[1]附表5直接工程费单价表!#REF!</definedName>
    <definedName name="机90086" localSheetId="6">[1]附表5直接工程费单价表!#REF!</definedName>
    <definedName name="机90086">[1]附表5直接工程费单价表!#REF!</definedName>
    <definedName name="机90087" localSheetId="6">[1]附表5直接工程费单价表!#REF!</definedName>
    <definedName name="机90087">[1]附表5直接工程费单价表!#REF!</definedName>
    <definedName name="机90087A" localSheetId="6">[1]附表5直接工程费单价表!#REF!</definedName>
    <definedName name="机90087A">[1]附表5直接工程费单价表!#REF!</definedName>
    <definedName name="机90136" localSheetId="6">[1]附表5直接工程费单价表!#REF!</definedName>
    <definedName name="机90136">[1]附表5直接工程费单价表!#REF!</definedName>
    <definedName name="机90147" localSheetId="6">[1]附表5直接工程费单价表!#REF!</definedName>
    <definedName name="机90147">[1]附表5直接工程费单价表!#REF!</definedName>
    <definedName name="机90189">0</definedName>
    <definedName name="机补1">0</definedName>
    <definedName name="机补1A">0</definedName>
    <definedName name="机补2" localSheetId="6">[1]附表5直接工程费单价表!#REF!</definedName>
    <definedName name="机补2">[1]附表5直接工程费单价表!#REF!</definedName>
    <definedName name="机补3" localSheetId="6">[1]附表5直接工程费单价表!#REF!</definedName>
    <definedName name="机补3">[1]附表5直接工程费单价表!#REF!</definedName>
    <definedName name="机补4">0</definedName>
    <definedName name="机补5">0</definedName>
    <definedName name="机电安装111" localSheetId="6" hidden="1">#REF!</definedName>
    <definedName name="机电安装111" hidden="1">#REF!</definedName>
    <definedName name="机动翻斗车1t" localSheetId="6">[1]附表3机械台班!#REF!</definedName>
    <definedName name="机动翻斗车1t">[1]附表3机械台班!#REF!</definedName>
    <definedName name="机建11_25换" localSheetId="6">[1]附表5直接工程费单价表!#REF!</definedName>
    <definedName name="机建11_25换">[1]附表5直接工程费单价表!#REF!</definedName>
    <definedName name="机建4_10换" localSheetId="6">[1]附表5直接工程费单价表!#REF!</definedName>
    <definedName name="机建4_10换">[1]附表5直接工程费单价表!#REF!</definedName>
    <definedName name="机井" localSheetId="6">#REF!</definedName>
    <definedName name="机井">#REF!</definedName>
    <definedName name="机械调差系数" localSheetId="17">#REF!</definedName>
    <definedName name="机械调差系数" localSheetId="6">#REF!</definedName>
    <definedName name="机械调差系数" localSheetId="0">#REF!</definedName>
    <definedName name="机械调差系数">#REF!</definedName>
    <definedName name="机械库" localSheetId="17">#REF!</definedName>
    <definedName name="机械库" localSheetId="6">#REF!</definedName>
    <definedName name="机械库" localSheetId="0">#REF!</definedName>
    <definedName name="机械库">#REF!</definedName>
    <definedName name="机械库1" localSheetId="17">#REF!</definedName>
    <definedName name="机械库1" localSheetId="6">#REF!</definedName>
    <definedName name="机械库1" localSheetId="0">#REF!</definedName>
    <definedName name="机械库1">#REF!</definedName>
    <definedName name="机油" localSheetId="17">[19]附表2材料价格计算表!#REF!</definedName>
    <definedName name="机油" localSheetId="6">[20]附表2材料价格计算表!#REF!</definedName>
    <definedName name="机油" localSheetId="0">[19]附表2材料价格计算表!#REF!</definedName>
    <definedName name="机油">[20]附表2材料价格计算表!#REF!</definedName>
    <definedName name="基本电价" localSheetId="17">[19]附表2材料价格计算表!#REF!</definedName>
    <definedName name="基本电价" localSheetId="6">[20]附表2材料价格计算表!#REF!</definedName>
    <definedName name="基本电价" localSheetId="0">[19]附表2材料价格计算表!#REF!</definedName>
    <definedName name="基本电价">[20]附表2材料价格计算表!#REF!</definedName>
    <definedName name="技工">[59]人工工资!$E$19</definedName>
    <definedName name="甲苯" localSheetId="6">[1]附表2材料价格表!#REF!</definedName>
    <definedName name="甲苯">[1]附表2材料价格表!#REF!</definedName>
    <definedName name="甲类" localSheetId="17">[56]附表1人工单价表!#REF!</definedName>
    <definedName name="甲类" localSheetId="6">[60]附表1人工单价表!#REF!</definedName>
    <definedName name="甲类" localSheetId="0">[56]附表1人工单价表!#REF!</definedName>
    <definedName name="甲类">[60]附表1人工单价表!#REF!</definedName>
    <definedName name="价_元" localSheetId="0">'[30]#REF'!$F$2</definedName>
    <definedName name="价_元">'[31]#REF'!$F$2</definedName>
    <definedName name="间接安装">[59]基础参数值!$I$23</definedName>
    <definedName name="间接钢筋">[59]基础参数值!$I$19</definedName>
    <definedName name="间接其它">[59]基础参数值!$I$22</definedName>
    <definedName name="间接砌石">[59]基础参数值!$I$17</definedName>
    <definedName name="间接砼">[59]基础参数值!$I$18</definedName>
    <definedName name="间接土方">[59]基础参数值!$I$15</definedName>
    <definedName name="间接钻孔">[59]基础参数值!$I$20</definedName>
    <definedName name="简易缆索机40t" localSheetId="6">[1]附表3机械台班!#REF!</definedName>
    <definedName name="简易缆索机40t">[1]附表3机械台班!#REF!</definedName>
    <definedName name="碱粉" localSheetId="6">[1]附表2材料价格表!#REF!</definedName>
    <definedName name="碱粉">[1]附表2材料价格表!#REF!</definedName>
    <definedName name="交流电焊机30" localSheetId="17">#REF!</definedName>
    <definedName name="交流电焊机30" localSheetId="6">#REF!</definedName>
    <definedName name="交流电焊机30" localSheetId="0">#REF!</definedName>
    <definedName name="交流电焊机30">#REF!</definedName>
    <definedName name="胶φ76" localSheetId="6">[1]附表2材料价格表!#REF!</definedName>
    <definedName name="胶φ76">[1]附表2材料价格表!#REF!</definedName>
    <definedName name="胶轮车" localSheetId="6">[1]附表3机械台班!#REF!</definedName>
    <definedName name="胶轮车">[1]附表3机械台班!#REF!</definedName>
    <definedName name="胶轮架子车" localSheetId="17">#REF!</definedName>
    <definedName name="胶轮架子车" localSheetId="6">#REF!</definedName>
    <definedName name="胶轮架子车" localSheetId="0">#REF!</definedName>
    <definedName name="胶轮架子车">#REF!</definedName>
    <definedName name="胶圈φ110" localSheetId="6">[1]附表2材料价格表!#REF!</definedName>
    <definedName name="胶圈φ110">[1]附表2材料价格表!#REF!</definedName>
    <definedName name="胶圈φ125" localSheetId="6">[1]附表2材料价格表!#REF!</definedName>
    <definedName name="胶圈φ125">[1]附表2材料价格表!#REF!</definedName>
    <definedName name="胶圈φ160" localSheetId="6">[1]附表2材料价格表!#REF!</definedName>
    <definedName name="胶圈φ160">[1]附表2材料价格表!#REF!</definedName>
    <definedName name="胶圈φ200" localSheetId="6">[1]附表2材料价格表!#REF!</definedName>
    <definedName name="胶圈φ200">[1]附表2材料价格表!#REF!</definedName>
    <definedName name="胶圈φ225" localSheetId="6">[1]附表2材料价格表!#REF!</definedName>
    <definedName name="胶圈φ225">[1]附表2材料价格表!#REF!</definedName>
    <definedName name="胶圈φ250" localSheetId="6">[1]附表2材料价格表!#REF!</definedName>
    <definedName name="胶圈φ250">[1]附表2材料价格表!#REF!</definedName>
    <definedName name="胶圈φ315" localSheetId="6">[1]附表2材料价格表!#REF!</definedName>
    <definedName name="胶圈φ315">[1]附表2材料价格表!#REF!</definedName>
    <definedName name="胶圈φ355" localSheetId="6">[1]附表2材料价格表!#REF!</definedName>
    <definedName name="胶圈φ355">[1]附表2材料价格表!#REF!</definedName>
    <definedName name="胶圈φ400" localSheetId="6">[1]附表2材料价格表!#REF!</definedName>
    <definedName name="胶圈φ400">[1]附表2材料价格表!#REF!</definedName>
    <definedName name="胶圈φ76" localSheetId="6">[1]附表2材料价格表!#REF!</definedName>
    <definedName name="胶圈φ76">[1]附表2材料价格表!#REF!</definedName>
    <definedName name="胶圈φ90" localSheetId="6">[1]附表2材料价格表!#REF!</definedName>
    <definedName name="胶圈φ90">[1]附表2材料价格表!#REF!</definedName>
    <definedName name="焦油膏" localSheetId="0">[44]材价汇!$D$51</definedName>
    <definedName name="焦油膏">[45]材价汇!$D$51</definedName>
    <definedName name="搅拌机0.25m3" localSheetId="6">[1]附表3机械台班!#REF!</definedName>
    <definedName name="搅拌机0.25m3">[1]附表3机械台班!#REF!</definedName>
    <definedName name="搅拌机0.4m3" localSheetId="6">[1]附表3机械台班!#REF!</definedName>
    <definedName name="搅拌机0.4m3">[1]附表3机械台班!#REF!</definedName>
    <definedName name="搅拌机出料0.4m3">[43]附表3机械!$K$54</definedName>
    <definedName name="接头" localSheetId="17">[19]附表2材料价格计算表!#REF!</definedName>
    <definedName name="接头" localSheetId="6">[20]附表2材料价格计算表!#REF!</definedName>
    <definedName name="接头" localSheetId="0">[19]附表2材料价格计算表!#REF!</definedName>
    <definedName name="接头">[20]附表2材料价格计算表!#REF!</definedName>
    <definedName name="截阀开关φ90×76" localSheetId="6">[1]附表2材料价格表!#REF!</definedName>
    <definedName name="截阀开关φ90×76">[1]附表2材料价格表!#REF!</definedName>
    <definedName name="截止阀开关φ90×76" localSheetId="6">[1]附表2材料价格表!#REF!</definedName>
    <definedName name="截止阀开关φ90×76">[1]附表2材料价格表!#REF!</definedName>
    <definedName name="精制六角带帽螺栓M161460" localSheetId="17">[19]附表2材料价格计算表!#REF!</definedName>
    <definedName name="精制六角带帽螺栓M161460" localSheetId="6">[20]附表2材料价格计算表!#REF!</definedName>
    <definedName name="精制六角带帽螺栓M161460" localSheetId="0">[19]附表2材料价格计算表!#REF!</definedName>
    <definedName name="精制六角带帽螺栓M161460">[20]附表2材料价格计算表!#REF!</definedName>
    <definedName name="精致六角带帽螺栓M101470" localSheetId="17">[19]附表2材料价格计算表!#REF!</definedName>
    <definedName name="精致六角带帽螺栓M101470" localSheetId="6">[20]附表2材料价格计算表!#REF!</definedName>
    <definedName name="精致六角带帽螺栓M101470" localSheetId="0">[19]附表2材料价格计算表!#REF!</definedName>
    <definedName name="精致六角带帽螺栓M101470">[20]附表2材料价格计算表!#REF!</definedName>
    <definedName name="锯材" localSheetId="6">[1]附表2材料价格表!#REF!</definedName>
    <definedName name="锯材" localSheetId="0">[48]附表2材料价格计算表!$D$20</definedName>
    <definedName name="锯材">[1]附表2材料价格表!#REF!</definedName>
    <definedName name="聚氨酯" localSheetId="17">[19]附表2材料价格计算表!#REF!</definedName>
    <definedName name="聚氨酯" localSheetId="6">[20]附表2材料价格计算表!#REF!</definedName>
    <definedName name="聚氨酯" localSheetId="0">[19]附表2材料价格计算表!#REF!</definedName>
    <definedName name="聚氨酯">[20]附表2材料价格计算表!#REF!</definedName>
    <definedName name="聚乙烯胶泥" localSheetId="17">[19]附表2材料价格计算表!#REF!</definedName>
    <definedName name="聚乙烯胶泥" localSheetId="6">[20]附表2材料价格计算表!#REF!</definedName>
    <definedName name="聚乙烯胶泥" localSheetId="0">[19]附表2材料价格计算表!#REF!</definedName>
    <definedName name="聚乙烯胶泥">[20]附表2材料价格计算表!#REF!</definedName>
    <definedName name="卷板机" localSheetId="17">#REF!</definedName>
    <definedName name="卷板机" localSheetId="6">#REF!</definedName>
    <definedName name="卷板机" localSheetId="0">#REF!</definedName>
    <definedName name="卷板机">#REF!</definedName>
    <definedName name="卷扬机3t" localSheetId="6">[1]附表3机械台班!#REF!</definedName>
    <definedName name="卷扬机3t" localSheetId="0">[48]附表3机械台班计算表!$K$94</definedName>
    <definedName name="卷扬机3t">[1]附表3机械台班!#REF!</definedName>
    <definedName name="卷扬机5t" localSheetId="17">#REF!</definedName>
    <definedName name="卷扬机5t" localSheetId="6">#REF!</definedName>
    <definedName name="卷扬机5t" localSheetId="0">#REF!</definedName>
    <definedName name="卷扬机5t">#REF!</definedName>
    <definedName name="竣工验收费" localSheetId="6">#REF!</definedName>
    <definedName name="竣工验收费">#REF!</definedName>
    <definedName name="竣工验收费南" localSheetId="0">'[35]表5-3竣工验收费南 '!$E$9</definedName>
    <definedName name="竣工验收费南">'[36]表5-3竣工验收费南 '!$E$9</definedName>
    <definedName name="竣工验收费预算表" localSheetId="0">'[56]表5-3竣工'!$E$14</definedName>
    <definedName name="竣工验收费预算表">'[60]表5-3竣工'!$E$14</definedName>
    <definedName name="卡扣" localSheetId="0">[44]材价汇!$D$30</definedName>
    <definedName name="卡扣">[43]附表2材料!$D$29</definedName>
    <definedName name="卡扣件" localSheetId="17">#REF!</definedName>
    <definedName name="卡扣件" localSheetId="6">#REF!</definedName>
    <definedName name="卡扣件" localSheetId="0">#REF!</definedName>
    <definedName name="卡扣件">#REF!</definedName>
    <definedName name="卡子φ110" localSheetId="6">[1]附表2材料价格表!#REF!</definedName>
    <definedName name="卡子φ110">[1]附表2材料价格表!#REF!</definedName>
    <definedName name="卡子φ125" localSheetId="6">[1]附表2材料价格表!#REF!</definedName>
    <definedName name="卡子φ125">[1]附表2材料价格表!#REF!</definedName>
    <definedName name="卡子φ160" localSheetId="6">[1]附表2材料价格表!#REF!</definedName>
    <definedName name="卡子φ160">[1]附表2材料价格表!#REF!</definedName>
    <definedName name="卡子φ200" localSheetId="6">[1]附表2材料价格表!#REF!</definedName>
    <definedName name="卡子φ200">[1]附表2材料价格表!#REF!</definedName>
    <definedName name="卡子φ225" localSheetId="6">[1]附表2材料价格表!#REF!</definedName>
    <definedName name="卡子φ225">[1]附表2材料价格表!#REF!</definedName>
    <definedName name="卡子φ250" localSheetId="6">[1]附表2材料价格表!#REF!</definedName>
    <definedName name="卡子φ250">[1]附表2材料价格表!#REF!</definedName>
    <definedName name="卡子φ315" localSheetId="6">[1]附表2材料价格表!#REF!</definedName>
    <definedName name="卡子φ315">[1]附表2材料价格表!#REF!</definedName>
    <definedName name="卡子φ355" localSheetId="6">[1]附表2材料价格表!#REF!</definedName>
    <definedName name="卡子φ355">[1]附表2材料价格表!#REF!</definedName>
    <definedName name="卡子φ400" localSheetId="6">[1]附表2材料价格表!#REF!</definedName>
    <definedName name="卡子φ400">[1]附表2材料价格表!#REF!</definedName>
    <definedName name="卡子φ500" localSheetId="6">[1]附表2材料价格表!#REF!</definedName>
    <definedName name="卡子φ500">[1]附表2材料价格表!#REF!</definedName>
    <definedName name="卡子φ90" localSheetId="6">[1]附表2材料价格表!#REF!</definedName>
    <definedName name="卡子φ90">[1]附表2材料价格表!#REF!</definedName>
    <definedName name="开挖" localSheetId="17">[61]新定额单价!#REF!</definedName>
    <definedName name="开挖" localSheetId="6">[62]新定额单价!#REF!</definedName>
    <definedName name="开挖" localSheetId="0">[61]新定额单价!#REF!</definedName>
    <definedName name="开挖">[62]新定额单价!#REF!</definedName>
    <definedName name="空气阀φ120" localSheetId="6">[1]附表2材料价格表!#REF!</definedName>
    <definedName name="空气阀φ120">[1]附表2材料价格表!#REF!</definedName>
    <definedName name="空气阀φ140" localSheetId="6">[1]附表2材料价格表!#REF!</definedName>
    <definedName name="空气阀φ140">[1]附表2材料价格表!#REF!</definedName>
    <definedName name="空气阀φ160" localSheetId="6">[1]附表2材料价格表!#REF!</definedName>
    <definedName name="空气阀φ160">[1]附表2材料价格表!#REF!</definedName>
    <definedName name="空心钢" localSheetId="17">#REF!</definedName>
    <definedName name="空心钢" localSheetId="6">#REF!</definedName>
    <definedName name="空心钢" localSheetId="0">#REF!</definedName>
    <definedName name="空心钢">#REF!</definedName>
    <definedName name="控制价" localSheetId="6">#REF!</definedName>
    <definedName name="控制价">#REF!</definedName>
    <definedName name="块石" localSheetId="17">#REF!</definedName>
    <definedName name="块石" localSheetId="6">#REF!</definedName>
    <definedName name="块石" localSheetId="0">#REF!</definedName>
    <definedName name="块石">#REF!</definedName>
    <definedName name="扩大估算">[59]基础参数值!$F$5</definedName>
    <definedName name="拉模" localSheetId="17">#REF!</definedName>
    <definedName name="拉模" localSheetId="6">#REF!</definedName>
    <definedName name="拉模" localSheetId="0">#REF!</definedName>
    <definedName name="拉模">#REF!</definedName>
    <definedName name="拉线板_60_12" localSheetId="6">[1]附表2材料价格表!#REF!</definedName>
    <definedName name="拉线板_60_12">[1]附表2材料价格表!#REF!</definedName>
    <definedName name="拉线棒￠16_2500" localSheetId="6">[1]附表2材料价格表!#REF!</definedName>
    <definedName name="拉线棒￠16_2500">[1]附表2材料价格表!#REF!</definedName>
    <definedName name="拉线盘_LP_6_混凝土" localSheetId="6">[1]附表2材料价格表!#REF!</definedName>
    <definedName name="拉线盘_LP_6_混凝土">[1]附表2材料价格表!#REF!</definedName>
    <definedName name="拉线盘_LP_6混凝土" localSheetId="6">[1]附表2材料价格表!#REF!</definedName>
    <definedName name="拉线盘_LP_6混凝土">[1]附表2材料价格表!#REF!</definedName>
    <definedName name="拉线盘_LP_8混凝土" localSheetId="6">[1]附表2材料价格表!#REF!</definedName>
    <definedName name="拉线盘_LP_8混凝土">[1]附表2材料价格表!#REF!</definedName>
    <definedName name="拉线盘0.3_0.6" localSheetId="6">[1]附表2材料价格表!#REF!</definedName>
    <definedName name="拉线盘0.3_0.6">[1]附表2材料价格表!#REF!</definedName>
    <definedName name="拉线盘LP_6混凝土" localSheetId="6">[1]附表2材料价格表!#REF!</definedName>
    <definedName name="拉线盘LP_6混凝土">[1]附表2材料价格表!#REF!</definedName>
    <definedName name="拉线盘LP_8混凝土" localSheetId="6">[1]附表2材料价格表!#REF!</definedName>
    <definedName name="拉线盘LP_8混凝土">[1]附表2材料价格表!#REF!</definedName>
    <definedName name="雷管" localSheetId="17">#REF!</definedName>
    <definedName name="雷管" localSheetId="6">#REF!</definedName>
    <definedName name="雷管" localSheetId="0">#REF!</definedName>
    <definedName name="雷管">#REF!</definedName>
    <definedName name="离心式水泵7kw" localSheetId="17">#REF!</definedName>
    <definedName name="离心式水泵7kw" localSheetId="6">#REF!</definedName>
    <definedName name="离心式水泵7kw" localSheetId="0">#REF!</definedName>
    <definedName name="离心式水泵7kw">#REF!</definedName>
    <definedName name="离心水泵17kw" localSheetId="17">#REF!</definedName>
    <definedName name="离心水泵17kw" localSheetId="6">#REF!</definedName>
    <definedName name="离心水泵17kw" localSheetId="0">#REF!</definedName>
    <definedName name="离心水泵17kw">#REF!</definedName>
    <definedName name="离心水泵55kw" localSheetId="17">#REF!</definedName>
    <definedName name="离心水泵55kw" localSheetId="6">#REF!</definedName>
    <definedName name="离心水泵55kw" localSheetId="0">#REF!</definedName>
    <definedName name="离心水泵55kw">#REF!</definedName>
    <definedName name="立" localSheetId="17">[33]定额!#REF!</definedName>
    <definedName name="立" localSheetId="6">[33]定额!#REF!</definedName>
    <definedName name="立" localSheetId="0">[33]定额!#REF!</definedName>
    <definedName name="立">[33]定额!#REF!</definedName>
    <definedName name="立管φ33×1000" localSheetId="6">[1]附表2材料价格表!#REF!</definedName>
    <definedName name="立管φ33×1000">[1]附表2材料价格表!#REF!</definedName>
    <definedName name="立支柱" localSheetId="17">[32]定额!#REF!</definedName>
    <definedName name="立支柱" localSheetId="6">[32]定额!#REF!</definedName>
    <definedName name="立支柱" localSheetId="0">[32]定额!#REF!</definedName>
    <definedName name="立支柱">[32]定额!#REF!</definedName>
    <definedName name="立支柱1" localSheetId="17">[32]定额!#REF!</definedName>
    <definedName name="立支柱1" localSheetId="6">[32]定额!#REF!</definedName>
    <definedName name="立支柱1" localSheetId="0">[32]定额!#REF!</definedName>
    <definedName name="立支柱1">[32]定额!#REF!</definedName>
    <definedName name="沥青" localSheetId="17">#REF!</definedName>
    <definedName name="沥青" localSheetId="6">#REF!</definedName>
    <definedName name="沥青" localSheetId="0">#REF!</definedName>
    <definedName name="沥青">#REF!</definedName>
    <definedName name="砾料" localSheetId="6">[1]附表2材料价格表!#REF!</definedName>
    <definedName name="砾料">[1]附表2材料价格表!#REF!</definedName>
    <definedName name="砾石" localSheetId="17">[19]附表2材料价格计算表!#REF!</definedName>
    <definedName name="砾石" localSheetId="6">[1]附表2材料价格表!#REF!</definedName>
    <definedName name="砾石" localSheetId="0">[19]附表2材料价格计算表!#REF!</definedName>
    <definedName name="砾石">[1]附表2材料价格表!#REF!</definedName>
    <definedName name="砾石30mm" localSheetId="6">[1]附表2材料价格表!#REF!</definedName>
    <definedName name="砾石30mm">[1]附表2材料价格表!#REF!</definedName>
    <definedName name="砾石40mm" localSheetId="6">[1]附表2材料价格表!#REF!</definedName>
    <definedName name="砾石40mm">[1]附表2材料价格表!#REF!</definedName>
    <definedName name="砾石50mm" localSheetId="6">[1]附表2材料价格表!#REF!</definedName>
    <definedName name="砾石50mm">[1]附表2材料价格表!#REF!</definedName>
    <definedName name="联板LV_1214" localSheetId="6">[1]附表2材料价格表!#REF!</definedName>
    <definedName name="联板LV_1214">[1]附表2材料价格表!#REF!</definedName>
    <definedName name="林施工费" localSheetId="0">'[35]表3工程施工费南 '!$H$511</definedName>
    <definedName name="林施工费">'[36]表3工程施工费南 '!$H$511</definedName>
    <definedName name="零星卡具" localSheetId="6">[1]附表2材料价格表!#REF!</definedName>
    <definedName name="零星卡具">[1]附表2材料价格表!#REF!</definedName>
    <definedName name="柳树" localSheetId="17">[19]附表2材料价格计算表!#REF!</definedName>
    <definedName name="柳树" localSheetId="6">[20]附表2材料价格计算表!#REF!</definedName>
    <definedName name="柳树" localSheetId="0">[19]附表2材料价格计算表!#REF!</definedName>
    <definedName name="柳树">[20]附表2材料价格计算表!#REF!</definedName>
    <definedName name="六排沟涵洞_含56米渠道" localSheetId="17">#REF!</definedName>
    <definedName name="六排沟涵洞_含56米渠道" localSheetId="6">#REF!</definedName>
    <definedName name="六排沟涵洞_含56米渠道" localSheetId="0">#REF!</definedName>
    <definedName name="六排沟涵洞_含56米渠道">#REF!</definedName>
    <definedName name="龙门式起重机10" localSheetId="17">#REF!</definedName>
    <definedName name="龙门式起重机10" localSheetId="6">#REF!</definedName>
    <definedName name="龙门式起重机10" localSheetId="0">#REF!</definedName>
    <definedName name="龙门式起重机10">#REF!</definedName>
    <definedName name="路措施费南" localSheetId="17">#REF!</definedName>
    <definedName name="路措施费南" localSheetId="6">#REF!</definedName>
    <definedName name="路措施费南" localSheetId="0">#REF!</definedName>
    <definedName name="路措施费南">#REF!</definedName>
    <definedName name="路间接费南" localSheetId="17">#REF!</definedName>
    <definedName name="路间接费南" localSheetId="6">#REF!</definedName>
    <definedName name="路间接费南" localSheetId="0">#REF!</definedName>
    <definedName name="路间接费南">#REF!</definedName>
    <definedName name="路施工费" localSheetId="0">'[35]表3工程施工费南 '!$H$483</definedName>
    <definedName name="路施工费">'[36]表3工程施工费南 '!$H$483</definedName>
    <definedName name="卵石" localSheetId="6">[1]附表2材料价格表!#REF!</definedName>
    <definedName name="卵石" localSheetId="0">'[44]表3-1直接费预算表达式1'!$D$11</definedName>
    <definedName name="卵石">[1]附表2材料价格表!#REF!</definedName>
    <definedName name="轮胎起重机16t" localSheetId="17">#REF!</definedName>
    <definedName name="轮胎起重机16t" localSheetId="6">#REF!</definedName>
    <definedName name="轮胎起重机16t" localSheetId="0">#REF!</definedName>
    <definedName name="轮胎起重机16t">#REF!</definedName>
    <definedName name="螺杆" localSheetId="6">[1]附表2材料价格表!#REF!</definedName>
    <definedName name="螺杆">[1]附表2材料价格表!#REF!</definedName>
    <definedName name="螺杆16_60" localSheetId="6">[1]附表2材料价格表!#REF!</definedName>
    <definedName name="螺杆16_60">[1]附表2材料价格表!#REF!</definedName>
    <definedName name="螺杆卡子" localSheetId="6">[1]附表2材料价格表!#REF!</definedName>
    <definedName name="螺杆卡子">[1]附表2材料价格表!#REF!</definedName>
    <definedName name="螺杆卡子5_30" localSheetId="6">[1]附表2材料价格表!#REF!</definedName>
    <definedName name="螺杆卡子5_30">[1]附表2材料价格表!#REF!</definedName>
    <definedName name="螺栓" localSheetId="6">[1]附表2材料价格表!#REF!</definedName>
    <definedName name="螺栓">[1]附表2材料价格表!#REF!</definedName>
    <definedName name="螺栓、铁件" localSheetId="6">[1]附表2材料价格表!#REF!</definedName>
    <definedName name="螺栓、铁件">[1]附表2材料价格表!#REF!</definedName>
    <definedName name="螺栓φ18×80" localSheetId="6">[1]附表2材料价格表!#REF!</definedName>
    <definedName name="螺栓φ18×80">[1]附表2材料价格表!#REF!</definedName>
    <definedName name="螺栓φ20×80" localSheetId="6">[1]附表2材料价格表!#REF!</definedName>
    <definedName name="螺栓φ20×80">[1]附表2材料价格表!#REF!</definedName>
    <definedName name="螺丝￠16_300" localSheetId="6">[1]附表2材料价格表!#REF!</definedName>
    <definedName name="螺丝￠16_300">[1]附表2材料价格表!#REF!</definedName>
    <definedName name="螺丝￠16_80" localSheetId="6">[1]附表2材料价格表!#REF!</definedName>
    <definedName name="螺丝￠16_80">[1]附表2材料价格表!#REF!</definedName>
    <definedName name="螺丝￠18_300" localSheetId="6">[1]附表2材料价格表!#REF!</definedName>
    <definedName name="螺丝￠18_300">[1]附表2材料价格表!#REF!</definedName>
    <definedName name="螺丝￠18_80" localSheetId="6">[1]附表2材料价格表!#REF!</definedName>
    <definedName name="螺丝￠18_80">[1]附表2材料价格表!#REF!</definedName>
    <definedName name="铝包带" localSheetId="6">[1]附表2材料价格表!#REF!</definedName>
    <definedName name="铝包带">[1]附表2材料价格表!#REF!</definedName>
    <definedName name="铝包带10" localSheetId="6">[1]附表2材料价格表!#REF!</definedName>
    <definedName name="铝包带10">[1]附表2材料价格表!#REF!</definedName>
    <definedName name="铝三通φ76×1.2×6000" localSheetId="6">[1]附表2材料价格表!#REF!</definedName>
    <definedName name="铝三通φ76×1.2×6000">[1]附表2材料价格表!#REF!</definedName>
    <definedName name="铝三通φ76×1.2×9000" localSheetId="6">[1]附表2材料价格表!#REF!</definedName>
    <definedName name="铝三通φ76×1.2×9000">[1]附表2材料价格表!#REF!</definedName>
    <definedName name="铝直管φ76×1.2×6000" localSheetId="6">[1]附表2材料价格表!#REF!</definedName>
    <definedName name="铝直管φ76×1.2×6000">[1]附表2材料价格表!#REF!</definedName>
    <definedName name="履带起重机10t" localSheetId="17">#REF!</definedName>
    <definedName name="履带起重机10t" localSheetId="6">#REF!</definedName>
    <definedName name="履带起重机10t" localSheetId="0">#REF!</definedName>
    <definedName name="履带起重机10t">#REF!</definedName>
    <definedName name="履带起重机油动15t" localSheetId="0">[44]机械汇总!$K$82</definedName>
    <definedName name="履带起重机油动15t">[53]附表3机械台班计算表!$K$48</definedName>
    <definedName name="滤料" localSheetId="6">[1]附表2材料价格表!#REF!</definedName>
    <definedName name="滤料">[1]附表2材料价格表!#REF!</definedName>
    <definedName name="滤网" localSheetId="6">[1]附表2材料价格表!#REF!</definedName>
    <definedName name="滤网">[1]附表2材料价格表!#REF!</definedName>
    <definedName name="滤油纸" localSheetId="17">[19]附表2材料价格计算表!#REF!</definedName>
    <definedName name="滤油纸" localSheetId="6">[20]附表2材料价格计算表!#REF!</definedName>
    <definedName name="滤油纸" localSheetId="0">[19]附表2材料价格计算表!#REF!</definedName>
    <definedName name="滤油纸">[20]附表2材料价格计算表!#REF!</definedName>
    <definedName name="麻刀" localSheetId="17">[19]附表2材料价格计算表!#REF!</definedName>
    <definedName name="麻刀" localSheetId="6">[20]附表2材料价格计算表!#REF!</definedName>
    <definedName name="麻刀" localSheetId="0">[19]附表2材料价格计算表!#REF!</definedName>
    <definedName name="麻刀">[20]附表2材料价格计算表!#REF!</definedName>
    <definedName name="麻絮" localSheetId="6">[1]附表2材料价格表!#REF!</definedName>
    <definedName name="麻絮">[1]附表2材料价格表!#REF!</definedName>
    <definedName name="马儿庄片区" hidden="1">{"'现金流量表（全部投资）'!$B$4:$P$23"}</definedName>
    <definedName name="毛石" localSheetId="6">[1]附表2材料价格表!#REF!</definedName>
    <definedName name="毛石">[1]附表2材料价格表!#REF!</definedName>
    <definedName name="煤沥青" localSheetId="17">[19]附表2材料价格计算表!#REF!</definedName>
    <definedName name="煤沥青" localSheetId="6">[20]附表2材料价格计算表!#REF!</definedName>
    <definedName name="煤沥青" localSheetId="0">[19]附表2材料价格计算表!#REF!</definedName>
    <definedName name="煤沥青">[20]附表2材料价格计算表!#REF!</definedName>
    <definedName name="煤油" localSheetId="17">[19]附表2材料价格计算表!#REF!</definedName>
    <definedName name="煤油" localSheetId="6">[20]附表2材料价格计算表!#REF!</definedName>
    <definedName name="煤油" localSheetId="0">[19]附表2材料价格计算表!#REF!</definedName>
    <definedName name="煤油">[20]附表2材料价格计算表!#REF!</definedName>
    <definedName name="门窗用木材" localSheetId="6">[1]附表2材料价格表!#REF!</definedName>
    <definedName name="门窗用木材">[1]附表2材料价格表!#REF!</definedName>
    <definedName name="门式起重机10t" localSheetId="6">[1]附表3机械台班!#REF!</definedName>
    <definedName name="门式起重机10t">[1]附表3机械台班!#REF!</definedName>
    <definedName name="门式起重机25" localSheetId="17">#REF!</definedName>
    <definedName name="门式起重机25" localSheetId="6">#REF!</definedName>
    <definedName name="门式起重机25" localSheetId="0">#REF!</definedName>
    <definedName name="门式起重机25">#REF!</definedName>
    <definedName name="门座式起重机高架" localSheetId="17">#REF!</definedName>
    <definedName name="门座式起重机高架" localSheetId="6">#REF!</definedName>
    <definedName name="门座式起重机高架" localSheetId="0">#REF!</definedName>
    <definedName name="门座式起重机高架">#REF!</definedName>
    <definedName name="棉纱头" localSheetId="6">[1]附表2材料价格表!#REF!</definedName>
    <definedName name="棉纱头">[1]附表2材料价格表!#REF!</definedName>
    <definedName name="民族" localSheetId="0">[63]二级代码!$B$2:$B$58</definedName>
    <definedName name="民族">[64]二级代码!$B$2:$B$58</definedName>
    <definedName name="名称及规格" localSheetId="0">'[30]#REF'!$B$2</definedName>
    <definedName name="名称及规格">'[31]#REF'!$B$2</definedName>
    <definedName name="模板用木材" localSheetId="6">[1]附表2材料价格表!#REF!</definedName>
    <definedName name="模板用木材">[1]附表2材料价格表!#REF!</definedName>
    <definedName name="木材" localSheetId="6">[1]附表2材料价格表!#REF!</definedName>
    <definedName name="木材">[1]附表2材料价格表!#REF!</definedName>
    <definedName name="木柴" localSheetId="6">[1]附表2材料价格表!#REF!</definedName>
    <definedName name="木柴" localSheetId="0">[44]材价汇!$D$21</definedName>
    <definedName name="木柴">[1]附表2材料价格表!#REF!</definedName>
    <definedName name="木结构木材" localSheetId="6">[1]附表2材料价格表!#REF!</definedName>
    <definedName name="木结构木材">[1]附表2材料价格表!#REF!</definedName>
    <definedName name="耐张线夹_NLD_2" localSheetId="6">[1]附表2材料价格表!#REF!</definedName>
    <definedName name="耐张线夹_NLD_2">[1]附表2材料价格表!#REF!</definedName>
    <definedName name="耐张线夹NLD_1" localSheetId="6">[1]附表2材料价格表!#REF!</definedName>
    <definedName name="耐张线夹NLD_1">[1]附表2材料价格表!#REF!</definedName>
    <definedName name="耐张线夹NLD_2" localSheetId="6">[1]附表2材料价格表!#REF!</definedName>
    <definedName name="耐张线夹NLD_2">[1]附表2材料价格表!#REF!</definedName>
    <definedName name="耐张线夹NLD2" localSheetId="17">[19]附表2材料价格计算表!#REF!</definedName>
    <definedName name="耐张线夹NLD2" localSheetId="6">[20]附表2材料价格计算表!#REF!</definedName>
    <definedName name="耐张线夹NLD2" localSheetId="0">[19]附表2材料价格计算表!#REF!</definedName>
    <definedName name="耐张线夹NLD2">[20]附表2材料价格计算表!#REF!</definedName>
    <definedName name="内燃压路机12_15t" localSheetId="6">[1]附表3机械台班!#REF!</definedName>
    <definedName name="内燃压路机12_15t">[1]附表3机械台班!#REF!</definedName>
    <definedName name="内燃压路机重量68t" localSheetId="0">[44]机械汇总!$K$24</definedName>
    <definedName name="内燃压路机重量68t">[45]机械汇总!$K$24</definedName>
    <definedName name="泥浆泵3PN" localSheetId="6">[1]附表3机械台班!#REF!</definedName>
    <definedName name="泥浆泵3PN">[1]附表3机械台班!#REF!</definedName>
    <definedName name="泥浆搅拌机" localSheetId="6">[1]附表3机械台班!#REF!</definedName>
    <definedName name="泥浆搅拌机">[1]附表3机械台班!#REF!</definedName>
    <definedName name="拟好" localSheetId="17">#REF!</definedName>
    <definedName name="拟好" localSheetId="6">#REF!</definedName>
    <definedName name="拟好" localSheetId="0">#REF!</definedName>
    <definedName name="拟好">#REF!</definedName>
    <definedName name="你" localSheetId="0" hidden="1">{"'现金流量表（全部投资）'!$B$4:$P$23"}</definedName>
    <definedName name="你" hidden="1">{"'现金流量表（全部投资）'!$B$4:$P$23"}</definedName>
    <definedName name="逆止阀" localSheetId="6">[1]附表2材料价格表!#REF!</definedName>
    <definedName name="逆止阀">[1]附表2材料价格表!#REF!</definedName>
    <definedName name="逆止阀200" localSheetId="6">[4]附表2!#REF!</definedName>
    <definedName name="逆止阀200">[4]附表2!#REF!</definedName>
    <definedName name="宁水8028" localSheetId="6">[4]附表4单价!#REF!</definedName>
    <definedName name="宁水8028">[4]附表4单价!#REF!</definedName>
    <definedName name="宁水8029" localSheetId="6">[4]附表4单价!#REF!</definedName>
    <definedName name="宁水8029">[4]附表4单价!#REF!</definedName>
    <definedName name="宁水8029a" localSheetId="6">[4]附表4单价!#REF!</definedName>
    <definedName name="宁水8029a">[4]附表4单价!#REF!</definedName>
    <definedName name="宁水8031" localSheetId="6">[4]附表4单价!#REF!</definedName>
    <definedName name="宁水8031">[4]附表4单价!#REF!</definedName>
    <definedName name="宁水8032" localSheetId="6">[4]附表4单价!#REF!</definedName>
    <definedName name="宁水8032">[4]附表4单价!#REF!</definedName>
    <definedName name="宁水8033" localSheetId="6">[4]附表4单价!#REF!</definedName>
    <definedName name="宁水8033">[4]附表4单价!#REF!</definedName>
    <definedName name="宁水8034" localSheetId="6">[4]附表4单价!#REF!</definedName>
    <definedName name="宁水8034">[4]附表4单价!#REF!</definedName>
    <definedName name="农田防护林" localSheetId="6">#REF!</definedName>
    <definedName name="农田防护林">#REF!</definedName>
    <definedName name="农田水利" localSheetId="0">[34]表3工程施工费表!$I$9</definedName>
    <definedName name="农田水利">[47]表3工程施工费表!$I$9</definedName>
    <definedName name="排气阀" localSheetId="6">[1]附表2材料价格表!#REF!</definedName>
    <definedName name="排气阀">[1]附表2材料价格表!#REF!</definedName>
    <definedName name="刨毛机" localSheetId="6">[1]附表3机械台班!#REF!</definedName>
    <definedName name="刨毛机">[1]附表3机械台班!#REF!</definedName>
    <definedName name="配电柜" localSheetId="6">[1]附表2材料价格表!#REF!</definedName>
    <definedName name="配电柜">[1]附表2材料价格表!#REF!</definedName>
    <definedName name="喷头6.5_3.1" localSheetId="6">[1]附表2材料价格表!#REF!</definedName>
    <definedName name="喷头6.5_3.1">[1]附表2材料价格表!#REF!</definedName>
    <definedName name="平板挂车40t" localSheetId="17">#REF!</definedName>
    <definedName name="平板挂车40t" localSheetId="6">#REF!</definedName>
    <definedName name="平板挂车40t" localSheetId="0">#REF!</definedName>
    <definedName name="平板挂车40t">#REF!</definedName>
    <definedName name="平板式振动器2.2kw" localSheetId="6">[1]附表3机械台班!#REF!</definedName>
    <definedName name="平板式振动器2.2kw">[1]附表3机械台班!#REF!</definedName>
    <definedName name="平胶垫" localSheetId="6">[1]附表2材料价格表!#REF!</definedName>
    <definedName name="平胶垫">[1]附表2材料价格表!#REF!</definedName>
    <definedName name="平胶垫90_3" localSheetId="6">[1]附表2材料价格表!#REF!</definedName>
    <definedName name="平胶垫90_3">[1]附表2材料价格表!#REF!</definedName>
    <definedName name="平胶垫φ200" localSheetId="6">[1]附表2材料价格表!#REF!</definedName>
    <definedName name="平胶垫φ200">[1]附表2材料价格表!#REF!</definedName>
    <definedName name="平胶垫φ225" localSheetId="6">[1]附表2材料价格表!#REF!</definedName>
    <definedName name="平胶垫φ225">[1]附表2材料价格表!#REF!</definedName>
    <definedName name="平胶垫φ250" localSheetId="6">[1]附表2材料价格表!#REF!</definedName>
    <definedName name="平胶垫φ250">[1]附表2材料价格表!#REF!</definedName>
    <definedName name="平胶垫φ315" localSheetId="6">[1]附表2材料价格表!#REF!</definedName>
    <definedName name="平胶垫φ315">[1]附表2材料价格表!#REF!</definedName>
    <definedName name="平胶垫φ355" localSheetId="6">[1]附表2材料价格表!#REF!</definedName>
    <definedName name="平胶垫φ355">[1]附表2材料价格表!#REF!</definedName>
    <definedName name="平胶垫φ400" localSheetId="6">[1]附表2材料价格表!#REF!</definedName>
    <definedName name="平胶垫φ400">[1]附表2材料价格表!#REF!</definedName>
    <definedName name="普工">[59]人工工资!$F$19</definedName>
    <definedName name="其他费用" localSheetId="17">#REF!</definedName>
    <definedName name="其他费用" localSheetId="6">#REF!</definedName>
    <definedName name="其他费用" localSheetId="0">#REF!</definedName>
    <definedName name="其他费用">#REF!</definedName>
    <definedName name="其他费用南" localSheetId="0">'[35]表5其他费用南 '!$C$9</definedName>
    <definedName name="其他费用南">'[36]表5其他费用南 '!$C$9</definedName>
    <definedName name="其他工程" localSheetId="6">[1]表3工程施工费表!#REF!</definedName>
    <definedName name="其他工程">[1]表3工程施工费表!#REF!</definedName>
    <definedName name="其它安装">[59]基础参数值!$C$23</definedName>
    <definedName name="其它钢筋">[59]基础参数值!$C$19</definedName>
    <definedName name="其它工程" localSheetId="6">[1]表3工程施工费表!#REF!</definedName>
    <definedName name="其它工程">[1]表3工程施工费表!#REF!</definedName>
    <definedName name="其它其它">[59]基础参数值!$C$22</definedName>
    <definedName name="其它砌石">[59]基础参数值!$C$17</definedName>
    <definedName name="其它砼">[59]基础参数值!$C$18</definedName>
    <definedName name="其它土">[59]基础参数值!$C$15</definedName>
    <definedName name="其它钻孔">[59]基础参数值!$C$20</definedName>
    <definedName name="企业安装">[59]基础参数值!$L$23</definedName>
    <definedName name="企业钢筋">[59]基础参数值!$L$19</definedName>
    <definedName name="企业其它">[59]基础参数值!$L$22</definedName>
    <definedName name="企业砌石">[59]基础参数值!$L$17</definedName>
    <definedName name="企业砼">[59]基础参数值!$L$18</definedName>
    <definedName name="企业土方">[59]基础参数值!$L$15</definedName>
    <definedName name="企业钻孔">[59]基础参数值!$L$20</definedName>
    <definedName name="起重设备调差系数" localSheetId="17">#REF!</definedName>
    <definedName name="起重设备调差系数" localSheetId="6">#REF!</definedName>
    <definedName name="起重设备调差系数" localSheetId="0">#REF!</definedName>
    <definedName name="起重设备调差系数">#REF!</definedName>
    <definedName name="汽车起重机25t" localSheetId="6">[1]附表3机械台班!#REF!</definedName>
    <definedName name="汽车起重机25t">[1]附表3机械台班!#REF!</definedName>
    <definedName name="汽车起重机5t" localSheetId="17">#REF!</definedName>
    <definedName name="汽车起重机5t" localSheetId="6">#REF!</definedName>
    <definedName name="汽车起重机5t" localSheetId="0">#REF!</definedName>
    <definedName name="汽车起重机5t">#REF!</definedName>
    <definedName name="汽车起重机5吨" localSheetId="0">[44]机械汇总!$K$84</definedName>
    <definedName name="汽车起重机5吨">[45]机械汇总!$K$84</definedName>
    <definedName name="汽车起重机8t" localSheetId="17">#REF!</definedName>
    <definedName name="汽车起重机8t" localSheetId="6">#REF!</definedName>
    <definedName name="汽车起重机8t" localSheetId="0">#REF!</definedName>
    <definedName name="汽车起重机8t">#REF!</definedName>
    <definedName name="汽车拖头40t" localSheetId="17">#REF!</definedName>
    <definedName name="汽车拖头40t" localSheetId="6">#REF!</definedName>
    <definedName name="汽车拖头40t" localSheetId="0">#REF!</definedName>
    <definedName name="汽车拖头40t">#REF!</definedName>
    <definedName name="汽油" localSheetId="17">#REF!</definedName>
    <definedName name="汽油" localSheetId="6">#REF!</definedName>
    <definedName name="汽油" localSheetId="0">#REF!</definedName>
    <definedName name="汽油">#REF!</definedName>
    <definedName name="铅油" localSheetId="17">[19]附表2材料价格计算表!#REF!</definedName>
    <definedName name="铅油" localSheetId="6">[20]附表2材料价格计算表!#REF!</definedName>
    <definedName name="铅油" localSheetId="0">[19]附表2材料价格计算表!#REF!</definedName>
    <definedName name="铅油">[20]附表2材料价格计算表!#REF!</definedName>
    <definedName name="前期工作费" localSheetId="6">#REF!</definedName>
    <definedName name="前期工作费" localSheetId="0">'[56]表5-1前期工作费'!$E$16</definedName>
    <definedName name="前期工作费">#REF!</definedName>
    <definedName name="前期工作费南" localSheetId="0">'[35]表5-1前期工作费南'!$E$11</definedName>
    <definedName name="前期工作费南">'[36]表5-1前期工作费南'!$E$11</definedName>
    <definedName name="桥式起重机10t" localSheetId="17">#REF!</definedName>
    <definedName name="桥式起重机10t" localSheetId="6">#REF!</definedName>
    <definedName name="桥式起重机10t" localSheetId="0">#REF!</definedName>
    <definedName name="桥式起重机10t">#REF!</definedName>
    <definedName name="请问请问" localSheetId="6">#REF!</definedName>
    <definedName name="请问请问">#REF!</definedName>
    <definedName name="球阀50" localSheetId="6">[4]附表2!#REF!</definedName>
    <definedName name="球阀50">[4]附表2!#REF!</definedName>
    <definedName name="球阀75" localSheetId="6">[4]附表2!#REF!</definedName>
    <definedName name="球阀75">[4]附表2!#REF!</definedName>
    <definedName name="球头挂环QP_7" localSheetId="6">[1]附表2材料价格表!#REF!</definedName>
    <definedName name="球头挂环QP_7">[1]附表2材料价格表!#REF!</definedName>
    <definedName name="人" localSheetId="6">[65]机械定额!#REF!</definedName>
    <definedName name="人">[65]机械定额!#REF!</definedName>
    <definedName name="人1_23_1" localSheetId="6">[1]附表5直接工程费单价表!#REF!</definedName>
    <definedName name="人1_23_1">[1]附表5直接工程费单价表!#REF!</definedName>
    <definedName name="人10001" localSheetId="6">[1]附表5直接工程费单价表!#REF!</definedName>
    <definedName name="人10001">[1]附表5直接工程费单价表!#REF!</definedName>
    <definedName name="人100017" localSheetId="17">[19]附表4直接工程费单价表!#REF!</definedName>
    <definedName name="人100017" localSheetId="6">[20]附表4直接工程费单价表!#REF!</definedName>
    <definedName name="人100017" localSheetId="0">[19]附表4直接工程费单价表!#REF!</definedName>
    <definedName name="人100017">[20]附表4直接工程费单价表!#REF!</definedName>
    <definedName name="人10002" localSheetId="6">[1]附表5直接工程费单价表!#REF!</definedName>
    <definedName name="人10002">[1]附表5直接工程费单价表!#REF!</definedName>
    <definedName name="人100023" localSheetId="17">[19]附表4直接工程费单价表!#REF!</definedName>
    <definedName name="人100023" localSheetId="6">[20]附表4直接工程费单价表!#REF!</definedName>
    <definedName name="人100023" localSheetId="0">[19]附表4直接工程费单价表!#REF!</definedName>
    <definedName name="人100023">[20]附表4直接工程费单价表!#REF!</definedName>
    <definedName name="人10003" localSheetId="6">[1]附表5直接工程费单价表!#REF!</definedName>
    <definedName name="人10003">[1]附表5直接工程费单价表!#REF!</definedName>
    <definedName name="人100049" localSheetId="17">[19]附表4直接工程费单价表!#REF!</definedName>
    <definedName name="人100049" localSheetId="6">[20]附表4直接工程费单价表!#REF!</definedName>
    <definedName name="人100049" localSheetId="0">[19]附表4直接工程费单价表!#REF!</definedName>
    <definedName name="人100049">[20]附表4直接工程费单价表!#REF!</definedName>
    <definedName name="人10008" localSheetId="6">[1]附表5直接工程费单价表!#REF!</definedName>
    <definedName name="人10008">[1]附表5直接工程费单价表!#REF!</definedName>
    <definedName name="人10017" localSheetId="17">[19]附表4直接工程费单价表!#REF!</definedName>
    <definedName name="人10017" localSheetId="6">[20]附表4直接工程费单价表!#REF!</definedName>
    <definedName name="人10017" localSheetId="0">[19]附表4直接工程费单价表!#REF!</definedName>
    <definedName name="人10017">[20]附表4直接工程费单价表!#REF!</definedName>
    <definedName name="人10019" localSheetId="6">[1]附表5直接工程费单价表!#REF!</definedName>
    <definedName name="人10019">[1]附表5直接工程费单价表!#REF!</definedName>
    <definedName name="人10020" localSheetId="6">[1]附表5直接工程费单价表!#REF!</definedName>
    <definedName name="人10020">[1]附表5直接工程费单价表!#REF!</definedName>
    <definedName name="人10021" localSheetId="6">[1]附表5直接工程费单价表!#REF!</definedName>
    <definedName name="人10021">[1]附表5直接工程费单价表!#REF!</definedName>
    <definedName name="人10041" localSheetId="17">[19]附表4直接工程费单价表!#REF!</definedName>
    <definedName name="人10041" localSheetId="6">[20]附表4直接工程费单价表!#REF!</definedName>
    <definedName name="人10041" localSheetId="0">[19]附表4直接工程费单价表!#REF!</definedName>
    <definedName name="人10041">[20]附表4直接工程费单价表!#REF!</definedName>
    <definedName name="人10043" localSheetId="17">[19]附表4直接工程费单价表!#REF!</definedName>
    <definedName name="人10043" localSheetId="6">[20]附表4直接工程费单价表!#REF!</definedName>
    <definedName name="人10043" localSheetId="0">[19]附表4直接工程费单价表!#REF!</definedName>
    <definedName name="人10043">[20]附表4直接工程费单价表!#REF!</definedName>
    <definedName name="人10045" localSheetId="6">[1]附表5直接工程费单价表!#REF!</definedName>
    <definedName name="人10045">[1]附表5直接工程费单价表!#REF!</definedName>
    <definedName name="人10047" localSheetId="6">[1]附表5直接工程费单价表!#REF!</definedName>
    <definedName name="人10047">[1]附表5直接工程费单价表!#REF!</definedName>
    <definedName name="人10049" localSheetId="6">[1]附表5直接工程费单价表!#REF!</definedName>
    <definedName name="人10049">[1]附表5直接工程费单价表!#REF!</definedName>
    <definedName name="人10052" localSheetId="6">[1]附表5直接工程费单价表!#REF!</definedName>
    <definedName name="人10052">[1]附表5直接工程费单价表!#REF!</definedName>
    <definedName name="人10054" localSheetId="6">[1]附表5直接工程费单价表!#REF!</definedName>
    <definedName name="人10054">[1]附表5直接工程费单价表!#REF!</definedName>
    <definedName name="人10056" localSheetId="6">[1]附表5直接工程费单价表!#REF!</definedName>
    <definedName name="人10056">[1]附表5直接工程费单价表!#REF!</definedName>
    <definedName name="人10066" localSheetId="6">[1]附表5直接工程费单价表!#REF!</definedName>
    <definedName name="人10066">[1]附表5直接工程费单价表!#REF!</definedName>
    <definedName name="人10071" localSheetId="6">[1]附表5直接工程费单价表!#REF!</definedName>
    <definedName name="人10071">[1]附表5直接工程费单价表!#REF!</definedName>
    <definedName name="人10075" localSheetId="6">[1]附表5直接工程费单价表!#REF!</definedName>
    <definedName name="人10075">[1]附表5直接工程费单价表!#REF!</definedName>
    <definedName name="人10090" localSheetId="6">[1]附表5直接工程费单价表!#REF!</definedName>
    <definedName name="人10090">[1]附表5直接工程费单价表!#REF!</definedName>
    <definedName name="人10095" localSheetId="6">[1]附表5直接工程费单价表!#REF!</definedName>
    <definedName name="人10095">[1]附表5直接工程费单价表!#REF!</definedName>
    <definedName name="人10114" localSheetId="6">[1]附表5直接工程费单价表!#REF!</definedName>
    <definedName name="人10114">[1]附表5直接工程费单价表!#REF!</definedName>
    <definedName name="人10116" localSheetId="6">[1]附表5直接工程费单价表!#REF!</definedName>
    <definedName name="人10116">[1]附表5直接工程费单价表!#REF!</definedName>
    <definedName name="人10118" localSheetId="6">[1]附表5直接工程费单价表!#REF!</definedName>
    <definedName name="人10118">[1]附表5直接工程费单价表!#REF!</definedName>
    <definedName name="人10204" localSheetId="6">[1]附表5直接工程费单价表!#REF!</definedName>
    <definedName name="人10204">[1]附表5直接工程费单价表!#REF!</definedName>
    <definedName name="人10269" localSheetId="6">[1]附表5直接工程费单价表!#REF!</definedName>
    <definedName name="人10269">[1]附表5直接工程费单价表!#REF!</definedName>
    <definedName name="人10270" localSheetId="6">[1]附表5直接工程费单价表!#REF!</definedName>
    <definedName name="人10270">[1]附表5直接工程费单价表!#REF!</definedName>
    <definedName name="人10271" localSheetId="6">[1]附表5直接工程费单价表!#REF!</definedName>
    <definedName name="人10271">[1]附表5直接工程费单价表!#REF!</definedName>
    <definedName name="人10272" localSheetId="6">[1]附表5直接工程费单价表!#REF!</definedName>
    <definedName name="人10272">[1]附表5直接工程费单价表!#REF!</definedName>
    <definedName name="人10273" localSheetId="6">[1]附表5直接工程费单价表!#REF!</definedName>
    <definedName name="人10273">[1]附表5直接工程费单价表!#REF!</definedName>
    <definedName name="人10275" localSheetId="6">[1]附表5直接工程费单价表!#REF!</definedName>
    <definedName name="人10275">[1]附表5直接工程费单价表!#REF!</definedName>
    <definedName name="人10277" localSheetId="6">[1]附表5直接工程费单价表!#REF!</definedName>
    <definedName name="人10277">[1]附表5直接工程费单价表!#REF!</definedName>
    <definedName name="人10278" localSheetId="6">[1]附表5直接工程费单价表!#REF!</definedName>
    <definedName name="人10278">[1]附表5直接工程费单价表!#REF!</definedName>
    <definedName name="人10279" localSheetId="6">[1]附表5直接工程费单价表!#REF!</definedName>
    <definedName name="人10279">[1]附表5直接工程费单价表!#REF!</definedName>
    <definedName name="人10279A" localSheetId="6">[1]附表5直接工程费单价表!#REF!</definedName>
    <definedName name="人10279A">[1]附表5直接工程费单价表!#REF!</definedName>
    <definedName name="人10280" localSheetId="6">[1]附表5直接工程费单价表!#REF!</definedName>
    <definedName name="人10280">[1]附表5直接工程费单价表!#REF!</definedName>
    <definedName name="人10280A" localSheetId="6">[1]附表5直接工程费单价表!#REF!</definedName>
    <definedName name="人10280A">[1]附表5直接工程费单价表!#REF!</definedName>
    <definedName name="人10281" localSheetId="6">[1]附表5直接工程费单价表!#REF!</definedName>
    <definedName name="人10281">[1]附表5直接工程费单价表!#REF!</definedName>
    <definedName name="人10281A" localSheetId="6">[1]附表5直接工程费单价表!#REF!</definedName>
    <definedName name="人10281A">[1]附表5直接工程费单价表!#REF!</definedName>
    <definedName name="人10282" localSheetId="6">[1]附表5直接工程费单价表!#REF!</definedName>
    <definedName name="人10282">[1]附表5直接工程费单价表!#REF!</definedName>
    <definedName name="人10282A" localSheetId="6">[1]附表5直接工程费单价表!#REF!</definedName>
    <definedName name="人10282A">[1]附表5直接工程费单价表!#REF!</definedName>
    <definedName name="人10283" localSheetId="6">[1]附表5直接工程费单价表!#REF!</definedName>
    <definedName name="人10283">[1]附表5直接工程费单价表!#REF!</definedName>
    <definedName name="人10283A" localSheetId="6">[1]附表5直接工程费单价表!#REF!</definedName>
    <definedName name="人10283A">[1]附表5直接工程费单价表!#REF!</definedName>
    <definedName name="人10306" localSheetId="17">[19]附表4直接工程费单价表!#REF!</definedName>
    <definedName name="人10306" localSheetId="6">[20]附表4直接工程费单价表!#REF!</definedName>
    <definedName name="人10306" localSheetId="0">[19]附表4直接工程费单价表!#REF!</definedName>
    <definedName name="人10306">[20]附表4直接工程费单价表!#REF!</definedName>
    <definedName name="人10309" localSheetId="6">[1]附表5直接工程费单价表!#REF!</definedName>
    <definedName name="人10309">[1]附表5直接工程费单价表!#REF!</definedName>
    <definedName name="人10310" localSheetId="6">[1]附表5直接工程费单价表!#REF!</definedName>
    <definedName name="人10310">[1]附表5直接工程费单价表!#REF!</definedName>
    <definedName name="人10311" localSheetId="6">[1]附表5直接工程费单价表!#REF!</definedName>
    <definedName name="人10311">[1]附表5直接工程费单价表!#REF!</definedName>
    <definedName name="人10332" localSheetId="17">[19]附表4直接工程费单价表!#REF!</definedName>
    <definedName name="人10332" localSheetId="6">[20]附表4直接工程费单价表!#REF!</definedName>
    <definedName name="人10332" localSheetId="0">[19]附表4直接工程费单价表!#REF!</definedName>
    <definedName name="人10332">[20]附表4直接工程费单价表!#REF!</definedName>
    <definedName name="人10333" localSheetId="17">[19]附表4直接工程费单价表!#REF!</definedName>
    <definedName name="人10333" localSheetId="6">[20]附表4直接工程费单价表!#REF!</definedName>
    <definedName name="人10333" localSheetId="0">[19]附表4直接工程费单价表!#REF!</definedName>
    <definedName name="人10333">[20]附表4直接工程费单价表!#REF!</definedName>
    <definedName name="人10339" localSheetId="6">[1]附表5直接工程费单价表!#REF!</definedName>
    <definedName name="人10339">[1]附表5直接工程费单价表!#REF!</definedName>
    <definedName name="人10344" localSheetId="17">[19]附表4直接工程费单价表!#REF!</definedName>
    <definedName name="人10344" localSheetId="6">[20]附表4直接工程费单价表!#REF!</definedName>
    <definedName name="人10344" localSheetId="0">[19]附表4直接工程费单价表!#REF!</definedName>
    <definedName name="人10344">[20]附表4直接工程费单价表!#REF!</definedName>
    <definedName name="人10345" localSheetId="17">[19]附表4直接工程费单价表!#REF!</definedName>
    <definedName name="人10345" localSheetId="6">[20]附表4直接工程费单价表!#REF!</definedName>
    <definedName name="人10345" localSheetId="0">[19]附表4直接工程费单价表!#REF!</definedName>
    <definedName name="人10345">[20]附表4直接工程费单价表!#REF!</definedName>
    <definedName name="人10360" localSheetId="6">[1]附表5直接工程费单价表!#REF!</definedName>
    <definedName name="人10360">[1]附表5直接工程费单价表!#REF!</definedName>
    <definedName name="人10361" localSheetId="6">[1]附表5直接工程费单价表!#REF!</definedName>
    <definedName name="人10361">[1]附表5直接工程费单价表!#REF!</definedName>
    <definedName name="人10365" localSheetId="6">[1]附表5直接工程费单价表!#REF!</definedName>
    <definedName name="人10365">[1]附表5直接工程费单价表!#REF!</definedName>
    <definedName name="人10366" localSheetId="6">[1]附表5直接工程费单价表!#REF!</definedName>
    <definedName name="人10366">[1]附表5直接工程费单价表!#REF!</definedName>
    <definedName name="人10367" localSheetId="6">[1]附表5直接工程费单价表!#REF!</definedName>
    <definedName name="人10367">[1]附表5直接工程费单价表!#REF!</definedName>
    <definedName name="人10464" localSheetId="6">[1]附表5直接工程费单价表!#REF!</definedName>
    <definedName name="人10464">[1]附表5直接工程费单价表!#REF!</definedName>
    <definedName name="人10465" localSheetId="6">[1]附表5直接工程费单价表!#REF!</definedName>
    <definedName name="人10465">[1]附表5直接工程费单价表!#REF!</definedName>
    <definedName name="人10469" localSheetId="6">[1]附表5直接工程费单价表!#REF!</definedName>
    <definedName name="人10469">[1]附表5直接工程费单价表!#REF!</definedName>
    <definedName name="人10469A" localSheetId="6">[1]附表5直接工程费单价表!#REF!</definedName>
    <definedName name="人10469A">[1]附表5直接工程费单价表!#REF!</definedName>
    <definedName name="人10473" localSheetId="6">[1]附表5直接工程费单价表!#REF!</definedName>
    <definedName name="人10473">[1]附表5直接工程费单价表!#REF!</definedName>
    <definedName name="人10474" localSheetId="6">[1]附表5直接工程费单价表!#REF!</definedName>
    <definedName name="人10474">[1]附表5直接工程费单价表!#REF!</definedName>
    <definedName name="人12001" localSheetId="6">[1]附表5直接工程费单价表!#REF!</definedName>
    <definedName name="人12001">[1]附表5直接工程费单价表!#REF!</definedName>
    <definedName name="人12074" localSheetId="6">[1]附表5直接工程费单价表!#REF!</definedName>
    <definedName name="人12074">[1]附表5直接工程费单价表!#REF!</definedName>
    <definedName name="人12075" localSheetId="6">[1]附表5直接工程费单价表!#REF!</definedName>
    <definedName name="人12075">[1]附表5直接工程费单价表!#REF!</definedName>
    <definedName name="人2_19_3" localSheetId="6">[1]附表5直接工程费单价表!#REF!</definedName>
    <definedName name="人2_19_3">[1]附表5直接工程费单价表!#REF!</definedName>
    <definedName name="人2_19_4" localSheetId="6">[1]附表5直接工程费单价表!#REF!</definedName>
    <definedName name="人2_19_4">[1]附表5直接工程费单价表!#REF!</definedName>
    <definedName name="人20484" localSheetId="6">[1]附表5直接工程费单价表!#REF!</definedName>
    <definedName name="人20484">[1]附表5直接工程费单价表!#REF!</definedName>
    <definedName name="人20485" localSheetId="6">[1]附表5直接工程费单价表!#REF!</definedName>
    <definedName name="人20485">[1]附表5直接工程费单价表!#REF!</definedName>
    <definedName name="人20488" localSheetId="6">[1]附表5直接工程费单价表!#REF!</definedName>
    <definedName name="人20488">[1]附表5直接工程费单价表!#REF!</definedName>
    <definedName name="人30001" localSheetId="6">[1]附表5直接工程费单价表!#REF!</definedName>
    <definedName name="人30001">[1]附表5直接工程费单价表!#REF!</definedName>
    <definedName name="人30002" localSheetId="6">[1]附表5直接工程费单价表!#REF!</definedName>
    <definedName name="人30002">[1]附表5直接工程费单价表!#REF!</definedName>
    <definedName name="人30016" localSheetId="6">[1]附表5直接工程费单价表!#REF!</definedName>
    <definedName name="人30016">[1]附表5直接工程费单价表!#REF!</definedName>
    <definedName name="人30019" localSheetId="6">[1]附表5直接工程费单价表!#REF!</definedName>
    <definedName name="人30019">[1]附表5直接工程费单价表!#REF!</definedName>
    <definedName name="人30020" localSheetId="6">[1]附表5直接工程费单价表!#REF!</definedName>
    <definedName name="人30020">[1]附表5直接工程费单价表!#REF!</definedName>
    <definedName name="人30021" localSheetId="6">[1]附表5直接工程费单价表!#REF!</definedName>
    <definedName name="人30021">[1]附表5直接工程费单价表!#REF!</definedName>
    <definedName name="人30022" localSheetId="6">[1]附表5直接工程费单价表!#REF!</definedName>
    <definedName name="人30022">[1]附表5直接工程费单价表!#REF!</definedName>
    <definedName name="人30023" localSheetId="6">[1]附表5直接工程费单价表!#REF!</definedName>
    <definedName name="人30023">[1]附表5直接工程费单价表!#REF!</definedName>
    <definedName name="人30024" localSheetId="6">[1]附表5直接工程费单价表!#REF!</definedName>
    <definedName name="人30024">[1]附表5直接工程费单价表!#REF!</definedName>
    <definedName name="人30025" localSheetId="6">[1]附表5直接工程费单价表!#REF!</definedName>
    <definedName name="人30025">[1]附表5直接工程费单价表!#REF!</definedName>
    <definedName name="人30027" localSheetId="6">[1]附表5直接工程费单价表!#REF!</definedName>
    <definedName name="人30027" localSheetId="0">[66]Sheet1!$F$26</definedName>
    <definedName name="人30027">[1]附表5直接工程费单价表!#REF!</definedName>
    <definedName name="人30028" localSheetId="17">#REF!</definedName>
    <definedName name="人30028" localSheetId="6">[1]附表5直接工程费单价表!#REF!</definedName>
    <definedName name="人30028" localSheetId="0">#REF!</definedName>
    <definedName name="人30028">[1]附表5直接工程费单价表!#REF!</definedName>
    <definedName name="人30048" localSheetId="6">[1]附表5直接工程费单价表!#REF!</definedName>
    <definedName name="人30048">[1]附表5直接工程费单价表!#REF!</definedName>
    <definedName name="人30048、30051" localSheetId="6">[1]附表5直接工程费单价表!#REF!</definedName>
    <definedName name="人30048、30051">[1]附表5直接工程费单价表!#REF!</definedName>
    <definedName name="人30049" localSheetId="6">[1]附表5直接工程费单价表!#REF!</definedName>
    <definedName name="人30049">[1]附表5直接工程费单价表!#REF!</definedName>
    <definedName name="人30064" localSheetId="17">[19]附表4直接工程费单价表!#REF!</definedName>
    <definedName name="人30064" localSheetId="6">[20]附表4直接工程费单价表!#REF!</definedName>
    <definedName name="人30064" localSheetId="0">[19]附表4直接工程费单价表!#REF!</definedName>
    <definedName name="人30064">[20]附表4直接工程费单价表!#REF!</definedName>
    <definedName name="人30067" localSheetId="17">[19]附表4直接工程费单价表!#REF!</definedName>
    <definedName name="人30067" localSheetId="6">[20]附表4直接工程费单价表!#REF!</definedName>
    <definedName name="人30067" localSheetId="0">[19]附表4直接工程费单价表!#REF!</definedName>
    <definedName name="人30067">[20]附表4直接工程费单价表!#REF!</definedName>
    <definedName name="人40004" localSheetId="17">[19]附表4直接工程费单价表!#REF!</definedName>
    <definedName name="人40004" localSheetId="6">[20]附表4直接工程费单价表!#REF!</definedName>
    <definedName name="人40004" localSheetId="0">[19]附表4直接工程费单价表!#REF!</definedName>
    <definedName name="人40004">[20]附表4直接工程费单价表!#REF!</definedName>
    <definedName name="人40006" localSheetId="0">[37]直接工程费!$F$188</definedName>
    <definedName name="人40006">[38]直接工程费!$F$188</definedName>
    <definedName name="人40006b" localSheetId="17">[19]附表4直接工程费单价表!#REF!</definedName>
    <definedName name="人40006b" localSheetId="6">[20]附表4直接工程费单价表!#REF!</definedName>
    <definedName name="人40006b" localSheetId="0">[19]附表4直接工程费单价表!#REF!</definedName>
    <definedName name="人40006b">[20]附表4直接工程费单价表!#REF!</definedName>
    <definedName name="人40006细石" localSheetId="17">[19]附表4直接工程费单价表!#REF!</definedName>
    <definedName name="人40006细石" localSheetId="6">[20]附表4直接工程费单价表!#REF!</definedName>
    <definedName name="人40006细石" localSheetId="0">[19]附表4直接工程费单价表!#REF!</definedName>
    <definedName name="人40006细石">[20]附表4直接工程费单价表!#REF!</definedName>
    <definedName name="人40030" localSheetId="17">[19]附表4直接工程费单价表!#REF!</definedName>
    <definedName name="人40030" localSheetId="6">[20]附表4直接工程费单价表!#REF!</definedName>
    <definedName name="人40030" localSheetId="0">[19]附表4直接工程费单价表!#REF!</definedName>
    <definedName name="人40030">[20]附表4直接工程费单价表!#REF!</definedName>
    <definedName name="人40031" localSheetId="6">[1]附表5直接工程费单价表!#REF!</definedName>
    <definedName name="人40031">[1]附表5直接工程费单价表!#REF!</definedName>
    <definedName name="人4003115" localSheetId="17">[19]附表4直接工程费单价表!#REF!</definedName>
    <definedName name="人4003115" localSheetId="6">[20]附表4直接工程费单价表!#REF!</definedName>
    <definedName name="人4003115" localSheetId="0">[19]附表4直接工程费单价表!#REF!</definedName>
    <definedName name="人4003115">[20]附表4直接工程费单价表!#REF!</definedName>
    <definedName name="人40041b" localSheetId="17">[19]附表4直接工程费单价表!#REF!</definedName>
    <definedName name="人40041b" localSheetId="6">[20]附表4直接工程费单价表!#REF!</definedName>
    <definedName name="人40041b" localSheetId="0">[19]附表4直接工程费单价表!#REF!</definedName>
    <definedName name="人40041b">[20]附表4直接工程费单价表!#REF!</definedName>
    <definedName name="人40056" localSheetId="17">[19]附表4直接工程费单价表!#REF!</definedName>
    <definedName name="人40056" localSheetId="6">[20]附表4直接工程费单价表!#REF!</definedName>
    <definedName name="人40056" localSheetId="0">[19]附表4直接工程费单价表!#REF!</definedName>
    <definedName name="人40056">[20]附表4直接工程费单价表!#REF!</definedName>
    <definedName name="人40058" localSheetId="6">[1]附表5直接工程费单价表!#REF!</definedName>
    <definedName name="人40058">[1]附表5直接工程费单价表!#REF!</definedName>
    <definedName name="人40058A" localSheetId="6">[1]附表5直接工程费单价表!#REF!</definedName>
    <definedName name="人40058A">[1]附表5直接工程费单价表!#REF!</definedName>
    <definedName name="人40061" localSheetId="6">[1]附表5直接工程费单价表!#REF!</definedName>
    <definedName name="人40061">[1]附表5直接工程费单价表!#REF!</definedName>
    <definedName name="人40062" localSheetId="6">[1]附表5直接工程费单价表!#REF!</definedName>
    <definedName name="人40062">[1]附表5直接工程费单价表!#REF!</definedName>
    <definedName name="人40063" localSheetId="17">[19]附表4直接工程费单价表!#REF!</definedName>
    <definedName name="人40063" localSheetId="6">[20]附表4直接工程费单价表!#REF!</definedName>
    <definedName name="人40063" localSheetId="0">[19]附表4直接工程费单价表!#REF!</definedName>
    <definedName name="人40063">[20]附表4直接工程费单价表!#REF!</definedName>
    <definedName name="人40064" localSheetId="17">[19]附表4直接工程费单价表!#REF!</definedName>
    <definedName name="人40064" localSheetId="6">[20]附表4直接工程费单价表!#REF!</definedName>
    <definedName name="人40064" localSheetId="0">[19]附表4直接工程费单价表!#REF!</definedName>
    <definedName name="人40064">[20]附表4直接工程费单价表!#REF!</definedName>
    <definedName name="人40067" localSheetId="6">[1]附表5直接工程费单价表!#REF!</definedName>
    <definedName name="人40067">[1]附表5直接工程费单价表!#REF!</definedName>
    <definedName name="人40067A" localSheetId="6">[1]附表5直接工程费单价表!#REF!</definedName>
    <definedName name="人40067A">[1]附表5直接工程费单价表!#REF!</definedName>
    <definedName name="人40068" localSheetId="6">[1]附表5直接工程费单价表!#REF!</definedName>
    <definedName name="人40068">[1]附表5直接工程费单价表!#REF!</definedName>
    <definedName name="人40069" localSheetId="6">[1]附表5直接工程费单价表!#REF!</definedName>
    <definedName name="人40069">[1]附表5直接工程费单价表!#REF!</definedName>
    <definedName name="人40070" localSheetId="6">[1]附表5直接工程费单价表!#REF!</definedName>
    <definedName name="人40070">[1]附表5直接工程费单价表!#REF!</definedName>
    <definedName name="人40072" localSheetId="6">[1]附表5直接工程费单价表!#REF!</definedName>
    <definedName name="人40072">[1]附表5直接工程费单价表!#REF!</definedName>
    <definedName name="人40073" localSheetId="17">[19]附表4直接工程费单价表!#REF!</definedName>
    <definedName name="人40073" localSheetId="6">[20]附表4直接工程费单价表!#REF!</definedName>
    <definedName name="人40073" localSheetId="0">[19]附表4直接工程费单价表!#REF!</definedName>
    <definedName name="人40073">[20]附表4直接工程费单价表!#REF!</definedName>
    <definedName name="人40074" localSheetId="6">[1]附表5直接工程费单价表!#REF!</definedName>
    <definedName name="人40074">[1]附表5直接工程费单价表!#REF!</definedName>
    <definedName name="人40075" localSheetId="6">[1]附表5直接工程费单价表!#REF!</definedName>
    <definedName name="人40075">[1]附表5直接工程费单价表!#REF!</definedName>
    <definedName name="人40076" localSheetId="6">[1]附表5直接工程费单价表!#REF!</definedName>
    <definedName name="人40076">[1]附表5直接工程费单价表!#REF!</definedName>
    <definedName name="人4007620" localSheetId="17">[19]附表4直接工程费单价表!#REF!</definedName>
    <definedName name="人4007620" localSheetId="6">[20]附表4直接工程费单价表!#REF!</definedName>
    <definedName name="人4007620" localSheetId="0">[19]附表4直接工程费单价表!#REF!</definedName>
    <definedName name="人4007620">[20]附表4直接工程费单价表!#REF!</definedName>
    <definedName name="人40077" localSheetId="17">[19]附表4直接工程费单价表!#REF!</definedName>
    <definedName name="人40077" localSheetId="6">[20]附表4直接工程费单价表!#REF!</definedName>
    <definedName name="人40077" localSheetId="0">[19]附表4直接工程费单价表!#REF!</definedName>
    <definedName name="人40077">[20]附表4直接工程费单价表!#REF!</definedName>
    <definedName name="人40079" localSheetId="17">[19]附表4直接工程费单价表!#REF!</definedName>
    <definedName name="人40079" localSheetId="6">[1]附表5直接工程费单价表!#REF!</definedName>
    <definedName name="人40079" localSheetId="0">[19]附表4直接工程费单价表!#REF!</definedName>
    <definedName name="人40079">[1]附表5直接工程费单价表!#REF!</definedName>
    <definedName name="人40090" localSheetId="6">[1]附表5直接工程费单价表!#REF!</definedName>
    <definedName name="人40090">[1]附表5直接工程费单价表!#REF!</definedName>
    <definedName name="人40096" localSheetId="6">[1]附表5直接工程费单价表!#REF!</definedName>
    <definedName name="人40096">[1]附表5直接工程费单价表!#REF!</definedName>
    <definedName name="人40101" localSheetId="6">[1]附表5直接工程费单价表!#REF!</definedName>
    <definedName name="人40101">[1]附表5直接工程费单价表!#REF!</definedName>
    <definedName name="人40101A" localSheetId="6">[1]附表5直接工程费单价表!#REF!</definedName>
    <definedName name="人40101A">[1]附表5直接工程费单价表!#REF!</definedName>
    <definedName name="人40101B" localSheetId="6">[1]附表5直接工程费单价表!#REF!</definedName>
    <definedName name="人40101B">[1]附表5直接工程费单价表!#REF!</definedName>
    <definedName name="人40109" localSheetId="6">[1]附表5直接工程费单价表!#REF!</definedName>
    <definedName name="人40109">[1]附表5直接工程费单价表!#REF!</definedName>
    <definedName name="人40110" localSheetId="6">[1]附表5直接工程费单价表!#REF!</definedName>
    <definedName name="人40110">[1]附表5直接工程费单价表!#REF!</definedName>
    <definedName name="人40111" localSheetId="6">[1]附表5直接工程费单价表!#REF!</definedName>
    <definedName name="人40111">[1]附表5直接工程费单价表!#REF!</definedName>
    <definedName name="人40112" localSheetId="6">[1]附表5直接工程费单价表!#REF!</definedName>
    <definedName name="人40112">[1]附表5直接工程费单价表!#REF!</definedName>
    <definedName name="人40113" localSheetId="6">[1]附表5直接工程费单价表!#REF!</definedName>
    <definedName name="人40113">[1]附表5直接工程费单价表!#REF!</definedName>
    <definedName name="人40114" localSheetId="6">[1]附表5直接工程费单价表!#REF!</definedName>
    <definedName name="人40114">[1]附表5直接工程费单价表!#REF!</definedName>
    <definedName name="人40115" localSheetId="17">[19]附表4直接工程费单价表!#REF!</definedName>
    <definedName name="人40115" localSheetId="6">[1]附表5直接工程费单价表!#REF!</definedName>
    <definedName name="人40115" localSheetId="0">[19]附表4直接工程费单价表!#REF!</definedName>
    <definedName name="人40115">[1]附表5直接工程费单价表!#REF!</definedName>
    <definedName name="人40116" localSheetId="17">[19]附表4直接工程费单价表!#REF!</definedName>
    <definedName name="人40116" localSheetId="6">[1]附表5直接工程费单价表!#REF!</definedName>
    <definedName name="人40116" localSheetId="0">[19]附表4直接工程费单价表!#REF!</definedName>
    <definedName name="人40116">[1]附表5直接工程费单价表!#REF!</definedName>
    <definedName name="人40117" localSheetId="6">[1]附表5直接工程费单价表!#REF!</definedName>
    <definedName name="人40117">[1]附表5直接工程费单价表!#REF!</definedName>
    <definedName name="人40118" localSheetId="6">[1]附表5直接工程费单价表!#REF!</definedName>
    <definedName name="人40118">[1]附表5直接工程费单价表!#REF!</definedName>
    <definedName name="人40120" localSheetId="6">[1]附表5直接工程费单价表!#REF!</definedName>
    <definedName name="人40120">[1]附表5直接工程费单价表!#REF!</definedName>
    <definedName name="人40124" localSheetId="6">[1]附表5直接工程费单价表!#REF!</definedName>
    <definedName name="人40124">[1]附表5直接工程费单价表!#REF!</definedName>
    <definedName name="人40125" localSheetId="6">[1]附表5直接工程费单价表!#REF!</definedName>
    <definedName name="人40125">[1]附表5直接工程费单价表!#REF!</definedName>
    <definedName name="人40133" localSheetId="17">[19]附表4直接工程费单价表!#REF!</definedName>
    <definedName name="人40133" localSheetId="6">[20]附表4直接工程费单价表!#REF!</definedName>
    <definedName name="人40133" localSheetId="0">[19]附表4直接工程费单价表!#REF!</definedName>
    <definedName name="人40133">[20]附表4直接工程费单价表!#REF!</definedName>
    <definedName name="人40134" localSheetId="6">[1]附表5直接工程费单价表!#REF!</definedName>
    <definedName name="人40134">[1]附表5直接工程费单价表!#REF!</definedName>
    <definedName name="人40143" localSheetId="6">[1]附表5直接工程费单价表!#REF!</definedName>
    <definedName name="人40143">[1]附表5直接工程费单价表!#REF!</definedName>
    <definedName name="人40192" localSheetId="17">[19]附表4直接工程费单价表!#REF!</definedName>
    <definedName name="人40192" localSheetId="6">[20]附表4直接工程费单价表!#REF!</definedName>
    <definedName name="人40192" localSheetId="0">[19]附表4直接工程费单价表!#REF!</definedName>
    <definedName name="人40192">[20]附表4直接工程费单价表!#REF!</definedName>
    <definedName name="人40203" localSheetId="17">[19]附表4直接工程费单价表!#REF!</definedName>
    <definedName name="人40203" localSheetId="6">[20]附表4直接工程费单价表!#REF!</definedName>
    <definedName name="人40203" localSheetId="0">[19]附表4直接工程费单价表!#REF!</definedName>
    <definedName name="人40203">[20]附表4直接工程费单价表!#REF!</definedName>
    <definedName name="人40210" localSheetId="17">[19]附表4直接工程费单价表!#REF!</definedName>
    <definedName name="人40210" localSheetId="6">[20]附表4直接工程费单价表!#REF!</definedName>
    <definedName name="人40210" localSheetId="0">[19]附表4直接工程费单价表!#REF!</definedName>
    <definedName name="人40210">[20]附表4直接工程费单价表!#REF!</definedName>
    <definedName name="人40214苯" localSheetId="17">[19]附表4直接工程费单价表!#REF!</definedName>
    <definedName name="人40214苯" localSheetId="6">[20]附表4直接工程费单价表!#REF!</definedName>
    <definedName name="人40214苯" localSheetId="0">[19]附表4直接工程费单价表!#REF!</definedName>
    <definedName name="人40214苯">[20]附表4直接工程费单价表!#REF!</definedName>
    <definedName name="人40224" localSheetId="6">[1]附表5直接工程费单价表!#REF!</definedName>
    <definedName name="人40224">[1]附表5直接工程费单价表!#REF!</definedName>
    <definedName name="人40260" localSheetId="6">[1]附表5直接工程费单价表!#REF!</definedName>
    <definedName name="人40260">[1]附表5直接工程费单价表!#REF!</definedName>
    <definedName name="人40263" localSheetId="6">[1]附表5直接工程费单价表!#REF!</definedName>
    <definedName name="人40263">[1]附表5直接工程费单价表!#REF!</definedName>
    <definedName name="人40271" localSheetId="6">[1]附表5直接工程费单价表!#REF!</definedName>
    <definedName name="人40271">[1]附表5直接工程费单价表!#REF!</definedName>
    <definedName name="人40286" localSheetId="6">[1]附表5直接工程费单价表!#REF!</definedName>
    <definedName name="人40286">[1]附表5直接工程费单价表!#REF!</definedName>
    <definedName name="人40287" localSheetId="6">[1]附表5直接工程费单价表!#REF!</definedName>
    <definedName name="人40287">[1]附表5直接工程费单价表!#REF!</definedName>
    <definedName name="人40288" localSheetId="6">[1]附表5直接工程费单价表!#REF!</definedName>
    <definedName name="人40288">[1]附表5直接工程费单价表!#REF!</definedName>
    <definedName name="人40289" localSheetId="6">[1]附表5直接工程费单价表!#REF!</definedName>
    <definedName name="人40289">[1]附表5直接工程费单价表!#REF!</definedName>
    <definedName name="人40289A" localSheetId="6">[1]附表5直接工程费单价表!#REF!</definedName>
    <definedName name="人40289A">[1]附表5直接工程费单价表!#REF!</definedName>
    <definedName name="人40306" localSheetId="6">[1]附表5直接工程费单价表!#REF!</definedName>
    <definedName name="人40306">[1]附表5直接工程费单价表!#REF!</definedName>
    <definedName name="人40306A" localSheetId="6">[1]附表5直接工程费单价表!#REF!</definedName>
    <definedName name="人40306A">[1]附表5直接工程费单价表!#REF!</definedName>
    <definedName name="人40306B" localSheetId="6">[1]附表5直接工程费单价表!#REF!</definedName>
    <definedName name="人40306B">[1]附表5直接工程费单价表!#REF!</definedName>
    <definedName name="人50003" localSheetId="6">[1]附表5直接工程费单价表!#REF!</definedName>
    <definedName name="人50003">[1]附表5直接工程费单价表!#REF!</definedName>
    <definedName name="人50004" localSheetId="6">[1]附表5直接工程费单价表!#REF!</definedName>
    <definedName name="人50004">[1]附表5直接工程费单价表!#REF!</definedName>
    <definedName name="人50005" localSheetId="6">[1]附表5直接工程费单价表!#REF!</definedName>
    <definedName name="人50005">[1]附表5直接工程费单价表!#REF!</definedName>
    <definedName name="人50006" localSheetId="6">[1]附表5直接工程费单价表!#REF!</definedName>
    <definedName name="人50006">[1]附表5直接工程费单价表!#REF!</definedName>
    <definedName name="人50014" localSheetId="17">[39]附表4工程费单价表!#REF!</definedName>
    <definedName name="人50014" localSheetId="6">[40]附表4工程费单价表!#REF!</definedName>
    <definedName name="人50014" localSheetId="0">[39]附表4工程费单价表!#REF!</definedName>
    <definedName name="人50014">[40]附表4工程费单价表!#REF!</definedName>
    <definedName name="人50045" localSheetId="6">[1]附表5直接工程费单价表!#REF!</definedName>
    <definedName name="人50045">[1]附表5直接工程费单价表!#REF!</definedName>
    <definedName name="人50046" localSheetId="6">[1]附表5直接工程费单价表!#REF!</definedName>
    <definedName name="人50046">[1]附表5直接工程费单价表!#REF!</definedName>
    <definedName name="人50049" localSheetId="6">[1]附表5直接工程费单价表!#REF!</definedName>
    <definedName name="人50049">[1]附表5直接工程费单价表!#REF!</definedName>
    <definedName name="人50050" localSheetId="6">[1]附表5直接工程费单价表!#REF!</definedName>
    <definedName name="人50050">[1]附表5直接工程费单价表!#REF!</definedName>
    <definedName name="人50064" localSheetId="17">[19]附表4直接工程费单价表!#REF!</definedName>
    <definedName name="人50064" localSheetId="6">[20]附表4直接工程费单价表!#REF!</definedName>
    <definedName name="人50064" localSheetId="0">[19]附表4直接工程费单价表!#REF!</definedName>
    <definedName name="人50064">[20]附表4直接工程费单价表!#REF!</definedName>
    <definedName name="人50067" localSheetId="17">[19]附表4直接工程费单价表!#REF!</definedName>
    <definedName name="人50067" localSheetId="6">[20]附表4直接工程费单价表!#REF!</definedName>
    <definedName name="人50067" localSheetId="0">[19]附表4直接工程费单价表!#REF!</definedName>
    <definedName name="人50067">[20]附表4直接工程费单价表!#REF!</definedName>
    <definedName name="人50113" localSheetId="17">[39]附表4工程费单价表!#REF!</definedName>
    <definedName name="人50113" localSheetId="6">[40]附表4工程费单价表!#REF!</definedName>
    <definedName name="人50113" localSheetId="0">[39]附表4工程费单价表!#REF!</definedName>
    <definedName name="人50113">[40]附表4工程费单价表!#REF!</definedName>
    <definedName name="人50115" localSheetId="6">[1]附表5直接工程费单价表!#REF!</definedName>
    <definedName name="人50115">[1]附表5直接工程费单价表!#REF!</definedName>
    <definedName name="人70007" localSheetId="17">[19]附表4直接工程费单价表!#REF!</definedName>
    <definedName name="人70007" localSheetId="6">[20]附表4直接工程费单价表!#REF!</definedName>
    <definedName name="人70007" localSheetId="0">[19]附表4直接工程费单价表!#REF!</definedName>
    <definedName name="人70007">[20]附表4直接工程费单价表!#REF!</definedName>
    <definedName name="人70013" localSheetId="17">[19]附表4直接工程费单价表!#REF!</definedName>
    <definedName name="人70013" localSheetId="6">[20]附表4直接工程费单价表!#REF!</definedName>
    <definedName name="人70013" localSheetId="0">[19]附表4直接工程费单价表!#REF!</definedName>
    <definedName name="人70013">[20]附表4直接工程费单价表!#REF!</definedName>
    <definedName name="人70014" localSheetId="17">[19]附表4直接工程费单价表!#REF!</definedName>
    <definedName name="人70014" localSheetId="6">[20]附表4直接工程费单价表!#REF!</definedName>
    <definedName name="人70014" localSheetId="0">[19]附表4直接工程费单价表!#REF!</definedName>
    <definedName name="人70014">[20]附表4直接工程费单价表!#REF!</definedName>
    <definedName name="人70070" localSheetId="17">[19]附表4直接工程费单价表!#REF!</definedName>
    <definedName name="人70070" localSheetId="6">[20]附表4直接工程费单价表!#REF!</definedName>
    <definedName name="人70070" localSheetId="0">[19]附表4直接工程费单价表!#REF!</definedName>
    <definedName name="人70070">[20]附表4直接工程费单价表!#REF!</definedName>
    <definedName name="人70105" localSheetId="17">[19]附表4直接工程费单价表!#REF!</definedName>
    <definedName name="人70105" localSheetId="6">[20]附表4直接工程费单价表!#REF!</definedName>
    <definedName name="人70105" localSheetId="0">[19]附表4直接工程费单价表!#REF!</definedName>
    <definedName name="人70105">[20]附表4直接工程费单价表!#REF!</definedName>
    <definedName name="人70106" localSheetId="17">[19]附表4直接工程费单价表!#REF!</definedName>
    <definedName name="人70106" localSheetId="6">[20]附表4直接工程费单价表!#REF!</definedName>
    <definedName name="人70106" localSheetId="0">[19]附表4直接工程费单价表!#REF!</definedName>
    <definedName name="人70106">[20]附表4直接工程费单价表!#REF!</definedName>
    <definedName name="人70114" localSheetId="17">[19]附表4直接工程费单价表!#REF!</definedName>
    <definedName name="人70114" localSheetId="6">[20]附表4直接工程费单价表!#REF!</definedName>
    <definedName name="人70114" localSheetId="0">[19]附表4直接工程费单价表!#REF!</definedName>
    <definedName name="人70114">[20]附表4直接工程费单价表!#REF!</definedName>
    <definedName name="人70125" localSheetId="17">[19]附表4直接工程费单价表!#REF!</definedName>
    <definedName name="人70125" localSheetId="6">[20]附表4直接工程费单价表!#REF!</definedName>
    <definedName name="人70125" localSheetId="0">[19]附表4直接工程费单价表!#REF!</definedName>
    <definedName name="人70125">[20]附表4直接工程费单价表!#REF!</definedName>
    <definedName name="人70194" localSheetId="6">[1]附表5直接工程费单价表!#REF!</definedName>
    <definedName name="人70194">[1]附表5直接工程费单价表!#REF!</definedName>
    <definedName name="人70195" localSheetId="6">[1]附表5直接工程费单价表!#REF!</definedName>
    <definedName name="人70195">[1]附表5直接工程费单价表!#REF!</definedName>
    <definedName name="人70196" localSheetId="6">[1]附表5直接工程费单价表!#REF!</definedName>
    <definedName name="人70196">[1]附表5直接工程费单价表!#REF!</definedName>
    <definedName name="人80015" localSheetId="17">[19]附表4直接工程费单价表!#REF!</definedName>
    <definedName name="人80015" localSheetId="6">[20]附表4直接工程费单价表!#REF!</definedName>
    <definedName name="人80015" localSheetId="0">[19]附表4直接工程费单价表!#REF!</definedName>
    <definedName name="人80015">[20]附表4直接工程费单价表!#REF!</definedName>
    <definedName name="人80015加800162" localSheetId="17">[19]附表4直接工程费单价表!#REF!</definedName>
    <definedName name="人80015加800162" localSheetId="6">[20]附表4直接工程费单价表!#REF!</definedName>
    <definedName name="人80015加800162" localSheetId="0">[19]附表4直接工程费单价表!#REF!</definedName>
    <definedName name="人80015加800162">[20]附表4直接工程费单价表!#REF!</definedName>
    <definedName name="人80015减80016" localSheetId="17">[19]附表4直接工程费单价表!#REF!</definedName>
    <definedName name="人80015减80016" localSheetId="6">[20]附表4直接工程费单价表!#REF!</definedName>
    <definedName name="人80015减80016" localSheetId="0">[19]附表4直接工程费单价表!#REF!</definedName>
    <definedName name="人80015减80016">[20]附表4直接工程费单价表!#REF!</definedName>
    <definedName name="人80023加8002410" localSheetId="17">[19]附表4直接工程费单价表!#REF!</definedName>
    <definedName name="人80023加8002410" localSheetId="6">[20]附表4直接工程费单价表!#REF!</definedName>
    <definedName name="人80023加8002410" localSheetId="0">[19]附表4直接工程费单价表!#REF!</definedName>
    <definedName name="人80023加8002410">[20]附表4直接工程费单价表!#REF!</definedName>
    <definedName name="人80033" localSheetId="17">[19]附表4直接工程费单价表!#REF!</definedName>
    <definedName name="人80033" localSheetId="6">[20]附表4直接工程费单价表!#REF!</definedName>
    <definedName name="人80033" localSheetId="0">[19]附表4直接工程费单价表!#REF!</definedName>
    <definedName name="人80033">[20]附表4直接工程费单价表!#REF!</definedName>
    <definedName name="人80034" localSheetId="17">[19]附表4直接工程费单价表!#REF!</definedName>
    <definedName name="人80034" localSheetId="6">[20]附表4直接工程费单价表!#REF!</definedName>
    <definedName name="人80034" localSheetId="0">[19]附表4直接工程费单价表!#REF!</definedName>
    <definedName name="人80034">[20]附表4直接工程费单价表!#REF!</definedName>
    <definedName name="人90013" localSheetId="17">[19]附表4直接工程费单价表!#REF!</definedName>
    <definedName name="人90013" localSheetId="6">[20]附表4直接工程费单价表!#REF!</definedName>
    <definedName name="人90013" localSheetId="0">[19]附表4直接工程费单价表!#REF!</definedName>
    <definedName name="人90013">[20]附表4直接工程费单价表!#REF!</definedName>
    <definedName name="人90014" localSheetId="6">[1]附表5直接工程费单价表!#REF!</definedName>
    <definedName name="人90014">[1]附表5直接工程费单价表!#REF!</definedName>
    <definedName name="人90017" localSheetId="6">[1]附表5直接工程费单价表!#REF!</definedName>
    <definedName name="人90017">[1]附表5直接工程费单价表!#REF!</definedName>
    <definedName name="人90017A" localSheetId="6">[1]附表5直接工程费单价表!#REF!</definedName>
    <definedName name="人90017A">[1]附表5直接工程费单价表!#REF!</definedName>
    <definedName name="人90085" localSheetId="6">[1]附表5直接工程费单价表!#REF!</definedName>
    <definedName name="人90085">[1]附表5直接工程费单价表!#REF!</definedName>
    <definedName name="人90086" localSheetId="6">[1]附表5直接工程费单价表!#REF!</definedName>
    <definedName name="人90086">[1]附表5直接工程费单价表!#REF!</definedName>
    <definedName name="人90087" localSheetId="6">[1]附表5直接工程费单价表!#REF!</definedName>
    <definedName name="人90087">[1]附表5直接工程费单价表!#REF!</definedName>
    <definedName name="人90087A" localSheetId="6">[1]附表5直接工程费单价表!#REF!</definedName>
    <definedName name="人90087A">[1]附表5直接工程费单价表!#REF!</definedName>
    <definedName name="人90136" localSheetId="6">[1]附表5直接工程费单价表!#REF!</definedName>
    <definedName name="人90136">[1]附表5直接工程费单价表!#REF!</definedName>
    <definedName name="人90147" localSheetId="6">[1]附表5直接工程费单价表!#REF!</definedName>
    <definedName name="人90147">[1]附表5直接工程费单价表!#REF!</definedName>
    <definedName name="人90189" localSheetId="6">[1]附表5直接工程费单价表!#REF!</definedName>
    <definedName name="人90189">[1]附表5直接工程费单价表!#REF!</definedName>
    <definedName name="人补1" localSheetId="6">[1]附表5直接工程费单价表!#REF!</definedName>
    <definedName name="人补1">[1]附表5直接工程费单价表!#REF!</definedName>
    <definedName name="人补1A" localSheetId="6">[1]附表5直接工程费单价表!#REF!</definedName>
    <definedName name="人补1A">[1]附表5直接工程费单价表!#REF!</definedName>
    <definedName name="人补2" localSheetId="6">[1]附表5直接工程费单价表!#REF!</definedName>
    <definedName name="人补2">[1]附表5直接工程费单价表!#REF!</definedName>
    <definedName name="人补3" localSheetId="6">[1]附表5直接工程费单价表!#REF!</definedName>
    <definedName name="人补3">[1]附表5直接工程费单价表!#REF!</definedName>
    <definedName name="人补4" localSheetId="6">[1]附表5直接工程费单价表!#REF!</definedName>
    <definedName name="人补4">[1]附表5直接工程费单价表!#REF!</definedName>
    <definedName name="人补5" localSheetId="6">[1]附表5直接工程费单价表!#REF!</definedName>
    <definedName name="人补5">[1]附表5直接工程费单价表!#REF!</definedName>
    <definedName name="人参60432" localSheetId="6">[1]附表5直接工程费单价表!#REF!</definedName>
    <definedName name="人参60432">[1]附表5直接工程费单价表!#REF!</definedName>
    <definedName name="人工1" localSheetId="0">[54]人工单价!$D$13</definedName>
    <definedName name="人工1">[55]人工单价!$D$13</definedName>
    <definedName name="人工费" localSheetId="17">[67]附表2人工预算单价!#REF!</definedName>
    <definedName name="人工费" localSheetId="6">[68]附表2人工预算单价!#REF!</definedName>
    <definedName name="人工费" localSheetId="0">[67]附表2人工预算单价!#REF!</definedName>
    <definedName name="人工费">[68]附表2人工预算单价!#REF!</definedName>
    <definedName name="人工填方">[69]单价表!$D$8</definedName>
    <definedName name="人工挖方">[69]单价表!$D$7</definedName>
    <definedName name="人工挖土、手扶运300m__工程" localSheetId="17">[49]新定额单价!#REF!</definedName>
    <definedName name="人工挖土、手扶运300m__工程" localSheetId="6">[50]新定额单价!#REF!</definedName>
    <definedName name="人工挖土、手扶运300m__工程" localSheetId="0">[49]新定额单价!#REF!</definedName>
    <definedName name="人工挖土、手扶运300m__工程">[50]新定额单价!#REF!</definedName>
    <definedName name="人甲" localSheetId="0">[48]附表1人工单价计算表!$E$20</definedName>
    <definedName name="人甲">[43]附表1人工!$E$20</definedName>
    <definedName name="人建11_25换" localSheetId="6">[1]附表5直接工程费单价表!#REF!</definedName>
    <definedName name="人建11_25换">[1]附表5直接工程费单价表!#REF!</definedName>
    <definedName name="人建4_10换" localSheetId="6">[1]附表5直接工程费单价表!#REF!</definedName>
    <definedName name="人建4_10换">[1]附表5直接工程费单价表!#REF!</definedName>
    <definedName name="人乙" localSheetId="0">[48]附表1人工单价计算表!$G$20</definedName>
    <definedName name="人乙">[43]附表1人工!$G$20</definedName>
    <definedName name="软管接头" localSheetId="6">[1]附表2材料价格表!#REF!</definedName>
    <definedName name="软管接头">[1]附表2材料价格表!#REF!</definedName>
    <definedName name="润滑油" localSheetId="17">[19]附表2材料价格计算表!#REF!</definedName>
    <definedName name="润滑油" localSheetId="6">[20]附表2材料价格计算表!#REF!</definedName>
    <definedName name="润滑油" localSheetId="0">[19]附表2材料价格计算表!#REF!</definedName>
    <definedName name="润滑油">[20]附表2材料价格计算表!#REF!</definedName>
    <definedName name="洒水汽车6000L以内" localSheetId="6">[1]附表3机械台班!#REF!</definedName>
    <definedName name="洒水汽车6000L以内">[1]附表3机械台班!#REF!</definedName>
    <definedName name="三道井片区" hidden="1">{"'现金流量表（全部投资）'!$B$4:$P$23"}</definedName>
    <definedName name="三盘三通φ225×200×355" localSheetId="6">[1]附表2材料价格表!#REF!</definedName>
    <definedName name="三盘三通φ225×200×355">[1]附表2材料价格表!#REF!</definedName>
    <definedName name="三盘三通φ250×200×200" localSheetId="6">[1]附表2材料价格表!#REF!</definedName>
    <definedName name="三盘三通φ250×200×200">[1]附表2材料价格表!#REF!</definedName>
    <definedName name="三盘三通φ315×160×250" localSheetId="6">[1]附表2材料价格表!#REF!</definedName>
    <definedName name="三盘三通φ315×160×250">[1]附表2材料价格表!#REF!</definedName>
    <definedName name="三盘三通φ315×200×225" localSheetId="6">[1]附表2材料价格表!#REF!</definedName>
    <definedName name="三盘三通φ315×200×225">[1]附表2材料价格表!#REF!</definedName>
    <definedName name="三盘三通φ315×200×250" localSheetId="6">[1]附表2材料价格表!#REF!</definedName>
    <definedName name="三盘三通φ315×200×250">[1]附表2材料价格表!#REF!</definedName>
    <definedName name="三盘三通φ315×200×315" localSheetId="6">[1]附表2材料价格表!#REF!</definedName>
    <definedName name="三盘三通φ315×200×315">[1]附表2材料价格表!#REF!</definedName>
    <definedName name="三盘三通φ355×160×225" localSheetId="6">[1]附表2材料价格表!#REF!</definedName>
    <definedName name="三盘三通φ355×160×225">[1]附表2材料价格表!#REF!</definedName>
    <definedName name="三盘三通φ355×160×315" localSheetId="6">[1]附表2材料价格表!#REF!</definedName>
    <definedName name="三盘三通φ355×160×315">[1]附表2材料价格表!#REF!</definedName>
    <definedName name="三盘三通φ355×200×225" localSheetId="6">[1]附表2材料价格表!#REF!</definedName>
    <definedName name="三盘三通φ355×200×225">[1]附表2材料价格表!#REF!</definedName>
    <definedName name="三盘三通φ355×200×315" localSheetId="6">[1]附表2材料价格表!#REF!</definedName>
    <definedName name="三盘三通φ355×200×315">[1]附表2材料价格表!#REF!</definedName>
    <definedName name="三盘三通φ355×200×400" localSheetId="6">[1]附表2材料价格表!#REF!</definedName>
    <definedName name="三盘三通φ355×200×400">[1]附表2材料价格表!#REF!</definedName>
    <definedName name="三盘三通φ355×400×355" localSheetId="6">[1]附表2材料价格表!#REF!</definedName>
    <definedName name="三盘三通φ355×400×355">[1]附表2材料价格表!#REF!</definedName>
    <definedName name="三盘三通φ400×200×225" localSheetId="6">[1]附表2材料价格表!#REF!</definedName>
    <definedName name="三盘三通φ400×200×225">[1]附表2材料价格表!#REF!</definedName>
    <definedName name="三盘三通φ400×200×355" localSheetId="6">[1]附表2材料价格表!#REF!</definedName>
    <definedName name="三盘三通φ400×200×355">[1]附表2材料价格表!#REF!</definedName>
    <definedName name="三盘三通φ400×500×400" localSheetId="6">[1]附表2材料价格表!#REF!</definedName>
    <definedName name="三盘三通φ400×500×400">[1]附表2材料价格表!#REF!</definedName>
    <definedName name="三盘三通φ500×500×500" localSheetId="6">[1]附表2材料价格表!#REF!</definedName>
    <definedName name="三盘三通φ500×500×500">[1]附表2材料价格表!#REF!</definedName>
    <definedName name="三盘三通φ80×80×80" localSheetId="6">[1]附表2材料价格表!#REF!</definedName>
    <definedName name="三盘三通φ80×80×80">[1]附表2材料价格表!#REF!</definedName>
    <definedName name="三通11090" localSheetId="6">[4]附表2!#REF!</definedName>
    <definedName name="三通11090">[4]附表2!#REF!</definedName>
    <definedName name="三通16090" localSheetId="6">[4]附表2!#REF!</definedName>
    <definedName name="三通16090">[4]附表2!#REF!</definedName>
    <definedName name="三通20090" localSheetId="6">[4]附表2!#REF!</definedName>
    <definedName name="三通20090">[4]附表2!#REF!</definedName>
    <definedName name="三通25090" localSheetId="6">[4]附表2!#REF!</definedName>
    <definedName name="三通25090">[4]附表2!#REF!</definedName>
    <definedName name="三通90" localSheetId="6">[4]附表2!#REF!</definedName>
    <definedName name="三通90">[4]附表2!#REF!</definedName>
    <definedName name="三通φ160×180×160" localSheetId="6">[1]附表2材料价格表!#REF!</definedName>
    <definedName name="三通φ160×180×160">[1]附表2材料价格表!#REF!</definedName>
    <definedName name="三通φ180×180×160" localSheetId="6">[1]附表2材料价格表!#REF!</definedName>
    <definedName name="三通φ180×180×160">[1]附表2材料价格表!#REF!</definedName>
    <definedName name="三通φ180×180×90" localSheetId="6">[1]附表2材料价格表!#REF!</definedName>
    <definedName name="三通φ180×180×90">[1]附表2材料价格表!#REF!</definedName>
    <definedName name="沙枣" localSheetId="17">[19]附表2材料价格计算表!#REF!</definedName>
    <definedName name="沙枣" localSheetId="6">[20]附表2材料价格计算表!#REF!</definedName>
    <definedName name="沙枣" localSheetId="0">[19]附表2材料价格计算表!#REF!</definedName>
    <definedName name="沙枣">[20]附表2材料价格计算表!#REF!</definedName>
    <definedName name="砂" localSheetId="17">[19]附表2材料价格计算表!#REF!</definedName>
    <definedName name="砂" localSheetId="0">[19]附表2材料价格计算表!#REF!</definedName>
    <definedName name="砂">[51]材料费!$D$5</definedName>
    <definedName name="砂浆" localSheetId="6">[1]附表5直接工程费单价表!#REF!</definedName>
    <definedName name="砂浆">[1]附表5直接工程费单价表!#REF!</definedName>
    <definedName name="砂浆7.5" localSheetId="0">[48]附表7砂浆配比表!$I$7</definedName>
    <definedName name="砂浆7.5">[53]附表7砂浆配比表!$I$7</definedName>
    <definedName name="砂浆M10" localSheetId="0">[70]附表4砼、沙浆费计算表!$M$12</definedName>
    <definedName name="砂浆M10">[71]附表4砼、沙浆费计算表!$M$12</definedName>
    <definedName name="砂浆M5" localSheetId="0">[72]附表4砼、沙浆费计算表!$M$10</definedName>
    <definedName name="砂浆M5">[73]附表4砼、沙浆费计算表!$M$10</definedName>
    <definedName name="砂浆M7.5" localSheetId="0">[72]附表4砼、沙浆费计算表!$M$11</definedName>
    <definedName name="砂浆M7.5">[73]附表4砼、沙浆费计算表!$M$11</definedName>
    <definedName name="砂浆库">[74]砼、砂浆半成品预算表!$A$6:$K$36</definedName>
    <definedName name="砂砾石" localSheetId="17">#REF!</definedName>
    <definedName name="砂砾石" localSheetId="6">#REF!</definedName>
    <definedName name="砂砾石" localSheetId="0">#REF!</definedName>
    <definedName name="砂砾石">#REF!</definedName>
    <definedName name="设备费" localSheetId="6">#REF!</definedName>
    <definedName name="设备费">#REF!</definedName>
    <definedName name="设备费南" localSheetId="0">'[35]表4设备费南 '!$N$37</definedName>
    <definedName name="设备费南">'[36]表4设备费南 '!$N$37</definedName>
    <definedName name="设备购置费" localSheetId="17">[75]设备!#REF!</definedName>
    <definedName name="设备购置费" localSheetId="6">#REF!</definedName>
    <definedName name="设备购置费" localSheetId="0">[75]设备!#REF!</definedName>
    <definedName name="设备购置费">#REF!</definedName>
    <definedName name="设计费" localSheetId="17">#REF!</definedName>
    <definedName name="设计费" localSheetId="6">#REF!</definedName>
    <definedName name="设计费" localSheetId="0">#REF!</definedName>
    <definedName name="设计费">#REF!</definedName>
    <definedName name="伸缩节200" localSheetId="6">[4]附表2!#REF!</definedName>
    <definedName name="伸缩节200">[4]附表2!#REF!</definedName>
    <definedName name="生产安置平衡" localSheetId="17">#REF!</definedName>
    <definedName name="生产安置平衡" localSheetId="6">#REF!</definedName>
    <definedName name="生产安置平衡" localSheetId="0">#REF!</definedName>
    <definedName name="生产安置平衡">#REF!</definedName>
    <definedName name="石灰" localSheetId="17">[19]附表2材料价格计算表!#REF!</definedName>
    <definedName name="石灰" localSheetId="6">[1]附表2材料价格表!#REF!</definedName>
    <definedName name="石灰" localSheetId="0">[19]附表2材料价格计算表!#REF!</definedName>
    <definedName name="石灰">[1]附表2材料价格表!#REF!</definedName>
    <definedName name="石棉织布" localSheetId="17">[19]附表2材料价格计算表!#REF!</definedName>
    <definedName name="石棉织布" localSheetId="6">[20]附表2材料价格计算表!#REF!</definedName>
    <definedName name="石棉织布" localSheetId="0">[19]附表2材料价格计算表!#REF!</definedName>
    <definedName name="石棉织布">[20]附表2材料价格计算表!#REF!</definedName>
    <definedName name="石屑" localSheetId="17">[19]附表2材料价格计算表!#REF!</definedName>
    <definedName name="石屑" localSheetId="6">[1]附表2材料价格表!#REF!</definedName>
    <definedName name="石屑" localSheetId="0">[19]附表2材料价格计算表!#REF!</definedName>
    <definedName name="石屑">[1]附表2材料价格表!#REF!</definedName>
    <definedName name="世行项目统计表">[76]数据字典!$L$2:$L$3</definedName>
    <definedName name="手扶式拖拉机" localSheetId="0">[44]机械汇总!$K$20</definedName>
    <definedName name="手扶式拖拉机">[45]机械汇总!$K$20</definedName>
    <definedName name="竖管" localSheetId="6">[1]附表2材料价格表!#REF!</definedName>
    <definedName name="竖管">[1]附表2材料价格表!#REF!</definedName>
    <definedName name="竖管75" localSheetId="6">[4]附表2!#REF!</definedName>
    <definedName name="竖管75">[4]附表2!#REF!</definedName>
    <definedName name="竖管80_150" localSheetId="6">[1]附表2材料价格表!#REF!</definedName>
    <definedName name="竖管80_150">[1]附表2材料价格表!#REF!</definedName>
    <definedName name="数量" localSheetId="0">'[30]#REF'!$D$2</definedName>
    <definedName name="数量">'[31]#REF'!$D$2</definedName>
    <definedName name="双" localSheetId="0" hidden="1">{"'现金流量表（全部投资）'!$B$4:$P$23"}</definedName>
    <definedName name="双">{"'现金流量表（全部投资）'!$B$4:$P$23"}</definedName>
    <definedName name="双承PVC塑管φ110×3.2×9000" localSheetId="6">[1]附表2材料价格表!#REF!</definedName>
    <definedName name="双承PVC塑管φ110×3.2×9000">[1]附表2材料价格表!#REF!</definedName>
    <definedName name="双承PVC塑管φ125×3.7×9000" localSheetId="6">[1]附表2材料价格表!#REF!</definedName>
    <definedName name="双承PVC塑管φ125×3.7×9000">[1]附表2材料价格表!#REF!</definedName>
    <definedName name="双承PVC塑管φ160×4.7×9000" localSheetId="6">[1]附表2材料价格表!#REF!</definedName>
    <definedName name="双承PVC塑管φ160×4.7×9000">[1]附表2材料价格表!#REF!</definedName>
    <definedName name="双承PVC塑管φ200×5.9×10000" localSheetId="6">[1]附表2材料价格表!#REF!</definedName>
    <definedName name="双承PVC塑管φ200×5.9×10000">[1]附表2材料价格表!#REF!</definedName>
    <definedName name="双承PVC塑管φ200×5.9×9000" localSheetId="6">[1]附表2材料价格表!#REF!</definedName>
    <definedName name="双承PVC塑管φ200×5.9×9000">[1]附表2材料价格表!#REF!</definedName>
    <definedName name="双承PVC塑管φ225×6.6×10000" localSheetId="6">[1]附表2材料价格表!#REF!</definedName>
    <definedName name="双承PVC塑管φ225×6.6×10000">[1]附表2材料价格表!#REF!</definedName>
    <definedName name="双承PVC塑管φ250×7.3×10000" localSheetId="6">[1]附表2材料价格表!#REF!</definedName>
    <definedName name="双承PVC塑管φ250×7.3×10000">[1]附表2材料价格表!#REF!</definedName>
    <definedName name="双承PVC塑管φ315×9.2×10000" localSheetId="6">[1]附表2材料价格表!#REF!</definedName>
    <definedName name="双承PVC塑管φ315×9.2×10000">[1]附表2材料价格表!#REF!</definedName>
    <definedName name="双承PVC塑管φ355×10.4×10000" localSheetId="6">[1]附表2材料价格表!#REF!</definedName>
    <definedName name="双承PVC塑管φ355×10.4×10000">[1]附表2材料价格表!#REF!</definedName>
    <definedName name="双承PVC塑管φ400×11.7×10000" localSheetId="6">[1]附表2材料价格表!#REF!</definedName>
    <definedName name="双承PVC塑管φ400×11.7×10000">[1]附表2材料价格表!#REF!</definedName>
    <definedName name="双承PVC塑管φ500×14.6×10000" localSheetId="6">[1]附表2材料价格表!#REF!</definedName>
    <definedName name="双承PVC塑管φ500×14.6×10000">[1]附表2材料价格表!#REF!</definedName>
    <definedName name="双承PVC塑管φ90×2.8×9000" localSheetId="6">[1]附表2材料价格表!#REF!</definedName>
    <definedName name="双承PVC塑管φ90×2.8×9000">[1]附表2材料价格表!#REF!</definedName>
    <definedName name="双法兰短管" localSheetId="6">[1]附表2材料价格表!#REF!</definedName>
    <definedName name="双法兰短管">[1]附表2材料价格表!#REF!</definedName>
    <definedName name="双法兰空气阀" localSheetId="6">[1]附表2材料价格表!#REF!</definedName>
    <definedName name="双法兰空气阀">[1]附表2材料价格表!#REF!</definedName>
    <definedName name="双轮胶车" localSheetId="0">[44]机械汇总!$K$74</definedName>
    <definedName name="双轮胶车">[43]附表3机械!$K$76</definedName>
    <definedName name="双面刨床" localSheetId="6">[1]附表3机械台班!#REF!</definedName>
    <definedName name="双面刨床">[1]附表3机械台班!#REF!</definedName>
    <definedName name="双盘短管φ315×600" localSheetId="6">[1]附表2材料价格表!#REF!</definedName>
    <definedName name="双盘短管φ315×600">[1]附表2材料价格表!#REF!</definedName>
    <definedName name="双盘短管φ315×600、45" localSheetId="6">[1]附表2材料价格表!#REF!</definedName>
    <definedName name="双盘短管φ315×600、45">[1]附表2材料价格表!#REF!</definedName>
    <definedName name="双盘短管φ400×600" localSheetId="6">[1]附表2材料价格表!#REF!</definedName>
    <definedName name="双盘短管φ400×600">[1]附表2材料价格表!#REF!</definedName>
    <definedName name="双盘短管φ400×600、30" localSheetId="6">[1]附表2材料价格表!#REF!</definedName>
    <definedName name="双盘短管φ400×600、30">[1]附表2材料价格表!#REF!</definedName>
    <definedName name="双盘短管φ500×600" localSheetId="6">[1]附表2材料价格表!#REF!</definedName>
    <definedName name="双盘短管φ500×600">[1]附表2材料价格表!#REF!</definedName>
    <definedName name="双盘弯头φ200×200" localSheetId="6">[1]附表2材料价格表!#REF!</definedName>
    <definedName name="双盘弯头φ200×200">[1]附表2材料价格表!#REF!</definedName>
    <definedName name="双盘弯头φ225×160" localSheetId="6">[1]附表2材料价格表!#REF!</definedName>
    <definedName name="双盘弯头φ225×160">[1]附表2材料价格表!#REF!</definedName>
    <definedName name="双盘弯头φ225×200" localSheetId="6">[1]附表2材料价格表!#REF!</definedName>
    <definedName name="双盘弯头φ225×200">[1]附表2材料价格表!#REF!</definedName>
    <definedName name="双盘弯头φ250×160" localSheetId="6">[1]附表2材料价格表!#REF!</definedName>
    <definedName name="双盘弯头φ250×160">[1]附表2材料价格表!#REF!</definedName>
    <definedName name="双盘弯头φ250×200" localSheetId="6">[1]附表2材料价格表!#REF!</definedName>
    <definedName name="双盘弯头φ250×200">[1]附表2材料价格表!#REF!</definedName>
    <definedName name="双是" localSheetId="0" hidden="1">{"'现金流量表（全部投资）'!$B$4:$P$23"}</definedName>
    <definedName name="双是" hidden="1">{"'现金流量表（全部投资）'!$B$4:$P$23"}</definedName>
    <definedName name="水" localSheetId="17">#REF!</definedName>
    <definedName name="水" localSheetId="6">#REF!</definedName>
    <definedName name="水" localSheetId="0">#REF!</definedName>
    <definedName name="水">#REF!</definedName>
    <definedName name="水泵机组250QJ100_270_15" localSheetId="6">[1]附表2材料价格表!#REF!</definedName>
    <definedName name="水泵机组250QJ100_270_15">[1]附表2材料价格表!#REF!</definedName>
    <definedName name="水泵机组250QJ80_320_16" localSheetId="6">[1]附表2材料价格表!#REF!</definedName>
    <definedName name="水泵机组250QJ80_320_16">[1]附表2材料价格表!#REF!</definedName>
    <definedName name="水泵机组IS80_50_250" localSheetId="6">[1]附表2材料价格表!#REF!</definedName>
    <definedName name="水泵机组IS80_50_250">[1]附表2材料价格表!#REF!</definedName>
    <definedName name="水表" localSheetId="6">[1]附表2材料价格表!#REF!</definedName>
    <definedName name="水表">[1]附表2材料价格表!#REF!</definedName>
    <definedName name="水措施费南" localSheetId="17">#REF!</definedName>
    <definedName name="水措施费南" localSheetId="6">#REF!</definedName>
    <definedName name="水措施费南" localSheetId="0">#REF!</definedName>
    <definedName name="水措施费南">#REF!</definedName>
    <definedName name="水价" localSheetId="0">[44]材价汇!$D$17</definedName>
    <definedName name="水价">[43]附表2材料!$D$16</definedName>
    <definedName name="水间接费南" localSheetId="17">#REF!</definedName>
    <definedName name="水间接费南" localSheetId="6">#REF!</definedName>
    <definedName name="水间接费南" localSheetId="0">#REF!</definedName>
    <definedName name="水间接费南">#REF!</definedName>
    <definedName name="水力机械调差系数" localSheetId="17">#REF!</definedName>
    <definedName name="水力机械调差系数" localSheetId="6">#REF!</definedName>
    <definedName name="水力机械调差系数" localSheetId="0">#REF!</definedName>
    <definedName name="水力机械调差系数">#REF!</definedName>
    <definedName name="水利" localSheetId="17">#REF!</definedName>
    <definedName name="水利" localSheetId="6">#REF!</definedName>
    <definedName name="水利" localSheetId="0">#REF!</definedName>
    <definedName name="水利">#REF!</definedName>
    <definedName name="水泥" localSheetId="17">#REF!</definedName>
    <definedName name="水泥" localSheetId="6">[1]附表2材料价格表!#REF!</definedName>
    <definedName name="水泥" localSheetId="0">#REF!</definedName>
    <definedName name="水泥">[1]附表2材料价格表!#REF!</definedName>
    <definedName name="水泥32.5" localSheetId="17">'[39]附表2 材料价格表'!#REF!</definedName>
    <definedName name="水泥32.5" localSheetId="6">'[40]附表2 材料价格表'!#REF!</definedName>
    <definedName name="水泥32.5" localSheetId="0">'[39]附表2 材料价格表'!#REF!</definedName>
    <definedName name="水泥32.5">'[40]附表2 材料价格表'!#REF!</definedName>
    <definedName name="水泥325" localSheetId="17">#REF!</definedName>
    <definedName name="水泥325" localSheetId="6">#REF!</definedName>
    <definedName name="水泥325" localSheetId="0">#REF!</definedName>
    <definedName name="水泥325">#REF!</definedName>
    <definedName name="水泥425" localSheetId="17">#REF!</definedName>
    <definedName name="水泥425" localSheetId="6">#REF!</definedName>
    <definedName name="水泥425" localSheetId="0">#REF!</definedName>
    <definedName name="水泥425">#REF!</definedName>
    <definedName name="水泥电杆￠190_12m" localSheetId="6">[1]附表2材料价格表!#REF!</definedName>
    <definedName name="水泥电杆￠190_12m">[1]附表2材料价格表!#REF!</definedName>
    <definedName name="水泥电杆79米" localSheetId="17">[19]附表2材料价格计算表!#REF!</definedName>
    <definedName name="水泥电杆79米" localSheetId="6">[20]附表2材料价格计算表!#REF!</definedName>
    <definedName name="水泥电杆79米" localSheetId="0">[19]附表2材料价格计算表!#REF!</definedName>
    <definedName name="水泥电杆79米">[20]附表2材料价格计算表!#REF!</definedName>
    <definedName name="水泥电杆911米" localSheetId="17">[19]附表2材料价格计算表!#REF!</definedName>
    <definedName name="水泥电杆911米" localSheetId="6">[20]附表2材料价格计算表!#REF!</definedName>
    <definedName name="水泥电杆911米" localSheetId="0">[19]附表2材料价格计算表!#REF!</definedName>
    <definedName name="水泥电杆911米">[20]附表2材料价格计算表!#REF!</definedName>
    <definedName name="水施工费" localSheetId="0">'[35]表3工程施工费南 '!$H$8</definedName>
    <definedName name="水施工费">'[36]表3工程施工费南 '!$H$8</definedName>
    <definedName name="水直接工程费南" localSheetId="17">#REF!</definedName>
    <definedName name="水直接工程费南" localSheetId="6">#REF!</definedName>
    <definedName name="水直接工程费南" localSheetId="0">#REF!</definedName>
    <definedName name="水直接工程费南">#REF!</definedName>
    <definedName name="税金">[59]基础参数值!$M$15</definedName>
    <definedName name="思想" localSheetId="17">#REF!</definedName>
    <definedName name="思想" localSheetId="6">#REF!</definedName>
    <definedName name="思想" localSheetId="0">#REF!</definedName>
    <definedName name="思想">#REF!</definedName>
    <definedName name="四盘四通φ315×200×400×355" localSheetId="6">[1]附表2材料价格表!#REF!</definedName>
    <definedName name="四盘四通φ315×200×400×355">[1]附表2材料价格表!#REF!</definedName>
    <definedName name="四盘四通φ400×355×355×200" localSheetId="6">[1]附表2材料价格表!#REF!</definedName>
    <definedName name="四盘四通φ400×355×355×200">[1]附表2材料价格表!#REF!</definedName>
    <definedName name="四盘四通φ400×500×200×400" localSheetId="6">[1]附表2材料价格表!#REF!</definedName>
    <definedName name="四盘四通φ400×500×200×400">[1]附表2材料价格表!#REF!</definedName>
    <definedName name="四通φ180×90×180×90" localSheetId="6">[1]附表2材料价格表!#REF!</definedName>
    <definedName name="四通φ180×90×180×90">[1]附表2材料价格表!#REF!</definedName>
    <definedName name="速生杨" localSheetId="6">[4]附表2!#REF!</definedName>
    <definedName name="速生杨">[4]附表2!#REF!</definedName>
    <definedName name="塑料软管" localSheetId="17">[19]附表2材料价格计算表!#REF!</definedName>
    <definedName name="塑料软管" localSheetId="6">[20]附表2材料价格计算表!#REF!</definedName>
    <definedName name="塑料软管" localSheetId="0">[19]附表2材料价格计算表!#REF!</definedName>
    <definedName name="塑料软管">[20]附表2材料价格计算表!#REF!</definedName>
    <definedName name="碎石" localSheetId="17">#REF!</definedName>
    <definedName name="碎石" localSheetId="6">#REF!</definedName>
    <definedName name="碎石" localSheetId="0">#REF!</definedName>
    <definedName name="碎石">#REF!</definedName>
    <definedName name="碎石30mm" localSheetId="6">[1]附表2材料价格表!#REF!</definedName>
    <definedName name="碎石30mm">[1]附表2材料价格表!#REF!</definedName>
    <definedName name="碎石4" localSheetId="0">'[44]表3-1直接费预算表达式1'!$D$13</definedName>
    <definedName name="碎石4">'[45]表3-1直接费预算表达式1'!$D$13</definedName>
    <definedName name="碎石40mm" localSheetId="6">[1]附表2材料价格表!#REF!</definedName>
    <definedName name="碎石40mm">[1]附表2材料价格表!#REF!</definedName>
    <definedName name="碎石50mm" localSheetId="6">[1]附表2材料价格表!#REF!</definedName>
    <definedName name="碎石50mm">[1]附表2材料价格表!#REF!</definedName>
    <definedName name="塔式起重机10t" localSheetId="17">#REF!</definedName>
    <definedName name="塔式起重机10t" localSheetId="6">#REF!</definedName>
    <definedName name="塔式起重机10t" localSheetId="0">#REF!</definedName>
    <definedName name="塔式起重机10t">#REF!</definedName>
    <definedName name="塔式起重机25t" localSheetId="17">#REF!</definedName>
    <definedName name="塔式起重机25t" localSheetId="6">#REF!</definedName>
    <definedName name="塔式起重机25t" localSheetId="0">#REF!</definedName>
    <definedName name="塔式起重机25t">#REF!</definedName>
    <definedName name="塔式起重机6t" localSheetId="6">[1]附表3机械台班!#REF!</definedName>
    <definedName name="塔式起重机6t">[1]附表3机械台班!#REF!</definedName>
    <definedName name="摊铺机TX150" localSheetId="6">[1]附表3机械台班!#REF!</definedName>
    <definedName name="摊铺机TX150">[1]附表3机械台班!#REF!</definedName>
    <definedName name="谈预算">'[77]表5-2工程监理费南'!$E$10</definedName>
    <definedName name="田间道路工程" localSheetId="6">#REF!</definedName>
    <definedName name="田间道路工程">#REF!</definedName>
    <definedName name="铁垫块" localSheetId="0">[44]材价汇!$D$22</definedName>
    <definedName name="铁垫块">[45]材价汇!$D$22</definedName>
    <definedName name="铁钉" localSheetId="17">#REF!</definedName>
    <definedName name="铁钉" localSheetId="6">#REF!</definedName>
    <definedName name="铁钉" localSheetId="0">#REF!</definedName>
    <definedName name="铁钉">#REF!</definedName>
    <definedName name="铁横担_∠63×6×1500" localSheetId="6">[1]附表2材料价格表!#REF!</definedName>
    <definedName name="铁横担_∠63×6×1500">[1]附表2材料价格表!#REF!</definedName>
    <definedName name="铁横担_∠8×8×1700" localSheetId="6">[1]附表2材料价格表!#REF!</definedName>
    <definedName name="铁横担_∠8×8×1700">[1]附表2材料价格表!#REF!</definedName>
    <definedName name="铁横担∠8×8×1700" localSheetId="6">[1]附表2材料价格表!#REF!</definedName>
    <definedName name="铁横担∠8×8×1700">[1]附表2材料价格表!#REF!</definedName>
    <definedName name="铁横担L6361500" localSheetId="17">[19]附表2材料价格计算表!#REF!</definedName>
    <definedName name="铁横担L6361500" localSheetId="6">[20]附表2材料价格计算表!#REF!</definedName>
    <definedName name="铁横担L6361500" localSheetId="0">[19]附表2材料价格计算表!#REF!</definedName>
    <definedName name="铁横担L6361500">[20]附表2材料价格计算表!#REF!</definedName>
    <definedName name="铁横担L636800" localSheetId="17">[19]附表2材料价格计算表!#REF!</definedName>
    <definedName name="铁横担L636800" localSheetId="6">[20]附表2材料价格计算表!#REF!</definedName>
    <definedName name="铁横担L636800" localSheetId="0">[19]附表2材料价格计算表!#REF!</definedName>
    <definedName name="铁横担L636800">[20]附表2材料价格计算表!#REF!</definedName>
    <definedName name="铁横担L8081700" localSheetId="17">[19]附表2材料价格计算表!#REF!</definedName>
    <definedName name="铁横担L8081700" localSheetId="6">[20]附表2材料价格计算表!#REF!</definedName>
    <definedName name="铁横担L8081700" localSheetId="0">[19]附表2材料价格计算表!#REF!</definedName>
    <definedName name="铁横担L8081700">[20]附表2材料价格计算表!#REF!</definedName>
    <definedName name="铁件" localSheetId="17">#REF!</definedName>
    <definedName name="铁件" localSheetId="6">#REF!</definedName>
    <definedName name="铁件" localSheetId="0">#REF!</definedName>
    <definedName name="铁件">#REF!</definedName>
    <definedName name="铁六渠分水闸" localSheetId="17">#REF!</definedName>
    <definedName name="铁六渠分水闸" localSheetId="6">#REF!</definedName>
    <definedName name="铁六渠分水闸" localSheetId="0">#REF!</definedName>
    <definedName name="铁六渠分水闸">#REF!</definedName>
    <definedName name="铁六渠节制闸" localSheetId="17">#REF!</definedName>
    <definedName name="铁六渠节制闸" localSheetId="6">#REF!</definedName>
    <definedName name="铁六渠节制闸" localSheetId="0">#REF!</definedName>
    <definedName name="铁六渠节制闸">#REF!</definedName>
    <definedName name="铁六渠生产桥" localSheetId="17">#REF!</definedName>
    <definedName name="铁六渠生产桥" localSheetId="6">#REF!</definedName>
    <definedName name="铁六渠生产桥" localSheetId="0">#REF!</definedName>
    <definedName name="铁六渠生产桥">#REF!</definedName>
    <definedName name="铁丝" localSheetId="6">#REF!</definedName>
    <definedName name="铁丝" localSheetId="0">[48]附表2材料价格计算表!$D$25</definedName>
    <definedName name="铁丝">#REF!</definedName>
    <definedName name="铁丝_综合" localSheetId="6">[1]附表2材料价格表!#REF!</definedName>
    <definedName name="铁丝_综合">[1]附表2材料价格表!#REF!</definedName>
    <definedName name="铁丝10" localSheetId="6">[1]附表2材料价格表!#REF!</definedName>
    <definedName name="铁丝10">[1]附表2材料价格表!#REF!</definedName>
    <definedName name="铁丝12" localSheetId="6">[1]附表2材料价格表!#REF!</definedName>
    <definedName name="铁丝12">[1]附表2材料价格表!#REF!</definedName>
    <definedName name="铁丝14" localSheetId="6">[1]附表2材料价格表!#REF!</definedName>
    <definedName name="铁丝14">[1]附表2材料价格表!#REF!</definedName>
    <definedName name="铁丝16" localSheetId="6">[1]附表2材料价格表!#REF!</definedName>
    <definedName name="铁丝16">[1]附表2材料价格表!#REF!</definedName>
    <definedName name="铁丝20" localSheetId="6">[1]附表2材料价格表!#REF!</definedName>
    <definedName name="铁丝20">[1]附表2材料价格表!#REF!</definedName>
    <definedName name="铁丝22" localSheetId="6">[1]附表2材料价格表!#REF!</definedName>
    <definedName name="铁丝22">[1]附表2材料价格表!#REF!</definedName>
    <definedName name="铁丝8" localSheetId="6">[1]附表2材料价格表!#REF!</definedName>
    <definedName name="铁丝8">[1]附表2材料价格表!#REF!</definedName>
    <definedName name="砼C10M2" localSheetId="0">'[44]表3-8'!$N$7</definedName>
    <definedName name="砼C10M2">'[45]表3-8'!$N$7</definedName>
    <definedName name="砼C15" localSheetId="17">[57]单位估价!#REF!</definedName>
    <definedName name="砼C15" localSheetId="6">[58]单位估价!#REF!</definedName>
    <definedName name="砼C15" localSheetId="0">[57]单位估价!#REF!</definedName>
    <definedName name="砼C15">[58]单位估价!#REF!</definedName>
    <definedName name="砼C20" localSheetId="0">[78]附表4砼、沙浆费计算表!$M$9</definedName>
    <definedName name="砼C20">[79]附表4砼、沙浆费计算表!$M$9</definedName>
    <definedName name="砼C20M2" localSheetId="0">'[44]表3-8'!$N$13</definedName>
    <definedName name="砼C20M2">[43]附表6砼配!$P$13</definedName>
    <definedName name="砼C20碎2" localSheetId="0">'[44]表3-8'!$N$9</definedName>
    <definedName name="砼C20碎2">'[45]表3-8'!$N$9</definedName>
    <definedName name="砼C25M2" localSheetId="0">'[44]表3-8'!$N$15</definedName>
    <definedName name="砼C25M2">[53]附表6砼配比表!$P$9</definedName>
    <definedName name="砼C30M2" localSheetId="0">'[44]表3-8'!$N$17</definedName>
    <definedName name="砼C30M2">'[45]表3-8'!$N$17</definedName>
    <definedName name="砼拌制" localSheetId="6">[4]附表4单价!#REF!</definedName>
    <definedName name="砼拌制" localSheetId="0">[59]单价分析表!$F$349</definedName>
    <definedName name="砼拌制">[4]附表4单价!#REF!</definedName>
    <definedName name="砼垂直运输">[59]单价分析表!$F$336</definedName>
    <definedName name="砼吊罐1" localSheetId="17">#REF!</definedName>
    <definedName name="砼吊罐1" localSheetId="6">#REF!</definedName>
    <definedName name="砼吊罐1" localSheetId="0">#REF!</definedName>
    <definedName name="砼吊罐1">#REF!</definedName>
    <definedName name="砼管1000" localSheetId="17">'[39]附表2 材料价格表'!#REF!</definedName>
    <definedName name="砼管1000" localSheetId="6">'[40]附表2 材料价格表'!#REF!</definedName>
    <definedName name="砼管1000" localSheetId="0">'[39]附表2 材料价格表'!#REF!</definedName>
    <definedName name="砼管1000">'[40]附表2 材料价格表'!#REF!</definedName>
    <definedName name="砼管1500" localSheetId="17">'[39]附表2 材料价格表'!#REF!</definedName>
    <definedName name="砼管1500" localSheetId="6">'[40]附表2 材料价格表'!#REF!</definedName>
    <definedName name="砼管1500" localSheetId="0">'[39]附表2 材料价格表'!#REF!</definedName>
    <definedName name="砼管1500">'[40]附表2 材料价格表'!#REF!</definedName>
    <definedName name="砼搅拌机0.4" localSheetId="17">#REF!</definedName>
    <definedName name="砼搅拌机0.4" localSheetId="6">#REF!</definedName>
    <definedName name="砼搅拌机0.4" localSheetId="0">#REF!</definedName>
    <definedName name="砼搅拌机0.4">#REF!</definedName>
    <definedName name="砼水平运输">[59]单价分析表!$F$323</definedName>
    <definedName name="砼运输" localSheetId="6">[4]附表4单价!#REF!</definedName>
    <definedName name="砼运输">[4]附表4单价!#REF!</definedName>
    <definedName name="铜电焊条" localSheetId="6">[1]附表2材料价格表!#REF!</definedName>
    <definedName name="铜电焊条">[1]附表2材料价格表!#REF!</definedName>
    <definedName name="土措施费南" localSheetId="17">#REF!</definedName>
    <definedName name="土措施费南" localSheetId="6">#REF!</definedName>
    <definedName name="土措施费南" localSheetId="0">#REF!</definedName>
    <definedName name="土措施费南">#REF!</definedName>
    <definedName name="土地平整" localSheetId="0">[34]表3工程施工费表!$I$8</definedName>
    <definedName name="土地平整">[47]表3工程施工费表!$I$8</definedName>
    <definedName name="土地平整工程" localSheetId="6">#REF!</definedName>
    <definedName name="土地平整工程">#REF!</definedName>
    <definedName name="土间接费南" localSheetId="17">#REF!</definedName>
    <definedName name="土间接费南" localSheetId="6">#REF!</definedName>
    <definedName name="土间接费南" localSheetId="0">#REF!</definedName>
    <definedName name="土间接费南">#REF!</definedName>
    <definedName name="土建单价" localSheetId="17">#REF!</definedName>
    <definedName name="土建单价" localSheetId="6">#REF!</definedName>
    <definedName name="土建单价" localSheetId="0">#REF!</definedName>
    <definedName name="土建单价">#REF!</definedName>
    <definedName name="土建费率" localSheetId="17">#REF!</definedName>
    <definedName name="土建费率" localSheetId="6">#REF!</definedName>
    <definedName name="土建费率" localSheetId="0">#REF!</definedName>
    <definedName name="土建费率">#REF!</definedName>
    <definedName name="土建工程量" localSheetId="17">#REF!</definedName>
    <definedName name="土建工程量" localSheetId="6">#REF!</definedName>
    <definedName name="土建工程量" localSheetId="0">#REF!</definedName>
    <definedName name="土建工程量">#REF!</definedName>
    <definedName name="土施工费南" localSheetId="0">'[35]表3工程施工费南 '!$H$6</definedName>
    <definedName name="土施工费南">'[36]表3工程施工费南 '!$H$6</definedName>
    <definedName name="土直接工程费南" localSheetId="17">#REF!</definedName>
    <definedName name="土直接工程费南" localSheetId="6">#REF!</definedName>
    <definedName name="土直接工程费南" localSheetId="0">#REF!</definedName>
    <definedName name="土直接工程费南">#REF!</definedName>
    <definedName name="推土机103kw" localSheetId="6">[1]附表3机械台班!#REF!</definedName>
    <definedName name="推土机103kw">[1]附表3机械台班!#REF!</definedName>
    <definedName name="推土机55kw" localSheetId="6">[1]附表3机械台班!#REF!</definedName>
    <definedName name="推土机55kw">[1]附表3机械台班!#REF!</definedName>
    <definedName name="推土机59kw" localSheetId="17">#REF!</definedName>
    <definedName name="推土机59kw" localSheetId="6">#REF!</definedName>
    <definedName name="推土机59kw" localSheetId="0">#REF!</definedName>
    <definedName name="推土机59kw">#REF!</definedName>
    <definedName name="推土机74kw" localSheetId="17">#REF!</definedName>
    <definedName name="推土机74kw" localSheetId="6">#REF!</definedName>
    <definedName name="推土机74kw" localSheetId="0">#REF!</definedName>
    <definedName name="推土机74kw">#REF!</definedName>
    <definedName name="推土机88kw" localSheetId="6">[1]附表3机械台班!#REF!</definedName>
    <definedName name="推土机88kw">[1]附表3机械台班!#REF!</definedName>
    <definedName name="推土机89kw" localSheetId="6">[1]附表3机械台班!#REF!</definedName>
    <definedName name="推土机89kw">[1]附表3机械台班!#REF!</definedName>
    <definedName name="退水">'[29]估算表-干沟、支干沟'!$M$10</definedName>
    <definedName name="拖拉机55kw" localSheetId="6">[1]附表3机械台班!#REF!</definedName>
    <definedName name="拖拉机55kw">[1]附表3机械台班!#REF!</definedName>
    <definedName name="拖拉机59KW" localSheetId="17">#REF!</definedName>
    <definedName name="拖拉机59KW" localSheetId="6">#REF!</definedName>
    <definedName name="拖拉机59KW" localSheetId="0">#REF!</definedName>
    <definedName name="拖拉机59KW">#REF!</definedName>
    <definedName name="拖拉机74kw" localSheetId="17">#REF!</definedName>
    <definedName name="拖拉机74kw" localSheetId="6">#REF!</definedName>
    <definedName name="拖拉机74kw" localSheetId="0">#REF!</definedName>
    <definedName name="拖拉机74kw">#REF!</definedName>
    <definedName name="拖拉机履带式功率59kw" localSheetId="0">[44]机械汇总!$K$16</definedName>
    <definedName name="拖拉机履带式功率59kw">[45]机械汇总!$K$16</definedName>
    <definedName name="拖拉机履带式功率74kw" localSheetId="0">[44]机械汇总!$K$18</definedName>
    <definedName name="拖拉机履带式功率74kw">[45]机械汇总!$K$18</definedName>
    <definedName name="挖掘机1.0油动" localSheetId="17">#REF!</definedName>
    <definedName name="挖掘机1.0油动" localSheetId="6">#REF!</definedName>
    <definedName name="挖掘机1.0油动" localSheetId="0">#REF!</definedName>
    <definedName name="挖掘机1.0油动">#REF!</definedName>
    <definedName name="挖掘机1m3" localSheetId="6">[1]附表3机械台班!#REF!</definedName>
    <definedName name="挖掘机1m3">[1]附表3机械台班!#REF!</definedName>
    <definedName name="蛙式打夯机2.8k" localSheetId="6">[1]附表3机械台班!#REF!</definedName>
    <definedName name="蛙式打夯机2.8k">[1]附表3机械台班!#REF!</definedName>
    <definedName name="蛙式打夯机2.8KW" localSheetId="17">#REF!</definedName>
    <definedName name="蛙式打夯机2.8KW" localSheetId="6">#REF!</definedName>
    <definedName name="蛙式打夯机2.8KW" localSheetId="0">#REF!</definedName>
    <definedName name="蛙式打夯机2.8KW">#REF!</definedName>
    <definedName name="蛙式打夯机功率2.8kw" localSheetId="0">[44]机械汇总!$K$30</definedName>
    <definedName name="蛙式打夯机功率2.8kw">[45]机械汇总!$K$30</definedName>
    <definedName name="弯头12590" localSheetId="6">[4]附表2!#REF!</definedName>
    <definedName name="弯头12590">[4]附表2!#REF!</definedName>
    <definedName name="弯头20045" localSheetId="6">[4]附表2!#REF!</definedName>
    <definedName name="弯头20045">[4]附表2!#REF!</definedName>
    <definedName name="弯头25090" localSheetId="6">[4]附表2!#REF!</definedName>
    <definedName name="弯头25090">[4]附表2!#REF!</definedName>
    <definedName name="弯头Dg120" localSheetId="6">[1]附表2材料价格表!#REF!</definedName>
    <definedName name="弯头Dg120">[1]附表2材料价格表!#REF!</definedName>
    <definedName name="弯头Dg160" localSheetId="6">[1]附表2材料价格表!#REF!</definedName>
    <definedName name="弯头Dg160">[1]附表2材料价格表!#REF!</definedName>
    <definedName name="弯头Dg180" localSheetId="6">[1]附表2材料价格表!#REF!</definedName>
    <definedName name="弯头Dg180">[1]附表2材料价格表!#REF!</definedName>
    <definedName name="弯头Dg90" localSheetId="6">[1]附表2材料价格表!#REF!</definedName>
    <definedName name="弯头Dg90">[1]附表2材料价格表!#REF!</definedName>
    <definedName name="弯头φ110" localSheetId="6">[1]附表2材料价格表!#REF!</definedName>
    <definedName name="弯头φ110">[1]附表2材料价格表!#REF!</definedName>
    <definedName name="弯头φ120_90度" localSheetId="6">[1]附表2材料价格表!#REF!</definedName>
    <definedName name="弯头φ120_90度">[1]附表2材料价格表!#REF!</definedName>
    <definedName name="弯头φ140_90度" localSheetId="6">[1]附表2材料价格表!#REF!</definedName>
    <definedName name="弯头φ140_90度">[1]附表2材料价格表!#REF!</definedName>
    <definedName name="弯头φ160" localSheetId="6">[1]附表2材料价格表!#REF!</definedName>
    <definedName name="弯头φ160">[1]附表2材料价格表!#REF!</definedName>
    <definedName name="弯头φ160_90度" localSheetId="6">[1]附表2材料价格表!#REF!</definedName>
    <definedName name="弯头φ160_90度">[1]附表2材料价格表!#REF!</definedName>
    <definedName name="弯头φ180" localSheetId="6">[1]附表2材料价格表!#REF!</definedName>
    <definedName name="弯头φ180">[1]附表2材料价格表!#REF!</definedName>
    <definedName name="弯头φ90" localSheetId="6">[1]附表2材料价格表!#REF!</definedName>
    <definedName name="弯头φ90">[1]附表2材料价格表!#REF!</definedName>
    <definedName name="碗头挂板W_7B" localSheetId="6">[1]附表2材料价格表!#REF!</definedName>
    <definedName name="碗头挂板W_7B">[1]附表2材料价格表!#REF!</definedName>
    <definedName name="万元" localSheetId="0">'[30]#REF'!$H$2</definedName>
    <definedName name="万元">'[31]#REF'!$H$2</definedName>
    <definedName name="桅杆起重机10t" localSheetId="0">[44]机械汇总!$K$102</definedName>
    <definedName name="桅杆起重机10t">[45]机械汇总!$K$102</definedName>
    <definedName name="西瓜滴灌" localSheetId="0" hidden="1">{"'现金流量表（全部投资）'!$B$4:$P$23"}</definedName>
    <definedName name="西瓜滴灌" hidden="1">{"'现金流量表（全部投资）'!$B$4:$P$23"}</definedName>
    <definedName name="系数1" localSheetId="17">#REF!</definedName>
    <definedName name="系数1" localSheetId="6">#REF!</definedName>
    <definedName name="系数1" localSheetId="0">#REF!</definedName>
    <definedName name="系数1">#REF!</definedName>
    <definedName name="系数3" localSheetId="17">#REF!</definedName>
    <definedName name="系数3" localSheetId="6">#REF!</definedName>
    <definedName name="系数3" localSheetId="0">#REF!</definedName>
    <definedName name="系数3">#REF!</definedName>
    <definedName name="纤细估算" localSheetId="6" hidden="1">#REF!</definedName>
    <definedName name="纤细估算" hidden="1">#REF!</definedName>
    <definedName name="现场安装">[59]基础参数值!$F$23</definedName>
    <definedName name="现场钢筋">[59]基础参数值!$F$19</definedName>
    <definedName name="现场其它">[59]基础参数值!$F$22</definedName>
    <definedName name="现场砌石">[59]基础参数值!$F$17</definedName>
    <definedName name="现场砼">[59]基础参数值!$F$18</definedName>
    <definedName name="现场土方">[59]基础参数值!$F$15</definedName>
    <definedName name="现场钻孔">[59]基础参数值!$F$20</definedName>
    <definedName name="线夹" localSheetId="6">[1]附表2材料价格表!#REF!</definedName>
    <definedName name="线夹">[1]附表2材料价格表!#REF!</definedName>
    <definedName name="橡胶绝缘线" localSheetId="17">[19]附表2材料价格计算表!#REF!</definedName>
    <definedName name="橡胶绝缘线" localSheetId="6">[20]附表2材料价格计算表!#REF!</definedName>
    <definedName name="橡胶绝缘线" localSheetId="0">[19]附表2材料价格计算表!#REF!</definedName>
    <definedName name="橡胶绝缘线">[20]附表2材料价格计算表!#REF!</definedName>
    <definedName name="橡胶石棉板" localSheetId="6">[1]附表2材料价格表!#REF!</definedName>
    <definedName name="橡胶石棉板">[1]附表2材料价格表!#REF!</definedName>
    <definedName name="橡胶止水带" localSheetId="6">[1]附表2材料价格表!#REF!</definedName>
    <definedName name="橡胶止水带" localSheetId="0">[44]材价汇!$D$50</definedName>
    <definedName name="橡胶止水带">[1]附表2材料价格表!#REF!</definedName>
    <definedName name="橡胶止水圈_1000" localSheetId="6">[1]附表2材料价格表!#REF!</definedName>
    <definedName name="橡胶止水圈_1000">[1]附表2材料价格表!#REF!</definedName>
    <definedName name="橡胶止水圈_600" localSheetId="6">[1]附表2材料价格表!#REF!</definedName>
    <definedName name="橡胶止水圈_600">[1]附表2材料价格表!#REF!</definedName>
    <definedName name="橡胶止水圈DN1000" localSheetId="0">[48]附表2材料价格计算表!$D$47</definedName>
    <definedName name="橡胶止水圈DN1000">[45]材价汇!$D$47</definedName>
    <definedName name="橡胶止水圈DN400" localSheetId="0">[44]材价汇!$D$44</definedName>
    <definedName name="橡胶止水圈DN400">[45]材价汇!$D$44</definedName>
    <definedName name="橡胶止水圈DN500" localSheetId="0">[44]材价汇!$D$45</definedName>
    <definedName name="橡胶止水圈DN500">[45]材价汇!$D$45</definedName>
    <definedName name="橡胶止水圈DN600" localSheetId="17">[19]附表2材料价格计算表!#REF!</definedName>
    <definedName name="橡胶止水圈DN600" localSheetId="6">[20]附表2材料价格计算表!#REF!</definedName>
    <definedName name="橡胶止水圈DN600" localSheetId="0">[19]附表2材料价格计算表!#REF!</definedName>
    <definedName name="橡胶止水圈DN600">[20]附表2材料价格计算表!#REF!</definedName>
    <definedName name="橡胶止水圈DN800" localSheetId="0">[44]材价汇!$D$46</definedName>
    <definedName name="橡胶止水圈DN800">[45]材价汇!$D$46</definedName>
    <definedName name="橡皮绝缘线" localSheetId="17">[19]附表2材料价格计算表!#REF!</definedName>
    <definedName name="橡皮绝缘线" localSheetId="6">[20]附表2材料价格计算表!#REF!</definedName>
    <definedName name="橡皮绝缘线" localSheetId="0">[19]附表2材料价格计算表!#REF!</definedName>
    <definedName name="橡皮绝缘线">[20]附表2材料价格计算表!#REF!</definedName>
    <definedName name="楔形线夹_NX_2" localSheetId="6">[1]附表2材料价格表!#REF!</definedName>
    <definedName name="楔形线夹_NX_2">[1]附表2材料价格表!#REF!</definedName>
    <definedName name="楔形线夹NX_1" localSheetId="6">[1]附表2材料价格表!#REF!</definedName>
    <definedName name="楔形线夹NX_1">[1]附表2材料价格表!#REF!</definedName>
    <definedName name="楔形线夹NX_2" localSheetId="6">[1]附表2材料价格表!#REF!</definedName>
    <definedName name="楔形线夹NX_2">[1]附表2材料价格表!#REF!</definedName>
    <definedName name="楔型线夹NX2" localSheetId="17">[19]附表2材料价格计算表!#REF!</definedName>
    <definedName name="楔型线夹NX2" localSheetId="6">[20]附表2材料价格计算表!#REF!</definedName>
    <definedName name="楔型线夹NX2" localSheetId="0">[19]附表2材料价格计算表!#REF!</definedName>
    <definedName name="楔型线夹NX2">[20]附表2材料价格计算表!#REF!</definedName>
    <definedName name="泄水阀" localSheetId="6">[1]附表2材料价格表!#REF!</definedName>
    <definedName name="泄水阀">[1]附表2材料价格表!#REF!</definedName>
    <definedName name="泄水阀φ120" localSheetId="6">[1]附表2材料价格表!#REF!</definedName>
    <definedName name="泄水阀φ120">[1]附表2材料价格表!#REF!</definedName>
    <definedName name="泄水阀φ140" localSheetId="6">[1]附表2材料价格表!#REF!</definedName>
    <definedName name="泄水阀φ140">[1]附表2材料价格表!#REF!</definedName>
    <definedName name="泄水阀φ160" localSheetId="6">[1]附表2材料价格表!#REF!</definedName>
    <definedName name="泄水阀φ160">[1]附表2材料价格表!#REF!</definedName>
    <definedName name="新疆杨" localSheetId="17">[19]附表2材料价格计算表!#REF!</definedName>
    <definedName name="新疆杨" localSheetId="6">[4]附表2!#REF!</definedName>
    <definedName name="新疆杨" localSheetId="0">[19]附表2材料价格计算表!#REF!</definedName>
    <definedName name="新疆杨">[4]附表2!#REF!</definedName>
    <definedName name="新年" localSheetId="17">#REF!</definedName>
    <definedName name="新年" localSheetId="6">#REF!</definedName>
    <definedName name="新年" localSheetId="0">#REF!</definedName>
    <definedName name="新年">#REF!</definedName>
    <definedName name="型钢" localSheetId="6">#REF!</definedName>
    <definedName name="型钢" localSheetId="0">[48]附表2材料价格计算表!$D$31</definedName>
    <definedName name="型钢">#REF!</definedName>
    <definedName name="型钢剪断机13kw" localSheetId="6">[1]附表3机械台班!#REF!</definedName>
    <definedName name="型钢剪断机13kw">[1]附表3机械台班!#REF!</definedName>
    <definedName name="性别" localSheetId="0">[63]二级代码!$A$2:$A$4</definedName>
    <definedName name="性别">[64]二级代码!$A$2:$A$4</definedName>
    <definedName name="悬式瓷瓶XP_7" localSheetId="6">[1]附表2材料价格表!#REF!</definedName>
    <definedName name="悬式瓷瓶XP_7">[1]附表2材料价格表!#REF!</definedName>
    <definedName name="悬式绝缘子_X_4.5" localSheetId="6">[1]附表2材料价格表!#REF!</definedName>
    <definedName name="悬式绝缘子_X_4.5">[1]附表2材料价格表!#REF!</definedName>
    <definedName name="悬式绝缘子X_4.5" localSheetId="6">[1]附表2材料价格表!#REF!</definedName>
    <definedName name="悬式绝缘子X_4.5">[1]附表2材料价格表!#REF!</definedName>
    <definedName name="悬式绝缘子X4.5" localSheetId="17">[19]附表2材料价格计算表!#REF!</definedName>
    <definedName name="悬式绝缘子X4.5" localSheetId="6">[20]附表2材料价格计算表!#REF!</definedName>
    <definedName name="悬式绝缘子X4.5" localSheetId="0">[19]附表2材料价格计算表!#REF!</definedName>
    <definedName name="悬式绝缘子X4.5">[20]附表2材料价格计算表!#REF!</definedName>
    <definedName name="压力表" localSheetId="6">[1]附表2材料价格表!#REF!</definedName>
    <definedName name="压力表">[1]附表2材料价格表!#REF!</definedName>
    <definedName name="压力表0.6MPa" localSheetId="6">[1]附表2材料价格表!#REF!</definedName>
    <definedName name="压力表0.6MPa">[1]附表2材料价格表!#REF!</definedName>
    <definedName name="压力表弯管φ16" localSheetId="6">[1]附表2材料价格表!#REF!</definedName>
    <definedName name="压力表弯管φ16">[1]附表2材料价格表!#REF!</definedName>
    <definedName name="压力钢管" localSheetId="17">#REF!</definedName>
    <definedName name="压力钢管" localSheetId="6">#REF!</definedName>
    <definedName name="压力钢管" localSheetId="0">#REF!</definedName>
    <definedName name="压力钢管">#REF!</definedName>
    <definedName name="压力钢管调差系数" localSheetId="17">#REF!</definedName>
    <definedName name="压力钢管调差系数" localSheetId="6">#REF!</definedName>
    <definedName name="压力钢管调差系数" localSheetId="0">#REF!</definedName>
    <definedName name="压力钢管调差系数">#REF!</definedName>
    <definedName name="羊脚碾5_7t" localSheetId="6">[1]附表3机械台班!#REF!</definedName>
    <definedName name="羊脚碾5_7t">[1]附表3机械台班!#REF!</definedName>
    <definedName name="羊脚碾7T" localSheetId="17">#REF!</definedName>
    <definedName name="羊脚碾7T" localSheetId="6">#REF!</definedName>
    <definedName name="羊脚碾7T" localSheetId="0">#REF!</definedName>
    <definedName name="羊脚碾7T">#REF!</definedName>
    <definedName name="羊脚碾8_12t" localSheetId="6">[1]附表3机械台班!#REF!</definedName>
    <definedName name="羊脚碾8_12t">[1]附表3机械台班!#REF!</definedName>
    <definedName name="杨树" localSheetId="6">[1]附表2材料价格表!#REF!</definedName>
    <definedName name="杨树" localSheetId="0">[44]材价汇!$D$49</definedName>
    <definedName name="杨树">[1]附表2材料价格表!#REF!</definedName>
    <definedName name="氧气" localSheetId="17">#REF!</definedName>
    <definedName name="氧气" localSheetId="6">#REF!</definedName>
    <definedName name="氧气" localSheetId="0">#REF!</definedName>
    <definedName name="氧气">#REF!</definedName>
    <definedName name="摇臂钻床规格φ20m35mm" localSheetId="0">[44]机械汇总!$K$136</definedName>
    <definedName name="摇臂钻床规格φ20m35mm">[45]机械汇总!$K$136</definedName>
    <definedName name="业主管理费" localSheetId="6">#REF!</definedName>
    <definedName name="业主管理费" localSheetId="0">'[56]表5-5业主'!$I$14</definedName>
    <definedName name="业主管理费">#REF!</definedName>
    <definedName name="业主管理费南" localSheetId="0">'[35]表5-4业主管理费南 '!$I$9</definedName>
    <definedName name="业主管理费南">'[36]表5-4业主管理费南 '!$I$9</definedName>
    <definedName name="一" localSheetId="0" hidden="1">{"'现金流量表（全部投资）'!$B$4:$P$23"}</definedName>
    <definedName name="一" hidden="1">{"'现金流量表（全部投资）'!$B$4:$P$23"}</definedName>
    <definedName name="一般石方开挖风钻Ⅶ_工程" localSheetId="17">[49]新定额单价!#REF!</definedName>
    <definedName name="一般石方开挖风钻Ⅶ_工程" localSheetId="6">[50]新定额单价!#REF!</definedName>
    <definedName name="一般石方开挖风钻Ⅶ_工程" localSheetId="0">[49]新定额单价!#REF!</definedName>
    <definedName name="一般石方开挖风钻Ⅶ_工程">[50]新定额单价!#REF!</definedName>
    <definedName name="乙二胺" localSheetId="6">[1]附表2材料价格表!#REF!</definedName>
    <definedName name="乙二胺">[1]附表2材料价格表!#REF!</definedName>
    <definedName name="乙类" localSheetId="17">[56]附表1人工单价表!#REF!</definedName>
    <definedName name="乙类" localSheetId="0">[56]附表1人工单价表!#REF!</definedName>
    <definedName name="乙类">#N/A</definedName>
    <definedName name="乙炔气" localSheetId="6">[1]附表2材料价格表!#REF!</definedName>
    <definedName name="乙炔气" localSheetId="0">[44]材价汇!$D$36</definedName>
    <definedName name="乙炔气">[1]附表2材料价格表!#REF!</definedName>
    <definedName name="溢流堰砼200__工程" localSheetId="17">#REF!</definedName>
    <definedName name="溢流堰砼200__工程" localSheetId="6">#REF!</definedName>
    <definedName name="溢流堰砼200__工程" localSheetId="0">#REF!</definedName>
    <definedName name="溢流堰砼200__工程">#REF!</definedName>
    <definedName name="油浸石棉盘根250℃" localSheetId="17">[19]附表2材料价格计算表!#REF!</definedName>
    <definedName name="油浸石棉盘根250℃" localSheetId="6">[20]附表2材料价格计算表!#REF!</definedName>
    <definedName name="油浸石棉盘根250℃" localSheetId="0">[19]附表2材料价格计算表!#REF!</definedName>
    <definedName name="油浸石棉盘根250℃">[20]附表2材料价格计算表!#REF!</definedName>
    <definedName name="油毛毡" localSheetId="6">[1]附表2材料价格表!#REF!</definedName>
    <definedName name="油毛毡">[1]附表2材料价格表!#REF!</definedName>
    <definedName name="油漆" localSheetId="6">[1]附表2材料价格表!#REF!</definedName>
    <definedName name="油漆" localSheetId="0">[44]材价汇!$D$38</definedName>
    <definedName name="油漆">[1]附表2材料价格表!#REF!</definedName>
    <definedName name="油毡" localSheetId="17">[19]附表2材料价格计算表!#REF!</definedName>
    <definedName name="油毡" localSheetId="6">[20]附表2材料价格计算表!#REF!</definedName>
    <definedName name="油毡" localSheetId="0">[19]附表2材料价格计算表!#REF!</definedName>
    <definedName name="油毡">[20]附表2材料价格计算表!#REF!</definedName>
    <definedName name="与之" localSheetId="17">[80]单位估价!#REF!</definedName>
    <definedName name="与之" localSheetId="6">[81]单位估价!#REF!</definedName>
    <definedName name="与之" localSheetId="0">[80]单位估价!#REF!</definedName>
    <definedName name="与之">[81]单位估价!#REF!</definedName>
    <definedName name="预埋铁件" localSheetId="6">[1]附表2材料价格表!#REF!</definedName>
    <definedName name="预埋铁件" localSheetId="0">[44]材价汇!$D$33</definedName>
    <definedName name="预埋铁件">[1]附表2材料价格表!#REF!</definedName>
    <definedName name="预算价格" localSheetId="17">[82]附表2!#REF!</definedName>
    <definedName name="预算价格" localSheetId="6">[83]附表2!#REF!</definedName>
    <definedName name="预算价格" localSheetId="0">[82]附表2!#REF!</definedName>
    <definedName name="预算价格">[83]附表2!#REF!</definedName>
    <definedName name="预制砼防护管" localSheetId="6">[4]附表2!#REF!</definedName>
    <definedName name="预制砼防护管">[4]附表2!#REF!</definedName>
    <definedName name="预制砼柱" localSheetId="17">[57]单位估价!#REF!</definedName>
    <definedName name="预制砼柱" localSheetId="6">[58]单位估价!#REF!</definedName>
    <definedName name="预制砼柱" localSheetId="0">[57]单位估价!#REF!</definedName>
    <definedName name="预制砼柱">[58]单位估价!#REF!</definedName>
    <definedName name="原木" localSheetId="17">#REF!</definedName>
    <definedName name="原木" localSheetId="6">#REF!</definedName>
    <definedName name="原木" localSheetId="0">#REF!</definedName>
    <definedName name="原木">#REF!</definedName>
    <definedName name="圆盘锯" localSheetId="6">[1]附表3机械台班!#REF!</definedName>
    <definedName name="圆盘锯">[1]附表3机械台班!#REF!</definedName>
    <definedName name="载重汽车10t" localSheetId="17">#REF!</definedName>
    <definedName name="载重汽车10t" localSheetId="6">#REF!</definedName>
    <definedName name="载重汽车10t" localSheetId="0">#REF!</definedName>
    <definedName name="载重汽车10t">#REF!</definedName>
    <definedName name="载重汽车5t" localSheetId="17">#REF!</definedName>
    <definedName name="载重汽车5t" localSheetId="6">#REF!</definedName>
    <definedName name="载重汽车5t" localSheetId="0">#REF!</definedName>
    <definedName name="载重汽车5t">#REF!</definedName>
    <definedName name="载重汽车5吨" localSheetId="0">[44]机械汇总!$K$60</definedName>
    <definedName name="载重汽车5吨">[43]附表3机械!$K$62</definedName>
    <definedName name="闸墩21_21.9m接高200_砼" localSheetId="17">#REF!</definedName>
    <definedName name="闸墩21_21.9m接高200_砼" localSheetId="6">#REF!</definedName>
    <definedName name="闸墩21_21.9m接高200_砼" localSheetId="0">#REF!</definedName>
    <definedName name="闸墩21_21.9m接高200_砼">#REF!</definedName>
    <definedName name="闸阀" localSheetId="6">[1]附表2材料价格表!#REF!</definedName>
    <definedName name="闸阀">[1]附表2材料价格表!#REF!</definedName>
    <definedName name="闸阀110" localSheetId="6">[1]附表2材料价格表!#REF!</definedName>
    <definedName name="闸阀110">[1]附表2材料价格表!#REF!</definedName>
    <definedName name="闸阀250" localSheetId="6">[4]附表2!#REF!</definedName>
    <definedName name="闸阀250">[4]附表2!#REF!</definedName>
    <definedName name="闸阀90" localSheetId="6">[4]附表2!#REF!</definedName>
    <definedName name="闸阀90">[4]附表2!#REF!</definedName>
    <definedName name="闸阀Dg120" localSheetId="6">[1]附表2材料价格表!#REF!</definedName>
    <definedName name="闸阀Dg120">[1]附表2材料价格表!#REF!</definedName>
    <definedName name="闸阀Dg160" localSheetId="6">[1]附表2材料价格表!#REF!</definedName>
    <definedName name="闸阀Dg160">[1]附表2材料价格表!#REF!</definedName>
    <definedName name="闸阀Dg180" localSheetId="6">[1]附表2材料价格表!#REF!</definedName>
    <definedName name="闸阀Dg180">[1]附表2材料价格表!#REF!</definedName>
    <definedName name="闸阀Dg90" localSheetId="6">[1]附表2材料价格表!#REF!</definedName>
    <definedName name="闸阀Dg90">[1]附表2材料价格表!#REF!</definedName>
    <definedName name="闸阀φ120" localSheetId="6">[1]附表2材料价格表!#REF!</definedName>
    <definedName name="闸阀φ120">[1]附表2材料价格表!#REF!</definedName>
    <definedName name="闸阀φ140" localSheetId="6">[1]附表2材料价格表!#REF!</definedName>
    <definedName name="闸阀φ140">[1]附表2材料价格表!#REF!</definedName>
    <definedName name="闸阀φ160" localSheetId="6">[1]附表2材料价格表!#REF!</definedName>
    <definedName name="闸阀φ160">[1]附表2材料价格表!#REF!</definedName>
    <definedName name="闸阀φ180" localSheetId="6">[1]附表2材料价格表!#REF!</definedName>
    <definedName name="闸阀φ180">[1]附表2材料价格表!#REF!</definedName>
    <definedName name="闸阀φ200" localSheetId="6">[1]附表2材料价格表!#REF!</definedName>
    <definedName name="闸阀φ200">[1]附表2材料价格表!#REF!</definedName>
    <definedName name="闸阀φ225" localSheetId="6">[1]附表2材料价格表!#REF!</definedName>
    <definedName name="闸阀φ225">[1]附表2材料价格表!#REF!</definedName>
    <definedName name="闸阀φ250" localSheetId="6">[1]附表2材料价格表!#REF!</definedName>
    <definedName name="闸阀φ250">[1]附表2材料价格表!#REF!</definedName>
    <definedName name="闸阀φ315" localSheetId="6">[1]附表2材料价格表!#REF!</definedName>
    <definedName name="闸阀φ315">[1]附表2材料价格表!#REF!</definedName>
    <definedName name="闸阀φ355" localSheetId="6">[1]附表2材料价格表!#REF!</definedName>
    <definedName name="闸阀φ355">[1]附表2材料价格表!#REF!</definedName>
    <definedName name="闸阀φ400" localSheetId="6">[1]附表2材料价格表!#REF!</definedName>
    <definedName name="闸阀φ400">[1]附表2材料价格表!#REF!</definedName>
    <definedName name="闸阀φ80" localSheetId="6">[1]附表2材料价格表!#REF!</definedName>
    <definedName name="闸阀φ80">[1]附表2材料价格表!#REF!</definedName>
    <definedName name="闸阀φ90" localSheetId="6">[1]附表2材料价格表!#REF!</definedName>
    <definedName name="闸阀φ90">[1]附表2材料价格表!#REF!</definedName>
    <definedName name="闸门0.3" localSheetId="17">[75]设备!#REF!</definedName>
    <definedName name="闸门0.3" localSheetId="6">[84]设备!#REF!</definedName>
    <definedName name="闸门0.3" localSheetId="0">[75]设备!#REF!</definedName>
    <definedName name="闸门0.3">[84]设备!#REF!</definedName>
    <definedName name="闸门0.4" localSheetId="17">[75]设备!#REF!</definedName>
    <definedName name="闸门0.4" localSheetId="6">[84]设备!#REF!</definedName>
    <definedName name="闸门0.4" localSheetId="0">[75]设备!#REF!</definedName>
    <definedName name="闸门0.4">[84]设备!#REF!</definedName>
    <definedName name="闸门0.5" localSheetId="17">[75]设备!#REF!</definedName>
    <definedName name="闸门0.5" localSheetId="6">[84]设备!#REF!</definedName>
    <definedName name="闸门0.5" localSheetId="0">[75]设备!#REF!</definedName>
    <definedName name="闸门0.5">[84]设备!#REF!</definedName>
    <definedName name="闸门0.6" localSheetId="17">[75]设备!#REF!</definedName>
    <definedName name="闸门0.6" localSheetId="6">[84]设备!#REF!</definedName>
    <definedName name="闸门0.6" localSheetId="0">[75]设备!#REF!</definedName>
    <definedName name="闸门0.6">[84]设备!#REF!</definedName>
    <definedName name="炸药" localSheetId="17">#REF!</definedName>
    <definedName name="炸药" localSheetId="6">#REF!</definedName>
    <definedName name="炸药" localSheetId="0">#REF!</definedName>
    <definedName name="炸药">#REF!</definedName>
    <definedName name="粘土" localSheetId="6">[1]附表2材料价格表!#REF!</definedName>
    <definedName name="粘土">[1]附表2材料价格表!#REF!</definedName>
    <definedName name="粘土球" localSheetId="6">[1]附表2材料价格表!#REF!</definedName>
    <definedName name="粘土球">[1]附表2材料价格表!#REF!</definedName>
    <definedName name="漳河柳" localSheetId="6">[4]附表2!#REF!</definedName>
    <definedName name="漳河柳">[4]附表2!#REF!</definedName>
    <definedName name="长">#N/A</definedName>
    <definedName name="针式瓶P_20T" localSheetId="6">[1]附表2材料价格表!#REF!</definedName>
    <definedName name="针式瓶P_20T">[1]附表2材料价格表!#REF!</definedName>
    <definedName name="支沟护坡">'[29]估算表 -支沟治理'!$M$8</definedName>
    <definedName name="支沟尾水">'[29]估算表 -支沟治理'!$M$9</definedName>
    <definedName name="支架φ33×1500" localSheetId="6">[1]附表2材料价格表!#REF!</definedName>
    <definedName name="支架φ33×1500">[1]附表2材料价格表!#REF!</definedName>
    <definedName name="直角挂板Z_7" localSheetId="6">[1]附表2材料价格表!#REF!</definedName>
    <definedName name="直角挂板Z_7">[1]附表2材料价格表!#REF!</definedName>
    <definedName name="直流电焊机30" localSheetId="17">#REF!</definedName>
    <definedName name="直流电焊机30" localSheetId="6">#REF!</definedName>
    <definedName name="直流电焊机30" localSheetId="0">#REF!</definedName>
    <definedName name="直流电焊机30">#REF!</definedName>
    <definedName name="直流电焊机30kVA" localSheetId="0">[44]机械汇总!$K$120</definedName>
    <definedName name="直流电焊机30kVA">[45]机械汇总!$K$120</definedName>
    <definedName name="止回阀φ120" localSheetId="6">[1]附表2材料价格表!#REF!</definedName>
    <definedName name="止回阀φ120">[1]附表2材料价格表!#REF!</definedName>
    <definedName name="止回阀φ140" localSheetId="6">[1]附表2材料价格表!#REF!</definedName>
    <definedName name="止回阀φ140">[1]附表2材料价格表!#REF!</definedName>
    <definedName name="止回阀φ160" localSheetId="6">[1]附表2材料价格表!#REF!</definedName>
    <definedName name="止回阀φ160">[1]附表2材料价格表!#REF!</definedName>
    <definedName name="中">#N/A</definedName>
    <definedName name="中粗砂" localSheetId="17">#REF!</definedName>
    <definedName name="中粗砂" localSheetId="6">#REF!</definedName>
    <definedName name="中粗砂" localSheetId="0">#REF!</definedName>
    <definedName name="中粗砂">#REF!</definedName>
    <definedName name="主1" localSheetId="17">#REF!</definedName>
    <definedName name="主1" localSheetId="6">#REF!</definedName>
    <definedName name="主1" localSheetId="0">#REF!</definedName>
    <definedName name="主1">#REF!</definedName>
    <definedName name="专用模板" localSheetId="0">[44]材价汇!$D$28</definedName>
    <definedName name="专用模板">[45]材价汇!$D$28</definedName>
    <definedName name="砖" localSheetId="6">[1]附表2材料价格表!#REF!</definedName>
    <definedName name="砖">[1]附表2材料价格表!#REF!</definedName>
    <definedName name="紫铜片厚15mm" localSheetId="6">[1]附表2材料价格表!#REF!</definedName>
    <definedName name="紫铜片厚15mm">[1]附表2材料价格表!#REF!</definedName>
    <definedName name="自动化">[85]新定额单价!$A$190</definedName>
    <definedName name="自卸汽车5t" localSheetId="17">#REF!</definedName>
    <definedName name="自卸汽车5t" localSheetId="6">#REF!</definedName>
    <definedName name="自卸汽车5t" localSheetId="0">#REF!</definedName>
    <definedName name="自卸汽车5t">#REF!</definedName>
    <definedName name="自卸汽车8t" localSheetId="6">[1]附表3机械台班!#REF!</definedName>
    <definedName name="自卸汽车8t">[1]附表3机械台班!#REF!</definedName>
    <definedName name="自行式平地机118kw" localSheetId="0">[44]机械汇总!$K$22</definedName>
    <definedName name="自行式平地机118kw">[45]机械汇总!$K$22</definedName>
    <definedName name="自行式平地机120kw以内" localSheetId="6">[1]附表3机械台班!#REF!</definedName>
    <definedName name="自行式平地机120kw以内">[1]附表3机械台班!#REF!</definedName>
    <definedName name="综合估算表" localSheetId="17">#REF!</definedName>
    <definedName name="综合估算表" localSheetId="6">#REF!</definedName>
    <definedName name="综合估算表" localSheetId="0">#REF!</definedName>
    <definedName name="综合估算表">#REF!</definedName>
    <definedName name="总干渠石礼公路桥" localSheetId="17">#REF!</definedName>
    <definedName name="总干渠石礼公路桥" localSheetId="6">#REF!</definedName>
    <definedName name="总干渠石礼公路桥" localSheetId="0">#REF!</definedName>
    <definedName name="总干渠石礼公路桥">#REF!</definedName>
    <definedName name="总投资" localSheetId="6">#REF!</definedName>
    <definedName name="总投资">#REF!</definedName>
    <definedName name="总投资南" localSheetId="0">'[35]表2预算总表 南'!$C$9</definedName>
    <definedName name="总投资南">'[36]表2预算总表 南'!$C$9</definedName>
    <definedName name="组合钢模" localSheetId="17">#REF!</definedName>
    <definedName name="组合钢模" localSheetId="6">#REF!</definedName>
    <definedName name="组合钢模" localSheetId="0">#REF!</definedName>
    <definedName name="组合钢模">#REF!</definedName>
    <definedName name="组合钢模板" localSheetId="6">[1]附表2材料价格表!#REF!</definedName>
    <definedName name="组合钢模板" localSheetId="0">[44]材价汇!$D$29</definedName>
    <definedName name="组合钢模板">[1]附表2材料价格表!#REF!</definedName>
    <definedName name="钻杆" localSheetId="17">[19]附表2材料价格计算表!#REF!</definedName>
    <definedName name="钻杆" localSheetId="6">[20]附表2材料价格计算表!#REF!</definedName>
    <definedName name="钻杆" localSheetId="0">[19]附表2材料价格计算表!#REF!</definedName>
    <definedName name="钻杆">[20]附表2材料价格计算表!#REF!</definedName>
  </definedNames>
  <calcPr calcId="144525" fullPrecision="0"/>
</workbook>
</file>

<file path=xl/sharedStrings.xml><?xml version="1.0" encoding="utf-8"?>
<sst xmlns="http://schemas.openxmlformats.org/spreadsheetml/2006/main" count="8857" uniqueCount="1116">
  <si>
    <t>总概算表</t>
  </si>
  <si>
    <t>单位：万元</t>
  </si>
  <si>
    <t>序号</t>
  </si>
  <si>
    <t>工程或费用名称</t>
  </si>
  <si>
    <t>建安
工程费</t>
  </si>
  <si>
    <t>设备
购置费</t>
  </si>
  <si>
    <t>独立
费用</t>
  </si>
  <si>
    <r>
      <rPr>
        <b/>
        <sz val="10"/>
        <rFont val="宋体"/>
        <charset val="134"/>
      </rPr>
      <t>合</t>
    </r>
    <r>
      <rPr>
        <b/>
        <sz val="10"/>
        <rFont val="宋体"/>
        <charset val="134"/>
      </rPr>
      <t>计</t>
    </r>
  </si>
  <si>
    <t>第一部分  建筑工程</t>
  </si>
  <si>
    <t>一</t>
  </si>
  <si>
    <t>土地平整工程</t>
  </si>
  <si>
    <t>惠农区庙台乡片区</t>
  </si>
  <si>
    <t>平罗县宝丰镇片区</t>
  </si>
  <si>
    <t>平罗县陶乐镇片区</t>
  </si>
  <si>
    <t>二</t>
  </si>
  <si>
    <t>土壤改良与培肥工程</t>
  </si>
  <si>
    <t>三</t>
  </si>
  <si>
    <t>灌溉与排水工程</t>
  </si>
  <si>
    <t>四</t>
  </si>
  <si>
    <t>道路工程</t>
  </si>
  <si>
    <t>五</t>
  </si>
  <si>
    <t>林业工程</t>
  </si>
  <si>
    <t>林业灌溉与排水工程</t>
  </si>
  <si>
    <t>六</t>
  </si>
  <si>
    <t>草蓄一体化工程</t>
  </si>
  <si>
    <t>七</t>
  </si>
  <si>
    <t>信息化工程</t>
  </si>
  <si>
    <t>八</t>
  </si>
  <si>
    <t>科技推广核心示范工程</t>
  </si>
  <si>
    <t>第二部分  机电设备及安装工程</t>
  </si>
  <si>
    <t>第三部分  金属结构设备及安装工程</t>
  </si>
  <si>
    <t>第一～第三部分投资合计</t>
  </si>
  <si>
    <t>第四部分 施工临时工程</t>
  </si>
  <si>
    <t>惠农区庙台乡</t>
  </si>
  <si>
    <t>第一～第四部分投资合计</t>
  </si>
  <si>
    <t>第五部分  独立费用</t>
  </si>
  <si>
    <t>项目管理费</t>
  </si>
  <si>
    <t>工程监理费[670号]</t>
  </si>
  <si>
    <t>工程勘测设计费</t>
  </si>
  <si>
    <t>1</t>
  </si>
  <si>
    <t>设计费（10#文）</t>
  </si>
  <si>
    <t>2</t>
  </si>
  <si>
    <t>测量费</t>
  </si>
  <si>
    <t>其他</t>
  </si>
  <si>
    <t>安全生产措施费（1.2%）</t>
  </si>
  <si>
    <t>工程质量检测费（0.3%）</t>
  </si>
  <si>
    <t>3</t>
  </si>
  <si>
    <t>工程保险费（0.45%）</t>
  </si>
  <si>
    <t>第一～第五部分投资合计</t>
  </si>
  <si>
    <t>第六部分  基本预备费（2%）</t>
  </si>
  <si>
    <t>工程总投资</t>
  </si>
  <si>
    <t>工程部分勘察与设计费计算表</t>
  </si>
  <si>
    <t>工程勘察收费计算表</t>
  </si>
  <si>
    <t>附表一：</t>
  </si>
  <si>
    <t>工程设计收费基价表</t>
  </si>
  <si>
    <t>名  称</t>
  </si>
  <si>
    <t>调整系数/基价（堤防）</t>
  </si>
  <si>
    <t>工程勘察费</t>
  </si>
  <si>
    <t>计费额</t>
  </si>
  <si>
    <t>收费基价</t>
  </si>
  <si>
    <t>工程勘察收费基准价</t>
  </si>
  <si>
    <t>工程勘察收费基价(内插法)</t>
  </si>
  <si>
    <t>计费额(万元)</t>
  </si>
  <si>
    <t>计费额标准(万元)</t>
  </si>
  <si>
    <t>收费基价标准(万元)</t>
  </si>
  <si>
    <t>专业调整系数</t>
  </si>
  <si>
    <t>工程复杂程度调整系数</t>
  </si>
  <si>
    <t>附加调整系数</t>
  </si>
  <si>
    <t>浮动幅度值(±20%)</t>
  </si>
  <si>
    <t>工程勘察收费</t>
  </si>
  <si>
    <r>
      <rPr>
        <sz val="10"/>
        <color indexed="8"/>
        <rFont val="仿宋_GB2312"/>
        <charset val="134"/>
      </rPr>
      <t>工程勘察收费=工程勘察收费基准价×（1±浮动幅度值）
工程勘察收费基准价=基本勘察收费+其他勘察收费
基本勘察收费=工程勘察</t>
    </r>
    <r>
      <rPr>
        <sz val="10"/>
        <rFont val="仿宋_GB2312"/>
        <charset val="134"/>
      </rPr>
      <t>收费基价</t>
    </r>
    <r>
      <rPr>
        <sz val="10"/>
        <color indexed="8"/>
        <rFont val="仿宋_GB2312"/>
        <charset val="134"/>
      </rPr>
      <t>×专业调整系数×工程复杂程度调整系数×附加调整系数</t>
    </r>
  </si>
  <si>
    <t>工程设计收费计算表</t>
  </si>
  <si>
    <t>调整系数/基价</t>
  </si>
  <si>
    <t>工程设计费</t>
  </si>
  <si>
    <t>工程设计收费基准价</t>
  </si>
  <si>
    <t>工程设计收费基价</t>
  </si>
  <si>
    <t>注：计费额&gt;2,000,000万元的，以计费额乘以1.6%的收费率计算收费基价。</t>
  </si>
  <si>
    <t>工程设计收费</t>
  </si>
  <si>
    <t>工程设计收费=工程设计收费基准价×（1±浮动幅度值）
工程设计收费基准价=基本设计收费+其他设计收费
基本设计收费=工程设计收费基价×专业调整系数×工程复杂程度调整系数×附加调整系数</t>
  </si>
  <si>
    <t>工程监理收费计算表</t>
  </si>
  <si>
    <t>工程监理收费基价表</t>
  </si>
  <si>
    <t>工程监理费</t>
  </si>
  <si>
    <t>工程监理收费基准价</t>
  </si>
  <si>
    <t>工程监理收费基价</t>
  </si>
  <si>
    <t>高程调整系数</t>
  </si>
  <si>
    <t>注：计费额&gt;1,000,000万元的，以计费额乘以1.039%的收费率计算收费基价。</t>
  </si>
  <si>
    <t>测量费用计算表</t>
  </si>
  <si>
    <t>工作内容</t>
  </si>
  <si>
    <t>单位</t>
  </si>
  <si>
    <t>工作量</t>
  </si>
  <si>
    <t>单价</t>
  </si>
  <si>
    <t>附加</t>
  </si>
  <si>
    <t>合价</t>
  </si>
  <si>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</si>
  <si>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系数</t>
  </si>
  <si>
    <t>地形测量</t>
  </si>
  <si>
    <t>控制测量</t>
  </si>
  <si>
    <r>
      <rPr>
        <sz val="12"/>
        <rFont val="Times New Roman"/>
        <charset val="134"/>
      </rPr>
      <t>GPS(E</t>
    </r>
    <r>
      <rPr>
        <sz val="12"/>
        <rFont val="宋体"/>
        <charset val="134"/>
      </rPr>
      <t>级</t>
    </r>
    <r>
      <rPr>
        <sz val="12"/>
        <rFont val="Times New Roman"/>
        <charset val="134"/>
      </rPr>
      <t>)</t>
    </r>
  </si>
  <si>
    <t>点</t>
  </si>
  <si>
    <t>地形图测绘</t>
  </si>
  <si>
    <r>
      <rPr>
        <sz val="12"/>
        <rFont val="宋体"/>
        <charset val="134"/>
      </rPr>
      <t>庙台乡、宝丰镇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：2</t>
    </r>
    <r>
      <rPr>
        <sz val="12"/>
        <rFont val="宋体"/>
        <charset val="134"/>
      </rPr>
      <t>000</t>
    </r>
  </si>
  <si>
    <r>
      <rPr>
        <sz val="12"/>
        <rFont val="Times New Roman"/>
        <charset val="134"/>
      </rPr>
      <t>km</t>
    </r>
    <r>
      <rPr>
        <sz val="12"/>
        <rFont val="宋体"/>
        <charset val="134"/>
      </rPr>
      <t>²</t>
    </r>
  </si>
  <si>
    <r>
      <rPr>
        <sz val="12"/>
        <rFont val="宋体"/>
        <charset val="134"/>
      </rPr>
      <t>庙台乡、宝丰镇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：2001</t>
    </r>
  </si>
  <si>
    <r>
      <rPr>
        <sz val="12"/>
        <rFont val="Times New Roman"/>
        <charset val="134"/>
      </rPr>
      <t>km</t>
    </r>
    <r>
      <rPr>
        <sz val="12"/>
        <rFont val="宋体"/>
        <charset val="134"/>
      </rPr>
      <t>131</t>
    </r>
  </si>
  <si>
    <r>
      <rPr>
        <sz val="12"/>
        <rFont val="宋体"/>
        <charset val="134"/>
      </rPr>
      <t>庙台乡、宝丰镇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：2002</t>
    </r>
  </si>
  <si>
    <r>
      <rPr>
        <sz val="12"/>
        <rFont val="Times New Roman"/>
        <charset val="134"/>
      </rPr>
      <t>km</t>
    </r>
    <r>
      <rPr>
        <sz val="12"/>
        <rFont val="宋体"/>
        <charset val="134"/>
      </rPr>
      <t>132</t>
    </r>
  </si>
  <si>
    <r>
      <rPr>
        <sz val="12"/>
        <rFont val="宋体"/>
        <charset val="134"/>
      </rPr>
      <t>庙台乡、宝丰镇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：2003</t>
    </r>
  </si>
  <si>
    <r>
      <rPr>
        <sz val="12"/>
        <rFont val="Times New Roman"/>
        <charset val="134"/>
      </rPr>
      <t>km</t>
    </r>
    <r>
      <rPr>
        <sz val="12"/>
        <rFont val="宋体"/>
        <charset val="134"/>
      </rPr>
      <t>133</t>
    </r>
  </si>
  <si>
    <r>
      <rPr>
        <sz val="12"/>
        <rFont val="宋体"/>
        <charset val="134"/>
      </rPr>
      <t>庙台乡、宝丰镇1</t>
    </r>
    <r>
      <rPr>
        <sz val="12"/>
        <rFont val="宋体"/>
        <charset val="134"/>
      </rPr>
      <t>：</t>
    </r>
    <r>
      <rPr>
        <sz val="12"/>
        <rFont val="宋体"/>
        <charset val="134"/>
      </rPr>
      <t>1000</t>
    </r>
  </si>
  <si>
    <t>km²</t>
  </si>
  <si>
    <r>
      <rPr>
        <sz val="12"/>
        <rFont val="宋体"/>
        <charset val="134"/>
      </rPr>
      <t>陶乐1</t>
    </r>
    <r>
      <rPr>
        <sz val="12"/>
        <rFont val="宋体"/>
        <charset val="134"/>
      </rPr>
      <t>:2000</t>
    </r>
  </si>
  <si>
    <t>技术工作费</t>
  </si>
  <si>
    <t>勘测专项费</t>
  </si>
  <si>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计</t>
    </r>
  </si>
  <si>
    <t xml:space="preserve">备注：取费采用《工程勘察收费标准2002》第2章工程测量地面测量实物工作收费基价表 表2.2-2、地面测量实物工作收费附加调整系数表 </t>
  </si>
  <si>
    <t>汇总表</t>
  </si>
  <si>
    <t xml:space="preserve">              概算价值  （万元）</t>
  </si>
  <si>
    <t>占投资额（%）</t>
  </si>
  <si>
    <t>建安工程</t>
  </si>
  <si>
    <t>设备购置</t>
  </si>
  <si>
    <t>其他费用</t>
  </si>
  <si>
    <t>合计</t>
  </si>
  <si>
    <t>工程费用</t>
  </si>
  <si>
    <t>独立费用</t>
  </si>
  <si>
    <t>总投资</t>
  </si>
  <si>
    <t>工程审定概算表</t>
  </si>
  <si>
    <t>项目名称：平罗县崇岗镇兰跃渠砌护改造工程</t>
  </si>
  <si>
    <t>概算价值  (万元)</t>
  </si>
  <si>
    <t>技术经济指标（元）</t>
  </si>
  <si>
    <t>占投   资额  （%)</t>
  </si>
  <si>
    <t>数量</t>
  </si>
  <si>
    <t>单位价值</t>
  </si>
  <si>
    <t>（一）</t>
  </si>
  <si>
    <t>（二）</t>
  </si>
  <si>
    <t>（三）</t>
  </si>
  <si>
    <t>（四）</t>
  </si>
  <si>
    <t>第四部分  施工临时工程（1.0%）</t>
  </si>
  <si>
    <t>建设管理费</t>
  </si>
  <si>
    <t>万元</t>
  </si>
  <si>
    <t>安全生产措施费</t>
  </si>
  <si>
    <t>工程质量检测费</t>
  </si>
  <si>
    <t>预备费</t>
  </si>
  <si>
    <t>平罗县崇岗镇兰跃渠砌护改造工程概算表</t>
  </si>
  <si>
    <t>工 程 项 目</t>
  </si>
  <si>
    <t>单价（元）</t>
  </si>
  <si>
    <t>合价（元）</t>
  </si>
  <si>
    <t>备注</t>
  </si>
  <si>
    <t>第一部分   农田水利工程</t>
  </si>
  <si>
    <t>兰跃渠砌护改造工程</t>
  </si>
  <si>
    <t>渠道砌护工程</t>
  </si>
  <si>
    <t>km</t>
  </si>
  <si>
    <t>1.1</t>
  </si>
  <si>
    <t>兰跃支渠砌护（0+000-0+654）</t>
  </si>
  <si>
    <t>土方开挖</t>
  </si>
  <si>
    <t>m³</t>
  </si>
  <si>
    <t>土方回填</t>
  </si>
  <si>
    <t>C20现浇钢筋混凝土</t>
  </si>
  <si>
    <t>钢筋制安</t>
  </si>
  <si>
    <t>t</t>
  </si>
  <si>
    <t>聚乙烯油膏聚乙烯油膏伸缩缝</t>
  </si>
  <si>
    <t>DN50pvc排水管（2m/根，单根0.4m）</t>
  </si>
  <si>
    <t>m</t>
  </si>
  <si>
    <t>1-3cm粒径碎石反滤料换填</t>
  </si>
  <si>
    <t>1.2</t>
  </si>
  <si>
    <t>兰跃支渠砌护（0+654-0+823）</t>
  </si>
  <si>
    <t>1.3</t>
  </si>
  <si>
    <t>支渠砌护（0+823-3+473）</t>
  </si>
  <si>
    <t>外运回填土方（运距3km）</t>
  </si>
  <si>
    <t>人工修整边坡</t>
  </si>
  <si>
    <t>㎡</t>
  </si>
  <si>
    <t>预制混凝土U型渠槽砌筑（缝板比0.23）</t>
  </si>
  <si>
    <t>配套建筑物</t>
  </si>
  <si>
    <t>座</t>
  </si>
  <si>
    <t>支渠桥（2.5m×5m，支渠R=1.6m）</t>
  </si>
  <si>
    <t>（1）</t>
  </si>
  <si>
    <t>支渠桥（R=1.6m）单座</t>
  </si>
  <si>
    <t>浆砌石挡土墙</t>
  </si>
  <si>
    <t>浆砌石基础</t>
  </si>
  <si>
    <t>浆砌石护底</t>
  </si>
  <si>
    <t>C20混凝土台帽</t>
  </si>
  <si>
    <t>C25钢筋砼桥板</t>
  </si>
  <si>
    <r>
      <rPr>
        <b/>
        <sz val="10"/>
        <rFont val="宋体"/>
        <charset val="134"/>
        <scheme val="minor"/>
      </rPr>
      <t>支渠农口（</t>
    </r>
    <r>
      <rPr>
        <b/>
        <sz val="10"/>
        <rFont val="Calibri"/>
        <charset val="134"/>
      </rPr>
      <t>φ</t>
    </r>
    <r>
      <rPr>
        <b/>
        <sz val="10"/>
        <rFont val="宋体"/>
        <charset val="134"/>
        <scheme val="minor"/>
      </rPr>
      <t>0.4×2m）</t>
    </r>
  </si>
  <si>
    <r>
      <rPr>
        <sz val="10"/>
        <rFont val="宋体"/>
        <charset val="134"/>
        <scheme val="minor"/>
      </rPr>
      <t>支渠农口（</t>
    </r>
    <r>
      <rPr>
        <sz val="10"/>
        <rFont val="Calibri"/>
        <charset val="161"/>
      </rPr>
      <t>φ</t>
    </r>
    <r>
      <rPr>
        <sz val="10"/>
        <rFont val="宋体"/>
        <charset val="134"/>
        <scheme val="minor"/>
      </rPr>
      <t>0.4×2m）单座</t>
    </r>
  </si>
  <si>
    <t>DN400钢筋混凝土管</t>
  </si>
  <si>
    <r>
      <rPr>
        <b/>
        <sz val="10"/>
        <rFont val="宋体"/>
        <charset val="134"/>
        <scheme val="minor"/>
      </rPr>
      <t>支渠农口带过路（</t>
    </r>
    <r>
      <rPr>
        <b/>
        <sz val="10"/>
        <rFont val="Calibri"/>
        <charset val="161"/>
      </rPr>
      <t>φ</t>
    </r>
    <r>
      <rPr>
        <b/>
        <sz val="10"/>
        <rFont val="宋体"/>
        <charset val="134"/>
        <scheme val="minor"/>
      </rPr>
      <t>0.4m×4m）</t>
    </r>
  </si>
  <si>
    <t>支渠农口带过路（0.4×4m）单座</t>
  </si>
  <si>
    <t>支渠斗口</t>
  </si>
  <si>
    <r>
      <rPr>
        <sz val="10"/>
        <rFont val="宋体"/>
        <charset val="134"/>
        <scheme val="minor"/>
      </rPr>
      <t>支渠农口（</t>
    </r>
    <r>
      <rPr>
        <sz val="10"/>
        <rFont val="Calibri"/>
        <charset val="161"/>
      </rPr>
      <t>φ</t>
    </r>
    <r>
      <rPr>
        <sz val="10"/>
        <rFont val="宋体"/>
        <charset val="134"/>
        <scheme val="minor"/>
      </rPr>
      <t>0.8m×2m）单座</t>
    </r>
  </si>
  <si>
    <t>DN800钢筋混凝土管</t>
  </si>
  <si>
    <t>2.5</t>
  </si>
  <si>
    <t>跌水（1.7m×15m）</t>
  </si>
  <si>
    <t>现浇C20砼台帽</t>
  </si>
  <si>
    <t>C20砼护面</t>
  </si>
  <si>
    <t>C25钢筋砼消力坎</t>
  </si>
  <si>
    <t>2.6</t>
  </si>
  <si>
    <t>支斗渠分水闸（1.5m×1.5m）</t>
  </si>
  <si>
    <t>C20砼闸墙</t>
  </si>
  <si>
    <t>C25预制砼桥板</t>
  </si>
  <si>
    <t>兰丰支斗渠砌护改造工程</t>
  </si>
  <si>
    <t>支斗渠砌护（R1400m）</t>
  </si>
  <si>
    <t>支斗渠桥（2.3m×5m）</t>
  </si>
  <si>
    <t>支渠桥（R=1.4m）单座</t>
  </si>
  <si>
    <r>
      <rPr>
        <b/>
        <sz val="10"/>
        <rFont val="宋体"/>
        <charset val="134"/>
        <scheme val="minor"/>
      </rPr>
      <t>支斗渠农口（</t>
    </r>
    <r>
      <rPr>
        <b/>
        <sz val="10"/>
        <rFont val="Calibri"/>
        <charset val="161"/>
      </rPr>
      <t>φ</t>
    </r>
    <r>
      <rPr>
        <b/>
        <sz val="10"/>
        <rFont val="宋体"/>
        <charset val="134"/>
        <scheme val="minor"/>
      </rPr>
      <t>0.4m×2m）</t>
    </r>
  </si>
  <si>
    <t>支渠农口（R1400+R250）单座</t>
  </si>
  <si>
    <r>
      <rPr>
        <b/>
        <sz val="10"/>
        <rFont val="宋体"/>
        <charset val="134"/>
        <scheme val="minor"/>
      </rPr>
      <t>支斗渠农口带过路（</t>
    </r>
    <r>
      <rPr>
        <b/>
        <sz val="10"/>
        <rFont val="Calibri"/>
        <charset val="161"/>
      </rPr>
      <t>φ</t>
    </r>
    <r>
      <rPr>
        <b/>
        <sz val="10"/>
        <rFont val="宋体"/>
        <charset val="134"/>
        <scheme val="minor"/>
      </rPr>
      <t>0.4m×4m）</t>
    </r>
  </si>
  <si>
    <t>支渠农口带过路单座</t>
  </si>
  <si>
    <r>
      <rPr>
        <b/>
        <sz val="10"/>
        <rFont val="宋体"/>
        <charset val="134"/>
        <scheme val="minor"/>
      </rPr>
      <t>支斗渠斗口（</t>
    </r>
    <r>
      <rPr>
        <b/>
        <sz val="10"/>
        <rFont val="Calibri"/>
        <charset val="161"/>
      </rPr>
      <t>φ</t>
    </r>
    <r>
      <rPr>
        <b/>
        <sz val="10"/>
        <rFont val="宋体"/>
        <charset val="134"/>
        <scheme val="minor"/>
      </rPr>
      <t>0.8m×2m）</t>
    </r>
  </si>
  <si>
    <t>支渠农口（0.8m×2m）单座</t>
  </si>
  <si>
    <r>
      <rPr>
        <b/>
        <sz val="10"/>
        <rFont val="宋体"/>
        <charset val="134"/>
        <scheme val="minor"/>
      </rPr>
      <t>支斗渠斗口带过路（</t>
    </r>
    <r>
      <rPr>
        <b/>
        <sz val="10"/>
        <rFont val="Calibri"/>
        <charset val="161"/>
      </rPr>
      <t>φ</t>
    </r>
    <r>
      <rPr>
        <b/>
        <sz val="10"/>
        <rFont val="宋体"/>
        <charset val="134"/>
        <scheme val="minor"/>
      </rPr>
      <t>0.4m×4m）</t>
    </r>
  </si>
  <si>
    <r>
      <rPr>
        <sz val="10"/>
        <rFont val="宋体"/>
        <charset val="134"/>
        <scheme val="minor"/>
      </rPr>
      <t>支渠农口带过路（</t>
    </r>
    <r>
      <rPr>
        <sz val="10"/>
        <rFont val="Calibri"/>
        <charset val="161"/>
      </rPr>
      <t>φ</t>
    </r>
    <r>
      <rPr>
        <sz val="10"/>
        <rFont val="宋体"/>
        <charset val="134"/>
        <scheme val="minor"/>
      </rPr>
      <t>0.4m×4m）单座</t>
    </r>
  </si>
  <si>
    <t>兰丰支斗渠过三二支沟渡槽</t>
  </si>
  <si>
    <t>R800预制渡槽槽壳，L=10m（含运输安装）</t>
  </si>
  <si>
    <t>C25钢筋砼承台</t>
  </si>
  <si>
    <t>v型橡皮止水</t>
  </si>
  <si>
    <t>节制闸（1.5m×1.5m）</t>
  </si>
  <si>
    <t>兰丰一斗渠砌护改造工程</t>
  </si>
  <si>
    <t>斗渠砌护（R800m）</t>
  </si>
  <si>
    <t>斗渠桥（1.6m×5m）</t>
  </si>
  <si>
    <t>斗渠桥（R=0.8m）单座</t>
  </si>
  <si>
    <r>
      <rPr>
        <b/>
        <sz val="10"/>
        <rFont val="宋体"/>
        <charset val="134"/>
        <scheme val="minor"/>
      </rPr>
      <t>斗渠农口（</t>
    </r>
    <r>
      <rPr>
        <b/>
        <sz val="10"/>
        <rFont val="Calibri"/>
        <charset val="161"/>
      </rPr>
      <t>φ</t>
    </r>
    <r>
      <rPr>
        <b/>
        <sz val="10"/>
        <rFont val="宋体"/>
        <charset val="134"/>
        <scheme val="minor"/>
      </rPr>
      <t>0.4m×2m）</t>
    </r>
  </si>
  <si>
    <t>支渠农口（R800+R250）单座</t>
  </si>
  <si>
    <t>2.3</t>
  </si>
  <si>
    <r>
      <rPr>
        <b/>
        <sz val="10"/>
        <rFont val="宋体"/>
        <charset val="134"/>
        <scheme val="minor"/>
      </rPr>
      <t>斗渠斗口（</t>
    </r>
    <r>
      <rPr>
        <b/>
        <sz val="10"/>
        <rFont val="Calibri"/>
        <charset val="161"/>
      </rPr>
      <t>φ</t>
    </r>
    <r>
      <rPr>
        <b/>
        <sz val="10"/>
        <rFont val="宋体"/>
        <charset val="134"/>
        <scheme val="minor"/>
      </rPr>
      <t>0.8m×2m）</t>
    </r>
  </si>
  <si>
    <t>支渠农口（R800+R400）单座</t>
  </si>
  <si>
    <t>2.4</t>
  </si>
  <si>
    <t>节制闸（1.2m×1.2m）</t>
  </si>
  <si>
    <t>节制闸单座</t>
  </si>
  <si>
    <t>跃进支斗渠砌护改造工程</t>
  </si>
  <si>
    <t>支渠桥（2.3m×5m）单座</t>
  </si>
  <si>
    <t>支渠农口R1400+R250单座</t>
  </si>
  <si>
    <t>跃进支斗渠过三二支沟渡槽</t>
  </si>
  <si>
    <t>R800预制渡槽槽壳，L=10m</t>
  </si>
  <si>
    <t>金属结构及安装概算表</t>
  </si>
  <si>
    <t>名称</t>
  </si>
  <si>
    <t>合计（元）</t>
  </si>
  <si>
    <t>安装费</t>
  </si>
  <si>
    <t>设备费</t>
  </si>
  <si>
    <t>金属结构及安装工程</t>
  </si>
  <si>
    <t>整体式闸门及安装（GZ1.5m*1.5m）</t>
  </si>
  <si>
    <t>套</t>
  </si>
  <si>
    <t>整体式闸门及安装（GZ1.2m*1.2m）</t>
  </si>
  <si>
    <t>整体式闸门及安装（GZ0.8m*0.8m）</t>
  </si>
  <si>
    <t>分体式闸门及安装（STZ0.4m*0.4m）</t>
  </si>
  <si>
    <r>
      <rPr>
        <b/>
        <sz val="10"/>
        <color indexed="8"/>
        <rFont val="宋体"/>
        <charset val="134"/>
      </rPr>
      <t>附表一</t>
    </r>
    <r>
      <rPr>
        <b/>
        <sz val="9"/>
        <color indexed="8"/>
        <rFont val="宋体"/>
        <charset val="134"/>
      </rPr>
      <t xml:space="preserve">                                            </t>
    </r>
    <r>
      <rPr>
        <b/>
        <sz val="16"/>
        <rFont val="宋体"/>
        <charset val="134"/>
      </rPr>
      <t xml:space="preserve">           </t>
    </r>
    <r>
      <rPr>
        <b/>
        <sz val="14"/>
        <rFont val="宋体"/>
        <charset val="134"/>
      </rPr>
      <t>单价汇总表</t>
    </r>
    <r>
      <rPr>
        <b/>
        <sz val="16"/>
        <rFont val="宋体"/>
        <charset val="134"/>
      </rPr>
      <t xml:space="preserve">     </t>
    </r>
  </si>
  <si>
    <t>单价
编号</t>
  </si>
  <si>
    <t>名 称</t>
  </si>
  <si>
    <r>
      <rPr>
        <b/>
        <sz val="8"/>
        <color indexed="8"/>
        <rFont val="宋体"/>
        <charset val="134"/>
        <scheme val="minor"/>
      </rPr>
      <t>其</t>
    </r>
    <r>
      <rPr>
        <b/>
        <sz val="8"/>
        <rFont val="宋体"/>
        <charset val="134"/>
        <scheme val="minor"/>
      </rPr>
      <t xml:space="preserve">   中:</t>
    </r>
  </si>
  <si>
    <t>人工费</t>
  </si>
  <si>
    <t>材料费</t>
  </si>
  <si>
    <t>机械使              用费</t>
  </si>
  <si>
    <t>嵌套项</t>
  </si>
  <si>
    <t>其他直接费（%）</t>
  </si>
  <si>
    <t>间接费（%）</t>
  </si>
  <si>
    <t>利润（%）</t>
  </si>
  <si>
    <t>材料补差</t>
  </si>
  <si>
    <t>税金（%）</t>
  </si>
  <si>
    <t>扩大系数（3%）</t>
  </si>
  <si>
    <r>
      <rPr>
        <sz val="8"/>
        <color indexed="8"/>
        <rFont val="宋体"/>
        <charset val="134"/>
        <scheme val="minor"/>
      </rPr>
      <t>100m</t>
    </r>
    <r>
      <rPr>
        <vertAlign val="superscript"/>
        <sz val="8"/>
        <rFont val="宋体"/>
        <charset val="134"/>
        <scheme val="minor"/>
      </rPr>
      <t>3</t>
    </r>
  </si>
  <si>
    <t>现浇C20混凝土</t>
  </si>
  <si>
    <t>4296改</t>
  </si>
  <si>
    <t>沥青油膏伸缩缝</t>
  </si>
  <si>
    <r>
      <rPr>
        <sz val="8"/>
        <color indexed="8"/>
        <rFont val="宋体"/>
        <charset val="134"/>
        <scheme val="minor"/>
      </rPr>
      <t>C</t>
    </r>
    <r>
      <rPr>
        <sz val="8"/>
        <rFont val="宋体"/>
        <charset val="134"/>
        <scheme val="minor"/>
      </rPr>
      <t>25桥板预制、运输、安装</t>
    </r>
  </si>
  <si>
    <t>渠道衬砌旧混凝土拆除</t>
  </si>
  <si>
    <r>
      <rPr>
        <sz val="8"/>
        <color indexed="8"/>
        <rFont val="宋体"/>
        <charset val="134"/>
        <scheme val="minor"/>
      </rPr>
      <t>100m</t>
    </r>
    <r>
      <rPr>
        <vertAlign val="superscript"/>
        <sz val="8"/>
        <rFont val="宋体"/>
        <charset val="134"/>
        <scheme val="minor"/>
      </rPr>
      <t>2</t>
    </r>
  </si>
  <si>
    <t>C20混凝土圬工台帽</t>
  </si>
  <si>
    <t>C20混凝土面层</t>
  </si>
  <si>
    <t>C20直墙</t>
  </si>
  <si>
    <t>建筑物回填土（松填）</t>
  </si>
  <si>
    <r>
      <rPr>
        <sz val="8"/>
        <color indexed="8"/>
        <rFont val="宋体"/>
        <charset val="134"/>
        <scheme val="minor"/>
      </rPr>
      <t>100m</t>
    </r>
    <r>
      <rPr>
        <vertAlign val="superscript"/>
        <sz val="8"/>
        <color indexed="8"/>
        <rFont val="宋体"/>
        <charset val="134"/>
        <scheme val="minor"/>
      </rPr>
      <t>3</t>
    </r>
  </si>
  <si>
    <r>
      <rPr>
        <sz val="8"/>
        <color indexed="8"/>
        <rFont val="宋体"/>
        <charset val="134"/>
        <scheme val="minor"/>
      </rPr>
      <t>100m</t>
    </r>
    <r>
      <rPr>
        <vertAlign val="superscript"/>
        <sz val="8"/>
        <color indexed="8"/>
        <rFont val="宋体"/>
        <charset val="134"/>
        <scheme val="minor"/>
      </rPr>
      <t>2</t>
    </r>
  </si>
  <si>
    <t>原土夯实</t>
  </si>
  <si>
    <t>3054（改）</t>
  </si>
  <si>
    <r>
      <rPr>
        <sz val="8"/>
        <rFont val="宋体"/>
        <charset val="134"/>
        <scheme val="minor"/>
      </rPr>
      <t>100m</t>
    </r>
    <r>
      <rPr>
        <vertAlign val="superscript"/>
        <sz val="8"/>
        <rFont val="宋体"/>
        <charset val="134"/>
        <scheme val="minor"/>
      </rPr>
      <t>3</t>
    </r>
  </si>
  <si>
    <r>
      <rPr>
        <sz val="8"/>
        <color indexed="8"/>
        <rFont val="宋体"/>
        <charset val="134"/>
        <scheme val="minor"/>
      </rPr>
      <t>100m</t>
    </r>
    <r>
      <rPr>
        <vertAlign val="superscript"/>
        <sz val="8"/>
        <rFont val="宋体"/>
        <charset val="134"/>
        <scheme val="minor"/>
      </rPr>
      <t>4</t>
    </r>
  </si>
  <si>
    <t>建筑工程单价表</t>
  </si>
  <si>
    <t>单价编号</t>
  </si>
  <si>
    <t>项目名称</t>
  </si>
  <si>
    <t>人工挖一般土方（Ⅰ～Ⅱ类土）</t>
  </si>
  <si>
    <t>定额编号</t>
  </si>
  <si>
    <t>P-7-1001</t>
  </si>
  <si>
    <t>定额单位</t>
  </si>
  <si>
    <r>
      <rPr>
        <sz val="10"/>
        <rFont val="宋体"/>
        <charset val="134"/>
      </rPr>
      <t>100m</t>
    </r>
    <r>
      <rPr>
        <vertAlign val="superscript"/>
        <sz val="10"/>
        <rFont val="宋体"/>
        <charset val="134"/>
      </rPr>
      <t>3</t>
    </r>
  </si>
  <si>
    <t>适用范围：一般土方开挖（Ⅰ～Ⅱ类土）。</t>
  </si>
  <si>
    <t>工作内容：挖松、就近堆放。</t>
  </si>
  <si>
    <t>编号</t>
  </si>
  <si>
    <t>单价(元)</t>
  </si>
  <si>
    <t>合计(元)</t>
  </si>
  <si>
    <t>直接费</t>
  </si>
  <si>
    <t>基本直接费</t>
  </si>
  <si>
    <t>技工</t>
  </si>
  <si>
    <t>工时</t>
  </si>
  <si>
    <t>普工</t>
  </si>
  <si>
    <t>零星材料费</t>
  </si>
  <si>
    <t>%</t>
  </si>
  <si>
    <t>其他直接费</t>
  </si>
  <si>
    <t>间接费</t>
  </si>
  <si>
    <t>利润</t>
  </si>
  <si>
    <t>税金</t>
  </si>
  <si>
    <t>扩大3%</t>
  </si>
  <si>
    <t>人工挖倒沟槽土方（Ⅰ～Ⅱ类土）</t>
  </si>
  <si>
    <t>P-11-1031</t>
  </si>
  <si>
    <t>适用范围：一般土方挖排水沟、地沟、室内外沟槽（Ⅰ～Ⅱ类土）。</t>
  </si>
  <si>
    <t>工作内容：挖土、修底、抛土于槽边、修边。</t>
  </si>
  <si>
    <t>人工挖倒沟槽土方（Ⅲ类土）</t>
  </si>
  <si>
    <t>适用范围：一般土方挖排水沟、地沟、室内外沟槽（Ⅲ类土）。</t>
  </si>
  <si>
    <t>4</t>
  </si>
  <si>
    <t>人工挖淤泥流砂（一般淤泥，运距：50m）</t>
  </si>
  <si>
    <t>P-16-1071</t>
  </si>
  <si>
    <t>适用范围：用泥兜、水桶挑抬运输（一般淤泥，运距：50m）。</t>
  </si>
  <si>
    <t>工作内容：挖、装、运、空回、洗刷工具。</t>
  </si>
  <si>
    <t>挖掘机挖土方（Ⅰ～Ⅱ类土）</t>
  </si>
  <si>
    <t>P-26-1144</t>
  </si>
  <si>
    <t>适用范围：露天作业（Ⅰ～Ⅱ类土）。</t>
  </si>
  <si>
    <t>工作内容：挖松、堆放。</t>
  </si>
  <si>
    <t>机械费</t>
  </si>
  <si>
    <r>
      <rPr>
        <sz val="10"/>
        <rFont val="宋体"/>
        <charset val="134"/>
      </rPr>
      <t>单斗挖掘机 液压 1m</t>
    </r>
    <r>
      <rPr>
        <vertAlign val="superscript"/>
        <sz val="10"/>
        <rFont val="宋体"/>
        <charset val="134"/>
      </rPr>
      <t>3</t>
    </r>
  </si>
  <si>
    <t>台时</t>
  </si>
  <si>
    <t>柴油</t>
  </si>
  <si>
    <t>6</t>
  </si>
  <si>
    <t>1m³挖掘机挖沟道淤泥</t>
  </si>
  <si>
    <t>P-377-9019</t>
  </si>
  <si>
    <t>适用范围：沟岸挖土回旋半径10m以内。</t>
  </si>
  <si>
    <t>工作内容：挖掘、旋转、堆放、空回、移机、清斗。</t>
  </si>
  <si>
    <t>kg</t>
  </si>
  <si>
    <t>74kW推土机（推距：10m）（Ⅰ～Ⅱ类土）</t>
  </si>
  <si>
    <t>P-24-1130</t>
  </si>
  <si>
    <t>适用范围：土类级别Ⅰ～Ⅱ类土。</t>
  </si>
  <si>
    <t>工作内容：推松、运送、卸除、拖平、空回。</t>
  </si>
  <si>
    <t>推土机  74kw</t>
  </si>
  <si>
    <t>5</t>
  </si>
  <si>
    <t>74kW推土机（推距：30m）（Ⅰ～Ⅱ类土）</t>
  </si>
  <si>
    <t>74kW推土机（推距：40m）（Ⅰ～Ⅱ类土）</t>
  </si>
  <si>
    <t>74kW推土机（推距：20m）（Ⅰ～Ⅱ类土）</t>
  </si>
  <si>
    <t>P-24-1129</t>
  </si>
  <si>
    <t>7</t>
  </si>
  <si>
    <t>1m³挖掘机挖装土自卸汽车运输（运距：1—1.5km）</t>
  </si>
  <si>
    <t>P-28-1158</t>
  </si>
  <si>
    <t>适用范围：3类土、露天作业，8t自卸汽车运输。</t>
  </si>
  <si>
    <t>工作内容：挖装、运输、卸除、空回。</t>
  </si>
  <si>
    <r>
      <rPr>
        <sz val="10"/>
        <rFont val="宋体"/>
        <charset val="134"/>
      </rPr>
      <t>挖掘机  1m</t>
    </r>
    <r>
      <rPr>
        <vertAlign val="superscript"/>
        <sz val="10"/>
        <rFont val="宋体"/>
        <charset val="134"/>
      </rPr>
      <t>3</t>
    </r>
  </si>
  <si>
    <t>推土机 59kw</t>
  </si>
  <si>
    <t>自卸汽车  8t</t>
  </si>
  <si>
    <t>11</t>
  </si>
  <si>
    <t>1m³挖掘机挖装土自卸汽车运输（运距1—1.5km）</t>
  </si>
  <si>
    <t>P-28-1159</t>
  </si>
  <si>
    <t>12</t>
  </si>
  <si>
    <t>1m³挖掘机挖装土自卸汽车运输（运距2—3km）</t>
  </si>
  <si>
    <t>P-28-1161</t>
  </si>
  <si>
    <t>13</t>
  </si>
  <si>
    <t>1m³挖掘机挖装土自卸汽车运输（运距4—5km）</t>
  </si>
  <si>
    <t>P-28-1163</t>
  </si>
  <si>
    <t>14</t>
  </si>
  <si>
    <t>1m³挖掘机挖装土自卸汽车运输（运距8km）</t>
  </si>
  <si>
    <t>P-28-1164</t>
  </si>
  <si>
    <t>15</t>
  </si>
  <si>
    <t>平整场地（机械整平）</t>
  </si>
  <si>
    <t>P-44-1275</t>
  </si>
  <si>
    <r>
      <rPr>
        <sz val="10"/>
        <rFont val="宋体"/>
        <charset val="134"/>
      </rPr>
      <t>100m</t>
    </r>
    <r>
      <rPr>
        <vertAlign val="superscript"/>
        <sz val="10"/>
        <rFont val="宋体"/>
        <charset val="134"/>
      </rPr>
      <t>2</t>
    </r>
  </si>
  <si>
    <t>适用范围：</t>
  </si>
  <si>
    <t>工作内容：原土碾压：平土碾压</t>
  </si>
  <si>
    <t>推土机 74kw</t>
  </si>
  <si>
    <t>8</t>
  </si>
  <si>
    <t>拖拉机压实</t>
  </si>
  <si>
    <t>P-38-1225</t>
  </si>
  <si>
    <r>
      <rPr>
        <sz val="10"/>
        <rFont val="宋体"/>
        <charset val="134"/>
      </rPr>
      <t>100m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实方</t>
    </r>
  </si>
  <si>
    <t>适用范围：坝体土料、砂石料、反滤料，履带拖拉机碾压。</t>
  </si>
  <si>
    <t>工作内容：推平、刨毛、压实、削坡、洒水、补边夯、辅助工作。</t>
  </si>
  <si>
    <t>拖拉机  74kw</t>
  </si>
  <si>
    <t>蛙式打夯机  2.8kw</t>
  </si>
  <si>
    <t>刨毛机</t>
  </si>
  <si>
    <t>其他机械费</t>
  </si>
  <si>
    <t>9</t>
  </si>
  <si>
    <t>人工修整边坡（挖方）</t>
  </si>
  <si>
    <t>P-43-1259</t>
  </si>
  <si>
    <t>适用范围：旧渠改造的挖方边坡。</t>
  </si>
  <si>
    <t>工作内容：挂线、拍平、修整。</t>
  </si>
  <si>
    <t>18</t>
  </si>
  <si>
    <t>人工修整边坡（填方）</t>
  </si>
  <si>
    <t>适用范围：旧渠改造的填方边坡。</t>
  </si>
  <si>
    <t>10</t>
  </si>
  <si>
    <t>建筑物回填土石（松填）</t>
  </si>
  <si>
    <t>P-40-1237</t>
  </si>
  <si>
    <t>工作内容：松填不夯实：包括5m以内取土（石渣）回填。</t>
  </si>
  <si>
    <t>建筑物回填土石（机夯）</t>
  </si>
  <si>
    <t>P-43-1238</t>
  </si>
  <si>
    <r>
      <rPr>
        <sz val="10"/>
        <rFont val="宋体"/>
        <charset val="134"/>
      </rPr>
      <t>工作内容：夯填土：包括5m以内取土、倒土、平土、洒水、夯实（干密度15.68KN/m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以下）。</t>
    </r>
  </si>
  <si>
    <t>原土打夯</t>
  </si>
  <si>
    <t>P-42-1254</t>
  </si>
  <si>
    <t>工作内容：原土打夯：机械平土打夯</t>
  </si>
  <si>
    <t>1m³挖掘机挖装土自卸汽车运输（运距：0.25—0.5km）</t>
  </si>
  <si>
    <t>P-28-1157</t>
  </si>
  <si>
    <t>人工铺筑砂石反滤层</t>
  </si>
  <si>
    <t>P-116-3008</t>
  </si>
  <si>
    <t>工作内容：修坡、压实。</t>
  </si>
  <si>
    <t>碎石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</si>
  <si>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</si>
  <si>
    <t>砂子</t>
  </si>
  <si>
    <t>其他材料费</t>
  </si>
  <si>
    <t>M7.5浆砌石护坡（平）</t>
  </si>
  <si>
    <t>P-118-3017</t>
  </si>
  <si>
    <t>工作内容：选石、修石、冲洗、拌浆、砌石勾缝。</t>
  </si>
  <si>
    <t>块石</t>
  </si>
  <si>
    <t>M7.5砂浆</t>
  </si>
  <si>
    <r>
      <rPr>
        <sz val="10"/>
        <rFont val="宋体"/>
        <charset val="134"/>
      </rPr>
      <t>搅拌机  0.4m</t>
    </r>
    <r>
      <rPr>
        <vertAlign val="superscript"/>
        <sz val="10"/>
        <rFont val="宋体"/>
        <charset val="134"/>
      </rPr>
      <t>3</t>
    </r>
  </si>
  <si>
    <t>脚轮车</t>
  </si>
  <si>
    <t>水泥</t>
  </si>
  <si>
    <t>M7.5浆砌石护坡（曲）</t>
  </si>
  <si>
    <t>P-118-3018</t>
  </si>
  <si>
    <t>砂浆</t>
  </si>
  <si>
    <t>M7.5浆砌石护底</t>
  </si>
  <si>
    <t>P-118-3019</t>
  </si>
  <si>
    <t>16</t>
  </si>
  <si>
    <t>M7.5浆砌石基础</t>
  </si>
  <si>
    <t>P-118-3020</t>
  </si>
  <si>
    <t>17</t>
  </si>
  <si>
    <t>M7.5浆砌石墙</t>
  </si>
  <si>
    <t>P-118-3021</t>
  </si>
  <si>
    <r>
      <rPr>
        <sz val="10"/>
        <rFont val="宋体"/>
        <charset val="134"/>
      </rPr>
      <t>M</t>
    </r>
    <r>
      <rPr>
        <sz val="10"/>
        <rFont val="宋体"/>
        <charset val="134"/>
      </rPr>
      <t>7.5</t>
    </r>
    <r>
      <rPr>
        <sz val="10"/>
        <rFont val="宋体"/>
        <charset val="134"/>
      </rPr>
      <t>砂浆</t>
    </r>
  </si>
  <si>
    <t>格宾块石护坡（面石）</t>
  </si>
  <si>
    <t>P-374-9010</t>
  </si>
  <si>
    <t>适用范围：河防工程乱石粗排护坡</t>
  </si>
  <si>
    <t>工作内容：装配格宾笼、运石、装笼、封口及材料场内运输。</t>
  </si>
  <si>
    <t>格宾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</si>
  <si>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</si>
  <si>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格宾块石护脚</t>
  </si>
  <si>
    <t>P-374-9013</t>
  </si>
  <si>
    <t>适用范围：河防工程</t>
  </si>
  <si>
    <t>工作内容：定位、装配格宾笼、抛投填块石于笼内、封口及材料场内运输。</t>
  </si>
  <si>
    <t>液压岩石破碎机拆除混凝土</t>
  </si>
  <si>
    <t>P-417-10181</t>
  </si>
  <si>
    <r>
      <rPr>
        <sz val="10"/>
        <color indexed="8"/>
        <rFont val="宋体"/>
        <charset val="134"/>
      </rPr>
      <t>100m</t>
    </r>
    <r>
      <rPr>
        <vertAlign val="superscript"/>
        <sz val="10"/>
        <color indexed="8"/>
        <rFont val="宋体"/>
        <charset val="134"/>
      </rPr>
      <t>3</t>
    </r>
  </si>
  <si>
    <t>工作内容：破碎、解小、翻渣、清面。</t>
  </si>
  <si>
    <r>
      <rPr>
        <sz val="10"/>
        <rFont val="宋体"/>
        <charset val="134"/>
      </rPr>
      <t>挖掘机  液压1m</t>
    </r>
    <r>
      <rPr>
        <vertAlign val="superscript"/>
        <sz val="10"/>
        <rFont val="宋体"/>
        <charset val="134"/>
      </rPr>
      <t>3</t>
    </r>
  </si>
  <si>
    <t>挖掘机拆除砌体（水泥浆砌石）</t>
  </si>
  <si>
    <t>P-418-10184</t>
  </si>
  <si>
    <t>工作内容：拆除、清理、堆放。</t>
  </si>
  <si>
    <t>19</t>
  </si>
  <si>
    <t>人工拆除砌体（水泥浆砌石）</t>
  </si>
  <si>
    <t>P-419-10191</t>
  </si>
  <si>
    <t>土工膜（塑料薄膜）铺设（平铺）</t>
  </si>
  <si>
    <t>P-442-10195</t>
  </si>
  <si>
    <t>适用范围：渠道、围堰、土坝防渗。</t>
  </si>
  <si>
    <t>工作内容：场内运输，铺设，搭接。</t>
  </si>
  <si>
    <t>塑料薄膜</t>
  </si>
  <si>
    <t>土工膜（塑料薄膜）铺设（斜铺）</t>
  </si>
  <si>
    <t>P-442-10196</t>
  </si>
  <si>
    <t>适用范围：渠道、围堰、土坝防渗，边坡比为1：1.5。</t>
  </si>
  <si>
    <t>土围堰（Ⅰ、Ⅱ类）</t>
  </si>
  <si>
    <t>P-385-10001</t>
  </si>
  <si>
    <r>
      <rPr>
        <sz val="10"/>
        <rFont val="宋体"/>
        <charset val="134"/>
      </rPr>
      <t>100m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堰体方</t>
    </r>
  </si>
  <si>
    <t>适用范围：Ⅰ～Ⅱ类土</t>
  </si>
  <si>
    <t>工作内容：填筑、平整堰体拆除等。</t>
  </si>
  <si>
    <t>土料</t>
  </si>
  <si>
    <t>20</t>
  </si>
  <si>
    <t>人工铺设砂石垫层（碎石垫层）</t>
  </si>
  <si>
    <t>P-116-3007</t>
  </si>
  <si>
    <t>内容</t>
  </si>
  <si>
    <t>修坡、压实</t>
  </si>
  <si>
    <t>名称及规格</t>
  </si>
  <si>
    <t>直接工程费</t>
  </si>
  <si>
    <t>(1)</t>
  </si>
  <si>
    <t>（2）</t>
  </si>
  <si>
    <t>砂</t>
  </si>
  <si>
    <t>（3）</t>
  </si>
  <si>
    <t xml:space="preserve">机械使用费 </t>
  </si>
  <si>
    <t>一至三项合计</t>
  </si>
  <si>
    <t>材料调差</t>
  </si>
  <si>
    <t>石子</t>
  </si>
  <si>
    <t>21</t>
  </si>
  <si>
    <t>排水体堆砌卵石</t>
  </si>
  <si>
    <t>P115-3004</t>
  </si>
  <si>
    <t>卵石</t>
  </si>
  <si>
    <t>胶轮车</t>
  </si>
  <si>
    <t>扩大0%</t>
  </si>
  <si>
    <t>22</t>
  </si>
  <si>
    <t>干砌石护底</t>
  </si>
  <si>
    <t>P117-3011</t>
  </si>
  <si>
    <t>23</t>
  </si>
  <si>
    <t>干砌石护坡</t>
  </si>
  <si>
    <t>P117-3009</t>
  </si>
  <si>
    <t>24</t>
  </si>
  <si>
    <t>人工铺设砂夹石垫层</t>
  </si>
  <si>
    <t>P-116-3007（换）</t>
  </si>
  <si>
    <t>砂夹石</t>
  </si>
  <si>
    <t>排水体堆砌卵（碎）石</t>
  </si>
  <si>
    <t>P-115-3004</t>
  </si>
  <si>
    <r>
      <rPr>
        <b/>
        <sz val="10"/>
        <color indexed="8"/>
        <rFont val="宋体"/>
        <charset val="134"/>
      </rPr>
      <t>附表二</t>
    </r>
    <r>
      <rPr>
        <b/>
        <sz val="10"/>
        <color indexed="8"/>
        <rFont val="Times New Roman"/>
        <charset val="134"/>
      </rPr>
      <t xml:space="preserve">      </t>
    </r>
    <r>
      <rPr>
        <b/>
        <sz val="14"/>
        <color indexed="8"/>
        <rFont val="Times New Roman"/>
        <charset val="134"/>
      </rPr>
      <t xml:space="preserve">                                      </t>
    </r>
    <r>
      <rPr>
        <b/>
        <sz val="14"/>
        <color indexed="8"/>
        <rFont val="宋体"/>
        <charset val="134"/>
      </rPr>
      <t>主要材料预算价格计算表</t>
    </r>
    <r>
      <rPr>
        <b/>
        <sz val="14"/>
        <color indexed="8"/>
        <rFont val="Times New Roman"/>
        <charset val="134"/>
      </rPr>
      <t xml:space="preserve"> </t>
    </r>
  </si>
  <si>
    <t xml:space="preserve">  主要材料价差计算表 </t>
  </si>
  <si>
    <t>主要材料运杂费计算表（总）</t>
  </si>
  <si>
    <t>预算价格（元）</t>
  </si>
  <si>
    <t>其  中</t>
  </si>
  <si>
    <t>材料预算价格（元）</t>
  </si>
  <si>
    <t>材料基价（元）</t>
  </si>
  <si>
    <t>价差（元）</t>
  </si>
  <si>
    <t>备 注</t>
  </si>
  <si>
    <t>材料名称</t>
  </si>
  <si>
    <t>产地或提货地</t>
  </si>
  <si>
    <t>产地或出库价（元）</t>
  </si>
  <si>
    <r>
      <rPr>
        <sz val="10"/>
        <color indexed="8"/>
        <rFont val="宋体"/>
        <charset val="134"/>
      </rPr>
      <t>运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输工具</t>
    </r>
  </si>
  <si>
    <r>
      <rPr>
        <sz val="10"/>
        <color indexed="8"/>
        <rFont val="宋体"/>
        <charset val="134"/>
      </rPr>
      <t>运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距（</t>
    </r>
    <r>
      <rPr>
        <sz val="10"/>
        <color indexed="8"/>
        <rFont val="Times New Roman"/>
        <charset val="134"/>
      </rPr>
      <t>km</t>
    </r>
    <r>
      <rPr>
        <sz val="10"/>
        <color indexed="8"/>
        <rFont val="宋体"/>
        <charset val="134"/>
      </rPr>
      <t>）</t>
    </r>
  </si>
  <si>
    <t>运输单价（元）</t>
  </si>
  <si>
    <r>
      <rPr>
        <sz val="10"/>
        <color indexed="8"/>
        <rFont val="宋体"/>
        <charset val="134"/>
      </rPr>
      <t>运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费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（元）</t>
    </r>
  </si>
  <si>
    <t>装卸费（元）</t>
  </si>
  <si>
    <t>运杂费（元）</t>
  </si>
  <si>
    <t>原价（元）</t>
  </si>
  <si>
    <t>运输保险费（元）</t>
  </si>
  <si>
    <t>采购及保管费（元）</t>
  </si>
  <si>
    <t>钢筋</t>
  </si>
  <si>
    <t>材料限价计入工程单价</t>
  </si>
  <si>
    <t>平罗县</t>
  </si>
  <si>
    <t>汽车</t>
  </si>
  <si>
    <t>镀锌钢管（φ110）</t>
  </si>
  <si>
    <t>水泥PO42.5（袋）</t>
  </si>
  <si>
    <t>水泥PO42.5（散）</t>
  </si>
  <si>
    <t>木材</t>
  </si>
  <si>
    <r>
      <rPr>
        <sz val="10"/>
        <color indexed="8"/>
        <rFont val="Times New Roman"/>
        <charset val="134"/>
      </rPr>
      <t>m</t>
    </r>
    <r>
      <rPr>
        <vertAlign val="superscript"/>
        <sz val="10"/>
        <color indexed="8"/>
        <rFont val="Times New Roman"/>
        <charset val="134"/>
      </rPr>
      <t>3</t>
    </r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</si>
  <si>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</si>
  <si>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t>水洗砂</t>
  </si>
  <si>
    <t>镇北堡</t>
  </si>
  <si>
    <t>普砂</t>
  </si>
  <si>
    <t>西夏区套门沟</t>
  </si>
  <si>
    <t>砂砾石</t>
  </si>
  <si>
    <t>汽油</t>
  </si>
  <si>
    <t>根据《宁夏工程造价》2023.第1期（采用除税价）；《宁夏水利工程造价信息》2023.第1期（采用除税价）</t>
  </si>
  <si>
    <t>单臂波纹管</t>
  </si>
  <si>
    <t>宁夏回族自治区公路汽车运输普通货物运输价格</t>
  </si>
  <si>
    <t>宁夏回族自治区大、中型汽车货物装卸费率表</t>
  </si>
  <si>
    <t>单位：元/吨.Km</t>
  </si>
  <si>
    <t>单位：元/吨</t>
  </si>
  <si>
    <r>
      <rPr>
        <sz val="10"/>
        <color indexed="8"/>
        <rFont val="宋体"/>
        <charset val="134"/>
      </rPr>
      <t>水</t>
    </r>
    <r>
      <rPr>
        <sz val="10"/>
        <color indexed="8"/>
        <rFont val="Times New Roman"/>
        <charset val="134"/>
      </rPr>
      <t xml:space="preserve"> </t>
    </r>
  </si>
  <si>
    <r>
      <rPr>
        <sz val="10"/>
        <rFont val="宋体"/>
        <charset val="134"/>
      </rPr>
      <t>货种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 xml:space="preserve">  运距</t>
    </r>
  </si>
  <si>
    <t>一等</t>
  </si>
  <si>
    <t>二等</t>
  </si>
  <si>
    <r>
      <rPr>
        <sz val="10"/>
        <rFont val="宋体"/>
        <charset val="134"/>
      </rPr>
      <t>货种</t>
    </r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运距</t>
    </r>
  </si>
  <si>
    <t>一等货物</t>
  </si>
  <si>
    <t>二等货物</t>
  </si>
  <si>
    <t>风</t>
  </si>
  <si>
    <t>装</t>
  </si>
  <si>
    <t>卸</t>
  </si>
  <si>
    <t>电</t>
  </si>
  <si>
    <t>kw.h</t>
  </si>
  <si>
    <t>26及以上</t>
  </si>
  <si>
    <t>根据《宁夏工程造价》2021年第6期（采用除税价）；《宁夏水利工程造价信息》2021年第6期（换算为除税价）</t>
  </si>
  <si>
    <t>25</t>
  </si>
  <si>
    <t>P-152-4052</t>
  </si>
  <si>
    <t>适用范围：压力钢管、倒虹吸管</t>
  </si>
  <si>
    <t>工作内容：</t>
  </si>
  <si>
    <t>锯 材</t>
  </si>
  <si>
    <t>组合钢模板</t>
  </si>
  <si>
    <t>型 钢</t>
  </si>
  <si>
    <t>卡口件</t>
  </si>
  <si>
    <t>预埋铁件</t>
  </si>
  <si>
    <t>电焊条</t>
  </si>
  <si>
    <t>C20混凝土</t>
  </si>
  <si>
    <t xml:space="preserve">  水</t>
  </si>
  <si>
    <t>振动器  1.1kw</t>
  </si>
  <si>
    <t>载重汽车  5t</t>
  </si>
  <si>
    <t>电焊机  25kw</t>
  </si>
  <si>
    <t>混凝土水平运输</t>
  </si>
  <si>
    <t>混凝土垂直运输</t>
  </si>
  <si>
    <t>合 计</t>
  </si>
  <si>
    <t>26</t>
  </si>
  <si>
    <t>C20直墙（墙厚0.2—0.4m）</t>
  </si>
  <si>
    <t>P-155-4059</t>
  </si>
  <si>
    <t>适用范围：地面板式直墙</t>
  </si>
  <si>
    <t>C15混凝土垫层</t>
  </si>
  <si>
    <t>P-158-4067</t>
  </si>
  <si>
    <t>适用范围：水闸垫层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</si>
  <si>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15</t>
    </r>
    <r>
      <rPr>
        <sz val="10"/>
        <rFont val="宋体"/>
        <charset val="134"/>
      </rPr>
      <t>混凝土</t>
    </r>
  </si>
  <si>
    <t>汽车起重机  5t</t>
  </si>
  <si>
    <t>明渠混凝土无模浇筑（现浇C20底板厚15—25cm）</t>
  </si>
  <si>
    <t>P-161-4079</t>
  </si>
  <si>
    <t>适用范围：引水、泄水、灌溉渠道及隧洞进、出口明挖段的底板。</t>
  </si>
  <si>
    <t>明渠混凝土无模浇筑（现浇C20边坡厚15—25cm）</t>
  </si>
  <si>
    <t>P-161-4081</t>
  </si>
  <si>
    <t>适用范围：引水、泄水、灌溉渠道及隧洞进、出口明挖段的护坡。</t>
  </si>
  <si>
    <t>27</t>
  </si>
  <si>
    <t>P-174-4124</t>
  </si>
  <si>
    <t>适用范围：圬工砌体非曲面段外部的直墙、斜墙（现浇C20）</t>
  </si>
  <si>
    <t>28</t>
  </si>
  <si>
    <t>小型构件（预制C15）</t>
  </si>
  <si>
    <t>P-188-4182</t>
  </si>
  <si>
    <t>适用范围：模板制作、安装、拆除，混凝土水平运输。混凝土搅拌、捣固、养护。成品堆放。</t>
  </si>
  <si>
    <t>铁件</t>
  </si>
  <si>
    <t>地模砂浆</t>
  </si>
  <si>
    <t>C15混凝土</t>
  </si>
  <si>
    <t>小型预制构件安装</t>
  </si>
  <si>
    <t>P-197-4213</t>
  </si>
  <si>
    <r>
      <rPr>
        <sz val="10"/>
        <rFont val="宋体"/>
        <charset val="134"/>
      </rPr>
      <t>适用范围：单个体积小于0.1m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的构件安装。</t>
    </r>
  </si>
  <si>
    <t>工作内容：座浆、灌缝、就位、安装。</t>
  </si>
  <si>
    <t>垫铁块</t>
  </si>
  <si>
    <t>预制构件</t>
  </si>
  <si>
    <r>
      <rPr>
        <sz val="10"/>
        <color indexed="10"/>
        <rFont val="宋体"/>
        <charset val="134"/>
      </rPr>
      <t>m</t>
    </r>
    <r>
      <rPr>
        <vertAlign val="superscript"/>
        <sz val="10"/>
        <color indexed="10"/>
        <rFont val="宋体"/>
        <charset val="134"/>
      </rPr>
      <t>3</t>
    </r>
  </si>
  <si>
    <t>M5水泥砂浆</t>
  </si>
  <si>
    <t>预制构件运输</t>
  </si>
  <si>
    <t>29</t>
  </si>
  <si>
    <t>人工装、卸手扶拖拉机运混凝土预制件（运距：2km）</t>
  </si>
  <si>
    <t>P-198-4219</t>
  </si>
  <si>
    <t>适用范围：预制混凝土衬砌板及小型构件。</t>
  </si>
  <si>
    <t>工作内容：装、运、卸、堆放、空回。</t>
  </si>
  <si>
    <t>拖拉机  11kw</t>
  </si>
  <si>
    <t>30</t>
  </si>
  <si>
    <t>机械装车、汽车运输混凝土构件（运距：1km）</t>
  </si>
  <si>
    <t>机械装车、汽车运输混凝土构件（运距：5km）</t>
  </si>
  <si>
    <t>P-199-4223</t>
  </si>
  <si>
    <t>适用范围：混凝土梁、柱、块、板、管运输。</t>
  </si>
  <si>
    <t>工作内容：装车、运输、卸车并按指定地点堆放等。</t>
  </si>
  <si>
    <t>载重汽车 10t</t>
  </si>
  <si>
    <t>31</t>
  </si>
  <si>
    <t>钢筋制作安装</t>
  </si>
  <si>
    <t>P-204-4267</t>
  </si>
  <si>
    <t>适用范围：水工建筑物各部位及预制构件。</t>
  </si>
  <si>
    <t>工作内容：回直、除锈、切断、弯制、焊接、绑扎及加工场至施工场地运输。</t>
  </si>
  <si>
    <t>铁丝</t>
  </si>
  <si>
    <t>钢筋调直机  14kw</t>
  </si>
  <si>
    <t>风砂枪</t>
  </si>
  <si>
    <t>钢筋切断机  20kw</t>
  </si>
  <si>
    <t>钢筋弯曲机  直径：6—40</t>
  </si>
  <si>
    <t>电焊机  25kVA</t>
  </si>
  <si>
    <t>对焊机电弧  150型</t>
  </si>
  <si>
    <t>载重汽车 5t</t>
  </si>
  <si>
    <t>塔式起重机  10t</t>
  </si>
  <si>
    <t>铁件加工</t>
  </si>
  <si>
    <t>P-204-4268</t>
  </si>
  <si>
    <t>工作内容：安装、埋设、焊接固定。</t>
  </si>
  <si>
    <t>32</t>
  </si>
  <si>
    <t>P-210-4296改</t>
  </si>
  <si>
    <t>工作内容：清洗缝面、熔化、调制沥青砂浆、填塞缝。</t>
  </si>
  <si>
    <t>沥青</t>
  </si>
  <si>
    <t>φ60砼管安装（橡胶圈接口）</t>
  </si>
  <si>
    <t>P-357-8060</t>
  </si>
  <si>
    <t>100延长米</t>
  </si>
  <si>
    <t>适用范围：露天式铺设的泵站出水管，倒虹吸及其低压输水管。</t>
  </si>
  <si>
    <t>工作内容：测量、就位、接口胶圈安装、抹砂浆。</t>
  </si>
  <si>
    <t>型钢</t>
  </si>
  <si>
    <t>钢筋混凝土管</t>
  </si>
  <si>
    <t>M5.0水泥砂浆</t>
  </si>
  <si>
    <t>橡胶止水圈</t>
  </si>
  <si>
    <t>卷扬机   3t</t>
  </si>
  <si>
    <t>电动葫芦  3t</t>
  </si>
  <si>
    <t>砼管（φ60）</t>
  </si>
  <si>
    <t>33</t>
  </si>
  <si>
    <t>砂砾石路（10cm）</t>
  </si>
  <si>
    <t>P-388-10015</t>
  </si>
  <si>
    <r>
      <rPr>
        <sz val="10"/>
        <rFont val="宋体"/>
        <charset val="134"/>
      </rPr>
      <t>1000m</t>
    </r>
    <r>
      <rPr>
        <vertAlign val="superscript"/>
        <sz val="10"/>
        <rFont val="宋体"/>
        <charset val="134"/>
      </rPr>
      <t>2</t>
    </r>
  </si>
  <si>
    <t>适用范围：公路面层。</t>
  </si>
  <si>
    <t>工作内容：铺筑路面全部工作。</t>
  </si>
  <si>
    <t>粘土</t>
  </si>
  <si>
    <t>内燃压路机   12-15t</t>
  </si>
  <si>
    <t>M5.0砂浆垫层（5cm厚）</t>
  </si>
  <si>
    <t>P-424-10223+10224</t>
  </si>
  <si>
    <t>适用范围：渠道衬砌板下垫层。</t>
  </si>
  <si>
    <t>工作内容：清理底层、调制砂浆、铺摊、抹平。</t>
  </si>
  <si>
    <t>M10水泥砂浆</t>
  </si>
  <si>
    <t>砂浆搅拌机</t>
  </si>
  <si>
    <t>脚轮车运混凝土（运距：50m）</t>
  </si>
  <si>
    <t>P-200-4228</t>
  </si>
  <si>
    <t>工作内容：装、运、卸、清洗。</t>
  </si>
  <si>
    <t>泄槽运送混凝土（泄槽长：9m）</t>
  </si>
  <si>
    <t>工作内容：开、关料斗活门、扒料，冲洗料斗泄槽。</t>
  </si>
  <si>
    <t>塔式起重机吊运混凝土（吊高小于10m）</t>
  </si>
  <si>
    <t>P-202-4255</t>
  </si>
  <si>
    <t>适用范围：汽车运送混凝土</t>
  </si>
  <si>
    <t>工作内容：指挥、挂脱吊钩、吊运、卸料、清洗。</t>
  </si>
  <si>
    <t>塔式起重机  6t</t>
  </si>
  <si>
    <t>混凝土吊罐</t>
  </si>
  <si>
    <t>预制混凝土衬砌板（4-8cm）</t>
  </si>
  <si>
    <t>P-178-4138</t>
  </si>
  <si>
    <t>适用范围：渠道护坡、护底及坝体护坡。</t>
  </si>
  <si>
    <t>工作内容：模板制安、拆除、修理，混凝土拌合、场内运输、浇筑、养护、堆放。</t>
  </si>
  <si>
    <t xml:space="preserve">kg </t>
  </si>
  <si>
    <t>C25砼</t>
  </si>
  <si>
    <t>水</t>
  </si>
  <si>
    <r>
      <rPr>
        <sz val="10"/>
        <rFont val="宋体"/>
        <charset val="134"/>
      </rPr>
      <t>搅拌机 0.4m</t>
    </r>
    <r>
      <rPr>
        <vertAlign val="superscript"/>
        <sz val="10"/>
        <rFont val="宋体"/>
        <charset val="134"/>
      </rPr>
      <t>3</t>
    </r>
  </si>
  <si>
    <t>振动器 平板式2.2Kw</t>
  </si>
  <si>
    <t>扩大系数</t>
  </si>
  <si>
    <t>预制混凝土衬砌板（U形板）</t>
  </si>
  <si>
    <t>P-178-4142</t>
  </si>
  <si>
    <t>C20砼</t>
  </si>
  <si>
    <t>振动器 1.1Kw</t>
  </si>
  <si>
    <t>34</t>
  </si>
  <si>
    <t>渠道预制板混土构件砌筑（缝板比0.17）</t>
  </si>
  <si>
    <t>P-123-3053调</t>
  </si>
  <si>
    <t>适用范围：渠道护坡。</t>
  </si>
  <si>
    <t>工作内容：拌浆、砌筑、填缝、养护、预制件运输。</t>
  </si>
  <si>
    <t>混凝土预制构件</t>
  </si>
  <si>
    <t>砂浆或细粒混凝土</t>
  </si>
  <si>
    <t>预制板运输</t>
  </si>
  <si>
    <t>35</t>
  </si>
  <si>
    <t>渠道预制板混土构件砌筑（缝板比0.10）</t>
  </si>
  <si>
    <t>P-123-3052</t>
  </si>
  <si>
    <t>36</t>
  </si>
  <si>
    <t>预制混凝土板</t>
  </si>
  <si>
    <t>P-183-4163</t>
  </si>
  <si>
    <t>适用范围：工作桥、房屋面板，地沟、电缆沟、排水沟盖板及交通设施盖板。</t>
  </si>
  <si>
    <t>工作内容：木模板制作安装、浇筑、养护、预制件吊移。</t>
  </si>
  <si>
    <t>锯材</t>
  </si>
  <si>
    <t>铁钉</t>
  </si>
  <si>
    <t>C25混凝土</t>
  </si>
  <si>
    <t>振动器1.1KW</t>
  </si>
  <si>
    <t>载重汽车5t</t>
  </si>
  <si>
    <t>37</t>
  </si>
  <si>
    <t>预制混凝土板安装</t>
  </si>
  <si>
    <t>P-191-4192</t>
  </si>
  <si>
    <t>适用范围：各型预制混凝土构件。</t>
  </si>
  <si>
    <t>工作内容：连接铁件的安装、构件吊装校正、焊接固定及临时固定、填缝灌浆。</t>
  </si>
  <si>
    <t>枋材</t>
  </si>
  <si>
    <t>原木</t>
  </si>
  <si>
    <t>铁垫块</t>
  </si>
  <si>
    <t>C25混凝土构件</t>
  </si>
  <si>
    <t>汽车起重机10t</t>
  </si>
  <si>
    <t>电焊机  25KVA</t>
  </si>
  <si>
    <t>38</t>
  </si>
  <si>
    <t>预制U型渡槽槽身</t>
  </si>
  <si>
    <t>P-185-4175</t>
  </si>
  <si>
    <t>工作内容：模板制作、安装、拆除，混凝土拌制、场内运输，浇筑、养护、堆放。</t>
  </si>
  <si>
    <t>组合组模板</t>
  </si>
  <si>
    <t>型    钢</t>
  </si>
  <si>
    <t>卡扣件</t>
  </si>
  <si>
    <t>铁   件</t>
  </si>
  <si>
    <t>39</t>
  </si>
  <si>
    <t>渡槽槽身安装</t>
  </si>
  <si>
    <t>P-193-4197</t>
  </si>
  <si>
    <t>适用范围：U形槽身、矩形槽身、U形钢丝薄壳式槽身。</t>
  </si>
  <si>
    <t>工作内容：构件吊装、校正、焊接、二期混凝土浇筑、填缝灌浆。</t>
  </si>
  <si>
    <t>汽车起重机20t</t>
  </si>
  <si>
    <t>P419-10188</t>
  </si>
  <si>
    <r>
      <rPr>
        <sz val="10"/>
        <rFont val="宋体"/>
        <charset val="134"/>
      </rPr>
      <t>100m</t>
    </r>
    <r>
      <rPr>
        <b/>
        <vertAlign val="superscript"/>
        <sz val="10"/>
        <rFont val="宋体"/>
        <charset val="134"/>
      </rPr>
      <t>3</t>
    </r>
  </si>
  <si>
    <t>拆除、清理、堆放</t>
  </si>
  <si>
    <t>(3)</t>
  </si>
  <si>
    <r>
      <rPr>
        <sz val="10"/>
        <rFont val="宋体"/>
        <charset val="134"/>
      </rPr>
      <t>打夯机  1.0m</t>
    </r>
    <r>
      <rPr>
        <vertAlign val="superscript"/>
        <sz val="10"/>
        <rFont val="宋体"/>
        <charset val="134"/>
      </rPr>
      <t>3</t>
    </r>
  </si>
  <si>
    <t>现场经费</t>
  </si>
  <si>
    <t>计划利润</t>
  </si>
  <si>
    <r>
      <rPr>
        <sz val="10"/>
        <rFont val="宋体"/>
        <charset val="134"/>
      </rPr>
      <t>k</t>
    </r>
    <r>
      <rPr>
        <sz val="10"/>
        <rFont val="宋体"/>
        <charset val="134"/>
      </rPr>
      <t>g</t>
    </r>
  </si>
  <si>
    <t>41</t>
  </si>
  <si>
    <t>P-58-4067</t>
  </si>
  <si>
    <t>适用范围：二期混凝土</t>
  </si>
  <si>
    <t>42</t>
  </si>
  <si>
    <t>沥青砂浆伸缩缝</t>
  </si>
  <si>
    <t>P-210-4296</t>
  </si>
  <si>
    <t>43</t>
  </si>
  <si>
    <t>止水带止水</t>
  </si>
  <si>
    <t>P-206-4273</t>
  </si>
  <si>
    <t>橡胶止水带</t>
  </si>
  <si>
    <t>44</t>
  </si>
  <si>
    <t>钢板制作安装</t>
  </si>
  <si>
    <t>钢板</t>
  </si>
  <si>
    <t>渠道混凝土旧板砌筑（缝板比0.10）</t>
  </si>
  <si>
    <t>平整旧道、改善路面</t>
  </si>
  <si>
    <t>P-391-10022</t>
  </si>
  <si>
    <t>砂砾石（0.5-2cm）</t>
  </si>
  <si>
    <t>45</t>
  </si>
  <si>
    <t>现浇C25钢筋混凝土池壁</t>
  </si>
  <si>
    <t>P-175-4130</t>
  </si>
  <si>
    <r>
      <rPr>
        <sz val="10"/>
        <color indexed="8"/>
        <rFont val="宋体"/>
        <charset val="134"/>
      </rPr>
      <t>振捣器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1.1ｋｗ</t>
    </r>
  </si>
  <si>
    <t>搅拌机</t>
  </si>
  <si>
    <t>嵌套工程</t>
  </si>
  <si>
    <t>企业利润</t>
  </si>
  <si>
    <t>材差</t>
  </si>
  <si>
    <t>元</t>
  </si>
  <si>
    <t>小计</t>
  </si>
  <si>
    <t>定额扩大</t>
  </si>
  <si>
    <t>46</t>
  </si>
  <si>
    <t>现浇C25钢筋混凝土池底</t>
  </si>
  <si>
    <t>P-175-4125</t>
  </si>
  <si>
    <t>47</t>
  </si>
  <si>
    <t>现浇C20混凝土支墩</t>
  </si>
  <si>
    <t>电焊机  25kva</t>
  </si>
  <si>
    <t>48</t>
  </si>
  <si>
    <t>涂沥青防水层</t>
  </si>
  <si>
    <t>P-208-4289</t>
  </si>
  <si>
    <t>木柴</t>
  </si>
  <si>
    <t>49</t>
  </si>
  <si>
    <t>水泥砂浆防水层</t>
  </si>
  <si>
    <t>P-208-4288</t>
  </si>
  <si>
    <t>水泥砂浆</t>
  </si>
  <si>
    <t>50</t>
  </si>
  <si>
    <t>苯板伸缩缝</t>
  </si>
  <si>
    <t>P-210-4299（换）</t>
  </si>
  <si>
    <t>苯板</t>
  </si>
  <si>
    <t>渠道预制板混土构件砌筑（缝板比0.19）</t>
  </si>
  <si>
    <t>P-123-3054</t>
  </si>
  <si>
    <t>0.165封板比</t>
  </si>
  <si>
    <t>现浇C25混凝土桥墩</t>
  </si>
  <si>
    <t>P-150-4048</t>
  </si>
  <si>
    <t>振动器1.5KW</t>
  </si>
  <si>
    <t>嵌套费</t>
  </si>
  <si>
    <t>工程单价计算表</t>
  </si>
  <si>
    <r>
      <rPr>
        <sz val="10"/>
        <rFont val="宋体"/>
        <charset val="134"/>
      </rPr>
      <t>定额编号</t>
    </r>
    <r>
      <rPr>
        <sz val="10"/>
        <rFont val="Times New Roman"/>
        <charset val="134"/>
      </rPr>
      <t xml:space="preserve">: 2417                          </t>
    </r>
    <r>
      <rPr>
        <sz val="10"/>
        <rFont val="宋体"/>
        <charset val="134"/>
      </rPr>
      <t>项目名称</t>
    </r>
    <r>
      <rPr>
        <sz val="10"/>
        <rFont val="Times New Roman"/>
        <charset val="134"/>
      </rPr>
      <t>:1m3</t>
    </r>
    <r>
      <rPr>
        <sz val="10"/>
        <rFont val="宋体"/>
        <charset val="134"/>
      </rPr>
      <t>挖掘机装石碴汽车运输</t>
    </r>
    <r>
      <rPr>
        <sz val="10"/>
        <rFont val="Times New Roman"/>
        <charset val="134"/>
      </rPr>
      <t xml:space="preserve">                          </t>
    </r>
    <r>
      <rPr>
        <sz val="10"/>
        <rFont val="宋体"/>
        <charset val="134"/>
      </rPr>
      <t>定额单位</t>
    </r>
    <r>
      <rPr>
        <sz val="10"/>
        <rFont val="Times New Roman"/>
        <charset val="134"/>
      </rPr>
      <t>:100m</t>
    </r>
    <r>
      <rPr>
        <vertAlign val="superscript"/>
        <sz val="10"/>
        <rFont val="Times New Roman"/>
        <charset val="134"/>
      </rPr>
      <t>3</t>
    </r>
  </si>
  <si>
    <t>工作内容：挖装、运输、卸除、空回（运距1-1.5km）</t>
  </si>
  <si>
    <t xml:space="preserve"> 单价</t>
  </si>
  <si>
    <r>
      <rPr>
        <sz val="10"/>
        <rFont val="宋体"/>
        <charset val="134"/>
      </rPr>
      <t>一</t>
    </r>
    <r>
      <rPr>
        <sz val="10"/>
        <rFont val="Times New Roman"/>
        <charset val="134"/>
      </rPr>
      <t>.</t>
    </r>
  </si>
  <si>
    <t>机械使用费</t>
  </si>
  <si>
    <t>自卸汽车8t</t>
  </si>
  <si>
    <t>其它直接费</t>
  </si>
  <si>
    <t>各种调差</t>
  </si>
  <si>
    <r>
      <rPr>
        <sz val="10"/>
        <rFont val="宋体"/>
        <charset val="134"/>
      </rPr>
      <t>额编号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宁水</t>
    </r>
    <r>
      <rPr>
        <sz val="10"/>
        <rFont val="Times New Roman"/>
        <charset val="134"/>
      </rPr>
      <t xml:space="preserve">4068                                            </t>
    </r>
    <r>
      <rPr>
        <sz val="10"/>
        <rFont val="宋体"/>
        <charset val="134"/>
      </rPr>
      <t>项目名称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铺盖</t>
    </r>
    <r>
      <rPr>
        <sz val="10"/>
        <rFont val="Times New Roman"/>
        <charset val="134"/>
      </rPr>
      <t xml:space="preserve">                              </t>
    </r>
    <r>
      <rPr>
        <sz val="10"/>
        <rFont val="宋体"/>
        <charset val="134"/>
      </rPr>
      <t>定额单位</t>
    </r>
    <r>
      <rPr>
        <sz val="10"/>
        <rFont val="Times New Roman"/>
        <charset val="134"/>
      </rPr>
      <t>:100m³</t>
    </r>
  </si>
  <si>
    <r>
      <rPr>
        <sz val="12"/>
        <rFont val="宋体"/>
        <charset val="134"/>
      </rPr>
      <t>k</t>
    </r>
    <r>
      <rPr>
        <sz val="12"/>
        <rFont val="宋体"/>
        <charset val="134"/>
      </rPr>
      <t>g</t>
    </r>
  </si>
  <si>
    <t>混凝土</t>
  </si>
  <si>
    <t>汽车起重机5t</t>
  </si>
  <si>
    <t>电焊机25KVA</t>
  </si>
  <si>
    <t>搅拌机0.4m³</t>
  </si>
  <si>
    <t>混凝土垫梁</t>
  </si>
  <si>
    <t>P-152-4108</t>
  </si>
  <si>
    <t>卷扬机5t</t>
  </si>
  <si>
    <r>
      <rPr>
        <sz val="10"/>
        <rFont val="宋体"/>
        <charset val="134"/>
      </rPr>
      <t>额编号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宁水</t>
    </r>
    <r>
      <rPr>
        <sz val="10"/>
        <rFont val="Times New Roman"/>
        <charset val="134"/>
      </rPr>
      <t xml:space="preserve">4070                           </t>
    </r>
    <r>
      <rPr>
        <sz val="10"/>
        <rFont val="宋体"/>
        <charset val="134"/>
      </rPr>
      <t>项目名称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底板（浇筑舱面</t>
    </r>
    <r>
      <rPr>
        <sz val="10"/>
        <rFont val="Times New Roman"/>
        <charset val="134"/>
      </rPr>
      <t>200m</t>
    </r>
    <r>
      <rPr>
        <vertAlign val="superscript"/>
        <sz val="10"/>
        <rFont val="Times New Roman"/>
        <charset val="134"/>
      </rPr>
      <t>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                             </t>
    </r>
    <r>
      <rPr>
        <sz val="10"/>
        <rFont val="宋体"/>
        <charset val="134"/>
      </rPr>
      <t>定额单位</t>
    </r>
    <r>
      <rPr>
        <sz val="10"/>
        <rFont val="Times New Roman"/>
        <charset val="134"/>
      </rPr>
      <t>:100m³</t>
    </r>
  </si>
  <si>
    <t>水泥混凝土路面（10cm）</t>
  </si>
  <si>
    <t>P-389-10019</t>
  </si>
  <si>
    <t>搅拌机  0.4m³</t>
  </si>
  <si>
    <t>自卸汽车 8t</t>
  </si>
  <si>
    <t>砂砾石路基（15cm）</t>
  </si>
  <si>
    <t>P-389-10015</t>
  </si>
  <si>
    <t>内燃压路机 12-15t</t>
  </si>
  <si>
    <t>混凝土侧缘石安砌</t>
  </si>
  <si>
    <t>100m</t>
  </si>
  <si>
    <t>灰土垫层（3:7）</t>
  </si>
  <si>
    <t>P-425-10227</t>
  </si>
  <si>
    <t>适用范围：露天作业</t>
  </si>
  <si>
    <t>工作内容：筛灰、筛土、配置、拌和、夯实及场内30m内材料运输。</t>
  </si>
  <si>
    <t>生石灰</t>
  </si>
  <si>
    <t>土</t>
  </si>
  <si>
    <t>蛙式打夯机</t>
  </si>
  <si>
    <t>沥青混凝土路面（4cm）</t>
  </si>
  <si>
    <t>P-389-10020</t>
  </si>
  <si>
    <t>石屑</t>
  </si>
  <si>
    <t>矿粉</t>
  </si>
  <si>
    <t>搅拌机 0.4m3</t>
  </si>
  <si>
    <t>平整旧道-砂砾石路面</t>
  </si>
  <si>
    <t>P-391-10025</t>
  </si>
  <si>
    <t>拆除旧路-沥青路面</t>
  </si>
  <si>
    <t>市政 1-211</t>
  </si>
  <si>
    <t>路面凿毛-沥青混凝土路面</t>
  </si>
  <si>
    <t>市政 1-307</t>
  </si>
  <si>
    <t>生物袋护坡</t>
  </si>
  <si>
    <t>P-378-9021</t>
  </si>
  <si>
    <t>生物袋</t>
  </si>
  <si>
    <t>水泥混凝土路面（15cm）</t>
  </si>
  <si>
    <t>5%水泥稳定碎石基层（20cm）</t>
  </si>
  <si>
    <t>市政 2-177</t>
  </si>
  <si>
    <t>烂污栅制作及安装</t>
  </si>
  <si>
    <t>P-364-8097</t>
  </si>
  <si>
    <t>钢材</t>
  </si>
  <si>
    <t>枕木</t>
  </si>
  <si>
    <t>根</t>
  </si>
  <si>
    <t>氧气</t>
  </si>
  <si>
    <t>m3</t>
  </si>
  <si>
    <t>乙炔气</t>
  </si>
  <si>
    <t>油漆</t>
  </si>
  <si>
    <t>电焊机</t>
  </si>
  <si>
    <t>喷洒沥青油料（石油沥青-粘油层）</t>
  </si>
  <si>
    <t>市政 2-225</t>
  </si>
  <si>
    <t>渠道预制板混土构件砌筑（缝板比0.14）</t>
  </si>
  <si>
    <t>P-123-3053</t>
  </si>
  <si>
    <t>渠道预制板混土构件砌筑（缝板比0.21）</t>
  </si>
  <si>
    <t>渠道预制板混土构件砌筑（缝板比0.28）</t>
  </si>
  <si>
    <t>P-123-3055</t>
  </si>
  <si>
    <t>渠道预制板混土构件砌筑（缝板比0.36）</t>
  </si>
  <si>
    <t>P-123-3056</t>
  </si>
  <si>
    <r>
      <rPr>
        <b/>
        <sz val="10"/>
        <rFont val="宋体"/>
        <charset val="134"/>
      </rPr>
      <t>100m</t>
    </r>
    <r>
      <rPr>
        <b/>
        <vertAlign val="superscript"/>
        <sz val="10"/>
        <rFont val="宋体"/>
        <charset val="134"/>
      </rPr>
      <t>3</t>
    </r>
  </si>
  <si>
    <r>
      <rPr>
        <b/>
        <sz val="10"/>
        <rFont val="宋体"/>
        <charset val="134"/>
      </rPr>
      <t>m</t>
    </r>
    <r>
      <rPr>
        <b/>
        <vertAlign val="superscript"/>
        <sz val="10"/>
        <rFont val="宋体"/>
        <charset val="134"/>
      </rPr>
      <t>3</t>
    </r>
  </si>
  <si>
    <r>
      <rPr>
        <b/>
        <sz val="10"/>
        <rFont val="宋体"/>
        <charset val="134"/>
      </rPr>
      <t>搅拌机 0.4m</t>
    </r>
    <r>
      <rPr>
        <b/>
        <vertAlign val="superscript"/>
        <sz val="10"/>
        <rFont val="宋体"/>
        <charset val="134"/>
      </rPr>
      <t>3</t>
    </r>
  </si>
  <si>
    <t>P-123-3053（改）</t>
  </si>
  <si>
    <t>渠道预制板混土构件砌筑（缝板比0.23）</t>
  </si>
  <si>
    <t>P-123-3054(改)</t>
  </si>
  <si>
    <r>
      <rPr>
        <b/>
        <sz val="10"/>
        <rFont val="宋体"/>
        <charset val="134"/>
      </rPr>
      <t xml:space="preserve">附表三                                         </t>
    </r>
    <r>
      <rPr>
        <b/>
        <sz val="14"/>
        <rFont val="宋体"/>
        <charset val="134"/>
      </rPr>
      <t>混凝土及砂浆配合比计算表</t>
    </r>
  </si>
  <si>
    <t>基本数据</t>
  </si>
  <si>
    <t>混凝土或砂浆标号</t>
  </si>
  <si>
    <t>水泥标号</t>
  </si>
  <si>
    <t>砼级配</t>
  </si>
  <si>
    <t>水泥(t)</t>
  </si>
  <si>
    <r>
      <rPr>
        <b/>
        <sz val="10"/>
        <rFont val="宋体"/>
        <charset val="134"/>
      </rPr>
      <t>砂子(m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</si>
  <si>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r>
      <rPr>
        <b/>
        <sz val="10"/>
        <rFont val="宋体"/>
        <charset val="134"/>
      </rPr>
      <t>石子(m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</si>
  <si>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r>
      <rPr>
        <b/>
        <sz val="10"/>
        <rFont val="宋体"/>
        <charset val="134"/>
      </rPr>
      <t>水(m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</si>
  <si>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t>单价
(元)</t>
  </si>
  <si>
    <t>混凝土材料价格（元）</t>
  </si>
  <si>
    <r>
      <rPr>
        <b/>
        <sz val="10"/>
        <rFont val="宋体"/>
        <charset val="134"/>
      </rPr>
      <t>定额</t>
    </r>
    <r>
      <rPr>
        <b/>
        <sz val="10"/>
        <color theme="3" tint="0.399945066682943"/>
        <rFont val="宋体"/>
        <charset val="134"/>
      </rPr>
      <t>(t)</t>
    </r>
  </si>
  <si>
    <r>
      <rPr>
        <b/>
        <sz val="10"/>
        <rFont val="宋体"/>
        <charset val="134"/>
      </rPr>
      <t>数量</t>
    </r>
    <r>
      <rPr>
        <b/>
        <sz val="10"/>
        <color theme="3" tint="0.399945066682943"/>
        <rFont val="宋体"/>
        <charset val="134"/>
      </rPr>
      <t>(元)</t>
    </r>
  </si>
  <si>
    <r>
      <rPr>
        <b/>
        <sz val="10"/>
        <rFont val="宋体"/>
        <charset val="134"/>
      </rPr>
      <t>定额</t>
    </r>
    <r>
      <rPr>
        <b/>
        <sz val="10"/>
        <color theme="3" tint="0.399945066682943"/>
        <rFont val="宋体"/>
        <charset val="134"/>
      </rPr>
      <t>(m</t>
    </r>
    <r>
      <rPr>
        <b/>
        <vertAlign val="superscript"/>
        <sz val="10"/>
        <color theme="3" tint="0.399914548173467"/>
        <rFont val="宋体"/>
        <charset val="134"/>
      </rPr>
      <t>3</t>
    </r>
    <r>
      <rPr>
        <b/>
        <sz val="10"/>
        <color theme="3" tint="0.399945066682943"/>
        <rFont val="宋体"/>
        <charset val="134"/>
      </rPr>
      <t>)</t>
    </r>
  </si>
  <si>
    <t>水泥(kg)
(32.5) | (42.5)</t>
  </si>
  <si>
    <t>掺合料
(kg)</t>
  </si>
  <si>
    <r>
      <rPr>
        <sz val="10"/>
        <rFont val="宋体"/>
        <charset val="134"/>
      </rPr>
      <t>砂
(m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</si>
  <si>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石子
(m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</si>
  <si>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外加济
(kg)</t>
  </si>
  <si>
    <r>
      <rPr>
        <sz val="10"/>
        <rFont val="宋体"/>
        <charset val="134"/>
      </rPr>
      <t>水
(m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</si>
  <si>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C10混凝土</t>
  </si>
  <si>
    <t>卵石换为碎石各项数量换算系数（不换输1.0）</t>
  </si>
  <si>
    <t>C20细石混凝土</t>
  </si>
  <si>
    <t>C30混凝土</t>
  </si>
  <si>
    <t>M7.5水泥砂浆</t>
  </si>
  <si>
    <t>更换卵石粗砂各项数量换算系数</t>
  </si>
  <si>
    <t>项目</t>
  </si>
  <si>
    <t>卵石换为碎石</t>
  </si>
  <si>
    <t>粗砂换为中砂</t>
  </si>
  <si>
    <t>粗砂换为细砂</t>
  </si>
  <si>
    <t>粗砂换为特细砂</t>
  </si>
  <si>
    <r>
      <rPr>
        <b/>
        <sz val="10"/>
        <rFont val="宋体"/>
        <charset val="134"/>
      </rPr>
      <t xml:space="preserve">附表四                         </t>
    </r>
    <r>
      <rPr>
        <b/>
        <sz val="14"/>
        <rFont val="宋体"/>
        <charset val="134"/>
      </rPr>
      <t>施工机械台时费汇总表</t>
    </r>
  </si>
  <si>
    <t>电算编号</t>
  </si>
  <si>
    <t>台时费（元）</t>
  </si>
  <si>
    <t>其中：</t>
  </si>
  <si>
    <t>人工工资预算单价、材料限价表</t>
  </si>
  <si>
    <t>折旧费</t>
  </si>
  <si>
    <t>修理及替换设备费</t>
  </si>
  <si>
    <t>安拆费</t>
  </si>
  <si>
    <t>动力燃料费</t>
  </si>
  <si>
    <r>
      <rPr>
        <sz val="12"/>
        <rFont val="仿宋_GB2312"/>
        <charset val="134"/>
      </rPr>
      <t>汽油</t>
    </r>
    <r>
      <rPr>
        <sz val="12"/>
        <rFont val="Times New Roman"/>
        <charset val="134"/>
      </rPr>
      <t>(kg)</t>
    </r>
  </si>
  <si>
    <r>
      <rPr>
        <sz val="12"/>
        <rFont val="仿宋_GB2312"/>
        <charset val="134"/>
      </rPr>
      <t>柴油</t>
    </r>
    <r>
      <rPr>
        <sz val="12"/>
        <rFont val="Times New Roman"/>
        <charset val="134"/>
      </rPr>
      <t>(kg)</t>
    </r>
  </si>
  <si>
    <r>
      <rPr>
        <sz val="12"/>
        <rFont val="仿宋_GB2312"/>
        <charset val="134"/>
      </rPr>
      <t>电</t>
    </r>
    <r>
      <rPr>
        <sz val="12"/>
        <rFont val="Times New Roman"/>
        <charset val="134"/>
      </rPr>
      <t>(kwh)</t>
    </r>
  </si>
  <si>
    <t>风(m3)</t>
  </si>
  <si>
    <t>水(m3)</t>
  </si>
  <si>
    <r>
      <rPr>
        <sz val="12"/>
        <rFont val="仿宋_GB2312"/>
        <charset val="134"/>
      </rPr>
      <t>人工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工时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</si>
  <si>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风</t>
    </r>
    <r>
      <rPr>
        <sz val="12"/>
        <rFont val="Times New Roman"/>
        <charset val="134"/>
      </rPr>
      <t>(m3)</t>
    </r>
  </si>
  <si>
    <r>
      <rPr>
        <sz val="12"/>
        <rFont val="仿宋_GB2312"/>
        <charset val="134"/>
      </rPr>
      <t>水</t>
    </r>
    <r>
      <rPr>
        <sz val="12"/>
        <rFont val="Times New Roman"/>
        <charset val="134"/>
      </rPr>
      <t>(m3)</t>
    </r>
  </si>
  <si>
    <t>P1009</t>
  </si>
  <si>
    <r>
      <rPr>
        <sz val="9"/>
        <rFont val="宋体"/>
        <charset val="134"/>
      </rPr>
      <t>单斗挖掘机   液压 1m</t>
    </r>
    <r>
      <rPr>
        <vertAlign val="superscript"/>
        <sz val="9"/>
        <rFont val="宋体"/>
        <charset val="134"/>
      </rPr>
      <t>3</t>
    </r>
  </si>
  <si>
    <t>拖拉机  59kw</t>
  </si>
  <si>
    <t>推土机  55kw</t>
  </si>
  <si>
    <t>推土机  59kw</t>
  </si>
  <si>
    <t>手扶拖拉机  11kw</t>
  </si>
  <si>
    <t>羊角碾  5～7t</t>
  </si>
  <si>
    <t>内燃压路机  12—15t</t>
  </si>
  <si>
    <t>蛙式夯实机  2.8kw</t>
  </si>
  <si>
    <t>风钻 （手持式）</t>
  </si>
  <si>
    <t>强夯机械  200tm</t>
  </si>
  <si>
    <r>
      <rPr>
        <sz val="9"/>
        <rFont val="宋体"/>
        <charset val="134"/>
      </rPr>
      <t>混凝土搅拌机  0.4m</t>
    </r>
    <r>
      <rPr>
        <vertAlign val="superscript"/>
        <sz val="9"/>
        <rFont val="宋体"/>
        <charset val="134"/>
      </rPr>
      <t>3</t>
    </r>
  </si>
  <si>
    <t>振捣器  插入式 1.1kw</t>
  </si>
  <si>
    <t>振捣器  插入式 1.5kw</t>
  </si>
  <si>
    <t>振捣器  平板式 2.2kw</t>
  </si>
  <si>
    <t>变频机组  4.5kVA</t>
  </si>
  <si>
    <r>
      <rPr>
        <sz val="9"/>
        <rFont val="宋体"/>
        <charset val="134"/>
      </rPr>
      <t>混凝土吊罐  1.0m</t>
    </r>
    <r>
      <rPr>
        <vertAlign val="superscript"/>
        <sz val="9"/>
        <rFont val="宋体"/>
        <charset val="134"/>
      </rPr>
      <t>3</t>
    </r>
  </si>
  <si>
    <t>风(砂)水枪  6m3/min</t>
  </si>
  <si>
    <t>载重汽车  10t</t>
  </si>
  <si>
    <t>自卸汽车  5t</t>
  </si>
  <si>
    <t>P1095</t>
  </si>
  <si>
    <t>P1042</t>
  </si>
  <si>
    <t>自卸汽车  10t</t>
  </si>
  <si>
    <t>P3012</t>
  </si>
  <si>
    <t>机动翻斗车  1T</t>
  </si>
  <si>
    <t>P3013</t>
  </si>
  <si>
    <t>履带起重机  10t</t>
  </si>
  <si>
    <t>汽车式起重机  5T</t>
  </si>
  <si>
    <t>汽车式起重机  8T</t>
  </si>
  <si>
    <t>汽车式起重机  10T</t>
  </si>
  <si>
    <t>汽车式起重机  20T</t>
  </si>
  <si>
    <t>汽车式起重机  25T</t>
  </si>
  <si>
    <t>电动葫芦  3T</t>
  </si>
  <si>
    <t>卷扬机  3T</t>
  </si>
  <si>
    <t>卷扬机  5T</t>
  </si>
  <si>
    <t>冲击钻   CZ-22</t>
  </si>
  <si>
    <t>泥浆搅拌机</t>
  </si>
  <si>
    <t>灰浆搅拌机</t>
  </si>
  <si>
    <t>泥浆泵  中低压</t>
  </si>
  <si>
    <t>潜水泵  7kw</t>
  </si>
  <si>
    <t>污水泵       7.5kw</t>
  </si>
  <si>
    <t>电焊机  交流 25kVA</t>
  </si>
  <si>
    <t>电焊机  直流 30kVA</t>
  </si>
  <si>
    <t>对焊机  电弧型150</t>
  </si>
  <si>
    <t>钢筋弯曲机  Φ6-40</t>
  </si>
  <si>
    <t>钢筋切断机  20kW</t>
  </si>
  <si>
    <t>P9912</t>
  </si>
  <si>
    <t>钢筋调直机  4-14kW</t>
  </si>
  <si>
    <t>116#文</t>
  </si>
  <si>
    <r>
      <rPr>
        <sz val="9"/>
        <rFont val="宋体"/>
        <charset val="134"/>
      </rPr>
      <t>混凝土泵  30m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/h</t>
    </r>
  </si>
  <si>
    <t>挖沟铺管机（T555型）</t>
  </si>
  <si>
    <t>沥青洒布车 3500L</t>
  </si>
  <si>
    <r>
      <rPr>
        <b/>
        <sz val="10"/>
        <rFont val="宋体"/>
        <charset val="134"/>
        <scheme val="minor"/>
      </rPr>
      <t>附表五</t>
    </r>
    <r>
      <rPr>
        <b/>
        <sz val="14"/>
        <rFont val="宋体"/>
        <charset val="134"/>
        <scheme val="minor"/>
      </rPr>
      <t xml:space="preserve">                                             </t>
    </r>
    <r>
      <rPr>
        <b/>
        <sz val="16"/>
        <rFont val="宋体"/>
        <charset val="134"/>
        <scheme val="minor"/>
      </rPr>
      <t xml:space="preserve"> </t>
    </r>
    <r>
      <rPr>
        <b/>
        <sz val="14"/>
        <rFont val="宋体"/>
        <charset val="134"/>
        <scheme val="minor"/>
      </rPr>
      <t>费率表</t>
    </r>
  </si>
  <si>
    <t>土方工程</t>
  </si>
  <si>
    <t>石方工程</t>
  </si>
  <si>
    <t>砌石工程</t>
  </si>
  <si>
    <t>混凝土工程</t>
  </si>
  <si>
    <t>钢筋工程</t>
  </si>
  <si>
    <t>钻孔及锚固工程</t>
  </si>
  <si>
    <t>疏浚工程</t>
  </si>
  <si>
    <t>其他工程</t>
  </si>
  <si>
    <t>安装工程</t>
  </si>
  <si>
    <t xml:space="preserve">间接费费率表 </t>
  </si>
  <si>
    <t>工程类别</t>
  </si>
  <si>
    <t>计算基础</t>
  </si>
  <si>
    <t>费率（％）</t>
  </si>
  <si>
    <t>建筑工程</t>
  </si>
  <si>
    <t>4.0～6.0</t>
  </si>
  <si>
    <t>8.5～11.5</t>
  </si>
  <si>
    <t>混凝土浇筑工程</t>
  </si>
  <si>
    <t>7.0～9.5</t>
  </si>
  <si>
    <t>钻孔灌浆及锚固工程</t>
  </si>
  <si>
    <t>9.25～10.5</t>
  </si>
  <si>
    <t>6.25～7.25</t>
  </si>
  <si>
    <t>7.25～9.5</t>
  </si>
  <si>
    <t>注：中型工程取高中值，小型工程取中小值。</t>
  </si>
  <si>
    <r>
      <rPr>
        <b/>
        <sz val="10"/>
        <rFont val="宋体"/>
        <charset val="134"/>
      </rPr>
      <t>附表六</t>
    </r>
    <r>
      <rPr>
        <b/>
        <sz val="16"/>
        <rFont val="宋体"/>
        <charset val="134"/>
      </rPr>
      <t xml:space="preserve">               </t>
    </r>
    <r>
      <rPr>
        <b/>
        <sz val="14"/>
        <rFont val="宋体"/>
        <charset val="134"/>
      </rPr>
      <t>人工工资预算单价表（宁夏地区）</t>
    </r>
  </si>
  <si>
    <t>计算公式</t>
  </si>
  <si>
    <t>（元/工时）</t>
  </si>
  <si>
    <t>（元/工日）</t>
  </si>
  <si>
    <t xml:space="preserve">               PVC-U管材价格表</t>
  </si>
  <si>
    <t xml:space="preserve">                                              PVC-U管材重量表   </t>
  </si>
  <si>
    <t>单位：kg/m</t>
  </si>
  <si>
    <t>单价:</t>
  </si>
  <si>
    <t>元/t</t>
  </si>
  <si>
    <t>单位:元/km</t>
  </si>
  <si>
    <t>单位:元/m</t>
  </si>
  <si>
    <r>
      <rPr>
        <b/>
        <sz val="11"/>
        <rFont val="宋体"/>
        <charset val="134"/>
      </rPr>
      <t>公称外径</t>
    </r>
    <r>
      <rPr>
        <b/>
        <sz val="11"/>
        <rFont val="Times New Roman"/>
        <charset val="134"/>
      </rPr>
      <t>(dn)</t>
    </r>
  </si>
  <si>
    <r>
      <rPr>
        <b/>
        <sz val="11"/>
        <rFont val="宋体"/>
        <charset val="134"/>
      </rPr>
      <t>公</t>
    </r>
    <r>
      <rPr>
        <b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称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压</t>
    </r>
    <r>
      <rPr>
        <b/>
        <sz val="11"/>
        <rFont val="Times New Roman"/>
        <charset val="134"/>
      </rPr>
      <t xml:space="preserve">       </t>
    </r>
    <r>
      <rPr>
        <b/>
        <sz val="11"/>
        <rFont val="宋体"/>
        <charset val="134"/>
      </rPr>
      <t>力</t>
    </r>
  </si>
  <si>
    <t>公 称外径(dn)</t>
  </si>
  <si>
    <t>公        称    压       力</t>
  </si>
  <si>
    <t>0.32Mpa</t>
  </si>
  <si>
    <t>0.63Mpa</t>
  </si>
  <si>
    <t>0.8 Mpa</t>
  </si>
  <si>
    <t>1.0 Mpa</t>
  </si>
  <si>
    <t>1.25Mpa</t>
  </si>
  <si>
    <t>1.6 Mpa</t>
  </si>
  <si>
    <t>2.0 Mpa</t>
  </si>
  <si>
    <t>2.5 Mpa</t>
  </si>
  <si>
    <t>￠20</t>
  </si>
  <si>
    <t>￠25</t>
  </si>
  <si>
    <t>￠32</t>
  </si>
  <si>
    <t>￠40</t>
  </si>
  <si>
    <t>￠50</t>
  </si>
  <si>
    <t>￠63</t>
  </si>
  <si>
    <t>￠75</t>
  </si>
  <si>
    <t>￠90</t>
  </si>
  <si>
    <t>￠110</t>
  </si>
  <si>
    <t>￠125</t>
  </si>
  <si>
    <t>￠140</t>
  </si>
  <si>
    <t>￠160</t>
  </si>
  <si>
    <t>￠180</t>
  </si>
  <si>
    <t>￠200</t>
  </si>
  <si>
    <t>￠225</t>
  </si>
  <si>
    <t>￠250</t>
  </si>
  <si>
    <t>￠280</t>
  </si>
  <si>
    <t>￠315</t>
  </si>
  <si>
    <t>￠355</t>
  </si>
  <si>
    <t>￠400</t>
  </si>
  <si>
    <t>￠450</t>
  </si>
  <si>
    <t>￠500</t>
  </si>
  <si>
    <t xml:space="preserve">                      PVC-U管材价格表</t>
  </si>
  <si>
    <t>51</t>
  </si>
  <si>
    <t>机械铺管</t>
  </si>
  <si>
    <t>P-380-9025</t>
  </si>
  <si>
    <t>适用范围：引水及管排工程</t>
  </si>
  <si>
    <t>工作内容：机械开沟铺管联合作业，挖沟、铺管、回填。</t>
  </si>
  <si>
    <t>管材</t>
  </si>
  <si>
    <t>挖沟铺管机</t>
  </si>
  <si>
    <t>手扶拖拉机</t>
  </si>
  <si>
    <t>推土机(59kw)</t>
  </si>
  <si>
    <t>52</t>
  </si>
  <si>
    <t>管道包裹</t>
  </si>
  <si>
    <t>P-380-9026</t>
  </si>
  <si>
    <t>适用范围：排水管滤水层包裹</t>
  </si>
  <si>
    <t>工作内容：清理、缠裹、堆放、场内材料运输。</t>
  </si>
  <si>
    <t>包裹料（68g/㎡无纺布）</t>
  </si>
  <si>
    <t>P374-9012</t>
  </si>
  <si>
    <t>编笼、定位、抛投填块石于笼内、封口及材料场内运输</t>
  </si>
  <si>
    <t>卵石护坡</t>
  </si>
  <si>
    <t>P374-9013</t>
  </si>
  <si>
    <t>人工装运卸、选修石、砌筑、填缝、找平、场内材料运输</t>
  </si>
  <si>
    <t>复合土工膜铺设（边坡1:3）</t>
  </si>
  <si>
    <t>P421-10206</t>
  </si>
  <si>
    <t xml:space="preserve">复合土工膜 </t>
  </si>
  <si>
    <t>工程胶</t>
  </si>
  <si>
    <t>其它材料费</t>
  </si>
  <si>
    <t>复合土工膜铺设（平铺）</t>
  </si>
  <si>
    <t>P421-10203</t>
  </si>
  <si>
    <t xml:space="preserve">  挖土、堆放</t>
  </si>
  <si>
    <t>粘土垫层</t>
  </si>
  <si>
    <t>P425-10225</t>
  </si>
  <si>
    <t>夯实机场内30m内材料运输</t>
  </si>
  <si>
    <t>格宾块石护坡</t>
  </si>
  <si>
    <t>P373-9011</t>
  </si>
  <si>
    <t>59</t>
  </si>
  <si>
    <t>铺设排水暗管（280 UPVC管）</t>
  </si>
  <si>
    <t>P-359-8074</t>
  </si>
  <si>
    <t>工作内容：整修沟底、安装、包扎及场内40m以内搬运。</t>
  </si>
  <si>
    <t>280 PVC管</t>
  </si>
  <si>
    <t>60</t>
  </si>
  <si>
    <t>铺设排水暗管（250 UPVC管）</t>
  </si>
  <si>
    <t>250 PVC管</t>
  </si>
  <si>
    <t>61</t>
  </si>
  <si>
    <t>铺设排水暗管（200 UPVC管）</t>
  </si>
  <si>
    <t>200 PVC管</t>
  </si>
  <si>
    <t>62</t>
  </si>
  <si>
    <t>铺设排水暗管（160 UPVC管）</t>
  </si>
  <si>
    <t>160 PVC管</t>
  </si>
  <si>
    <t>63</t>
  </si>
  <si>
    <t>铺设排水暗管（110 UPVC管）</t>
  </si>
  <si>
    <t>110 PVC管</t>
  </si>
  <si>
    <t>64</t>
  </si>
  <si>
    <t>铺设排水暗管（90 UPVC管）</t>
  </si>
  <si>
    <t>90 PVC管</t>
  </si>
  <si>
    <t>砖砌阀井</t>
  </si>
  <si>
    <t>P124-3070</t>
  </si>
  <si>
    <t>机砖</t>
  </si>
  <si>
    <t>人工铺设砂石垫层</t>
  </si>
  <si>
    <t>M10水泥砂浆抹面</t>
  </si>
  <si>
    <t>P-124-3062</t>
  </si>
  <si>
    <r>
      <rPr>
        <sz val="10"/>
        <color indexed="8"/>
        <rFont val="宋体"/>
        <charset val="134"/>
      </rPr>
      <t>100m</t>
    </r>
    <r>
      <rPr>
        <vertAlign val="superscript"/>
        <sz val="10"/>
        <color indexed="8"/>
        <rFont val="宋体"/>
        <charset val="134"/>
      </rPr>
      <t>2</t>
    </r>
  </si>
  <si>
    <t>DN600钢筋混凝土管安装（不含管材）</t>
  </si>
  <si>
    <t>P-355-8045</t>
  </si>
  <si>
    <t>10m</t>
  </si>
  <si>
    <t>接口、找平、加固、安装、养护、压水试验及场内40m运输</t>
  </si>
  <si>
    <t>麻布</t>
  </si>
  <si>
    <t>混凝土Ⅲ级排水管</t>
  </si>
  <si>
    <t>DN1000钢筋混凝土管安装（不含管材）</t>
  </si>
  <si>
    <t>P-355-8047</t>
  </si>
  <si>
    <t>砸碎、推运、堆积、清理</t>
  </si>
  <si>
    <t>2012世行概算6.19.xls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</si>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</sst>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3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&quot;$&quot;\ #,##0.00_-;[Red]&quot;$&quot;\ #,##0.00\-"/>
    <numFmt numFmtId="178" formatCode="_(&quot;$&quot;* #,##0_);_(&quot;$&quot;* \(#,##0\);_(&quot;$&quot;* &quot;-&quot;_);_(@_)"/>
    <numFmt numFmtId="179" formatCode="#,##0;\(#,##0\)"/>
    <numFmt numFmtId="180" formatCode="0.0%"/>
    <numFmt numFmtId="181" formatCode="_(&quot;$&quot;* #,##0.00_);_(&quot;$&quot;* \(#,##0.00\);_(&quot;$&quot;* &quot;-&quot;??_);_(@_)"/>
    <numFmt numFmtId="182" formatCode="#,##0.00_ "/>
    <numFmt numFmtId="183" formatCode="_-&quot;$&quot;\ * #,##0_-;_-&quot;$&quot;\ * #,##0\-;_-&quot;$&quot;\ * &quot;-&quot;_-;_-@_-"/>
    <numFmt numFmtId="184" formatCode="&quot;$&quot;#,##0_);[Red]\(&quot;$&quot;#,##0\)"/>
    <numFmt numFmtId="185" formatCode="0.0000"/>
    <numFmt numFmtId="186" formatCode="0_);[Red]\(0\)"/>
    <numFmt numFmtId="187" formatCode="_-&quot;$&quot;\ * #,##0.00_-;_-&quot;$&quot;\ * #,##0.00\-;_-&quot;$&quot;\ * &quot;-&quot;??_-;_-@_-"/>
    <numFmt numFmtId="188" formatCode="0.000;[Red]0.000"/>
    <numFmt numFmtId="189" formatCode="\$#,##0;\(\$#,##0\)"/>
    <numFmt numFmtId="190" formatCode="&quot;$&quot;\ #,##0_-;[Red]&quot;$&quot;\ #,##0\-"/>
    <numFmt numFmtId="191" formatCode="_-* #,##0.00_-;\-* #,##0.00_-;_-* &quot;-&quot;??_-;_-@_-"/>
    <numFmt numFmtId="192" formatCode="#\ ??/??"/>
    <numFmt numFmtId="193" formatCode="0;[Red]0"/>
    <numFmt numFmtId="194" formatCode="&quot;$&quot;#,##0.00_);[Red]\(&quot;$&quot;#,##0.00\)"/>
    <numFmt numFmtId="195" formatCode="#,##0.0_);\(#,##0.0\)"/>
    <numFmt numFmtId="196" formatCode="0_);\(0\)"/>
    <numFmt numFmtId="197" formatCode="\$#,##0.00;\(\$#,##0.00\)"/>
    <numFmt numFmtId="198" formatCode="0.000"/>
    <numFmt numFmtId="199" formatCode="_ [$€-2]* #,##0.00_ ;_ [$€-2]* \-#,##0.00_ ;_ [$€-2]* &quot;-&quot;??_ "/>
    <numFmt numFmtId="200" formatCode="yy\.mm\.dd"/>
    <numFmt numFmtId="201" formatCode="0.00_);[Red]\(0.00\)"/>
    <numFmt numFmtId="202" formatCode="0.00_);\(0.00\)"/>
    <numFmt numFmtId="203" formatCode="0.00_ "/>
    <numFmt numFmtId="204" formatCode="0.0_ "/>
    <numFmt numFmtId="205" formatCode="0.000_);[Red]\(0.000\)"/>
    <numFmt numFmtId="206" formatCode="0.0;[Red]0.0"/>
    <numFmt numFmtId="207" formatCode="0_ "/>
    <numFmt numFmtId="208" formatCode="0.00;[Red]0.00"/>
    <numFmt numFmtId="209" formatCode="0.0"/>
    <numFmt numFmtId="210" formatCode="0.000000"/>
  </numFmts>
  <fonts count="161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u/>
      <sz val="14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indexed="8"/>
      <name val="Times New Roman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.5"/>
      <name val="宋体"/>
      <charset val="134"/>
    </font>
    <font>
      <b/>
      <sz val="16"/>
      <name val="宋体"/>
      <charset val="134"/>
    </font>
    <font>
      <b/>
      <u/>
      <sz val="16"/>
      <name val="仿宋_GB2312"/>
      <charset val="134"/>
    </font>
    <font>
      <sz val="11"/>
      <name val="仿宋_GB2312"/>
      <charset val="134"/>
    </font>
    <font>
      <b/>
      <sz val="14"/>
      <name val="宋体"/>
      <charset val="134"/>
      <scheme val="minor"/>
    </font>
    <font>
      <sz val="14"/>
      <name val="黑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9.5"/>
      <name val="宋体"/>
      <charset val="134"/>
    </font>
    <font>
      <sz val="9"/>
      <name val="宋体"/>
      <charset val="134"/>
    </font>
    <font>
      <sz val="16"/>
      <name val="Times New Roman"/>
      <charset val="134"/>
    </font>
    <font>
      <sz val="12"/>
      <color indexed="48"/>
      <name val="Times New Roman"/>
      <charset val="134"/>
    </font>
    <font>
      <b/>
      <sz val="14"/>
      <color indexed="8"/>
      <name val="宋体"/>
      <charset val="134"/>
    </font>
    <font>
      <sz val="10"/>
      <color indexed="12"/>
      <name val="宋体"/>
      <charset val="134"/>
    </font>
    <font>
      <sz val="10"/>
      <color indexed="10"/>
      <name val="宋体"/>
      <charset val="134"/>
    </font>
    <font>
      <sz val="10"/>
      <color indexed="8"/>
      <name val="楷体_GB2312"/>
      <charset val="134"/>
    </font>
    <font>
      <sz val="12"/>
      <color indexed="8"/>
      <name val="楷体_GB2312"/>
      <charset val="134"/>
    </font>
    <font>
      <sz val="10"/>
      <name val="楷体_GB2312"/>
      <charset val="134"/>
    </font>
    <font>
      <b/>
      <u/>
      <sz val="14"/>
      <name val="宋体"/>
      <charset val="134"/>
    </font>
    <font>
      <b/>
      <sz val="10"/>
      <color indexed="10"/>
      <name val="宋体"/>
      <charset val="134"/>
    </font>
    <font>
      <sz val="10"/>
      <color rgb="FFFF0000"/>
      <name val="宋体"/>
      <charset val="134"/>
    </font>
    <font>
      <sz val="14"/>
      <color rgb="FFFF0000"/>
      <name val="宋体"/>
      <charset val="134"/>
    </font>
    <font>
      <sz val="10"/>
      <name val="Times New Roman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9.5"/>
      <name val="Times New Roman"/>
      <charset val="134"/>
    </font>
    <font>
      <sz val="14"/>
      <color indexed="12"/>
      <name val="宋体"/>
      <charset val="134"/>
    </font>
    <font>
      <sz val="8.5"/>
      <name val="仿宋_GB2312"/>
      <charset val="134"/>
    </font>
    <font>
      <sz val="8.5"/>
      <color indexed="10"/>
      <name val="仿宋_GB2312"/>
      <charset val="134"/>
    </font>
    <font>
      <sz val="8.5"/>
      <color indexed="10"/>
      <name val="宋体"/>
      <charset val="134"/>
    </font>
    <font>
      <sz val="8.5"/>
      <name val="宋体"/>
      <charset val="134"/>
    </font>
    <font>
      <b/>
      <sz val="9"/>
      <color indexed="8"/>
      <name val="宋体"/>
      <charset val="134"/>
    </font>
    <font>
      <b/>
      <sz val="8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b/>
      <sz val="14"/>
      <name val="黑体"/>
      <charset val="134"/>
    </font>
    <font>
      <b/>
      <sz val="12"/>
      <name val="Times New Roman"/>
      <charset val="134"/>
    </font>
    <font>
      <b/>
      <sz val="16"/>
      <color indexed="8"/>
      <name val="宋体"/>
      <charset val="134"/>
    </font>
    <font>
      <sz val="10"/>
      <color indexed="8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0"/>
      <name val="Geneva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indexed="17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MS Sans Serif"/>
      <charset val="134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sz val="10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0"/>
      <name val="Times New Roman"/>
      <charset val="134"/>
    </font>
    <font>
      <b/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0"/>
      <name val="MS Sans Serif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color indexed="0"/>
      <name val="Arial"/>
      <charset val="134"/>
    </font>
    <font>
      <sz val="8"/>
      <name val="Arial"/>
      <charset val="134"/>
    </font>
    <font>
      <b/>
      <sz val="18"/>
      <color indexed="56"/>
      <name val="黑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9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2"/>
      <color indexed="8"/>
      <name val="宋体"/>
      <charset val="134"/>
    </font>
    <font>
      <sz val="10"/>
      <color indexed="17"/>
      <name val="宋体"/>
      <charset val="134"/>
    </font>
    <font>
      <sz val="7"/>
      <name val="Small Fonts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1"/>
      <color indexed="20"/>
      <name val="Tahoma"/>
      <charset val="134"/>
    </font>
    <font>
      <sz val="11"/>
      <color indexed="60"/>
      <name val="宋体"/>
      <charset val="134"/>
    </font>
    <font>
      <sz val="10"/>
      <name val="楷体"/>
      <charset val="134"/>
    </font>
    <font>
      <b/>
      <sz val="10"/>
      <name val="Tms Rmn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sz val="10"/>
      <color indexed="8"/>
      <name val="MS Sans Serif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b/>
      <sz val="14"/>
      <name val="楷体"/>
      <charset val="134"/>
    </font>
    <font>
      <sz val="16"/>
      <name val="宋体"/>
      <charset val="134"/>
    </font>
    <font>
      <u/>
      <sz val="12"/>
      <color indexed="12"/>
      <name val="仿宋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8"/>
      <name val="方正美黑简体"/>
      <charset val="134"/>
    </font>
    <font>
      <vertAlign val="superscript"/>
      <sz val="10"/>
      <color indexed="8"/>
      <name val="宋体"/>
      <charset val="134"/>
    </font>
    <font>
      <vertAlign val="superscript"/>
      <sz val="10"/>
      <name val="宋体"/>
      <charset val="134"/>
    </font>
    <font>
      <vertAlign val="superscript"/>
      <sz val="10"/>
      <color indexed="8"/>
      <name val="Times New Roman"/>
      <charset val="134"/>
    </font>
    <font>
      <b/>
      <vertAlign val="superscript"/>
      <sz val="10"/>
      <name val="宋体"/>
      <charset val="134"/>
    </font>
    <font>
      <vertAlign val="superscript"/>
      <sz val="9"/>
      <name val="宋体"/>
      <charset val="134"/>
    </font>
    <font>
      <b/>
      <sz val="10"/>
      <color theme="3" tint="0.399945066682943"/>
      <name val="宋体"/>
      <charset val="134"/>
    </font>
    <font>
      <b/>
      <vertAlign val="superscript"/>
      <sz val="10"/>
      <color theme="3" tint="0.399914548173467"/>
      <name val="宋体"/>
      <charset val="134"/>
    </font>
    <font>
      <vertAlign val="superscript"/>
      <sz val="10"/>
      <color indexed="10"/>
      <name val="宋体"/>
      <charset val="134"/>
    </font>
    <font>
      <vertAlign val="superscript"/>
      <sz val="10"/>
      <name val="Times New Roman"/>
      <charset val="134"/>
    </font>
    <font>
      <b/>
      <sz val="10"/>
      <color indexed="8"/>
      <name val="Times New Roman"/>
      <charset val="134"/>
    </font>
    <font>
      <b/>
      <sz val="14"/>
      <color indexed="8"/>
      <name val="Times New Roman"/>
      <charset val="134"/>
    </font>
    <font>
      <b/>
      <sz val="8"/>
      <name val="宋体"/>
      <charset val="134"/>
      <scheme val="minor"/>
    </font>
    <font>
      <vertAlign val="superscript"/>
      <sz val="8"/>
      <name val="宋体"/>
      <charset val="134"/>
      <scheme val="minor"/>
    </font>
    <font>
      <vertAlign val="superscript"/>
      <sz val="8"/>
      <color indexed="8"/>
      <name val="宋体"/>
      <charset val="134"/>
      <scheme val="minor"/>
    </font>
    <font>
      <b/>
      <sz val="10"/>
      <name val="Calibri"/>
      <charset val="134"/>
    </font>
    <font>
      <sz val="10"/>
      <name val="Calibri"/>
      <charset val="161"/>
    </font>
    <font>
      <b/>
      <sz val="10"/>
      <name val="Calibri"/>
      <charset val="161"/>
    </font>
    <font>
      <sz val="10"/>
      <name val="仿宋_GB2312"/>
      <charset val="134"/>
    </font>
  </fonts>
  <fills count="8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62C6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44"/>
      </patternFill>
    </fill>
    <fill>
      <patternFill patternType="mediumGray">
        <fgColor indexed="2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47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2"/>
      </patternFill>
    </fill>
  </fills>
  <borders count="9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0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13"/>
      </bottom>
      <diagonal/>
    </border>
    <border>
      <left/>
      <right/>
      <top style="thin">
        <color indexed="50"/>
      </top>
      <bottom style="double">
        <color indexed="50"/>
      </bottom>
      <diagonal/>
    </border>
  </borders>
  <cellStyleXfs count="2946">
    <xf numFmtId="0" fontId="0" fillId="0" borderId="0"/>
    <xf numFmtId="42" fontId="67" fillId="0" borderId="0" applyFont="0" applyFill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/>
    <xf numFmtId="0" fontId="70" fillId="21" borderId="71" applyNumberFormat="0" applyAlignment="0" applyProtection="0">
      <alignment vertical="center"/>
    </xf>
    <xf numFmtId="0" fontId="71" fillId="0" borderId="72" applyNumberFormat="0" applyFill="0" applyAlignment="0" applyProtection="0">
      <alignment vertical="center"/>
    </xf>
    <xf numFmtId="0" fontId="72" fillId="0" borderId="0"/>
    <xf numFmtId="0" fontId="0" fillId="0" borderId="0"/>
    <xf numFmtId="0" fontId="0" fillId="0" borderId="0"/>
    <xf numFmtId="0" fontId="0" fillId="0" borderId="0"/>
    <xf numFmtId="44" fontId="67" fillId="0" borderId="0" applyFont="0" applyFill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4" fillId="0" borderId="0">
      <alignment horizontal="center" wrapText="1"/>
      <protection locked="0"/>
    </xf>
    <xf numFmtId="0" fontId="75" fillId="23" borderId="0" applyNumberFormat="0" applyBorder="0" applyAlignment="0" applyProtection="0"/>
    <xf numFmtId="41" fontId="67" fillId="0" borderId="0" applyFon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78" fillId="27" borderId="0" applyNumberFormat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69" fillId="12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7" fillId="28" borderId="73" applyNumberFormat="0" applyFont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0" fillId="0" borderId="0"/>
    <xf numFmtId="0" fontId="61" fillId="30" borderId="0" applyNumberFormat="0" applyBorder="0" applyAlignment="0" applyProtection="0">
      <alignment vertical="center"/>
    </xf>
    <xf numFmtId="0" fontId="26" fillId="0" borderId="0"/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6" fillId="0" borderId="0"/>
    <xf numFmtId="0" fontId="8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1" fillId="3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74" applyNumberFormat="0" applyFill="0" applyAlignment="0" applyProtection="0">
      <alignment vertical="center"/>
    </xf>
    <xf numFmtId="0" fontId="78" fillId="34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88" fillId="0" borderId="7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/>
    <xf numFmtId="0" fontId="69" fillId="12" borderId="0" applyNumberFormat="0" applyBorder="0" applyAlignment="0" applyProtection="0">
      <alignment vertical="center"/>
    </xf>
    <xf numFmtId="0" fontId="0" fillId="0" borderId="0"/>
    <xf numFmtId="0" fontId="72" fillId="0" borderId="0"/>
    <xf numFmtId="0" fontId="77" fillId="35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83" fillId="0" borderId="75" applyNumberFormat="0" applyFill="0" applyAlignment="0" applyProtection="0">
      <alignment vertical="center"/>
    </xf>
    <xf numFmtId="0" fontId="0" fillId="0" borderId="0"/>
    <xf numFmtId="0" fontId="72" fillId="0" borderId="0"/>
    <xf numFmtId="0" fontId="77" fillId="36" borderId="0" applyNumberFormat="0" applyBorder="0" applyAlignment="0" applyProtection="0">
      <alignment vertical="center"/>
    </xf>
    <xf numFmtId="0" fontId="89" fillId="37" borderId="76" applyNumberFormat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0" fillId="9" borderId="77" applyNumberFormat="0" applyAlignment="0" applyProtection="0">
      <alignment vertical="center"/>
    </xf>
    <xf numFmtId="0" fontId="91" fillId="37" borderId="71" applyNumberFormat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2" fillId="38" borderId="78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184" fontId="93" fillId="0" borderId="0" applyFont="0" applyFill="0" applyBorder="0" applyAlignment="0" applyProtection="0"/>
    <xf numFmtId="0" fontId="77" fillId="40" borderId="0" applyNumberFormat="0" applyBorder="0" applyAlignment="0" applyProtection="0">
      <alignment vertical="center"/>
    </xf>
    <xf numFmtId="0" fontId="0" fillId="0" borderId="0"/>
    <xf numFmtId="0" fontId="0" fillId="41" borderId="79" applyNumberFormat="0" applyFont="0" applyAlignment="0" applyProtection="0">
      <alignment vertical="center"/>
    </xf>
    <xf numFmtId="0" fontId="0" fillId="0" borderId="0"/>
    <xf numFmtId="0" fontId="61" fillId="42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94" fillId="0" borderId="80" applyNumberFormat="0" applyFill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96" fillId="1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97" fillId="0" borderId="81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0" fillId="0" borderId="0"/>
    <xf numFmtId="0" fontId="68" fillId="45" borderId="0" applyNumberFormat="0" applyBorder="0" applyAlignment="0" applyProtection="0">
      <alignment vertical="center"/>
    </xf>
    <xf numFmtId="0" fontId="99" fillId="0" borderId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0" fillId="0" borderId="82" applyNumberFormat="0" applyFill="0" applyAlignment="0" applyProtection="0">
      <alignment vertical="center"/>
    </xf>
    <xf numFmtId="0" fontId="0" fillId="0" borderId="0"/>
    <xf numFmtId="0" fontId="61" fillId="2" borderId="0" applyNumberFormat="0" applyBorder="0" applyAlignment="0" applyProtection="0">
      <alignment vertical="center"/>
    </xf>
    <xf numFmtId="0" fontId="101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26" fillId="0" borderId="0"/>
    <xf numFmtId="0" fontId="73" fillId="49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26" fillId="0" borderId="0"/>
    <xf numFmtId="0" fontId="73" fillId="5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93" fillId="0" borderId="0" applyNumberFormat="0" applyFont="0" applyFill="0" applyBorder="0" applyAlignment="0" applyProtection="0">
      <alignment horizontal="left"/>
    </xf>
    <xf numFmtId="0" fontId="77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72" fillId="0" borderId="0"/>
    <xf numFmtId="0" fontId="68" fillId="2" borderId="0" applyNumberFormat="0" applyBorder="0" applyAlignment="0" applyProtection="0">
      <alignment vertical="center"/>
    </xf>
    <xf numFmtId="0" fontId="72" fillId="0" borderId="0"/>
    <xf numFmtId="0" fontId="73" fillId="55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73" fillId="57" borderId="0" applyNumberFormat="0" applyBorder="0" applyAlignment="0" applyProtection="0">
      <alignment vertical="center"/>
    </xf>
    <xf numFmtId="0" fontId="1" fillId="0" borderId="0"/>
    <xf numFmtId="0" fontId="77" fillId="58" borderId="0" applyNumberFormat="0" applyBorder="0" applyAlignment="0" applyProtection="0">
      <alignment vertical="center"/>
    </xf>
    <xf numFmtId="0" fontId="77" fillId="5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3" fillId="11" borderId="0" applyNumberFormat="0" applyBorder="0" applyAlignment="0" applyProtection="0">
      <alignment vertical="center"/>
    </xf>
    <xf numFmtId="0" fontId="102" fillId="0" borderId="0"/>
    <xf numFmtId="0" fontId="77" fillId="60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2" fillId="0" borderId="0"/>
    <xf numFmtId="0" fontId="26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102" fillId="0" borderId="0"/>
    <xf numFmtId="0" fontId="69" fillId="12" borderId="0" applyNumberFormat="0" applyBorder="0" applyAlignment="0" applyProtection="0">
      <alignment vertical="center"/>
    </xf>
    <xf numFmtId="0" fontId="26" fillId="0" borderId="0"/>
    <xf numFmtId="0" fontId="1" fillId="0" borderId="0"/>
    <xf numFmtId="0" fontId="95" fillId="12" borderId="0" applyNumberFormat="0" applyBorder="0" applyAlignment="0" applyProtection="0"/>
    <xf numFmtId="0" fontId="102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0" borderId="0"/>
    <xf numFmtId="0" fontId="26" fillId="0" borderId="0"/>
    <xf numFmtId="0" fontId="103" fillId="0" borderId="0" applyNumberFormat="0" applyFill="0" applyBorder="0" applyAlignment="0" applyProtection="0"/>
    <xf numFmtId="0" fontId="104" fillId="2" borderId="0" applyNumberFormat="0" applyBorder="0" applyAlignment="0" applyProtection="0"/>
    <xf numFmtId="0" fontId="1" fillId="0" borderId="0"/>
    <xf numFmtId="0" fontId="81" fillId="6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0" borderId="0"/>
    <xf numFmtId="0" fontId="61" fillId="63" borderId="0" applyNumberFormat="0" applyBorder="0" applyAlignment="0" applyProtection="0">
      <alignment vertical="center"/>
    </xf>
    <xf numFmtId="0" fontId="81" fillId="64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104" fillId="2" borderId="0" applyNumberFormat="0" applyBorder="0" applyAlignment="0" applyProtection="0"/>
    <xf numFmtId="0" fontId="102" fillId="0" borderId="0"/>
    <xf numFmtId="0" fontId="26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/>
    <xf numFmtId="0" fontId="81" fillId="33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2" fillId="0" borderId="0"/>
    <xf numFmtId="0" fontId="69" fillId="12" borderId="0" applyNumberFormat="0" applyBorder="0" applyAlignment="0" applyProtection="0">
      <alignment vertical="center"/>
    </xf>
    <xf numFmtId="0" fontId="26" fillId="0" borderId="0"/>
    <xf numFmtId="0" fontId="68" fillId="2" borderId="0" applyNumberFormat="0" applyBorder="0" applyAlignment="0" applyProtection="0">
      <alignment vertical="center"/>
    </xf>
    <xf numFmtId="0" fontId="61" fillId="65" borderId="0" applyNumberFormat="0" applyBorder="0" applyAlignment="0" applyProtection="0">
      <alignment vertical="center"/>
    </xf>
    <xf numFmtId="0" fontId="102" fillId="0" borderId="0"/>
    <xf numFmtId="41" fontId="1" fillId="0" borderId="0" applyFont="0" applyFill="0" applyBorder="0" applyAlignment="0" applyProtection="0"/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2" fillId="0" borderId="0"/>
    <xf numFmtId="0" fontId="72" fillId="0" borderId="0"/>
    <xf numFmtId="191" fontId="1" fillId="0" borderId="0" applyFont="0" applyFill="0" applyBorder="0" applyAlignment="0" applyProtection="0"/>
    <xf numFmtId="0" fontId="0" fillId="0" borderId="0"/>
    <xf numFmtId="0" fontId="72" fillId="0" borderId="0"/>
    <xf numFmtId="0" fontId="90" fillId="9" borderId="77" applyNumberFormat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75" fillId="67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61" fillId="12" borderId="0" applyNumberFormat="0" applyBorder="0" applyAlignment="0" applyProtection="0">
      <alignment vertical="center"/>
    </xf>
    <xf numFmtId="0" fontId="72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105" fillId="0" borderId="83" applyNumberFormat="0" applyFill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2" fillId="0" borderId="0"/>
    <xf numFmtId="0" fontId="106" fillId="34" borderId="84" applyNumberFormat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68" borderId="0" applyNumberFormat="0" applyBorder="0" applyAlignment="0" applyProtection="0"/>
    <xf numFmtId="0" fontId="72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49" fontId="0" fillId="0" borderId="0" applyFont="0" applyFill="0" applyBorder="0" applyAlignment="0" applyProtection="0"/>
    <xf numFmtId="0" fontId="102" fillId="0" borderId="0"/>
    <xf numFmtId="49" fontId="0" fillId="0" borderId="0" applyFont="0" applyFill="0" applyBorder="0" applyAlignment="0" applyProtection="0"/>
    <xf numFmtId="0" fontId="61" fillId="43" borderId="0" applyNumberFormat="0" applyBorder="0" applyAlignment="0" applyProtection="0">
      <alignment vertical="center"/>
    </xf>
    <xf numFmtId="0" fontId="0" fillId="0" borderId="0"/>
    <xf numFmtId="0" fontId="72" fillId="0" borderId="0"/>
    <xf numFmtId="0" fontId="108" fillId="0" borderId="0" applyFill="0"/>
    <xf numFmtId="49" fontId="1" fillId="0" borderId="0" applyFont="0" applyFill="0" applyBorder="0" applyAlignment="0" applyProtection="0"/>
    <xf numFmtId="10" fontId="109" fillId="41" borderId="14" applyNumberFormat="0" applyBorder="0" applyAlignment="0" applyProtection="0"/>
    <xf numFmtId="0" fontId="102" fillId="0" borderId="0"/>
    <xf numFmtId="192" fontId="1" fillId="0" borderId="0" applyFont="0" applyFill="0" applyProtection="0"/>
    <xf numFmtId="0" fontId="110" fillId="0" borderId="0" applyNumberFormat="0" applyFill="0" applyBorder="0" applyAlignment="0" applyProtection="0">
      <alignment vertical="center"/>
    </xf>
    <xf numFmtId="0" fontId="72" fillId="0" borderId="0"/>
    <xf numFmtId="0" fontId="69" fillId="1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102" fillId="0" borderId="0"/>
    <xf numFmtId="0" fontId="0" fillId="0" borderId="0"/>
    <xf numFmtId="0" fontId="111" fillId="34" borderId="8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49" fontId="1" fillId="0" borderId="0" applyFont="0" applyFill="0" applyBorder="0" applyAlignment="0" applyProtection="0"/>
    <xf numFmtId="0" fontId="112" fillId="45" borderId="77" applyNumberFormat="0" applyAlignment="0" applyProtection="0">
      <alignment vertical="center"/>
    </xf>
    <xf numFmtId="0" fontId="113" fillId="0" borderId="85" applyNumberFormat="0" applyFill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26" fillId="0" borderId="0"/>
    <xf numFmtId="0" fontId="102" fillId="0" borderId="0"/>
    <xf numFmtId="0" fontId="103" fillId="0" borderId="0" applyNumberFormat="0" applyFill="0" applyBorder="0" applyAlignment="0" applyProtection="0"/>
    <xf numFmtId="0" fontId="68" fillId="2" borderId="0" applyNumberFormat="0" applyBorder="0" applyAlignment="0" applyProtection="0">
      <alignment vertical="center"/>
    </xf>
    <xf numFmtId="0" fontId="72" fillId="0" borderId="0"/>
    <xf numFmtId="0" fontId="26" fillId="0" borderId="0"/>
    <xf numFmtId="0" fontId="0" fillId="0" borderId="0"/>
    <xf numFmtId="0" fontId="72" fillId="0" borderId="0"/>
    <xf numFmtId="0" fontId="1" fillId="0" borderId="0"/>
    <xf numFmtId="0" fontId="61" fillId="42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114" fillId="6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26" fillId="0" borderId="0"/>
    <xf numFmtId="0" fontId="0" fillId="0" borderId="0"/>
    <xf numFmtId="0" fontId="61" fillId="42" borderId="0" applyNumberFormat="0" applyBorder="0" applyAlignment="0" applyProtection="0">
      <alignment vertical="center"/>
    </xf>
    <xf numFmtId="0" fontId="26" fillId="0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26" fillId="0" borderId="0"/>
    <xf numFmtId="0" fontId="61" fillId="3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2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78" fillId="69" borderId="0" applyNumberFormat="0" applyBorder="0" applyAlignment="0" applyProtection="0"/>
    <xf numFmtId="0" fontId="26" fillId="0" borderId="0"/>
    <xf numFmtId="0" fontId="102" fillId="0" borderId="0"/>
    <xf numFmtId="0" fontId="68" fillId="45" borderId="0" applyNumberFormat="0" applyBorder="0" applyAlignment="0" applyProtection="0">
      <alignment vertical="center"/>
    </xf>
    <xf numFmtId="0" fontId="26" fillId="0" borderId="0"/>
    <xf numFmtId="0" fontId="72" fillId="0" borderId="0"/>
    <xf numFmtId="0" fontId="0" fillId="0" borderId="0"/>
    <xf numFmtId="0" fontId="0" fillId="0" borderId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/>
    <xf numFmtId="0" fontId="61" fillId="9" borderId="0" applyNumberFormat="0" applyBorder="0" applyAlignment="0" applyProtection="0">
      <alignment vertical="center"/>
    </xf>
    <xf numFmtId="0" fontId="72" fillId="0" borderId="0"/>
    <xf numFmtId="0" fontId="69" fillId="12" borderId="0" applyNumberFormat="0" applyBorder="0" applyAlignment="0" applyProtection="0">
      <alignment vertical="center"/>
    </xf>
    <xf numFmtId="0" fontId="72" fillId="0" borderId="0"/>
    <xf numFmtId="0" fontId="69" fillId="12" borderId="0" applyNumberFormat="0" applyBorder="0" applyAlignment="0" applyProtection="0">
      <alignment vertical="center"/>
    </xf>
    <xf numFmtId="0" fontId="26" fillId="0" borderId="0"/>
    <xf numFmtId="0" fontId="61" fillId="43" borderId="0" applyNumberFormat="0" applyBorder="0" applyAlignment="0" applyProtection="0">
      <alignment vertical="center"/>
    </xf>
    <xf numFmtId="0" fontId="72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2" fillId="0" borderId="0"/>
    <xf numFmtId="0" fontId="72" fillId="0" borderId="0"/>
    <xf numFmtId="0" fontId="69" fillId="12" borderId="0" applyNumberFormat="0" applyBorder="0" applyAlignment="0" applyProtection="0">
      <alignment vertical="center"/>
    </xf>
    <xf numFmtId="0" fontId="78" fillId="23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/>
    <xf numFmtId="0" fontId="68" fillId="2" borderId="0" applyNumberFormat="0" applyBorder="0" applyAlignment="0" applyProtection="0">
      <alignment vertical="center"/>
    </xf>
    <xf numFmtId="0" fontId="102" fillId="0" borderId="0"/>
    <xf numFmtId="0" fontId="26" fillId="0" borderId="0"/>
    <xf numFmtId="0" fontId="69" fillId="1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2" fillId="0" borderId="0"/>
    <xf numFmtId="0" fontId="61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2" fillId="0" borderId="0"/>
    <xf numFmtId="0" fontId="69" fillId="12" borderId="0" applyNumberFormat="0" applyBorder="0" applyAlignment="0" applyProtection="0">
      <alignment vertical="center"/>
    </xf>
    <xf numFmtId="0" fontId="95" fillId="68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26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3" fillId="70" borderId="0" applyNumberFormat="0" applyFont="0" applyBorder="0" applyAlignment="0" applyProtection="0"/>
    <xf numFmtId="0" fontId="61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07" fillId="0" borderId="86" applyNumberFormat="0" applyFill="0" applyAlignment="0" applyProtection="0">
      <alignment vertical="center"/>
    </xf>
    <xf numFmtId="0" fontId="104" fillId="2" borderId="0" applyNumberFormat="0" applyBorder="0" applyAlignment="0" applyProtection="0"/>
    <xf numFmtId="0" fontId="0" fillId="0" borderId="0"/>
    <xf numFmtId="0" fontId="26" fillId="0" borderId="0"/>
    <xf numFmtId="0" fontId="69" fillId="12" borderId="0" applyNumberFormat="0" applyBorder="0" applyAlignment="0" applyProtection="0">
      <alignment vertical="center"/>
    </xf>
    <xf numFmtId="0" fontId="26" fillId="0" borderId="0"/>
    <xf numFmtId="0" fontId="69" fillId="12" borderId="0" applyNumberFormat="0" applyBorder="0" applyAlignment="0" applyProtection="0">
      <alignment vertical="center"/>
    </xf>
    <xf numFmtId="0" fontId="116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0" borderId="0"/>
    <xf numFmtId="0" fontId="0" fillId="0" borderId="0"/>
    <xf numFmtId="0" fontId="72" fillId="0" borderId="0"/>
    <xf numFmtId="0" fontId="69" fillId="12" borderId="0" applyNumberFormat="0" applyBorder="0" applyAlignment="0" applyProtection="0">
      <alignment vertical="center"/>
    </xf>
    <xf numFmtId="0" fontId="72" fillId="0" borderId="0"/>
    <xf numFmtId="0" fontId="81" fillId="66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26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0" borderId="0"/>
    <xf numFmtId="0" fontId="69" fillId="12" borderId="0" applyNumberFormat="0" applyBorder="0" applyAlignment="0" applyProtection="0">
      <alignment vertical="center"/>
    </xf>
    <xf numFmtId="0" fontId="72" fillId="0" borderId="0"/>
    <xf numFmtId="0" fontId="75" fillId="71" borderId="0" applyNumberFormat="0" applyBorder="0" applyAlignment="0" applyProtection="0"/>
    <xf numFmtId="0" fontId="0" fillId="0" borderId="0"/>
    <xf numFmtId="0" fontId="72" fillId="0" borderId="0"/>
    <xf numFmtId="0" fontId="81" fillId="7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02" fillId="0" borderId="0"/>
    <xf numFmtId="0" fontId="1" fillId="0" borderId="0"/>
    <xf numFmtId="0" fontId="0" fillId="0" borderId="0">
      <alignment vertical="center"/>
    </xf>
    <xf numFmtId="0" fontId="68" fillId="2" borderId="0" applyNumberFormat="0" applyBorder="0" applyAlignment="0" applyProtection="0">
      <alignment vertical="center"/>
    </xf>
    <xf numFmtId="0" fontId="117" fillId="0" borderId="87" applyNumberFormat="0" applyFill="0" applyAlignment="0" applyProtection="0">
      <alignment vertical="center"/>
    </xf>
    <xf numFmtId="0" fontId="102" fillId="0" borderId="0"/>
    <xf numFmtId="0" fontId="81" fillId="7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2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2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2" fillId="0" borderId="0"/>
    <xf numFmtId="0" fontId="107" fillId="0" borderId="86" applyNumberFormat="0" applyFill="0" applyAlignment="0" applyProtection="0">
      <alignment vertical="center"/>
    </xf>
    <xf numFmtId="0" fontId="102" fillId="0" borderId="0"/>
    <xf numFmtId="0" fontId="95" fillId="68" borderId="0" applyNumberFormat="0" applyBorder="0" applyAlignment="0" applyProtection="0"/>
    <xf numFmtId="0" fontId="61" fillId="30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95" fillId="68" borderId="0" applyNumberFormat="0" applyBorder="0" applyAlignment="0" applyProtection="0"/>
    <xf numFmtId="0" fontId="75" fillId="74" borderId="0" applyNumberFormat="0" applyBorder="0" applyAlignment="0" applyProtection="0"/>
    <xf numFmtId="0" fontId="26" fillId="0" borderId="0"/>
    <xf numFmtId="0" fontId="81" fillId="64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26" fillId="0" borderId="0"/>
    <xf numFmtId="0" fontId="81" fillId="32" borderId="0" applyNumberFormat="0" applyBorder="0" applyAlignment="0" applyProtection="0">
      <alignment vertical="center"/>
    </xf>
    <xf numFmtId="0" fontId="118" fillId="75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26" fillId="0" borderId="0"/>
    <xf numFmtId="0" fontId="68" fillId="2" borderId="0" applyNumberFormat="0" applyBorder="0" applyAlignment="0" applyProtection="0">
      <alignment vertical="center"/>
    </xf>
    <xf numFmtId="0" fontId="26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78" fillId="76" borderId="0" applyNumberFormat="0" applyBorder="0" applyAlignment="0" applyProtection="0"/>
    <xf numFmtId="0" fontId="26" fillId="0" borderId="0"/>
    <xf numFmtId="0" fontId="81" fillId="33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" fillId="0" borderId="0"/>
    <xf numFmtId="0" fontId="26" fillId="0" borderId="0"/>
    <xf numFmtId="0" fontId="95" fillId="12" borderId="0" applyNumberFormat="0" applyBorder="0" applyAlignment="0" applyProtection="0"/>
    <xf numFmtId="0" fontId="26" fillId="0" borderId="0"/>
    <xf numFmtId="0" fontId="69" fillId="12" borderId="0" applyNumberFormat="0" applyBorder="0" applyAlignment="0" applyProtection="0">
      <alignment vertical="center"/>
    </xf>
    <xf numFmtId="0" fontId="26" fillId="0" borderId="0"/>
    <xf numFmtId="0" fontId="72" fillId="0" borderId="0"/>
    <xf numFmtId="0" fontId="69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02" fillId="0" borderId="0"/>
    <xf numFmtId="0" fontId="26" fillId="0" borderId="0"/>
    <xf numFmtId="0" fontId="81" fillId="45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2" fillId="0" borderId="0"/>
    <xf numFmtId="0" fontId="69" fillId="12" borderId="0" applyNumberFormat="0" applyBorder="0" applyAlignment="0" applyProtection="0">
      <alignment vertical="center"/>
    </xf>
    <xf numFmtId="0" fontId="72" fillId="0" borderId="0"/>
    <xf numFmtId="0" fontId="75" fillId="77" borderId="0" applyNumberFormat="0" applyBorder="0" applyAlignment="0" applyProtection="0"/>
    <xf numFmtId="0" fontId="0" fillId="0" borderId="0"/>
    <xf numFmtId="0" fontId="102" fillId="0" borderId="0"/>
    <xf numFmtId="0" fontId="72" fillId="0" borderId="0"/>
    <xf numFmtId="0" fontId="61" fillId="4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119" fillId="2" borderId="0" applyNumberFormat="0" applyBorder="0" applyAlignment="0" applyProtection="0">
      <alignment vertical="center"/>
    </xf>
    <xf numFmtId="0" fontId="72" fillId="0" borderId="0"/>
    <xf numFmtId="0" fontId="102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8" fillId="78" borderId="0" applyNumberFormat="0" applyBorder="0" applyAlignment="0" applyProtection="0"/>
    <xf numFmtId="0" fontId="72" fillId="0" borderId="0"/>
    <xf numFmtId="0" fontId="68" fillId="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9" fontId="0" fillId="0" borderId="0" applyFont="0" applyFill="0" applyBorder="0" applyAlignment="0" applyProtection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/>
    <xf numFmtId="0" fontId="69" fillId="12" borderId="0" applyNumberFormat="0" applyBorder="0" applyAlignment="0" applyProtection="0">
      <alignment vertical="center"/>
    </xf>
    <xf numFmtId="0" fontId="72" fillId="0" borderId="0"/>
    <xf numFmtId="37" fontId="120" fillId="0" borderId="0"/>
    <xf numFmtId="0" fontId="6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72" fillId="0" borderId="0"/>
    <xf numFmtId="0" fontId="72" fillId="0" borderId="0"/>
    <xf numFmtId="0" fontId="69" fillId="12" borderId="0" applyNumberFormat="0" applyBorder="0" applyAlignment="0" applyProtection="0">
      <alignment vertical="center"/>
    </xf>
    <xf numFmtId="0" fontId="72" fillId="0" borderId="0"/>
    <xf numFmtId="0" fontId="61" fillId="3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2" fillId="0" borderId="0"/>
    <xf numFmtId="0" fontId="81" fillId="3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4" fillId="72" borderId="0" applyNumberFormat="0" applyBorder="0" applyAlignment="0" applyProtection="0">
      <alignment vertical="center"/>
    </xf>
    <xf numFmtId="0" fontId="72" fillId="0" borderId="0"/>
    <xf numFmtId="0" fontId="118" fillId="79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104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0" borderId="0"/>
    <xf numFmtId="0" fontId="26" fillId="0" borderId="0"/>
    <xf numFmtId="0" fontId="72" fillId="0" borderId="0"/>
    <xf numFmtId="0" fontId="26" fillId="0" borderId="0"/>
    <xf numFmtId="0" fontId="69" fillId="12" borderId="0" applyNumberFormat="0" applyBorder="0" applyAlignment="0" applyProtection="0">
      <alignment vertical="center"/>
    </xf>
    <xf numFmtId="0" fontId="26" fillId="0" borderId="0"/>
    <xf numFmtId="0" fontId="102" fillId="0" borderId="0"/>
    <xf numFmtId="0" fontId="68" fillId="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4" fillId="74" borderId="0" applyNumberFormat="0" applyBorder="0" applyAlignment="0" applyProtection="0"/>
    <xf numFmtId="0" fontId="72" fillId="0" borderId="0"/>
    <xf numFmtId="0" fontId="117" fillId="0" borderId="8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04" fillId="2" borderId="0" applyNumberFormat="0" applyBorder="0" applyAlignment="0" applyProtection="0">
      <alignment vertical="center"/>
    </xf>
    <xf numFmtId="0" fontId="72" fillId="0" borderId="0"/>
    <xf numFmtId="0" fontId="26" fillId="0" borderId="0"/>
    <xf numFmtId="0" fontId="116" fillId="0" borderId="0"/>
    <xf numFmtId="0" fontId="26" fillId="0" borderId="0"/>
    <xf numFmtId="0" fontId="69" fillId="12" borderId="0" applyNumberFormat="0" applyBorder="0" applyAlignment="0" applyProtection="0">
      <alignment vertical="center"/>
    </xf>
    <xf numFmtId="0" fontId="26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26" fillId="0" borderId="0"/>
    <xf numFmtId="0" fontId="69" fillId="12" borderId="0" applyNumberFormat="0" applyBorder="0" applyAlignment="0" applyProtection="0">
      <alignment vertical="center"/>
    </xf>
    <xf numFmtId="0" fontId="102" fillId="0" borderId="0"/>
    <xf numFmtId="0" fontId="69" fillId="12" borderId="0" applyNumberFormat="0" applyBorder="0" applyAlignment="0" applyProtection="0">
      <alignment vertical="center"/>
    </xf>
    <xf numFmtId="0" fontId="72" fillId="0" borderId="0"/>
    <xf numFmtId="0" fontId="61" fillId="29" borderId="0" applyNumberFormat="0" applyBorder="0" applyAlignment="0" applyProtection="0">
      <alignment vertical="center"/>
    </xf>
    <xf numFmtId="0" fontId="121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26" fillId="0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64" borderId="0" applyNumberFormat="0" applyBorder="0" applyAlignment="0" applyProtection="0">
      <alignment vertical="center"/>
    </xf>
    <xf numFmtId="0" fontId="72" fillId="0" borderId="0"/>
    <xf numFmtId="0" fontId="81" fillId="80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72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0" borderId="0"/>
    <xf numFmtId="0" fontId="68" fillId="2" borderId="0" applyNumberFormat="0" applyBorder="0" applyAlignment="0" applyProtection="0">
      <alignment vertical="center"/>
    </xf>
    <xf numFmtId="0" fontId="72" fillId="0" borderId="0"/>
    <xf numFmtId="0" fontId="81" fillId="33" borderId="0" applyNumberFormat="0" applyBorder="0" applyAlignment="0" applyProtection="0">
      <alignment vertical="center"/>
    </xf>
    <xf numFmtId="0" fontId="26" fillId="0" borderId="0"/>
    <xf numFmtId="0" fontId="69" fillId="12" borderId="0" applyNumberFormat="0" applyBorder="0" applyAlignment="0" applyProtection="0">
      <alignment vertical="center"/>
    </xf>
    <xf numFmtId="0" fontId="61" fillId="63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0" fillId="0" borderId="0"/>
    <xf numFmtId="0" fontId="114" fillId="73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114" fillId="80" borderId="0" applyNumberFormat="0" applyBorder="0" applyAlignment="0" applyProtection="0">
      <alignment vertical="center"/>
    </xf>
    <xf numFmtId="0" fontId="1" fillId="0" borderId="0"/>
    <xf numFmtId="0" fontId="68" fillId="2" borderId="0" applyNumberFormat="0" applyBorder="0" applyAlignment="0" applyProtection="0">
      <alignment vertical="center"/>
    </xf>
    <xf numFmtId="0" fontId="1" fillId="0" borderId="0"/>
    <xf numFmtId="0" fontId="69" fillId="45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61" fillId="30" borderId="0" applyNumberFormat="0" applyBorder="0" applyAlignment="0" applyProtection="0">
      <alignment vertical="center"/>
    </xf>
    <xf numFmtId="0" fontId="72" fillId="0" borderId="0"/>
    <xf numFmtId="0" fontId="68" fillId="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72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26" fillId="0" borderId="0"/>
    <xf numFmtId="0" fontId="69" fillId="12" borderId="0" applyNumberFormat="0" applyBorder="0" applyAlignment="0" applyProtection="0">
      <alignment vertical="center"/>
    </xf>
    <xf numFmtId="15" fontId="93" fillId="0" borderId="0" applyFont="0" applyFill="0" applyBorder="0" applyAlignment="0" applyProtection="0"/>
    <xf numFmtId="0" fontId="102" fillId="0" borderId="0"/>
    <xf numFmtId="0" fontId="69" fillId="1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07" fillId="0" borderId="86" applyNumberFormat="0" applyFill="0" applyAlignment="0" applyProtection="0">
      <alignment vertical="center"/>
    </xf>
    <xf numFmtId="0" fontId="72" fillId="0" borderId="0"/>
    <xf numFmtId="0" fontId="69" fillId="12" borderId="0" applyNumberFormat="0" applyBorder="0" applyAlignment="0" applyProtection="0">
      <alignment vertical="center"/>
    </xf>
    <xf numFmtId="0" fontId="0" fillId="0" borderId="0"/>
    <xf numFmtId="0" fontId="122" fillId="0" borderId="0" applyNumberFormat="0" applyFill="0" applyBorder="0" applyAlignment="0" applyProtection="0">
      <alignment vertical="center"/>
    </xf>
    <xf numFmtId="0" fontId="0" fillId="0" borderId="0"/>
    <xf numFmtId="0" fontId="72" fillId="0" borderId="0"/>
    <xf numFmtId="0" fontId="72" fillId="0" borderId="0"/>
    <xf numFmtId="0" fontId="61" fillId="43" borderId="0" applyNumberFormat="0" applyBorder="0" applyAlignment="0" applyProtection="0">
      <alignment vertical="center"/>
    </xf>
    <xf numFmtId="0" fontId="0" fillId="0" borderId="0"/>
    <xf numFmtId="0" fontId="96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38" fontId="109" fillId="45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0" fillId="0" borderId="0"/>
    <xf numFmtId="0" fontId="75" fillId="77" borderId="0" applyNumberFormat="0" applyBorder="0" applyAlignment="0" applyProtection="0"/>
    <xf numFmtId="0" fontId="61" fillId="65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6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6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6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6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63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63" borderId="0" applyNumberFormat="0" applyBorder="0" applyAlignment="0" applyProtection="0">
      <alignment vertical="center"/>
    </xf>
    <xf numFmtId="0" fontId="61" fillId="63" borderId="0" applyNumberFormat="0" applyBorder="0" applyAlignment="0" applyProtection="0">
      <alignment vertical="center"/>
    </xf>
    <xf numFmtId="0" fontId="78" fillId="8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95" fillId="68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0" fontId="123" fillId="0" borderId="66" applyFont="0">
      <alignment horizontal="left" vertical="center" wrapText="1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187" fontId="1" fillId="0" borderId="0" applyFont="0" applyFill="0" applyBorder="0" applyAlignment="0" applyProtection="0"/>
    <xf numFmtId="0" fontId="72" fillId="0" borderId="0"/>
    <xf numFmtId="0" fontId="61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4" fillId="0" borderId="89" applyNumberFormat="0" applyFill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/>
    <xf numFmtId="0" fontId="61" fillId="65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0" fillId="0" borderId="0"/>
    <xf numFmtId="0" fontId="61" fillId="2" borderId="0" applyNumberFormat="0" applyBorder="0" applyAlignment="0" applyProtection="0">
      <alignment vertical="center"/>
    </xf>
    <xf numFmtId="0" fontId="0" fillId="0" borderId="0"/>
    <xf numFmtId="0" fontId="81" fillId="5" borderId="0" applyNumberFormat="0" applyBorder="0" applyAlignment="0" applyProtection="0">
      <alignment vertical="center"/>
    </xf>
    <xf numFmtId="0" fontId="81" fillId="64" borderId="0" applyNumberFormat="0" applyBorder="0" applyAlignment="0" applyProtection="0">
      <alignment vertical="center"/>
    </xf>
    <xf numFmtId="0" fontId="0" fillId="0" borderId="0"/>
    <xf numFmtId="0" fontId="61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64" borderId="0" applyNumberFormat="0" applyBorder="0" applyAlignment="0" applyProtection="0">
      <alignment vertical="center"/>
    </xf>
    <xf numFmtId="0" fontId="0" fillId="0" borderId="0"/>
    <xf numFmtId="0" fontId="61" fillId="2" borderId="0" applyNumberFormat="0" applyBorder="0" applyAlignment="0" applyProtection="0">
      <alignment vertical="center"/>
    </xf>
    <xf numFmtId="0" fontId="81" fillId="64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64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0" fillId="0" borderId="0"/>
    <xf numFmtId="0" fontId="125" fillId="12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8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0" fillId="0" borderId="0"/>
    <xf numFmtId="0" fontId="81" fillId="66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71" fillId="0" borderId="72" applyNumberFormat="0" applyFill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104" fillId="2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81" fillId="6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21" fillId="12" borderId="0" applyNumberFormat="0" applyBorder="0" applyAlignment="0" applyProtection="0">
      <alignment vertical="center"/>
    </xf>
    <xf numFmtId="0" fontId="0" fillId="0" borderId="0"/>
    <xf numFmtId="0" fontId="81" fillId="6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78" fillId="72" borderId="0" applyNumberFormat="0" applyBorder="0" applyAlignment="0" applyProtection="0"/>
    <xf numFmtId="0" fontId="61" fillId="29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190" fontId="1" fillId="0" borderId="0"/>
    <xf numFmtId="0" fontId="69" fillId="12" borderId="0" applyNumberFormat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14" fillId="7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1" fillId="42" borderId="0" applyNumberFormat="0" applyBorder="0" applyAlignment="0" applyProtection="0">
      <alignment vertical="center"/>
    </xf>
    <xf numFmtId="0" fontId="0" fillId="0" borderId="0"/>
    <xf numFmtId="0" fontId="114" fillId="78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/>
    <xf numFmtId="0" fontId="61" fillId="4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4" fillId="7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42" fillId="0" borderId="0"/>
    <xf numFmtId="0" fontId="61" fillId="42" borderId="0" applyNumberFormat="0" applyBorder="0" applyAlignment="0" applyProtection="0">
      <alignment vertical="center"/>
    </xf>
    <xf numFmtId="0" fontId="81" fillId="64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5" fillId="67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102" fillId="0" borderId="0">
      <protection locked="0"/>
    </xf>
    <xf numFmtId="0" fontId="61" fillId="3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0" fillId="41" borderId="79" applyNumberFormat="0" applyFont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0" fillId="41" borderId="79" applyNumberFormat="0" applyFont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127" fillId="0" borderId="58" applyNumberFormat="0" applyFill="0" applyProtection="0">
      <alignment horizont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4" fillId="29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3" fontId="93" fillId="0" borderId="0" applyFont="0" applyFill="0" applyBorder="0" applyAlignment="0" applyProtection="0"/>
    <xf numFmtId="0" fontId="114" fillId="45" borderId="0" applyNumberFormat="0" applyBorder="0" applyAlignment="0" applyProtection="0">
      <alignment vertical="center"/>
    </xf>
    <xf numFmtId="14" fontId="74" fillId="0" borderId="0">
      <alignment horizontal="center" wrapText="1"/>
      <protection locked="0"/>
    </xf>
    <xf numFmtId="0" fontId="81" fillId="33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4" fillId="72" borderId="0" applyNumberFormat="0" applyBorder="0" applyAlignment="0" applyProtection="0">
      <alignment vertical="center"/>
    </xf>
    <xf numFmtId="0" fontId="128" fillId="82" borderId="62">
      <protection locked="0"/>
    </xf>
    <xf numFmtId="0" fontId="81" fillId="66" borderId="0" applyNumberFormat="0" applyBorder="0" applyAlignment="0" applyProtection="0">
      <alignment vertical="center"/>
    </xf>
    <xf numFmtId="0" fontId="114" fillId="9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0" fillId="0" borderId="0"/>
    <xf numFmtId="0" fontId="75" fillId="67" borderId="0" applyNumberFormat="0" applyBorder="0" applyAlignment="0" applyProtection="0"/>
    <xf numFmtId="0" fontId="81" fillId="29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5" fillId="81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197" fontId="42" fillId="0" borderId="0"/>
    <xf numFmtId="0" fontId="81" fillId="33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95" fillId="68" borderId="0" applyNumberFormat="0" applyBorder="0" applyAlignment="0" applyProtection="0"/>
    <xf numFmtId="0" fontId="75" fillId="77" borderId="0" applyNumberFormat="0" applyBorder="0" applyAlignment="0" applyProtection="0"/>
    <xf numFmtId="0" fontId="1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8" fillId="78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75" fillId="77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75" fillId="23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78" fillId="23" borderId="0" applyNumberFormat="0" applyBorder="0" applyAlignment="0" applyProtection="0"/>
    <xf numFmtId="181" fontId="1" fillId="0" borderId="0" applyFont="0" applyFill="0" applyBorder="0" applyAlignment="0" applyProtection="0"/>
    <xf numFmtId="0" fontId="78" fillId="69" borderId="0" applyNumberFormat="0" applyBorder="0" applyAlignment="0" applyProtection="0"/>
    <xf numFmtId="0" fontId="102" fillId="0" borderId="0"/>
    <xf numFmtId="0" fontId="78" fillId="33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1" fillId="0" borderId="0">
      <alignment vertical="center"/>
    </xf>
    <xf numFmtId="0" fontId="69" fillId="12" borderId="0" applyNumberFormat="0" applyBorder="0" applyAlignment="0" applyProtection="0">
      <alignment vertical="center"/>
    </xf>
    <xf numFmtId="0" fontId="103" fillId="0" borderId="7">
      <alignment horizontal="center"/>
    </xf>
    <xf numFmtId="0" fontId="112" fillId="65" borderId="77" applyNumberFormat="0" applyAlignment="0" applyProtection="0">
      <alignment vertical="center"/>
    </xf>
    <xf numFmtId="0" fontId="0" fillId="0" borderId="0">
      <alignment vertical="center"/>
    </xf>
    <xf numFmtId="38" fontId="93" fillId="0" borderId="0" applyFont="0" applyFill="0" applyBorder="0" applyAlignment="0" applyProtection="0"/>
    <xf numFmtId="179" fontId="42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15" fontId="93" fillId="0" borderId="0"/>
    <xf numFmtId="0" fontId="0" fillId="0" borderId="0"/>
    <xf numFmtId="189" fontId="42" fillId="0" borderId="0"/>
    <xf numFmtId="0" fontId="69" fillId="12" borderId="0" applyNumberFormat="0" applyBorder="0" applyAlignment="0" applyProtection="0">
      <alignment vertical="center"/>
    </xf>
    <xf numFmtId="199" fontId="0" fillId="0" borderId="0" applyFon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129" fillId="0" borderId="90" applyNumberFormat="0" applyAlignment="0" applyProtection="0">
      <alignment horizontal="left" vertical="center"/>
    </xf>
    <xf numFmtId="0" fontId="129" fillId="0" borderId="17">
      <alignment horizontal="left" vertical="center"/>
    </xf>
    <xf numFmtId="0" fontId="0" fillId="0" borderId="0"/>
    <xf numFmtId="195" fontId="130" fillId="83" borderId="0"/>
    <xf numFmtId="0" fontId="68" fillId="2" borderId="0" applyNumberFormat="0" applyBorder="0" applyAlignment="0" applyProtection="0">
      <alignment vertical="center"/>
    </xf>
    <xf numFmtId="0" fontId="90" fillId="9" borderId="77" applyNumberFormat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195" fontId="131" fillId="84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38" fontId="93" fillId="0" borderId="0" applyFont="0" applyFill="0" applyBorder="0" applyAlignment="0" applyProtection="0"/>
    <xf numFmtId="0" fontId="0" fillId="0" borderId="0"/>
    <xf numFmtId="40" fontId="93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184" fontId="93" fillId="0" borderId="0" applyFont="0" applyFill="0" applyBorder="0" applyAlignment="0" applyProtection="0"/>
    <xf numFmtId="0" fontId="68" fillId="2" borderId="0" applyNumberFormat="0" applyBorder="0" applyAlignment="0" applyProtection="0">
      <alignment vertical="center"/>
    </xf>
    <xf numFmtId="194" fontId="93" fillId="0" borderId="0" applyFont="0" applyFill="0" applyBorder="0" applyAlignment="0" applyProtection="0"/>
    <xf numFmtId="0" fontId="102" fillId="0" borderId="0"/>
    <xf numFmtId="0" fontId="1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" fillId="41" borderId="79" applyNumberFormat="0" applyFont="0" applyAlignment="0" applyProtection="0">
      <alignment vertical="center"/>
    </xf>
    <xf numFmtId="0" fontId="0" fillId="0" borderId="0"/>
    <xf numFmtId="0" fontId="132" fillId="65" borderId="91" applyNumberFormat="0" applyAlignment="0" applyProtection="0">
      <alignment vertical="center"/>
    </xf>
    <xf numFmtId="10" fontId="1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0" fillId="0" borderId="0"/>
    <xf numFmtId="9" fontId="102" fillId="0" borderId="0" applyFont="0" applyFill="0" applyBorder="0" applyAlignment="0" applyProtection="0"/>
    <xf numFmtId="4" fontId="93" fillId="0" borderId="0" applyFont="0" applyFill="0" applyBorder="0" applyAlignment="0" applyProtection="0"/>
    <xf numFmtId="0" fontId="128" fillId="82" borderId="62">
      <protection locked="0"/>
    </xf>
    <xf numFmtId="0" fontId="133" fillId="0" borderId="0"/>
    <xf numFmtId="0" fontId="0" fillId="0" borderId="0"/>
    <xf numFmtId="0" fontId="128" fillId="82" borderId="62">
      <protection locked="0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134" fillId="0" borderId="0" applyNumberFormat="0" applyFill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71" fillId="0" borderId="92" applyNumberFormat="0" applyFill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7" fillId="0" borderId="87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" fillId="0" borderId="45" applyNumberFormat="0" applyFill="0" applyProtection="0">
      <alignment horizontal="right"/>
    </xf>
    <xf numFmtId="0" fontId="117" fillId="0" borderId="87" applyNumberFormat="0" applyFill="0" applyAlignment="0" applyProtection="0">
      <alignment vertical="center"/>
    </xf>
    <xf numFmtId="0" fontId="117" fillId="0" borderId="87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7" fillId="0" borderId="87" applyNumberFormat="0" applyFill="0" applyAlignment="0" applyProtection="0">
      <alignment vertical="center"/>
    </xf>
    <xf numFmtId="0" fontId="121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7" fillId="0" borderId="87" applyNumberFormat="0" applyFill="0" applyAlignment="0" applyProtection="0">
      <alignment vertical="center"/>
    </xf>
    <xf numFmtId="0" fontId="117" fillId="0" borderId="87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7" fillId="0" borderId="87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135" fillId="0" borderId="89" applyNumberFormat="0" applyFill="0" applyAlignment="0" applyProtection="0">
      <alignment vertical="center"/>
    </xf>
    <xf numFmtId="0" fontId="135" fillId="0" borderId="93" applyNumberFormat="0" applyFill="0" applyAlignment="0" applyProtection="0">
      <alignment vertical="center"/>
    </xf>
    <xf numFmtId="0" fontId="135" fillId="0" borderId="89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35" fillId="0" borderId="89" applyNumberFormat="0" applyFill="0" applyAlignment="0" applyProtection="0">
      <alignment vertical="center"/>
    </xf>
    <xf numFmtId="0" fontId="135" fillId="0" borderId="89" applyNumberFormat="0" applyFill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135" fillId="0" borderId="89" applyNumberFormat="0" applyFill="0" applyAlignment="0" applyProtection="0">
      <alignment vertical="center"/>
    </xf>
    <xf numFmtId="0" fontId="135" fillId="0" borderId="89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35" fillId="0" borderId="89" applyNumberFormat="0" applyFill="0" applyAlignment="0" applyProtection="0">
      <alignment vertical="center"/>
    </xf>
    <xf numFmtId="0" fontId="135" fillId="0" borderId="89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7" fillId="0" borderId="86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7" fillId="0" borderId="94" applyNumberFormat="0" applyFill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107" fillId="0" borderId="86" applyNumberFormat="0" applyFill="0" applyAlignment="0" applyProtection="0">
      <alignment vertical="center"/>
    </xf>
    <xf numFmtId="0" fontId="107" fillId="0" borderId="86" applyNumberFormat="0" applyFill="0" applyAlignment="0" applyProtection="0">
      <alignment vertical="center"/>
    </xf>
    <xf numFmtId="0" fontId="107" fillId="0" borderId="86" applyNumberFormat="0" applyFill="0" applyAlignment="0" applyProtection="0">
      <alignment vertical="center"/>
    </xf>
    <xf numFmtId="0" fontId="107" fillId="0" borderId="86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0" fillId="0" borderId="0"/>
    <xf numFmtId="0" fontId="107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0" fillId="0" borderId="0"/>
    <xf numFmtId="0" fontId="136" fillId="0" borderId="45" applyNumberFormat="0" applyFill="0" applyProtection="0">
      <alignment horizontal="center"/>
    </xf>
    <xf numFmtId="0" fontId="123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115" fillId="0" borderId="0" applyNumberFormat="0" applyFill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32" fillId="45" borderId="91" applyNumberFormat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96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6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1" fillId="0" borderId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8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1" fillId="0" borderId="95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8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68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95" fillId="68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95" fillId="12" borderId="0" applyNumberFormat="0" applyBorder="0" applyAlignment="0" applyProtection="0"/>
    <xf numFmtId="0" fontId="115" fillId="0" borderId="0" applyNumberFormat="0" applyFill="0" applyBorder="0" applyAlignment="0" applyProtection="0">
      <alignment vertical="center"/>
    </xf>
    <xf numFmtId="0" fontId="95" fillId="68" borderId="0" applyNumberFormat="0" applyBorder="0" applyAlignment="0" applyProtection="0"/>
    <xf numFmtId="0" fontId="95" fillId="68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69" fillId="12" borderId="0" applyProtection="0"/>
    <xf numFmtId="43" fontId="0" fillId="0" borderId="0" applyFont="0" applyFill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5" fillId="0" borderId="83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5" fillId="12" borderId="0" applyNumberFormat="0" applyBorder="0" applyAlignment="0" applyProtection="0"/>
    <xf numFmtId="0" fontId="95" fillId="68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95" fillId="68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95" fillId="12" borderId="0" applyNumberFormat="0" applyBorder="0" applyAlignment="0" applyProtection="0"/>
    <xf numFmtId="0" fontId="0" fillId="0" borderId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137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0" borderId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4" fillId="74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7" fillId="0" borderId="58" applyNumberFormat="0" applyFill="0" applyProtection="0">
      <alignment horizontal="left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1" fillId="0" borderId="72" applyNumberFormat="0" applyFill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1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73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6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4" fillId="2" borderId="0" applyNumberFormat="0" applyBorder="0" applyAlignment="0" applyProtection="0"/>
    <xf numFmtId="0" fontId="0" fillId="0" borderId="0"/>
    <xf numFmtId="0" fontId="6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21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6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81" fillId="73" borderId="0" applyNumberFormat="0" applyBorder="0" applyAlignment="0" applyProtection="0">
      <alignment vertical="center"/>
    </xf>
    <xf numFmtId="0" fontId="1" fillId="0" borderId="0"/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4" fillId="74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1" fillId="12" borderId="0" applyNumberFormat="0" applyBorder="0" applyAlignment="0" applyProtection="0">
      <alignment vertical="center"/>
    </xf>
    <xf numFmtId="0" fontId="121" fillId="12" borderId="0" applyNumberFormat="0" applyBorder="0" applyAlignment="0" applyProtection="0">
      <alignment vertical="center"/>
    </xf>
    <xf numFmtId="0" fontId="121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71" fillId="0" borderId="72" applyNumberFormat="0" applyFill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12" fillId="45" borderId="77" applyNumberFormat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1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1" fillId="0" borderId="0">
      <alignment vertical="center"/>
    </xf>
    <xf numFmtId="0" fontId="126" fillId="3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69" fillId="12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6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1" fillId="7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4" fillId="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81" fillId="8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81" fillId="73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9" fillId="0" borderId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8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1" fillId="7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1" fillId="0" borderId="72" applyNumberFormat="0" applyFill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1" fillId="0" borderId="72" applyNumberFormat="0" applyFill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6" fillId="34" borderId="84" applyNumberFormat="0" applyAlignment="0" applyProtection="0">
      <alignment vertical="center"/>
    </xf>
    <xf numFmtId="0" fontId="0" fillId="0" borderId="0"/>
    <xf numFmtId="0" fontId="106" fillId="34" borderId="84" applyNumberFormat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0" fillId="9" borderId="77" applyNumberFormat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0" fillId="9" borderId="7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7" fillId="0" borderId="0"/>
    <xf numFmtId="0" fontId="0" fillId="0" borderId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41" borderId="7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1" fillId="0" borderId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1" fillId="0" borderId="0">
      <alignment vertical="center"/>
    </xf>
    <xf numFmtId="0" fontId="61" fillId="0" borderId="0">
      <alignment vertical="center"/>
    </xf>
    <xf numFmtId="0" fontId="68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67" fillId="0" borderId="0">
      <alignment vertical="center"/>
    </xf>
    <xf numFmtId="0" fontId="61" fillId="0" borderId="0">
      <alignment vertical="center"/>
    </xf>
    <xf numFmtId="0" fontId="67" fillId="0" borderId="0">
      <alignment vertical="center"/>
    </xf>
    <xf numFmtId="0" fontId="26" fillId="0" borderId="0"/>
    <xf numFmtId="0" fontId="67" fillId="0" borderId="0"/>
    <xf numFmtId="0" fontId="0" fillId="0" borderId="0"/>
    <xf numFmtId="0" fontId="6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7" fillId="0" borderId="0">
      <alignment vertical="center"/>
    </xf>
    <xf numFmtId="0" fontId="6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4" fillId="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5" fillId="0" borderId="83" applyNumberFormat="0" applyFill="0" applyAlignment="0" applyProtection="0">
      <alignment vertical="center"/>
    </xf>
    <xf numFmtId="0" fontId="0" fillId="0" borderId="0"/>
    <xf numFmtId="0" fontId="105" fillId="0" borderId="83" applyNumberFormat="0" applyFill="0" applyAlignment="0" applyProtection="0">
      <alignment vertical="center"/>
    </xf>
    <xf numFmtId="0" fontId="0" fillId="0" borderId="0"/>
    <xf numFmtId="0" fontId="105" fillId="0" borderId="8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41" borderId="79" applyNumberFormat="0" applyFont="0" applyAlignment="0" applyProtection="0">
      <alignment vertical="center"/>
    </xf>
    <xf numFmtId="0" fontId="0" fillId="0" borderId="0"/>
    <xf numFmtId="0" fontId="0" fillId="41" borderId="79" applyNumberFormat="0" applyFont="0" applyAlignment="0" applyProtection="0">
      <alignment vertical="center"/>
    </xf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8" fillId="2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99" fillId="0" borderId="0">
      <alignment horizontal="left" vertical="center"/>
    </xf>
    <xf numFmtId="0" fontId="140" fillId="0" borderId="0" applyNumberFormat="0" applyFill="0" applyBorder="0" applyAlignment="0" applyProtection="0"/>
    <xf numFmtId="3" fontId="141" fillId="0" borderId="0" applyNumberFormat="0" applyFill="0" applyBorder="0" applyAlignment="0" applyProtection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71" fillId="0" borderId="72" applyNumberFormat="0" applyFill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9" fillId="2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8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72" fillId="0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61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4" fillId="74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/>
    <xf numFmtId="0" fontId="104" fillId="74" borderId="0" applyNumberFormat="0" applyBorder="0" applyAlignment="0" applyProtection="0"/>
    <xf numFmtId="0" fontId="104" fillId="2" borderId="0" applyNumberFormat="0" applyBorder="0" applyAlignment="0" applyProtection="0"/>
    <xf numFmtId="0" fontId="104" fillId="74" borderId="0" applyNumberFormat="0" applyBorder="0" applyAlignment="0" applyProtection="0"/>
    <xf numFmtId="0" fontId="104" fillId="2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/>
    <xf numFmtId="0" fontId="104" fillId="2" borderId="0" applyNumberFormat="0" applyBorder="0" applyAlignment="0" applyProtection="0"/>
    <xf numFmtId="0" fontId="106" fillId="34" borderId="84" applyNumberFormat="0" applyAlignment="0" applyProtection="0">
      <alignment vertical="center"/>
    </xf>
    <xf numFmtId="0" fontId="104" fillId="2" borderId="0" applyNumberFormat="0" applyBorder="0" applyAlignment="0" applyProtection="0"/>
    <xf numFmtId="0" fontId="104" fillId="2" borderId="0" applyNumberFormat="0" applyBorder="0" applyAlignment="0" applyProtection="0"/>
    <xf numFmtId="0" fontId="104" fillId="2" borderId="0" applyNumberFormat="0" applyBorder="0" applyAlignment="0" applyProtection="0"/>
    <xf numFmtId="0" fontId="104" fillId="2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104" fillId="74" borderId="0" applyNumberFormat="0" applyBorder="0" applyAlignment="0" applyProtection="0"/>
    <xf numFmtId="0" fontId="104" fillId="74" borderId="0" applyNumberFormat="0" applyBorder="0" applyAlignment="0" applyProtection="0"/>
    <xf numFmtId="0" fontId="104" fillId="2" borderId="0" applyNumberFormat="0" applyBorder="0" applyAlignment="0" applyProtection="0"/>
    <xf numFmtId="0" fontId="104" fillId="74" borderId="0" applyNumberFormat="0" applyBorder="0" applyAlignment="0" applyProtection="0"/>
    <xf numFmtId="0" fontId="104" fillId="74" borderId="0" applyNumberFormat="0" applyBorder="0" applyAlignment="0" applyProtection="0"/>
    <xf numFmtId="0" fontId="104" fillId="2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/>
    <xf numFmtId="0" fontId="104" fillId="2" borderId="0" applyNumberFormat="0" applyBorder="0" applyAlignment="0" applyProtection="0"/>
    <xf numFmtId="0" fontId="104" fillId="2" borderId="0" applyNumberFormat="0" applyBorder="0" applyAlignment="0" applyProtection="0"/>
    <xf numFmtId="0" fontId="104" fillId="74" borderId="0" applyNumberFormat="0" applyBorder="0" applyAlignment="0" applyProtection="0"/>
    <xf numFmtId="0" fontId="104" fillId="2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7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4" fillId="74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/>
    <xf numFmtId="0" fontId="104" fillId="2" borderId="0" applyNumberFormat="0" applyBorder="0" applyAlignment="0" applyProtection="0"/>
    <xf numFmtId="0" fontId="104" fillId="2" borderId="0" applyNumberFormat="0" applyBorder="0" applyAlignment="0" applyProtection="0"/>
    <xf numFmtId="0" fontId="104" fillId="2" borderId="0" applyNumberFormat="0" applyBorder="0" applyAlignment="0" applyProtection="0"/>
    <xf numFmtId="0" fontId="82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6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" fillId="0" borderId="45" applyNumberFormat="0" applyFill="0" applyProtection="0">
      <alignment horizontal="left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32" fillId="45" borderId="91" applyNumberFormat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42" fillId="0" borderId="0">
      <alignment horizontal="center"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0" fillId="0" borderId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32" fillId="45" borderId="91" applyNumberFormat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2" fillId="45" borderId="77" applyNumberFormat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>
      <alignment vertical="center"/>
    </xf>
    <xf numFmtId="0" fontId="68" fillId="61" borderId="0" applyNumberFormat="0" applyBorder="0" applyAlignment="0" applyProtection="0">
      <alignment vertical="center"/>
    </xf>
    <xf numFmtId="0" fontId="104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>
      <alignment vertical="center"/>
    </xf>
    <xf numFmtId="0" fontId="104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2" fillId="45" borderId="77" applyNumberFormat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5" fillId="0" borderId="83" applyNumberFormat="0" applyFill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6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81" fillId="80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05" fillId="0" borderId="83" applyNumberFormat="0" applyFill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71" fillId="0" borderId="72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112" fillId="45" borderId="77" applyNumberFormat="0" applyAlignment="0" applyProtection="0">
      <alignment vertical="center"/>
    </xf>
    <xf numFmtId="0" fontId="112" fillId="45" borderId="77" applyNumberFormat="0" applyAlignment="0" applyProtection="0">
      <alignment vertical="center"/>
    </xf>
    <xf numFmtId="0" fontId="112" fillId="45" borderId="77" applyNumberFormat="0" applyAlignment="0" applyProtection="0">
      <alignment vertical="center"/>
    </xf>
    <xf numFmtId="0" fontId="112" fillId="45" borderId="77" applyNumberFormat="0" applyAlignment="0" applyProtection="0">
      <alignment vertical="center"/>
    </xf>
    <xf numFmtId="0" fontId="112" fillId="45" borderId="77" applyNumberFormat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106" fillId="34" borderId="84" applyNumberFormat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05" fillId="0" borderId="83" applyNumberFormat="0" applyFill="0" applyAlignment="0" applyProtection="0">
      <alignment vertical="center"/>
    </xf>
    <xf numFmtId="0" fontId="105" fillId="0" borderId="83" applyNumberFormat="0" applyFill="0" applyAlignment="0" applyProtection="0">
      <alignment vertical="center"/>
    </xf>
    <xf numFmtId="0" fontId="105" fillId="0" borderId="83" applyNumberFormat="0" applyFill="0" applyAlignment="0" applyProtection="0">
      <alignment vertical="center"/>
    </xf>
    <xf numFmtId="0" fontId="26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2" fillId="0" borderId="0"/>
    <xf numFmtId="41" fontId="137" fillId="0" borderId="0" applyFont="0" applyFill="0" applyBorder="0" applyAlignment="0" applyProtection="0"/>
    <xf numFmtId="0" fontId="118" fillId="86" borderId="0" applyNumberFormat="0" applyBorder="0" applyAlignment="0" applyProtection="0"/>
    <xf numFmtId="0" fontId="81" fillId="85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85" borderId="0" applyNumberFormat="0" applyBorder="0" applyAlignment="0" applyProtection="0">
      <alignment vertical="center"/>
    </xf>
    <xf numFmtId="0" fontId="81" fillId="85" borderId="0" applyNumberFormat="0" applyBorder="0" applyAlignment="0" applyProtection="0">
      <alignment vertical="center"/>
    </xf>
    <xf numFmtId="0" fontId="81" fillId="85" borderId="0" applyNumberFormat="0" applyBorder="0" applyAlignment="0" applyProtection="0">
      <alignment vertical="center"/>
    </xf>
    <xf numFmtId="0" fontId="81" fillId="85" borderId="0" applyNumberFormat="0" applyBorder="0" applyAlignment="0" applyProtection="0">
      <alignment vertical="center"/>
    </xf>
    <xf numFmtId="0" fontId="81" fillId="85" borderId="0" applyNumberFormat="0" applyBorder="0" applyAlignment="0" applyProtection="0">
      <alignment vertical="center"/>
    </xf>
    <xf numFmtId="0" fontId="81" fillId="80" borderId="0" applyNumberFormat="0" applyBorder="0" applyAlignment="0" applyProtection="0">
      <alignment vertical="center"/>
    </xf>
    <xf numFmtId="0" fontId="81" fillId="80" borderId="0" applyNumberFormat="0" applyBorder="0" applyAlignment="0" applyProtection="0">
      <alignment vertical="center"/>
    </xf>
    <xf numFmtId="0" fontId="81" fillId="80" borderId="0" applyNumberFormat="0" applyBorder="0" applyAlignment="0" applyProtection="0">
      <alignment vertical="center"/>
    </xf>
    <xf numFmtId="0" fontId="81" fillId="80" borderId="0" applyNumberFormat="0" applyBorder="0" applyAlignment="0" applyProtection="0">
      <alignment vertical="center"/>
    </xf>
    <xf numFmtId="0" fontId="81" fillId="73" borderId="0" applyNumberFormat="0" applyBorder="0" applyAlignment="0" applyProtection="0">
      <alignment vertical="center"/>
    </xf>
    <xf numFmtId="0" fontId="81" fillId="73" borderId="0" applyNumberFormat="0" applyBorder="0" applyAlignment="0" applyProtection="0">
      <alignment vertical="center"/>
    </xf>
    <xf numFmtId="0" fontId="81" fillId="73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81" fillId="66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81" fillId="78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81" fillId="72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62" borderId="0" applyNumberFormat="0" applyBorder="0" applyAlignment="0" applyProtection="0">
      <alignment vertical="center"/>
    </xf>
    <xf numFmtId="0" fontId="81" fillId="62" borderId="0" applyNumberFormat="0" applyBorder="0" applyAlignment="0" applyProtection="0">
      <alignment vertical="center"/>
    </xf>
    <xf numFmtId="0" fontId="81" fillId="62" borderId="0" applyNumberFormat="0" applyBorder="0" applyAlignment="0" applyProtection="0">
      <alignment vertical="center"/>
    </xf>
    <xf numFmtId="0" fontId="81" fillId="62" borderId="0" applyNumberFormat="0" applyBorder="0" applyAlignment="0" applyProtection="0">
      <alignment vertical="center"/>
    </xf>
    <xf numFmtId="0" fontId="81" fillId="62" borderId="0" applyNumberFormat="0" applyBorder="0" applyAlignment="0" applyProtection="0">
      <alignment vertical="center"/>
    </xf>
    <xf numFmtId="200" fontId="1" fillId="0" borderId="58" applyFill="0" applyProtection="0">
      <alignment horizontal="right"/>
    </xf>
    <xf numFmtId="0" fontId="126" fillId="3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132" fillId="45" borderId="91" applyNumberFormat="0" applyAlignment="0" applyProtection="0">
      <alignment vertical="center"/>
    </xf>
    <xf numFmtId="0" fontId="132" fillId="45" borderId="91" applyNumberFormat="0" applyAlignment="0" applyProtection="0">
      <alignment vertical="center"/>
    </xf>
    <xf numFmtId="0" fontId="132" fillId="45" borderId="91" applyNumberFormat="0" applyAlignment="0" applyProtection="0">
      <alignment vertical="center"/>
    </xf>
    <xf numFmtId="0" fontId="132" fillId="45" borderId="91" applyNumberFormat="0" applyAlignment="0" applyProtection="0">
      <alignment vertical="center"/>
    </xf>
    <xf numFmtId="0" fontId="132" fillId="45" borderId="91" applyNumberFormat="0" applyAlignment="0" applyProtection="0">
      <alignment vertical="center"/>
    </xf>
    <xf numFmtId="0" fontId="132" fillId="45" borderId="91" applyNumberFormat="0" applyAlignment="0" applyProtection="0">
      <alignment vertical="center"/>
    </xf>
    <xf numFmtId="0" fontId="90" fillId="9" borderId="77" applyNumberFormat="0" applyAlignment="0" applyProtection="0">
      <alignment vertical="center"/>
    </xf>
    <xf numFmtId="0" fontId="90" fillId="9" borderId="77" applyNumberFormat="0" applyAlignment="0" applyProtection="0">
      <alignment vertical="center"/>
    </xf>
    <xf numFmtId="0" fontId="90" fillId="9" borderId="77" applyNumberFormat="0" applyAlignment="0" applyProtection="0">
      <alignment vertical="center"/>
    </xf>
    <xf numFmtId="0" fontId="90" fillId="9" borderId="77" applyNumberFormat="0" applyAlignment="0" applyProtection="0">
      <alignment vertical="center"/>
    </xf>
    <xf numFmtId="0" fontId="90" fillId="9" borderId="77" applyNumberFormat="0" applyAlignment="0" applyProtection="0">
      <alignment vertical="center"/>
    </xf>
    <xf numFmtId="0" fontId="90" fillId="9" borderId="77" applyNumberFormat="0" applyAlignment="0" applyProtection="0">
      <alignment vertical="center"/>
    </xf>
    <xf numFmtId="1" fontId="1" fillId="0" borderId="58" applyFill="0" applyProtection="0">
      <alignment horizontal="center"/>
    </xf>
    <xf numFmtId="0" fontId="61" fillId="63" borderId="0" applyNumberFormat="0" applyBorder="0" applyAlignment="0" applyProtection="0">
      <alignment vertical="center"/>
    </xf>
    <xf numFmtId="0" fontId="26" fillId="0" borderId="0"/>
    <xf numFmtId="0" fontId="72" fillId="0" borderId="0"/>
    <xf numFmtId="0" fontId="26" fillId="0" borderId="0"/>
    <xf numFmtId="0" fontId="93" fillId="0" borderId="0"/>
    <xf numFmtId="43" fontId="1" fillId="0" borderId="0" applyFont="0" applyFill="0" applyBorder="0" applyAlignment="0" applyProtection="0"/>
    <xf numFmtId="0" fontId="0" fillId="41" borderId="79" applyNumberFormat="0" applyFont="0" applyAlignment="0" applyProtection="0">
      <alignment vertical="center"/>
    </xf>
    <xf numFmtId="0" fontId="0" fillId="41" borderId="79" applyNumberFormat="0" applyFont="0" applyAlignment="0" applyProtection="0">
      <alignment vertical="center"/>
    </xf>
    <xf numFmtId="0" fontId="0" fillId="41" borderId="79" applyNumberFormat="0" applyFont="0" applyAlignment="0" applyProtection="0">
      <alignment vertical="center"/>
    </xf>
    <xf numFmtId="0" fontId="0" fillId="41" borderId="79" applyNumberFormat="0" applyFont="0" applyAlignment="0" applyProtection="0">
      <alignment vertical="center"/>
    </xf>
    <xf numFmtId="0" fontId="0" fillId="41" borderId="79" applyNumberFormat="0" applyFont="0" applyAlignment="0" applyProtection="0">
      <alignment vertical="center"/>
    </xf>
    <xf numFmtId="0" fontId="0" fillId="41" borderId="79" applyNumberFormat="0" applyFont="0" applyAlignment="0" applyProtection="0">
      <alignment vertical="center"/>
    </xf>
    <xf numFmtId="0" fontId="0" fillId="41" borderId="79" applyNumberFormat="0" applyFont="0" applyAlignment="0" applyProtection="0">
      <alignment vertical="center"/>
    </xf>
  </cellStyleXfs>
  <cellXfs count="1005">
    <xf numFmtId="0" fontId="0" fillId="0" borderId="0" xfId="0"/>
    <xf numFmtId="0" fontId="1" fillId="0" borderId="0" xfId="947"/>
    <xf numFmtId="0" fontId="2" fillId="2" borderId="0" xfId="947" applyFont="1" applyFill="1"/>
    <xf numFmtId="0" fontId="1" fillId="2" borderId="0" xfId="947" applyFill="1"/>
    <xf numFmtId="0" fontId="1" fillId="3" borderId="1" xfId="947" applyFill="1" applyBorder="1"/>
    <xf numFmtId="0" fontId="3" fillId="4" borderId="2" xfId="947" applyFont="1" applyFill="1" applyBorder="1" applyAlignment="1">
      <alignment horizontal="center"/>
    </xf>
    <xf numFmtId="0" fontId="4" fillId="5" borderId="3" xfId="947" applyFont="1" applyFill="1" applyBorder="1" applyAlignment="1">
      <alignment horizontal="center"/>
    </xf>
    <xf numFmtId="0" fontId="3" fillId="4" borderId="3" xfId="947" applyFont="1" applyFill="1" applyBorder="1" applyAlignment="1">
      <alignment horizontal="center"/>
    </xf>
    <xf numFmtId="0" fontId="3" fillId="4" borderId="4" xfId="947" applyFont="1" applyFill="1" applyBorder="1" applyAlignment="1">
      <alignment horizontal="center"/>
    </xf>
    <xf numFmtId="0" fontId="1" fillId="3" borderId="5" xfId="947" applyFill="1" applyBorder="1"/>
    <xf numFmtId="0" fontId="1" fillId="3" borderId="6" xfId="947" applyFill="1" applyBorder="1"/>
    <xf numFmtId="0" fontId="0" fillId="0" borderId="0" xfId="0" applyAlignment="1">
      <alignment vertical="center"/>
    </xf>
    <xf numFmtId="201" fontId="5" fillId="0" borderId="7" xfId="0" applyNumberFormat="1" applyFont="1" applyBorder="1" applyAlignment="1">
      <alignment horizontal="center" vertical="center"/>
    </xf>
    <xf numFmtId="49" fontId="6" fillId="0" borderId="8" xfId="2296" applyNumberFormat="1" applyFont="1" applyBorder="1" applyAlignment="1">
      <alignment horizontal="center" vertical="center"/>
    </xf>
    <xf numFmtId="49" fontId="6" fillId="0" borderId="9" xfId="2296" applyNumberFormat="1" applyFont="1" applyBorder="1" applyAlignment="1">
      <alignment horizontal="center" vertical="center"/>
    </xf>
    <xf numFmtId="49" fontId="6" fillId="0" borderId="10" xfId="2296" applyNumberFormat="1" applyFont="1" applyBorder="1" applyAlignment="1">
      <alignment horizontal="left" vertical="center"/>
    </xf>
    <xf numFmtId="49" fontId="6" fillId="0" borderId="11" xfId="2296" applyNumberFormat="1" applyFont="1" applyBorder="1" applyAlignment="1">
      <alignment horizontal="left" vertical="center"/>
    </xf>
    <xf numFmtId="49" fontId="6" fillId="0" borderId="12" xfId="2296" applyNumberFormat="1" applyFont="1" applyBorder="1" applyAlignment="1">
      <alignment horizontal="left" vertical="center"/>
    </xf>
    <xf numFmtId="49" fontId="6" fillId="0" borderId="13" xfId="2296" applyNumberFormat="1" applyFont="1" applyBorder="1" applyAlignment="1">
      <alignment horizontal="center" vertical="center"/>
    </xf>
    <xf numFmtId="49" fontId="6" fillId="0" borderId="14" xfId="2296" applyNumberFormat="1" applyFont="1" applyBorder="1" applyAlignment="1">
      <alignment horizontal="center" vertical="center"/>
    </xf>
    <xf numFmtId="49" fontId="6" fillId="0" borderId="14" xfId="2296" applyNumberFormat="1" applyFont="1" applyBorder="1" applyAlignment="1">
      <alignment horizontal="left" vertical="center"/>
    </xf>
    <xf numFmtId="0" fontId="6" fillId="0" borderId="14" xfId="2296" applyFont="1" applyBorder="1" applyAlignment="1">
      <alignment horizontal="center" vertical="center"/>
    </xf>
    <xf numFmtId="0" fontId="6" fillId="0" borderId="15" xfId="2296" applyFont="1" applyBorder="1" applyAlignment="1">
      <alignment horizontal="center" vertical="center"/>
    </xf>
    <xf numFmtId="201" fontId="2" fillId="0" borderId="13" xfId="0" applyNumberFormat="1" applyFont="1" applyBorder="1" applyAlignment="1">
      <alignment horizontal="center" vertical="center"/>
    </xf>
    <xf numFmtId="201" fontId="2" fillId="0" borderId="16" xfId="0" applyNumberFormat="1" applyFont="1" applyBorder="1" applyAlignment="1">
      <alignment horizontal="center" vertical="center"/>
    </xf>
    <xf numFmtId="201" fontId="2" fillId="0" borderId="17" xfId="0" applyNumberFormat="1" applyFont="1" applyBorder="1" applyAlignment="1">
      <alignment horizontal="center" vertical="center"/>
    </xf>
    <xf numFmtId="201" fontId="2" fillId="0" borderId="18" xfId="0" applyNumberFormat="1" applyFont="1" applyBorder="1" applyAlignment="1">
      <alignment horizontal="center" vertical="center"/>
    </xf>
    <xf numFmtId="0" fontId="7" fillId="0" borderId="19" xfId="1218" applyFont="1" applyBorder="1"/>
    <xf numFmtId="201" fontId="2" fillId="0" borderId="14" xfId="0" applyNumberFormat="1" applyFont="1" applyBorder="1" applyAlignment="1">
      <alignment horizontal="center" vertical="center"/>
    </xf>
    <xf numFmtId="201" fontId="2" fillId="0" borderId="15" xfId="0" applyNumberFormat="1" applyFont="1" applyBorder="1" applyAlignment="1">
      <alignment horizontal="center" vertical="center"/>
    </xf>
    <xf numFmtId="10" fontId="2" fillId="0" borderId="14" xfId="0" applyNumberFormat="1" applyFont="1" applyBorder="1" applyAlignment="1">
      <alignment horizontal="center" vertical="center"/>
    </xf>
    <xf numFmtId="201" fontId="6" fillId="0" borderId="20" xfId="0" applyNumberFormat="1" applyFont="1" applyBorder="1" applyAlignment="1">
      <alignment horizontal="center"/>
    </xf>
    <xf numFmtId="201" fontId="6" fillId="0" borderId="21" xfId="0" applyNumberFormat="1" applyFont="1" applyBorder="1" applyAlignment="1">
      <alignment horizontal="center"/>
    </xf>
    <xf numFmtId="201" fontId="6" fillId="0" borderId="22" xfId="0" applyNumberFormat="1" applyFont="1" applyBorder="1" applyAlignment="1">
      <alignment horizontal="center"/>
    </xf>
    <xf numFmtId="201" fontId="2" fillId="0" borderId="23" xfId="0" applyNumberFormat="1" applyFont="1" applyBorder="1" applyAlignment="1">
      <alignment horizontal="center" vertical="center"/>
    </xf>
    <xf numFmtId="201" fontId="8" fillId="0" borderId="6" xfId="0" applyNumberFormat="1" applyFont="1" applyBorder="1" applyAlignment="1">
      <alignment horizontal="center" vertical="center"/>
    </xf>
    <xf numFmtId="201" fontId="2" fillId="0" borderId="6" xfId="0" applyNumberFormat="1" applyFont="1" applyBorder="1" applyAlignment="1">
      <alignment horizontal="center" vertical="center"/>
    </xf>
    <xf numFmtId="201" fontId="8" fillId="0" borderId="24" xfId="0" applyNumberFormat="1" applyFont="1" applyBorder="1" applyAlignment="1">
      <alignment horizontal="center" vertical="center"/>
    </xf>
    <xf numFmtId="201" fontId="5" fillId="0" borderId="0" xfId="0" applyNumberFormat="1" applyFont="1" applyAlignment="1">
      <alignment horizontal="center" vertical="center"/>
    </xf>
    <xf numFmtId="49" fontId="6" fillId="0" borderId="9" xfId="2296" applyNumberFormat="1" applyFont="1" applyBorder="1" applyAlignment="1">
      <alignment horizontal="left" vertical="center"/>
    </xf>
    <xf numFmtId="49" fontId="6" fillId="0" borderId="25" xfId="2296" applyNumberFormat="1" applyFont="1" applyBorder="1" applyAlignment="1">
      <alignment horizontal="left" vertical="center"/>
    </xf>
    <xf numFmtId="49" fontId="9" fillId="0" borderId="0" xfId="2296" applyNumberFormat="1" applyFont="1" applyAlignment="1">
      <alignment horizontal="center"/>
    </xf>
    <xf numFmtId="49" fontId="2" fillId="0" borderId="8" xfId="2296" applyNumberFormat="1" applyFont="1" applyBorder="1" applyAlignment="1">
      <alignment horizontal="center"/>
    </xf>
    <xf numFmtId="49" fontId="2" fillId="0" borderId="9" xfId="2296" applyNumberFormat="1" applyFont="1" applyBorder="1" applyAlignment="1">
      <alignment horizontal="center"/>
    </xf>
    <xf numFmtId="49" fontId="2" fillId="0" borderId="10" xfId="2296" applyNumberFormat="1" applyFont="1" applyBorder="1" applyAlignment="1">
      <alignment horizontal="left"/>
    </xf>
    <xf numFmtId="49" fontId="2" fillId="0" borderId="11" xfId="2296" applyNumberFormat="1" applyFont="1" applyBorder="1" applyAlignment="1">
      <alignment horizontal="left"/>
    </xf>
    <xf numFmtId="49" fontId="2" fillId="0" borderId="12" xfId="2296" applyNumberFormat="1" applyFont="1" applyBorder="1" applyAlignment="1">
      <alignment horizontal="left"/>
    </xf>
    <xf numFmtId="49" fontId="2" fillId="0" borderId="13" xfId="2296" applyNumberFormat="1" applyFont="1" applyBorder="1" applyAlignment="1">
      <alignment horizontal="center"/>
    </xf>
    <xf numFmtId="49" fontId="2" fillId="0" borderId="14" xfId="2296" applyNumberFormat="1" applyFont="1" applyBorder="1" applyAlignment="1">
      <alignment horizontal="center"/>
    </xf>
    <xf numFmtId="49" fontId="2" fillId="0" borderId="14" xfId="2296" applyNumberFormat="1" applyFont="1" applyBorder="1" applyAlignment="1">
      <alignment horizontal="left"/>
    </xf>
    <xf numFmtId="0" fontId="2" fillId="0" borderId="14" xfId="2296" applyFont="1" applyBorder="1" applyAlignment="1">
      <alignment horizontal="center"/>
    </xf>
    <xf numFmtId="0" fontId="2" fillId="0" borderId="15" xfId="2296" applyFont="1" applyBorder="1" applyAlignment="1">
      <alignment horizontal="center"/>
    </xf>
    <xf numFmtId="49" fontId="2" fillId="0" borderId="13" xfId="2296" applyNumberFormat="1" applyFont="1" applyBorder="1" applyAlignment="1">
      <alignment horizontal="left" wrapText="1"/>
    </xf>
    <xf numFmtId="49" fontId="2" fillId="0" borderId="14" xfId="2296" applyNumberFormat="1" applyFont="1" applyBorder="1" applyAlignment="1">
      <alignment horizontal="left" wrapText="1"/>
    </xf>
    <xf numFmtId="0" fontId="2" fillId="0" borderId="14" xfId="1218" applyFont="1" applyBorder="1" applyAlignment="1">
      <alignment horizontal="left"/>
    </xf>
    <xf numFmtId="0" fontId="2" fillId="0" borderId="15" xfId="1218" applyFont="1" applyBorder="1" applyAlignment="1">
      <alignment horizontal="left"/>
    </xf>
    <xf numFmtId="201" fontId="6" fillId="0" borderId="26" xfId="0" applyNumberFormat="1" applyFont="1" applyBorder="1" applyAlignment="1">
      <alignment horizontal="center"/>
    </xf>
    <xf numFmtId="201" fontId="6" fillId="0" borderId="27" xfId="0" applyNumberFormat="1" applyFont="1" applyBorder="1" applyAlignment="1">
      <alignment horizontal="center"/>
    </xf>
    <xf numFmtId="186" fontId="6" fillId="0" borderId="26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203" fontId="6" fillId="0" borderId="22" xfId="0" applyNumberFormat="1" applyFont="1" applyBorder="1" applyAlignment="1">
      <alignment horizontal="center"/>
    </xf>
    <xf numFmtId="201" fontId="2" fillId="0" borderId="14" xfId="0" applyNumberFormat="1" applyFont="1" applyBorder="1" applyAlignment="1">
      <alignment horizontal="center"/>
    </xf>
    <xf numFmtId="201" fontId="10" fillId="0" borderId="22" xfId="0" applyNumberFormat="1" applyFont="1" applyBorder="1" applyAlignment="1">
      <alignment horizontal="center"/>
    </xf>
    <xf numFmtId="9" fontId="6" fillId="0" borderId="22" xfId="0" applyNumberFormat="1" applyFont="1" applyBorder="1" applyAlignment="1">
      <alignment horizontal="center"/>
    </xf>
    <xf numFmtId="203" fontId="6" fillId="0" borderId="28" xfId="0" applyNumberFormat="1" applyFont="1" applyBorder="1" applyAlignment="1">
      <alignment horizontal="center"/>
    </xf>
    <xf numFmtId="201" fontId="6" fillId="0" borderId="14" xfId="0" applyNumberFormat="1" applyFont="1" applyBorder="1" applyAlignment="1">
      <alignment horizontal="center"/>
    </xf>
    <xf numFmtId="204" fontId="6" fillId="0" borderId="28" xfId="0" applyNumberFormat="1" applyFont="1" applyBorder="1" applyAlignment="1">
      <alignment horizontal="center"/>
    </xf>
    <xf numFmtId="204" fontId="6" fillId="0" borderId="22" xfId="0" applyNumberFormat="1" applyFont="1" applyBorder="1" applyAlignment="1">
      <alignment horizontal="center"/>
    </xf>
    <xf numFmtId="10" fontId="6" fillId="0" borderId="22" xfId="0" applyNumberFormat="1" applyFont="1" applyBorder="1" applyAlignment="1">
      <alignment horizontal="center"/>
    </xf>
    <xf numFmtId="201" fontId="6" fillId="0" borderId="28" xfId="0" applyNumberFormat="1" applyFont="1" applyBorder="1" applyAlignment="1">
      <alignment horizontal="center"/>
    </xf>
    <xf numFmtId="201" fontId="6" fillId="0" borderId="29" xfId="0" applyNumberFormat="1" applyFont="1" applyBorder="1" applyAlignment="1">
      <alignment horizontal="center"/>
    </xf>
    <xf numFmtId="9" fontId="6" fillId="0" borderId="28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80" fontId="6" fillId="0" borderId="22" xfId="0" applyNumberFormat="1" applyFont="1" applyBorder="1" applyAlignment="1">
      <alignment horizontal="center"/>
    </xf>
    <xf numFmtId="201" fontId="6" fillId="0" borderId="30" xfId="0" applyNumberFormat="1" applyFont="1" applyBorder="1" applyAlignment="1">
      <alignment horizontal="center"/>
    </xf>
    <xf numFmtId="201" fontId="11" fillId="0" borderId="31" xfId="0" applyNumberFormat="1" applyFont="1" applyBorder="1" applyAlignment="1">
      <alignment horizontal="left"/>
    </xf>
    <xf numFmtId="201" fontId="11" fillId="0" borderId="31" xfId="0" applyNumberFormat="1" applyFont="1" applyBorder="1" applyAlignment="1">
      <alignment horizontal="center"/>
    </xf>
    <xf numFmtId="201" fontId="11" fillId="0" borderId="32" xfId="0" applyNumberFormat="1" applyFont="1" applyBorder="1" applyAlignment="1">
      <alignment horizontal="center"/>
    </xf>
    <xf numFmtId="205" fontId="2" fillId="0" borderId="14" xfId="0" applyNumberFormat="1" applyFont="1" applyBorder="1" applyAlignment="1">
      <alignment horizontal="center" vertical="center"/>
    </xf>
    <xf numFmtId="49" fontId="12" fillId="0" borderId="0" xfId="2296" applyNumberFormat="1" applyFont="1" applyAlignment="1">
      <alignment horizontal="center" vertical="center"/>
    </xf>
    <xf numFmtId="201" fontId="2" fillId="0" borderId="8" xfId="1218" applyNumberFormat="1" applyFont="1" applyBorder="1" applyAlignment="1">
      <alignment horizontal="center" vertical="center"/>
    </xf>
    <xf numFmtId="201" fontId="2" fillId="0" borderId="9" xfId="1218" applyNumberFormat="1" applyFont="1" applyBorder="1" applyAlignment="1">
      <alignment horizontal="center" vertical="center"/>
    </xf>
    <xf numFmtId="186" fontId="2" fillId="0" borderId="9" xfId="1218" applyNumberFormat="1" applyFont="1" applyBorder="1" applyAlignment="1">
      <alignment horizontal="center" vertical="center"/>
    </xf>
    <xf numFmtId="201" fontId="2" fillId="0" borderId="9" xfId="1218" applyNumberFormat="1" applyFont="1" applyBorder="1" applyAlignment="1">
      <alignment horizontal="left" vertical="center"/>
    </xf>
    <xf numFmtId="201" fontId="2" fillId="0" borderId="25" xfId="1218" applyNumberFormat="1" applyFont="1" applyBorder="1" applyAlignment="1">
      <alignment horizontal="left" vertical="center"/>
    </xf>
    <xf numFmtId="201" fontId="2" fillId="0" borderId="13" xfId="1218" applyNumberFormat="1" applyFont="1" applyBorder="1" applyAlignment="1">
      <alignment horizontal="center" vertical="center"/>
    </xf>
    <xf numFmtId="201" fontId="2" fillId="0" borderId="14" xfId="1218" applyNumberFormat="1" applyFont="1" applyBorder="1" applyAlignment="1">
      <alignment horizontal="center" vertical="center"/>
    </xf>
    <xf numFmtId="201" fontId="2" fillId="0" borderId="14" xfId="1218" applyNumberFormat="1" applyFont="1" applyBorder="1" applyAlignment="1">
      <alignment horizontal="left" vertical="center"/>
    </xf>
    <xf numFmtId="201" fontId="2" fillId="0" borderId="15" xfId="1218" applyNumberFormat="1" applyFont="1" applyBorder="1" applyAlignment="1">
      <alignment horizontal="center" vertical="center"/>
    </xf>
    <xf numFmtId="201" fontId="2" fillId="0" borderId="15" xfId="1218" applyNumberFormat="1" applyFont="1" applyBorder="1" applyAlignment="1">
      <alignment horizontal="left" vertical="center"/>
    </xf>
    <xf numFmtId="201" fontId="2" fillId="0" borderId="16" xfId="1218" applyNumberFormat="1" applyFont="1" applyBorder="1" applyAlignment="1">
      <alignment horizontal="center" vertical="center"/>
    </xf>
    <xf numFmtId="201" fontId="2" fillId="0" borderId="18" xfId="1218" applyNumberFormat="1" applyFont="1" applyBorder="1" applyAlignment="1">
      <alignment horizontal="center" vertical="center"/>
    </xf>
    <xf numFmtId="201" fontId="0" fillId="0" borderId="0" xfId="0" applyNumberFormat="1"/>
    <xf numFmtId="9" fontId="2" fillId="0" borderId="14" xfId="32" applyFont="1" applyFill="1" applyBorder="1" applyAlignment="1">
      <alignment horizontal="center" vertical="center"/>
    </xf>
    <xf numFmtId="180" fontId="2" fillId="0" borderId="14" xfId="32" applyNumberFormat="1" applyFont="1" applyFill="1" applyBorder="1" applyAlignment="1">
      <alignment horizontal="center" vertical="center"/>
    </xf>
    <xf numFmtId="10" fontId="2" fillId="0" borderId="14" xfId="32" applyNumberFormat="1" applyFont="1" applyFill="1" applyBorder="1" applyAlignment="1">
      <alignment horizontal="center" vertical="center"/>
    </xf>
    <xf numFmtId="201" fontId="2" fillId="0" borderId="23" xfId="1218" applyNumberFormat="1" applyFont="1" applyBorder="1" applyAlignment="1">
      <alignment horizontal="center" vertical="center"/>
    </xf>
    <xf numFmtId="201" fontId="2" fillId="0" borderId="33" xfId="1218" applyNumberFormat="1" applyFont="1" applyBorder="1" applyAlignment="1">
      <alignment horizontal="center" vertical="center"/>
    </xf>
    <xf numFmtId="201" fontId="2" fillId="0" borderId="34" xfId="1218" applyNumberFormat="1" applyFont="1" applyBorder="1" applyAlignment="1">
      <alignment horizontal="center" vertical="center"/>
    </xf>
    <xf numFmtId="201" fontId="2" fillId="0" borderId="6" xfId="1218" applyNumberFormat="1" applyFont="1" applyBorder="1" applyAlignment="1">
      <alignment horizontal="center" vertical="center"/>
    </xf>
    <xf numFmtId="201" fontId="2" fillId="0" borderId="24" xfId="1218" applyNumberFormat="1" applyFont="1" applyBorder="1" applyAlignment="1">
      <alignment horizontal="center" vertical="center"/>
    </xf>
    <xf numFmtId="49" fontId="9" fillId="6" borderId="0" xfId="2296" applyNumberFormat="1" applyFont="1" applyFill="1" applyAlignment="1">
      <alignment horizontal="center" vertical="center"/>
    </xf>
    <xf numFmtId="49" fontId="2" fillId="0" borderId="8" xfId="2296" applyNumberFormat="1" applyFont="1" applyBorder="1" applyAlignment="1">
      <alignment horizontal="center" vertical="center"/>
    </xf>
    <xf numFmtId="49" fontId="2" fillId="0" borderId="9" xfId="2296" applyNumberFormat="1" applyFont="1" applyBorder="1" applyAlignment="1">
      <alignment horizontal="center" vertical="center"/>
    </xf>
    <xf numFmtId="49" fontId="2" fillId="0" borderId="9" xfId="2296" applyNumberFormat="1" applyFont="1" applyBorder="1" applyAlignment="1">
      <alignment horizontal="left" vertical="center"/>
    </xf>
    <xf numFmtId="49" fontId="2" fillId="0" borderId="25" xfId="2296" applyNumberFormat="1" applyFont="1" applyBorder="1" applyAlignment="1">
      <alignment horizontal="left" vertical="center"/>
    </xf>
    <xf numFmtId="49" fontId="2" fillId="0" borderId="13" xfId="2296" applyNumberFormat="1" applyFont="1" applyBorder="1" applyAlignment="1">
      <alignment horizontal="center" vertical="center"/>
    </xf>
    <xf numFmtId="49" fontId="2" fillId="0" borderId="14" xfId="2296" applyNumberFormat="1" applyFont="1" applyBorder="1" applyAlignment="1">
      <alignment horizontal="center" vertical="center"/>
    </xf>
    <xf numFmtId="49" fontId="2" fillId="0" borderId="14" xfId="2296" applyNumberFormat="1" applyFont="1" applyBorder="1" applyAlignment="1">
      <alignment horizontal="left" vertical="center"/>
    </xf>
    <xf numFmtId="0" fontId="2" fillId="0" borderId="14" xfId="2296" applyFont="1" applyBorder="1" applyAlignment="1">
      <alignment horizontal="center" vertical="center"/>
    </xf>
    <xf numFmtId="0" fontId="2" fillId="0" borderId="15" xfId="2296" applyFont="1" applyBorder="1" applyAlignment="1">
      <alignment horizontal="center" vertical="center"/>
    </xf>
    <xf numFmtId="49" fontId="2" fillId="0" borderId="13" xfId="2296" applyNumberFormat="1" applyFont="1" applyBorder="1" applyAlignment="1">
      <alignment horizontal="left" vertical="center"/>
    </xf>
    <xf numFmtId="49" fontId="2" fillId="0" borderId="15" xfId="2296" applyNumberFormat="1" applyFont="1" applyBorder="1" applyAlignment="1">
      <alignment horizontal="left" vertical="center"/>
    </xf>
    <xf numFmtId="49" fontId="2" fillId="0" borderId="13" xfId="2296" applyNumberFormat="1" applyFont="1" applyBorder="1" applyAlignment="1">
      <alignment horizontal="left" vertical="top" wrapText="1"/>
    </xf>
    <xf numFmtId="49" fontId="2" fillId="0" borderId="14" xfId="2296" applyNumberFormat="1" applyFont="1" applyBorder="1" applyAlignment="1">
      <alignment horizontal="left" vertical="top" wrapText="1"/>
    </xf>
    <xf numFmtId="203" fontId="2" fillId="0" borderId="14" xfId="2296" applyNumberFormat="1" applyFont="1" applyBorder="1" applyAlignment="1">
      <alignment horizontal="center" vertical="center"/>
    </xf>
    <xf numFmtId="0" fontId="2" fillId="0" borderId="14" xfId="2296" applyFont="1" applyBorder="1" applyAlignment="1">
      <alignment horizontal="left" vertical="center"/>
    </xf>
    <xf numFmtId="203" fontId="2" fillId="0" borderId="15" xfId="2296" applyNumberFormat="1" applyFont="1" applyBorder="1" applyAlignment="1">
      <alignment horizontal="center" vertical="center"/>
    </xf>
    <xf numFmtId="204" fontId="2" fillId="0" borderId="14" xfId="2296" applyNumberFormat="1" applyFont="1" applyBorder="1" applyAlignment="1">
      <alignment horizontal="center" vertical="center"/>
    </xf>
    <xf numFmtId="203" fontId="2" fillId="0" borderId="14" xfId="32" applyNumberFormat="1" applyFont="1" applyBorder="1" applyAlignment="1">
      <alignment horizontal="center" vertical="center"/>
    </xf>
    <xf numFmtId="10" fontId="2" fillId="0" borderId="14" xfId="2296" applyNumberFormat="1" applyFont="1" applyBorder="1" applyAlignment="1">
      <alignment horizontal="center" vertical="center"/>
    </xf>
    <xf numFmtId="180" fontId="2" fillId="0" borderId="14" xfId="2296" applyNumberFormat="1" applyFont="1" applyBorder="1" applyAlignment="1">
      <alignment horizontal="center" vertical="center"/>
    </xf>
    <xf numFmtId="9" fontId="2" fillId="0" borderId="14" xfId="2296" applyNumberFormat="1" applyFont="1" applyBorder="1" applyAlignment="1">
      <alignment horizontal="center" vertical="center"/>
    </xf>
    <xf numFmtId="0" fontId="2" fillId="0" borderId="23" xfId="2296" applyFont="1" applyBorder="1" applyAlignment="1">
      <alignment horizontal="center" vertical="center"/>
    </xf>
    <xf numFmtId="0" fontId="2" fillId="0" borderId="6" xfId="2296" applyFont="1" applyBorder="1" applyAlignment="1">
      <alignment horizontal="center" vertical="center"/>
    </xf>
    <xf numFmtId="203" fontId="2" fillId="0" borderId="6" xfId="2296" applyNumberFormat="1" applyFont="1" applyBorder="1" applyAlignment="1">
      <alignment horizontal="center" vertical="center"/>
    </xf>
    <xf numFmtId="203" fontId="2" fillId="0" borderId="24" xfId="2296" applyNumberFormat="1" applyFont="1" applyBorder="1" applyAlignment="1">
      <alignment horizontal="center" vertical="center"/>
    </xf>
    <xf numFmtId="0" fontId="7" fillId="0" borderId="0" xfId="1218" applyFont="1" applyAlignment="1">
      <alignment horizontal="center"/>
    </xf>
    <xf numFmtId="0" fontId="7" fillId="0" borderId="0" xfId="1218" applyFont="1"/>
    <xf numFmtId="203" fontId="7" fillId="0" borderId="0" xfId="1218" applyNumberFormat="1" applyFont="1" applyAlignment="1">
      <alignment horizontal="center"/>
    </xf>
    <xf numFmtId="49" fontId="12" fillId="6" borderId="0" xfId="2296" applyNumberFormat="1" applyFont="1" applyFill="1" applyAlignment="1">
      <alignment horizontal="center" vertical="center"/>
    </xf>
    <xf numFmtId="207" fontId="2" fillId="0" borderId="14" xfId="2296" applyNumberFormat="1" applyFont="1" applyBorder="1" applyAlignment="1">
      <alignment horizontal="center" vertical="center"/>
    </xf>
    <xf numFmtId="0" fontId="2" fillId="5" borderId="14" xfId="1218" applyFont="1" applyFill="1" applyBorder="1" applyAlignment="1">
      <alignment horizontal="left"/>
    </xf>
    <xf numFmtId="0" fontId="2" fillId="5" borderId="14" xfId="1218" applyFont="1" applyFill="1" applyBorder="1" applyAlignment="1">
      <alignment horizontal="center"/>
    </xf>
    <xf numFmtId="203" fontId="2" fillId="5" borderId="14" xfId="1218" applyNumberFormat="1" applyFont="1" applyFill="1" applyBorder="1" applyAlignment="1">
      <alignment horizontal="center"/>
    </xf>
    <xf numFmtId="201" fontId="2" fillId="7" borderId="14" xfId="1218" applyNumberFormat="1" applyFont="1" applyFill="1" applyBorder="1" applyAlignment="1">
      <alignment horizontal="center" vertical="center"/>
    </xf>
    <xf numFmtId="203" fontId="2" fillId="5" borderId="15" xfId="1218" applyNumberFormat="1" applyFont="1" applyFill="1" applyBorder="1" applyAlignment="1">
      <alignment horizontal="center"/>
    </xf>
    <xf numFmtId="208" fontId="2" fillId="0" borderId="14" xfId="2296" applyNumberFormat="1" applyFont="1" applyBorder="1" applyAlignment="1">
      <alignment horizontal="center" vertical="center"/>
    </xf>
    <xf numFmtId="0" fontId="2" fillId="0" borderId="0" xfId="2296" applyFont="1" applyAlignment="1">
      <alignment horizontal="center" vertical="center"/>
    </xf>
    <xf numFmtId="203" fontId="2" fillId="0" borderId="0" xfId="2296" applyNumberFormat="1" applyFont="1" applyAlignment="1">
      <alignment horizontal="center" vertical="center"/>
    </xf>
    <xf numFmtId="186" fontId="2" fillId="0" borderId="9" xfId="0" applyNumberFormat="1" applyFont="1" applyBorder="1" applyAlignment="1">
      <alignment horizontal="center" vertical="center"/>
    </xf>
    <xf numFmtId="201" fontId="2" fillId="0" borderId="14" xfId="0" applyNumberFormat="1" applyFont="1" applyBorder="1" applyAlignment="1">
      <alignment horizontal="left" vertical="center"/>
    </xf>
    <xf numFmtId="201" fontId="2" fillId="0" borderId="15" xfId="0" applyNumberFormat="1" applyFont="1" applyBorder="1" applyAlignment="1">
      <alignment vertical="center"/>
    </xf>
    <xf numFmtId="186" fontId="2" fillId="0" borderId="13" xfId="0" applyNumberFormat="1" applyFont="1" applyBorder="1" applyAlignment="1">
      <alignment horizontal="center" vertical="center"/>
    </xf>
    <xf numFmtId="201" fontId="2" fillId="0" borderId="14" xfId="0" applyNumberFormat="1" applyFont="1" applyBorder="1" applyAlignment="1">
      <alignment horizontal="left" vertical="center" wrapText="1"/>
    </xf>
    <xf numFmtId="201" fontId="2" fillId="0" borderId="15" xfId="0" applyNumberFormat="1" applyFont="1" applyBorder="1" applyAlignment="1">
      <alignment horizontal="left" vertical="center" wrapText="1"/>
    </xf>
    <xf numFmtId="0" fontId="7" fillId="5" borderId="0" xfId="1218" applyFont="1" applyFill="1"/>
    <xf numFmtId="186" fontId="2" fillId="0" borderId="23" xfId="0" applyNumberFormat="1" applyFont="1" applyBorder="1" applyAlignment="1">
      <alignment horizontal="center" vertical="center"/>
    </xf>
    <xf numFmtId="201" fontId="2" fillId="0" borderId="24" xfId="0" applyNumberFormat="1" applyFont="1" applyBorder="1" applyAlignment="1">
      <alignment horizontal="center" vertical="center"/>
    </xf>
    <xf numFmtId="186" fontId="7" fillId="0" borderId="0" xfId="1218" applyNumberFormat="1" applyFont="1" applyAlignment="1">
      <alignment horizontal="center"/>
    </xf>
    <xf numFmtId="201" fontId="2" fillId="0" borderId="14" xfId="0" applyNumberFormat="1" applyFont="1" applyBorder="1" applyAlignment="1">
      <alignment vertical="center"/>
    </xf>
    <xf numFmtId="201" fontId="2" fillId="0" borderId="14" xfId="0" applyNumberFormat="1" applyFont="1" applyBorder="1" applyAlignment="1">
      <alignment horizontal="center" vertical="center" wrapText="1"/>
    </xf>
    <xf numFmtId="201" fontId="2" fillId="0" borderId="15" xfId="0" applyNumberFormat="1" applyFont="1" applyBorder="1" applyAlignment="1">
      <alignment horizontal="center" vertical="center" wrapText="1"/>
    </xf>
    <xf numFmtId="0" fontId="7" fillId="0" borderId="15" xfId="1218" applyFont="1" applyBorder="1"/>
    <xf numFmtId="0" fontId="0" fillId="0" borderId="0" xfId="1218"/>
    <xf numFmtId="0" fontId="13" fillId="0" borderId="0" xfId="510" applyFont="1"/>
    <xf numFmtId="0" fontId="0" fillId="0" borderId="0" xfId="510" applyFont="1"/>
    <xf numFmtId="0" fontId="14" fillId="0" borderId="0" xfId="510" applyFont="1"/>
    <xf numFmtId="0" fontId="14" fillId="0" borderId="0" xfId="510" applyFont="1" applyAlignment="1">
      <alignment horizontal="right"/>
    </xf>
    <xf numFmtId="0" fontId="14" fillId="8" borderId="14" xfId="510" applyFont="1" applyFill="1" applyBorder="1"/>
    <xf numFmtId="0" fontId="15" fillId="3" borderId="14" xfId="510" applyFont="1" applyFill="1" applyBorder="1" applyAlignment="1">
      <alignment horizontal="center" wrapText="1"/>
    </xf>
    <xf numFmtId="0" fontId="15" fillId="5" borderId="35" xfId="510" applyFont="1" applyFill="1" applyBorder="1" applyAlignment="1">
      <alignment horizontal="center" wrapText="1"/>
    </xf>
    <xf numFmtId="0" fontId="16" fillId="3" borderId="14" xfId="510" applyFont="1" applyFill="1" applyBorder="1" applyAlignment="1">
      <alignment horizontal="center" wrapText="1"/>
    </xf>
    <xf numFmtId="0" fontId="14" fillId="3" borderId="14" xfId="510" applyFont="1" applyFill="1" applyBorder="1" applyAlignment="1">
      <alignment horizontal="justify" wrapText="1"/>
    </xf>
    <xf numFmtId="0" fontId="17" fillId="9" borderId="14" xfId="510" applyFont="1" applyFill="1" applyBorder="1" applyAlignment="1">
      <alignment horizontal="right" wrapText="1"/>
    </xf>
    <xf numFmtId="0" fontId="17" fillId="5" borderId="14" xfId="510" applyFont="1" applyFill="1" applyBorder="1" applyAlignment="1">
      <alignment horizontal="right" wrapText="1"/>
    </xf>
    <xf numFmtId="0" fontId="15" fillId="3" borderId="5" xfId="510" applyFont="1" applyFill="1" applyBorder="1" applyAlignment="1">
      <alignment horizontal="center" wrapText="1"/>
    </xf>
    <xf numFmtId="0" fontId="17" fillId="9" borderId="5" xfId="510" applyFont="1" applyFill="1" applyBorder="1" applyAlignment="1">
      <alignment horizontal="right" wrapText="1"/>
    </xf>
    <xf numFmtId="0" fontId="15" fillId="0" borderId="0" xfId="510" applyFont="1" applyAlignment="1">
      <alignment horizontal="center" wrapText="1"/>
    </xf>
    <xf numFmtId="0" fontId="15" fillId="0" borderId="35" xfId="510" applyFont="1" applyBorder="1" applyAlignment="1">
      <alignment horizontal="center" wrapText="1"/>
    </xf>
    <xf numFmtId="0" fontId="17" fillId="8" borderId="14" xfId="510" applyFont="1" applyFill="1" applyBorder="1" applyAlignment="1">
      <alignment horizontal="right" wrapText="1"/>
    </xf>
    <xf numFmtId="0" fontId="14" fillId="3" borderId="5" xfId="510" applyFont="1" applyFill="1" applyBorder="1" applyAlignment="1">
      <alignment horizontal="justify" wrapText="1"/>
    </xf>
    <xf numFmtId="0" fontId="17" fillId="8" borderId="5" xfId="510" applyFont="1" applyFill="1" applyBorder="1" applyAlignment="1">
      <alignment horizontal="right" wrapText="1"/>
    </xf>
    <xf numFmtId="0" fontId="13" fillId="0" borderId="0" xfId="510" applyFont="1" applyAlignment="1">
      <alignment horizontal="center"/>
    </xf>
    <xf numFmtId="0" fontId="15" fillId="0" borderId="28" xfId="510" applyFont="1" applyBorder="1" applyAlignment="1">
      <alignment horizontal="center"/>
    </xf>
    <xf numFmtId="0" fontId="15" fillId="0" borderId="0" xfId="510" applyFont="1" applyAlignment="1">
      <alignment horizontal="center"/>
    </xf>
    <xf numFmtId="0" fontId="15" fillId="0" borderId="36" xfId="510" applyFont="1" applyBorder="1" applyAlignment="1">
      <alignment horizontal="center" wrapText="1"/>
    </xf>
    <xf numFmtId="0" fontId="15" fillId="0" borderId="37" xfId="510" applyFont="1" applyBorder="1" applyAlignment="1">
      <alignment horizontal="center" wrapText="1"/>
    </xf>
    <xf numFmtId="0" fontId="15" fillId="0" borderId="38" xfId="510" applyFont="1" applyBorder="1" applyAlignment="1">
      <alignment horizontal="center" wrapText="1"/>
    </xf>
    <xf numFmtId="0" fontId="15" fillId="0" borderId="39" xfId="510" applyFont="1" applyBorder="1" applyAlignment="1">
      <alignment horizontal="center" wrapText="1"/>
    </xf>
    <xf numFmtId="203" fontId="17" fillId="8" borderId="14" xfId="510" applyNumberFormat="1" applyFont="1" applyFill="1" applyBorder="1" applyAlignment="1">
      <alignment horizontal="right" wrapText="1"/>
    </xf>
    <xf numFmtId="0" fontId="14" fillId="0" borderId="35" xfId="510" applyFont="1" applyBorder="1" applyAlignment="1">
      <alignment horizontal="center" wrapText="1"/>
    </xf>
    <xf numFmtId="0" fontId="15" fillId="0" borderId="20" xfId="510" applyFont="1" applyBorder="1" applyAlignment="1">
      <alignment horizontal="center" wrapText="1"/>
    </xf>
    <xf numFmtId="0" fontId="18" fillId="0" borderId="14" xfId="510" applyFont="1" applyBorder="1" applyAlignment="1">
      <alignment horizontal="center" wrapText="1"/>
    </xf>
    <xf numFmtId="0" fontId="14" fillId="0" borderId="21" xfId="510" applyFont="1" applyBorder="1" applyAlignment="1">
      <alignment horizontal="center" wrapText="1"/>
    </xf>
    <xf numFmtId="0" fontId="0" fillId="0" borderId="0" xfId="510" applyFont="1" applyAlignment="1">
      <alignment vertical="center"/>
    </xf>
    <xf numFmtId="0" fontId="15" fillId="0" borderId="40" xfId="510" applyFont="1" applyBorder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3" xfId="0" applyBorder="1"/>
    <xf numFmtId="0" fontId="21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0" fillId="0" borderId="15" xfId="0" applyBorder="1"/>
    <xf numFmtId="0" fontId="21" fillId="0" borderId="14" xfId="0" applyFont="1" applyBorder="1" applyAlignment="1">
      <alignment vertical="center"/>
    </xf>
    <xf numFmtId="0" fontId="0" fillId="0" borderId="23" xfId="0" applyBorder="1"/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0" fillId="0" borderId="24" xfId="0" applyBorder="1"/>
    <xf numFmtId="0" fontId="0" fillId="0" borderId="0" xfId="1309"/>
    <xf numFmtId="0" fontId="22" fillId="0" borderId="0" xfId="2296" applyFont="1" applyAlignment="1">
      <alignment horizontal="left" vertical="center"/>
    </xf>
    <xf numFmtId="0" fontId="23" fillId="0" borderId="0" xfId="2296" applyFont="1" applyAlignment="1">
      <alignment horizontal="left" vertical="center"/>
    </xf>
    <xf numFmtId="0" fontId="2" fillId="0" borderId="8" xfId="2296" applyFont="1" applyBorder="1" applyAlignment="1">
      <alignment horizontal="center" vertical="center"/>
    </xf>
    <xf numFmtId="0" fontId="2" fillId="0" borderId="9" xfId="2296" applyFont="1" applyBorder="1" applyAlignment="1">
      <alignment horizontal="center" vertical="center"/>
    </xf>
    <xf numFmtId="0" fontId="2" fillId="0" borderId="13" xfId="2296" applyFont="1" applyBorder="1" applyAlignment="1">
      <alignment horizontal="center" vertical="center"/>
    </xf>
    <xf numFmtId="180" fontId="2" fillId="10" borderId="14" xfId="32" applyNumberFormat="1" applyFont="1" applyFill="1" applyBorder="1" applyAlignment="1">
      <alignment horizontal="center" vertical="center"/>
    </xf>
    <xf numFmtId="9" fontId="2" fillId="10" borderId="14" xfId="32" applyFont="1" applyFill="1" applyBorder="1" applyAlignment="1">
      <alignment horizontal="center" vertical="center"/>
    </xf>
    <xf numFmtId="10" fontId="2" fillId="11" borderId="14" xfId="32" applyNumberFormat="1" applyFont="1" applyFill="1" applyBorder="1" applyAlignment="1">
      <alignment horizontal="center" vertical="center"/>
    </xf>
    <xf numFmtId="10" fontId="2" fillId="0" borderId="6" xfId="32" applyNumberFormat="1" applyFont="1" applyFill="1" applyBorder="1" applyAlignment="1">
      <alignment horizontal="center" vertical="center"/>
    </xf>
    <xf numFmtId="0" fontId="2" fillId="0" borderId="0" xfId="2296" applyFont="1">
      <alignment vertical="center"/>
    </xf>
    <xf numFmtId="0" fontId="24" fillId="0" borderId="41" xfId="1218" applyFont="1" applyBorder="1" applyAlignment="1">
      <alignment horizontal="center"/>
    </xf>
    <xf numFmtId="0" fontId="24" fillId="0" borderId="42" xfId="1218" applyFont="1" applyBorder="1" applyAlignment="1">
      <alignment horizontal="center"/>
    </xf>
    <xf numFmtId="0" fontId="24" fillId="0" borderId="43" xfId="1218" applyFont="1" applyBorder="1" applyAlignment="1">
      <alignment horizontal="center"/>
    </xf>
    <xf numFmtId="0" fontId="2" fillId="0" borderId="44" xfId="2296" applyFont="1" applyBorder="1">
      <alignment vertical="center"/>
    </xf>
    <xf numFmtId="0" fontId="25" fillId="0" borderId="45" xfId="1218" applyFont="1" applyBorder="1" applyAlignment="1">
      <alignment horizontal="center" wrapText="1"/>
    </xf>
    <xf numFmtId="0" fontId="25" fillId="0" borderId="46" xfId="1218" applyFont="1" applyBorder="1" applyAlignment="1">
      <alignment horizontal="center" wrapText="1"/>
    </xf>
    <xf numFmtId="0" fontId="25" fillId="0" borderId="14" xfId="1218" applyFont="1" applyBorder="1" applyAlignment="1">
      <alignment horizontal="center" wrapText="1"/>
    </xf>
    <xf numFmtId="0" fontId="25" fillId="0" borderId="15" xfId="1218" applyFont="1" applyBorder="1" applyAlignment="1">
      <alignment horizontal="center" wrapText="1"/>
    </xf>
    <xf numFmtId="0" fontId="25" fillId="0" borderId="13" xfId="1218" applyFont="1" applyBorder="1" applyAlignment="1">
      <alignment horizontal="center" wrapText="1"/>
    </xf>
    <xf numFmtId="0" fontId="25" fillId="0" borderId="23" xfId="1218" applyFont="1" applyBorder="1" applyAlignment="1">
      <alignment horizontal="center" wrapText="1"/>
    </xf>
    <xf numFmtId="0" fontId="25" fillId="0" borderId="6" xfId="1218" applyFont="1" applyBorder="1" applyAlignment="1">
      <alignment horizontal="center" wrapText="1"/>
    </xf>
    <xf numFmtId="0" fontId="25" fillId="0" borderId="24" xfId="1218" applyFont="1" applyBorder="1" applyAlignment="1">
      <alignment horizontal="center" wrapText="1"/>
    </xf>
    <xf numFmtId="0" fontId="25" fillId="0" borderId="0" xfId="1218" applyFont="1"/>
    <xf numFmtId="0" fontId="2" fillId="0" borderId="25" xfId="2296" applyFont="1" applyBorder="1" applyAlignment="1">
      <alignment horizontal="center" vertical="center"/>
    </xf>
    <xf numFmtId="180" fontId="2" fillId="0" borderId="15" xfId="32" applyNumberFormat="1" applyFont="1" applyFill="1" applyBorder="1" applyAlignment="1">
      <alignment horizontal="center" vertical="center"/>
    </xf>
    <xf numFmtId="10" fontId="2" fillId="10" borderId="14" xfId="32" applyNumberFormat="1" applyFont="1" applyFill="1" applyBorder="1" applyAlignment="1">
      <alignment horizontal="center" vertical="center"/>
    </xf>
    <xf numFmtId="9" fontId="2" fillId="10" borderId="15" xfId="32" applyFont="1" applyFill="1" applyBorder="1" applyAlignment="1">
      <alignment horizontal="center" vertical="center"/>
    </xf>
    <xf numFmtId="9" fontId="2" fillId="0" borderId="15" xfId="32" applyFont="1" applyFill="1" applyBorder="1" applyAlignment="1">
      <alignment horizontal="center" vertical="center"/>
    </xf>
    <xf numFmtId="10" fontId="2" fillId="11" borderId="15" xfId="32" applyNumberFormat="1" applyFont="1" applyFill="1" applyBorder="1" applyAlignment="1">
      <alignment horizontal="center" vertical="center"/>
    </xf>
    <xf numFmtId="10" fontId="2" fillId="0" borderId="24" xfId="32" applyNumberFormat="1" applyFont="1" applyFill="1" applyBorder="1" applyAlignment="1">
      <alignment horizontal="center" vertical="center"/>
    </xf>
    <xf numFmtId="0" fontId="26" fillId="0" borderId="0" xfId="2296" applyFont="1">
      <alignment vertical="center"/>
    </xf>
    <xf numFmtId="0" fontId="26" fillId="0" borderId="0" xfId="2296" applyFont="1" applyAlignment="1">
      <alignment horizontal="center" vertical="center"/>
    </xf>
    <xf numFmtId="203" fontId="26" fillId="0" borderId="0" xfId="2296" applyNumberFormat="1" applyFont="1" applyAlignment="1">
      <alignment horizontal="center" vertical="center"/>
    </xf>
    <xf numFmtId="203" fontId="26" fillId="0" borderId="0" xfId="2296" applyNumberFormat="1" applyFont="1">
      <alignment vertical="center"/>
    </xf>
    <xf numFmtId="0" fontId="8" fillId="0" borderId="7" xfId="2296" applyFont="1" applyBorder="1" applyAlignment="1">
      <alignment horizontal="left" vertical="center"/>
    </xf>
    <xf numFmtId="0" fontId="9" fillId="0" borderId="7" xfId="2296" applyFont="1" applyBorder="1" applyAlignment="1">
      <alignment horizontal="left" vertical="center"/>
    </xf>
    <xf numFmtId="0" fontId="27" fillId="0" borderId="47" xfId="2296" applyFont="1" applyBorder="1" applyAlignment="1">
      <alignment horizontal="center" vertical="center" wrapText="1"/>
    </xf>
    <xf numFmtId="0" fontId="28" fillId="0" borderId="8" xfId="2296" applyFont="1" applyBorder="1" applyAlignment="1">
      <alignment horizontal="center" vertical="center"/>
    </xf>
    <xf numFmtId="0" fontId="28" fillId="0" borderId="9" xfId="2296" applyFont="1" applyBorder="1" applyAlignment="1">
      <alignment horizontal="center" vertical="center" wrapText="1"/>
    </xf>
    <xf numFmtId="0" fontId="28" fillId="0" borderId="9" xfId="2296" applyFont="1" applyBorder="1" applyAlignment="1">
      <alignment horizontal="center" vertical="center"/>
    </xf>
    <xf numFmtId="203" fontId="28" fillId="0" borderId="9" xfId="2296" applyNumberFormat="1" applyFont="1" applyBorder="1" applyAlignment="1">
      <alignment horizontal="center" vertical="center" wrapText="1"/>
    </xf>
    <xf numFmtId="203" fontId="28" fillId="0" borderId="9" xfId="2296" applyNumberFormat="1" applyFont="1" applyBorder="1" applyAlignment="1">
      <alignment horizontal="center" vertical="center"/>
    </xf>
    <xf numFmtId="0" fontId="26" fillId="0" borderId="48" xfId="2296" applyFont="1" applyBorder="1" applyAlignment="1">
      <alignment horizontal="center" vertical="center" wrapText="1"/>
    </xf>
    <xf numFmtId="0" fontId="28" fillId="0" borderId="13" xfId="2296" applyFont="1" applyBorder="1" applyAlignment="1">
      <alignment horizontal="center" vertical="center"/>
    </xf>
    <xf numFmtId="0" fontId="28" fillId="0" borderId="14" xfId="2296" applyFont="1" applyBorder="1" applyAlignment="1">
      <alignment horizontal="center" vertical="center" wrapText="1"/>
    </xf>
    <xf numFmtId="0" fontId="28" fillId="0" borderId="14" xfId="2296" applyFont="1" applyBorder="1" applyAlignment="1">
      <alignment horizontal="center" vertical="center"/>
    </xf>
    <xf numFmtId="203" fontId="28" fillId="0" borderId="14" xfId="2296" applyNumberFormat="1" applyFont="1" applyBorder="1" applyAlignment="1">
      <alignment horizontal="center" vertical="center" wrapText="1"/>
    </xf>
    <xf numFmtId="203" fontId="28" fillId="0" borderId="14" xfId="2296" applyNumberFormat="1" applyFont="1" applyBorder="1" applyAlignment="1">
      <alignment horizontal="center" vertical="center"/>
    </xf>
    <xf numFmtId="203" fontId="28" fillId="0" borderId="14" xfId="2296" applyNumberFormat="1" applyFont="1" applyBorder="1" applyAlignment="1">
      <alignment vertical="center" wrapText="1"/>
    </xf>
    <xf numFmtId="203" fontId="28" fillId="0" borderId="14" xfId="2296" applyNumberFormat="1" applyFont="1" applyBorder="1">
      <alignment vertical="center"/>
    </xf>
    <xf numFmtId="0" fontId="26" fillId="0" borderId="48" xfId="2296" applyFont="1" applyBorder="1">
      <alignment vertical="center"/>
    </xf>
    <xf numFmtId="0" fontId="29" fillId="0" borderId="13" xfId="2296" applyFont="1" applyBorder="1" applyAlignment="1">
      <alignment horizontal="center" vertical="center"/>
    </xf>
    <xf numFmtId="0" fontId="29" fillId="0" borderId="14" xfId="2296" applyFont="1" applyBorder="1" applyAlignment="1">
      <alignment horizontal="center" vertical="center"/>
    </xf>
    <xf numFmtId="0" fontId="29" fillId="0" borderId="14" xfId="2296" applyFont="1" applyBorder="1">
      <alignment vertical="center"/>
    </xf>
    <xf numFmtId="203" fontId="29" fillId="0" borderId="14" xfId="2296" applyNumberFormat="1" applyFont="1" applyBorder="1" applyAlignment="1">
      <alignment horizontal="center" vertical="center"/>
    </xf>
    <xf numFmtId="0" fontId="26" fillId="0" borderId="49" xfId="2296" applyFont="1" applyBorder="1">
      <alignment vertical="center"/>
    </xf>
    <xf numFmtId="0" fontId="26" fillId="0" borderId="50" xfId="2296" applyFont="1" applyBorder="1">
      <alignment vertical="center"/>
    </xf>
    <xf numFmtId="207" fontId="29" fillId="0" borderId="42" xfId="2296" applyNumberFormat="1" applyFont="1" applyBorder="1" applyAlignment="1">
      <alignment horizontal="center" vertical="center"/>
    </xf>
    <xf numFmtId="203" fontId="29" fillId="0" borderId="42" xfId="2296" applyNumberFormat="1" applyFont="1" applyBorder="1">
      <alignment vertical="center"/>
    </xf>
    <xf numFmtId="203" fontId="29" fillId="0" borderId="42" xfId="2296" applyNumberFormat="1" applyFont="1" applyBorder="1" applyAlignment="1">
      <alignment horizontal="center" vertical="center"/>
    </xf>
    <xf numFmtId="0" fontId="30" fillId="0" borderId="0" xfId="2296" applyFont="1" applyAlignment="1">
      <alignment horizontal="center" vertical="center"/>
    </xf>
    <xf numFmtId="0" fontId="31" fillId="0" borderId="0" xfId="2296" applyFont="1" applyAlignment="1">
      <alignment horizontal="center" vertical="center"/>
    </xf>
    <xf numFmtId="203" fontId="28" fillId="0" borderId="25" xfId="2296" applyNumberFormat="1" applyFont="1" applyBorder="1" applyAlignment="1">
      <alignment horizontal="center" vertical="center"/>
    </xf>
    <xf numFmtId="0" fontId="24" fillId="0" borderId="7" xfId="2296" applyFont="1" applyBorder="1" applyAlignment="1">
      <alignment horizontal="center" vertical="center"/>
    </xf>
    <xf numFmtId="203" fontId="28" fillId="0" borderId="15" xfId="2296" applyNumberFormat="1" applyFont="1" applyBorder="1" applyAlignment="1">
      <alignment horizontal="center" vertical="center" wrapText="1"/>
    </xf>
    <xf numFmtId="209" fontId="27" fillId="0" borderId="0" xfId="2296" applyNumberFormat="1" applyFont="1" applyAlignment="1">
      <alignment horizontal="center" vertical="center"/>
    </xf>
    <xf numFmtId="209" fontId="27" fillId="0" borderId="8" xfId="2296" applyNumberFormat="1" applyFont="1" applyBorder="1" applyAlignment="1">
      <alignment horizontal="center" vertical="center"/>
    </xf>
    <xf numFmtId="203" fontId="29" fillId="0" borderId="15" xfId="2296" applyNumberFormat="1" applyFont="1" applyBorder="1" applyAlignment="1">
      <alignment horizontal="center" vertical="center"/>
    </xf>
    <xf numFmtId="0" fontId="26" fillId="2" borderId="23" xfId="2296" applyFont="1" applyFill="1" applyBorder="1" applyAlignment="1">
      <alignment horizontal="center" vertical="center"/>
    </xf>
    <xf numFmtId="0" fontId="26" fillId="2" borderId="0" xfId="2296" applyFont="1" applyFill="1" applyAlignment="1">
      <alignment horizontal="center" vertical="center"/>
    </xf>
    <xf numFmtId="204" fontId="29" fillId="0" borderId="15" xfId="2296" applyNumberFormat="1" applyFont="1" applyBorder="1" applyAlignment="1">
      <alignment horizontal="center" vertical="center"/>
    </xf>
    <xf numFmtId="204" fontId="29" fillId="0" borderId="51" xfId="2296" applyNumberFormat="1" applyFont="1" applyBorder="1" applyAlignment="1">
      <alignment horizontal="center" vertical="center"/>
    </xf>
    <xf numFmtId="209" fontId="27" fillId="0" borderId="52" xfId="2296" applyNumberFormat="1" applyFont="1" applyBorder="1" applyAlignment="1">
      <alignment horizontal="center" vertical="center"/>
    </xf>
    <xf numFmtId="209" fontId="27" fillId="0" borderId="9" xfId="2296" applyNumberFormat="1" applyFont="1" applyBorder="1" applyAlignment="1">
      <alignment horizontal="center" vertical="center"/>
    </xf>
    <xf numFmtId="209" fontId="27" fillId="0" borderId="25" xfId="2296" applyNumberFormat="1" applyFont="1" applyBorder="1" applyAlignment="1">
      <alignment horizontal="center" vertical="center"/>
    </xf>
    <xf numFmtId="0" fontId="26" fillId="2" borderId="34" xfId="2296" applyFont="1" applyFill="1" applyBorder="1" applyAlignment="1">
      <alignment horizontal="center" vertical="center"/>
    </xf>
    <xf numFmtId="0" fontId="26" fillId="2" borderId="6" xfId="2296" applyFont="1" applyFill="1" applyBorder="1" applyAlignment="1">
      <alignment horizontal="center" vertical="center"/>
    </xf>
    <xf numFmtId="0" fontId="26" fillId="0" borderId="6" xfId="2296" applyFont="1" applyBorder="1" applyAlignment="1">
      <alignment horizontal="center" vertical="center"/>
    </xf>
    <xf numFmtId="0" fontId="26" fillId="2" borderId="24" xfId="2296" applyFont="1" applyFill="1" applyBorder="1" applyAlignment="1">
      <alignment horizontal="center" vertical="center"/>
    </xf>
    <xf numFmtId="0" fontId="13" fillId="0" borderId="0" xfId="1309" applyFont="1" applyAlignment="1">
      <alignment horizontal="left" vertical="center"/>
    </xf>
    <xf numFmtId="0" fontId="8" fillId="0" borderId="8" xfId="1309" applyFont="1" applyBorder="1" applyAlignment="1">
      <alignment horizontal="center" vertical="center"/>
    </xf>
    <xf numFmtId="0" fontId="8" fillId="0" borderId="9" xfId="1309" applyFont="1" applyBorder="1" applyAlignment="1">
      <alignment horizontal="center" vertical="center" wrapText="1"/>
    </xf>
    <xf numFmtId="0" fontId="8" fillId="0" borderId="9" xfId="1309" applyFont="1" applyBorder="1" applyAlignment="1">
      <alignment horizontal="center" vertical="center"/>
    </xf>
    <xf numFmtId="0" fontId="8" fillId="0" borderId="9" xfId="1309" applyFont="1" applyBorder="1" applyAlignment="1">
      <alignment horizontal="center" wrapText="1"/>
    </xf>
    <xf numFmtId="0" fontId="8" fillId="0" borderId="9" xfId="1309" applyFont="1" applyBorder="1" applyAlignment="1">
      <alignment horizontal="center"/>
    </xf>
    <xf numFmtId="0" fontId="8" fillId="0" borderId="13" xfId="1309" applyFont="1" applyBorder="1" applyAlignment="1">
      <alignment horizontal="center" vertical="center"/>
    </xf>
    <xf numFmtId="0" fontId="8" fillId="0" borderId="14" xfId="1309" applyFont="1" applyBorder="1" applyAlignment="1">
      <alignment horizontal="center" vertical="center" wrapText="1"/>
    </xf>
    <xf numFmtId="0" fontId="8" fillId="0" borderId="14" xfId="1309" applyFont="1" applyBorder="1" applyAlignment="1">
      <alignment horizontal="center" vertical="center"/>
    </xf>
    <xf numFmtId="0" fontId="8" fillId="0" borderId="14" xfId="1309" applyFont="1" applyBorder="1" applyAlignment="1">
      <alignment horizontal="center" wrapText="1"/>
    </xf>
    <xf numFmtId="0" fontId="2" fillId="0" borderId="13" xfId="1309" applyFont="1" applyBorder="1" applyAlignment="1">
      <alignment horizontal="center"/>
    </xf>
    <xf numFmtId="0" fontId="2" fillId="0" borderId="14" xfId="1309" applyFont="1" applyBorder="1" applyAlignment="1">
      <alignment horizontal="center"/>
    </xf>
    <xf numFmtId="208" fontId="2" fillId="0" borderId="14" xfId="1309" applyNumberFormat="1" applyFont="1" applyBorder="1" applyAlignment="1">
      <alignment horizontal="center"/>
    </xf>
    <xf numFmtId="210" fontId="2" fillId="12" borderId="14" xfId="1309" applyNumberFormat="1" applyFont="1" applyFill="1" applyBorder="1" applyAlignment="1">
      <alignment horizontal="center"/>
    </xf>
    <xf numFmtId="2" fontId="2" fillId="12" borderId="14" xfId="1309" applyNumberFormat="1" applyFont="1" applyFill="1" applyBorder="1" applyAlignment="1">
      <alignment horizontal="center"/>
    </xf>
    <xf numFmtId="185" fontId="2" fillId="12" borderId="14" xfId="1309" applyNumberFormat="1" applyFont="1" applyFill="1" applyBorder="1" applyAlignment="1">
      <alignment horizontal="center"/>
    </xf>
    <xf numFmtId="198" fontId="2" fillId="13" borderId="14" xfId="1309" applyNumberFormat="1" applyFont="1" applyFill="1" applyBorder="1" applyAlignment="1">
      <alignment horizontal="center"/>
    </xf>
    <xf numFmtId="0" fontId="0" fillId="0" borderId="14" xfId="1309" applyBorder="1"/>
    <xf numFmtId="0" fontId="2" fillId="0" borderId="23" xfId="1309" applyFont="1" applyBorder="1" applyAlignment="1">
      <alignment horizontal="center"/>
    </xf>
    <xf numFmtId="0" fontId="2" fillId="0" borderId="6" xfId="1309" applyFont="1" applyBorder="1" applyAlignment="1">
      <alignment horizontal="center"/>
    </xf>
    <xf numFmtId="0" fontId="23" fillId="0" borderId="0" xfId="1309" applyFont="1" applyAlignment="1">
      <alignment horizontal="center" vertical="center"/>
    </xf>
    <xf numFmtId="0" fontId="32" fillId="0" borderId="0" xfId="1309" applyFont="1" applyAlignment="1">
      <alignment horizontal="center"/>
    </xf>
    <xf numFmtId="0" fontId="8" fillId="0" borderId="25" xfId="1309" applyFont="1" applyBorder="1" applyAlignment="1">
      <alignment horizontal="center" wrapText="1"/>
    </xf>
    <xf numFmtId="0" fontId="2" fillId="0" borderId="0" xfId="1309" applyFont="1" applyAlignment="1">
      <alignment horizontal="center" wrapText="1"/>
    </xf>
    <xf numFmtId="0" fontId="0" fillId="0" borderId="8" xfId="1309" applyBorder="1" applyAlignment="1">
      <alignment horizontal="center"/>
    </xf>
    <xf numFmtId="0" fontId="0" fillId="0" borderId="9" xfId="1309" applyBorder="1" applyAlignment="1">
      <alignment horizontal="center"/>
    </xf>
    <xf numFmtId="0" fontId="8" fillId="0" borderId="15" xfId="1309" applyFont="1" applyBorder="1" applyAlignment="1">
      <alignment horizontal="center" wrapText="1"/>
    </xf>
    <xf numFmtId="0" fontId="2" fillId="0" borderId="13" xfId="1309" applyFont="1" applyBorder="1" applyAlignment="1">
      <alignment horizontal="center" wrapText="1"/>
    </xf>
    <xf numFmtId="0" fontId="2" fillId="0" borderId="14" xfId="1309" applyFont="1" applyBorder="1" applyAlignment="1">
      <alignment horizontal="center" wrapText="1"/>
    </xf>
    <xf numFmtId="203" fontId="2" fillId="0" borderId="14" xfId="1309" applyNumberFormat="1" applyFont="1" applyBorder="1" applyAlignment="1">
      <alignment horizontal="center"/>
    </xf>
    <xf numFmtId="203" fontId="2" fillId="0" borderId="15" xfId="1309" applyNumberFormat="1" applyFont="1" applyBorder="1" applyAlignment="1">
      <alignment horizontal="center"/>
    </xf>
    <xf numFmtId="203" fontId="2" fillId="0" borderId="0" xfId="1309" applyNumberFormat="1" applyFont="1" applyAlignment="1">
      <alignment horizontal="center"/>
    </xf>
    <xf numFmtId="188" fontId="33" fillId="0" borderId="13" xfId="1309" applyNumberFormat="1" applyFont="1" applyBorder="1"/>
    <xf numFmtId="188" fontId="33" fillId="0" borderId="14" xfId="1309" applyNumberFormat="1" applyFont="1" applyBorder="1"/>
    <xf numFmtId="0" fontId="2" fillId="0" borderId="13" xfId="1309" applyFont="1" applyBorder="1"/>
    <xf numFmtId="0" fontId="2" fillId="0" borderId="14" xfId="1309" applyFont="1" applyBorder="1"/>
    <xf numFmtId="2" fontId="2" fillId="12" borderId="15" xfId="1309" applyNumberFormat="1" applyFont="1" applyFill="1" applyBorder="1" applyAlignment="1">
      <alignment horizontal="center"/>
    </xf>
    <xf numFmtId="203" fontId="33" fillId="0" borderId="13" xfId="1309" applyNumberFormat="1" applyFont="1" applyBorder="1"/>
    <xf numFmtId="203" fontId="33" fillId="0" borderId="14" xfId="1309" applyNumberFormat="1" applyFont="1" applyBorder="1"/>
    <xf numFmtId="203" fontId="33" fillId="0" borderId="23" xfId="1309" applyNumberFormat="1" applyFont="1" applyBorder="1"/>
    <xf numFmtId="203" fontId="33" fillId="0" borderId="6" xfId="1309" applyNumberFormat="1" applyFont="1" applyBorder="1"/>
    <xf numFmtId="0" fontId="2" fillId="0" borderId="47" xfId="1309" applyFont="1" applyBorder="1" applyAlignment="1">
      <alignment horizontal="center"/>
    </xf>
    <xf numFmtId="0" fontId="2" fillId="0" borderId="11" xfId="1309" applyFont="1" applyBorder="1" applyAlignment="1">
      <alignment horizontal="center"/>
    </xf>
    <xf numFmtId="0" fontId="0" fillId="0" borderId="15" xfId="1309" applyBorder="1"/>
    <xf numFmtId="0" fontId="2" fillId="0" borderId="48" xfId="1309" applyFont="1" applyBorder="1" applyAlignment="1">
      <alignment horizontal="center" vertical="center"/>
    </xf>
    <xf numFmtId="0" fontId="2" fillId="0" borderId="17" xfId="1309" applyFont="1" applyBorder="1" applyAlignment="1">
      <alignment horizontal="center" vertical="center"/>
    </xf>
    <xf numFmtId="0" fontId="2" fillId="0" borderId="49" xfId="1309" applyFont="1" applyBorder="1" applyAlignment="1">
      <alignment horizontal="center" vertical="center"/>
    </xf>
    <xf numFmtId="0" fontId="2" fillId="0" borderId="53" xfId="1309" applyFont="1" applyBorder="1" applyAlignment="1">
      <alignment horizontal="center" vertical="center"/>
    </xf>
    <xf numFmtId="0" fontId="0" fillId="0" borderId="0" xfId="1309" applyAlignment="1">
      <alignment horizontal="center" vertical="center"/>
    </xf>
    <xf numFmtId="203" fontId="2" fillId="0" borderId="24" xfId="1309" applyNumberFormat="1" applyFont="1" applyBorder="1" applyAlignment="1">
      <alignment horizontal="center"/>
    </xf>
    <xf numFmtId="203" fontId="0" fillId="0" borderId="0" xfId="1309" applyNumberFormat="1"/>
    <xf numFmtId="0" fontId="0" fillId="0" borderId="25" xfId="1309" applyBorder="1" applyAlignment="1">
      <alignment horizontal="center"/>
    </xf>
    <xf numFmtId="0" fontId="2" fillId="0" borderId="15" xfId="1309" applyFont="1" applyBorder="1" applyAlignment="1">
      <alignment horizontal="center" wrapText="1"/>
    </xf>
    <xf numFmtId="208" fontId="33" fillId="0" borderId="14" xfId="1309" applyNumberFormat="1" applyFont="1" applyBorder="1"/>
    <xf numFmtId="208" fontId="33" fillId="0" borderId="15" xfId="1309" applyNumberFormat="1" applyFont="1" applyBorder="1"/>
    <xf numFmtId="0" fontId="2" fillId="0" borderId="15" xfId="1309" applyFont="1" applyBorder="1"/>
    <xf numFmtId="203" fontId="33" fillId="0" borderId="15" xfId="1309" applyNumberFormat="1" applyFont="1" applyBorder="1"/>
    <xf numFmtId="203" fontId="33" fillId="0" borderId="24" xfId="1309" applyNumberFormat="1" applyFont="1" applyBorder="1"/>
    <xf numFmtId="0" fontId="2" fillId="0" borderId="12" xfId="1309" applyFont="1" applyBorder="1" applyAlignment="1">
      <alignment horizontal="center"/>
    </xf>
    <xf numFmtId="0" fontId="2" fillId="0" borderId="18" xfId="1309" applyFont="1" applyBorder="1" applyAlignment="1">
      <alignment horizontal="center" vertical="center"/>
    </xf>
    <xf numFmtId="0" fontId="2" fillId="0" borderId="14" xfId="1309" applyFont="1" applyBorder="1" applyAlignment="1">
      <alignment horizontal="center" vertical="center"/>
    </xf>
    <xf numFmtId="0" fontId="2" fillId="0" borderId="15" xfId="1309" applyFont="1" applyBorder="1" applyAlignment="1">
      <alignment horizontal="center" vertical="center"/>
    </xf>
    <xf numFmtId="203" fontId="2" fillId="0" borderId="14" xfId="1309" applyNumberFormat="1" applyFont="1" applyBorder="1" applyAlignment="1">
      <alignment horizontal="center" vertical="center"/>
    </xf>
    <xf numFmtId="203" fontId="2" fillId="0" borderId="15" xfId="1309" applyNumberFormat="1" applyFont="1" applyBorder="1" applyAlignment="1">
      <alignment horizontal="center" vertical="center"/>
    </xf>
    <xf numFmtId="0" fontId="2" fillId="0" borderId="34" xfId="1309" applyFont="1" applyBorder="1" applyAlignment="1">
      <alignment horizontal="center" vertical="center"/>
    </xf>
    <xf numFmtId="203" fontId="2" fillId="0" borderId="6" xfId="1309" applyNumberFormat="1" applyFont="1" applyBorder="1" applyAlignment="1">
      <alignment horizontal="center" vertical="center"/>
    </xf>
    <xf numFmtId="203" fontId="2" fillId="0" borderId="24" xfId="1309" applyNumberFormat="1" applyFont="1" applyBorder="1" applyAlignment="1">
      <alignment horizontal="center" vertical="center"/>
    </xf>
    <xf numFmtId="203" fontId="0" fillId="0" borderId="0" xfId="1309" applyNumberFormat="1" applyAlignment="1">
      <alignment horizontal="center" vertical="center"/>
    </xf>
    <xf numFmtId="0" fontId="7" fillId="14" borderId="0" xfId="1218" applyFont="1" applyFill="1"/>
    <xf numFmtId="49" fontId="12" fillId="6" borderId="0" xfId="2296" applyNumberFormat="1" applyFont="1" applyFill="1" applyAlignment="1">
      <alignment horizontal="center"/>
    </xf>
    <xf numFmtId="49" fontId="2" fillId="0" borderId="9" xfId="2296" applyNumberFormat="1" applyFont="1" applyBorder="1" applyAlignment="1">
      <alignment horizontal="left"/>
    </xf>
    <xf numFmtId="49" fontId="2" fillId="0" borderId="25" xfId="2296" applyNumberFormat="1" applyFont="1" applyBorder="1" applyAlignment="1">
      <alignment horizontal="left"/>
    </xf>
    <xf numFmtId="0" fontId="2" fillId="5" borderId="14" xfId="2296" applyFont="1" applyFill="1" applyBorder="1" applyAlignment="1">
      <alignment horizontal="center"/>
    </xf>
    <xf numFmtId="49" fontId="2" fillId="0" borderId="13" xfId="2296" applyNumberFormat="1" applyFont="1" applyBorder="1" applyAlignment="1">
      <alignment horizontal="left"/>
    </xf>
    <xf numFmtId="49" fontId="2" fillId="0" borderId="15" xfId="2296" applyNumberFormat="1" applyFont="1" applyBorder="1" applyAlignment="1">
      <alignment horizontal="left"/>
    </xf>
    <xf numFmtId="203" fontId="2" fillId="0" borderId="14" xfId="2296" applyNumberFormat="1" applyFont="1" applyBorder="1" applyAlignment="1">
      <alignment horizontal="center"/>
    </xf>
    <xf numFmtId="0" fontId="2" fillId="0" borderId="14" xfId="2296" applyFont="1" applyBorder="1" applyAlignment="1">
      <alignment horizontal="left"/>
    </xf>
    <xf numFmtId="203" fontId="2" fillId="0" borderId="15" xfId="2296" applyNumberFormat="1" applyFont="1" applyBorder="1" applyAlignment="1">
      <alignment horizontal="center"/>
    </xf>
    <xf numFmtId="204" fontId="2" fillId="0" borderId="14" xfId="2296" applyNumberFormat="1" applyFont="1" applyBorder="1" applyAlignment="1">
      <alignment horizontal="center"/>
    </xf>
    <xf numFmtId="207" fontId="2" fillId="0" borderId="14" xfId="2296" applyNumberFormat="1" applyFont="1" applyBorder="1" applyAlignment="1">
      <alignment horizontal="center"/>
    </xf>
    <xf numFmtId="203" fontId="2" fillId="0" borderId="14" xfId="32" applyNumberFormat="1" applyFont="1" applyBorder="1" applyAlignment="1">
      <alignment horizontal="center"/>
    </xf>
    <xf numFmtId="10" fontId="2" fillId="0" borderId="14" xfId="2296" applyNumberFormat="1" applyFont="1" applyBorder="1" applyAlignment="1">
      <alignment horizontal="center"/>
    </xf>
    <xf numFmtId="208" fontId="2" fillId="0" borderId="14" xfId="2296" applyNumberFormat="1" applyFont="1" applyBorder="1" applyAlignment="1">
      <alignment horizontal="center"/>
    </xf>
    <xf numFmtId="9" fontId="2" fillId="0" borderId="14" xfId="2296" applyNumberFormat="1" applyFont="1" applyBorder="1" applyAlignment="1">
      <alignment horizontal="center"/>
    </xf>
    <xf numFmtId="0" fontId="2" fillId="0" borderId="23" xfId="2296" applyFont="1" applyBorder="1" applyAlignment="1">
      <alignment horizontal="center"/>
    </xf>
    <xf numFmtId="0" fontId="2" fillId="0" borderId="6" xfId="2296" applyFont="1" applyBorder="1" applyAlignment="1">
      <alignment horizontal="center"/>
    </xf>
    <xf numFmtId="203" fontId="2" fillId="0" borderId="6" xfId="2296" applyNumberFormat="1" applyFont="1" applyBorder="1" applyAlignment="1">
      <alignment horizontal="center"/>
    </xf>
    <xf numFmtId="203" fontId="2" fillId="0" borderId="24" xfId="2296" applyNumberFormat="1" applyFont="1" applyBorder="1" applyAlignment="1">
      <alignment horizontal="center"/>
    </xf>
    <xf numFmtId="0" fontId="2" fillId="0" borderId="0" xfId="2296" applyFont="1" applyAlignment="1">
      <alignment horizontal="center"/>
    </xf>
    <xf numFmtId="203" fontId="2" fillId="0" borderId="0" xfId="2296" applyNumberFormat="1" applyFont="1" applyAlignment="1">
      <alignment horizontal="center"/>
    </xf>
    <xf numFmtId="0" fontId="2" fillId="5" borderId="0" xfId="2296" applyFont="1" applyFill="1" applyAlignment="1">
      <alignment horizontal="center"/>
    </xf>
    <xf numFmtId="49" fontId="2" fillId="0" borderId="48" xfId="2296" applyNumberFormat="1" applyFont="1" applyBorder="1" applyAlignment="1">
      <alignment horizontal="left"/>
    </xf>
    <xf numFmtId="49" fontId="2" fillId="0" borderId="17" xfId="2296" applyNumberFormat="1" applyFont="1" applyBorder="1" applyAlignment="1">
      <alignment horizontal="left"/>
    </xf>
    <xf numFmtId="49" fontId="2" fillId="0" borderId="54" xfId="2296" applyNumberFormat="1" applyFont="1" applyBorder="1" applyAlignment="1">
      <alignment horizontal="left"/>
    </xf>
    <xf numFmtId="0" fontId="2" fillId="0" borderId="16" xfId="2296" applyFont="1" applyBorder="1" applyAlignment="1">
      <alignment horizontal="left"/>
    </xf>
    <xf numFmtId="0" fontId="2" fillId="0" borderId="18" xfId="2296" applyFont="1" applyBorder="1" applyAlignment="1">
      <alignment horizontal="left"/>
    </xf>
    <xf numFmtId="0" fontId="2" fillId="0" borderId="33" xfId="2296" applyFont="1" applyBorder="1" applyAlignment="1">
      <alignment horizontal="center"/>
    </xf>
    <xf numFmtId="0" fontId="2" fillId="0" borderId="34" xfId="2296" applyFont="1" applyBorder="1" applyAlignment="1">
      <alignment horizontal="center"/>
    </xf>
    <xf numFmtId="49" fontId="12" fillId="0" borderId="0" xfId="2296" applyNumberFormat="1" applyFont="1" applyAlignment="1">
      <alignment horizontal="center"/>
    </xf>
    <xf numFmtId="203" fontId="7" fillId="0" borderId="0" xfId="1218" applyNumberFormat="1" applyFont="1"/>
    <xf numFmtId="0" fontId="7" fillId="0" borderId="16" xfId="1218" applyFont="1" applyBorder="1" applyAlignment="1">
      <alignment horizontal="left"/>
    </xf>
    <xf numFmtId="0" fontId="7" fillId="0" borderId="17" xfId="1218" applyFont="1" applyBorder="1" applyAlignment="1">
      <alignment horizontal="left"/>
    </xf>
    <xf numFmtId="0" fontId="34" fillId="0" borderId="14" xfId="2296" applyFont="1" applyBorder="1" applyAlignment="1">
      <alignment horizontal="left"/>
    </xf>
    <xf numFmtId="0" fontId="34" fillId="0" borderId="14" xfId="2296" applyFont="1" applyBorder="1" applyAlignment="1">
      <alignment horizontal="center"/>
    </xf>
    <xf numFmtId="203" fontId="34" fillId="0" borderId="14" xfId="2296" applyNumberFormat="1" applyFont="1" applyBorder="1" applyAlignment="1">
      <alignment horizontal="center"/>
    </xf>
    <xf numFmtId="203" fontId="34" fillId="0" borderId="15" xfId="2296" applyNumberFormat="1" applyFont="1" applyBorder="1" applyAlignment="1">
      <alignment horizontal="center"/>
    </xf>
    <xf numFmtId="49" fontId="2" fillId="14" borderId="8" xfId="2296" applyNumberFormat="1" applyFont="1" applyFill="1" applyBorder="1" applyAlignment="1">
      <alignment horizontal="center"/>
    </xf>
    <xf numFmtId="49" fontId="2" fillId="14" borderId="9" xfId="2296" applyNumberFormat="1" applyFont="1" applyFill="1" applyBorder="1" applyAlignment="1">
      <alignment horizontal="center"/>
    </xf>
    <xf numFmtId="49" fontId="2" fillId="14" borderId="9" xfId="2296" applyNumberFormat="1" applyFont="1" applyFill="1" applyBorder="1" applyAlignment="1">
      <alignment horizontal="left"/>
    </xf>
    <xf numFmtId="49" fontId="2" fillId="14" borderId="25" xfId="2296" applyNumberFormat="1" applyFont="1" applyFill="1" applyBorder="1" applyAlignment="1">
      <alignment horizontal="left"/>
    </xf>
    <xf numFmtId="0" fontId="6" fillId="0" borderId="14" xfId="2296" applyFont="1" applyBorder="1" applyAlignment="1">
      <alignment horizontal="left"/>
    </xf>
    <xf numFmtId="0" fontId="6" fillId="0" borderId="14" xfId="2296" applyFont="1" applyBorder="1" applyAlignment="1">
      <alignment horizontal="center"/>
    </xf>
    <xf numFmtId="0" fontId="35" fillId="0" borderId="14" xfId="1218" applyFont="1" applyBorder="1" applyAlignment="1">
      <alignment horizontal="center"/>
    </xf>
    <xf numFmtId="203" fontId="6" fillId="0" borderId="14" xfId="2296" applyNumberFormat="1" applyFont="1" applyBorder="1" applyAlignment="1">
      <alignment horizontal="center"/>
    </xf>
    <xf numFmtId="0" fontId="2" fillId="0" borderId="16" xfId="2296" applyFont="1" applyBorder="1" applyAlignment="1">
      <alignment horizontal="center"/>
    </xf>
    <xf numFmtId="0" fontId="2" fillId="0" borderId="18" xfId="2296" applyFont="1" applyBorder="1" applyAlignment="1"/>
    <xf numFmtId="208" fontId="2" fillId="3" borderId="14" xfId="2296" applyNumberFormat="1" applyFont="1" applyFill="1" applyBorder="1" applyAlignment="1">
      <alignment horizontal="center"/>
    </xf>
    <xf numFmtId="0" fontId="2" fillId="0" borderId="14" xfId="2296" applyFont="1" applyBorder="1" applyAlignment="1"/>
    <xf numFmtId="0" fontId="36" fillId="0" borderId="0" xfId="1218" applyFont="1" applyAlignment="1">
      <alignment horizontal="center"/>
    </xf>
    <xf numFmtId="0" fontId="36" fillId="0" borderId="0" xfId="1218" applyFont="1"/>
    <xf numFmtId="49" fontId="12" fillId="2" borderId="0" xfId="2296" applyNumberFormat="1" applyFont="1" applyFill="1" applyAlignment="1">
      <alignment horizontal="center"/>
    </xf>
    <xf numFmtId="0" fontId="2" fillId="0" borderId="15" xfId="2296" applyFont="1" applyBorder="1" applyAlignment="1"/>
    <xf numFmtId="49" fontId="2" fillId="0" borderId="23" xfId="2296" applyNumberFormat="1" applyFont="1" applyBorder="1" applyAlignment="1">
      <alignment horizontal="center"/>
    </xf>
    <xf numFmtId="0" fontId="2" fillId="0" borderId="6" xfId="2296" applyFont="1" applyBorder="1" applyAlignment="1">
      <alignment horizontal="left"/>
    </xf>
    <xf numFmtId="203" fontId="36" fillId="0" borderId="0" xfId="1218" applyNumberFormat="1" applyFont="1" applyAlignment="1">
      <alignment horizontal="center"/>
    </xf>
    <xf numFmtId="0" fontId="35" fillId="0" borderId="13" xfId="1218" applyFont="1" applyBorder="1" applyAlignment="1">
      <alignment horizontal="center"/>
    </xf>
    <xf numFmtId="0" fontId="37" fillId="0" borderId="14" xfId="1218" applyFont="1" applyBorder="1"/>
    <xf numFmtId="0" fontId="37" fillId="0" borderId="14" xfId="1218" applyFont="1" applyBorder="1" applyAlignment="1">
      <alignment horizontal="center"/>
    </xf>
    <xf numFmtId="0" fontId="35" fillId="0" borderId="23" xfId="1218" applyFont="1" applyBorder="1" applyAlignment="1">
      <alignment horizontal="center"/>
    </xf>
    <xf numFmtId="0" fontId="35" fillId="0" borderId="6" xfId="1218" applyFont="1" applyBorder="1" applyAlignment="1">
      <alignment horizontal="center"/>
    </xf>
    <xf numFmtId="0" fontId="37" fillId="0" borderId="6" xfId="1218" applyFont="1" applyBorder="1" applyAlignment="1">
      <alignment horizontal="center"/>
    </xf>
    <xf numFmtId="201" fontId="2" fillId="0" borderId="14" xfId="1218" applyNumberFormat="1" applyFont="1" applyBorder="1" applyAlignment="1">
      <alignment horizontal="center"/>
    </xf>
    <xf numFmtId="201" fontId="2" fillId="0" borderId="55" xfId="1218" applyNumberFormat="1" applyFont="1" applyBorder="1" applyAlignment="1">
      <alignment horizontal="left"/>
    </xf>
    <xf numFmtId="201" fontId="2" fillId="0" borderId="56" xfId="1218" applyNumberFormat="1" applyFont="1" applyBorder="1" applyAlignment="1">
      <alignment horizontal="left"/>
    </xf>
    <xf numFmtId="10" fontId="2" fillId="0" borderId="14" xfId="1218" applyNumberFormat="1" applyFont="1" applyBorder="1" applyAlignment="1">
      <alignment horizontal="center"/>
    </xf>
    <xf numFmtId="186" fontId="2" fillId="0" borderId="14" xfId="1218" applyNumberFormat="1" applyFont="1" applyBorder="1" applyAlignment="1">
      <alignment horizontal="center"/>
    </xf>
    <xf numFmtId="201" fontId="2" fillId="0" borderId="14" xfId="1218" applyNumberFormat="1" applyFont="1" applyBorder="1" applyAlignment="1">
      <alignment horizontal="left"/>
    </xf>
    <xf numFmtId="201" fontId="2" fillId="0" borderId="57" xfId="1218" applyNumberFormat="1" applyFont="1" applyBorder="1" applyAlignment="1">
      <alignment horizontal="left"/>
    </xf>
    <xf numFmtId="201" fontId="2" fillId="0" borderId="58" xfId="1218" applyNumberFormat="1" applyFont="1" applyBorder="1" applyAlignment="1">
      <alignment horizontal="left"/>
    </xf>
    <xf numFmtId="10" fontId="2" fillId="0" borderId="14" xfId="32" applyNumberFormat="1" applyFont="1" applyFill="1" applyBorder="1" applyAlignment="1">
      <alignment horizontal="center"/>
    </xf>
    <xf numFmtId="201" fontId="2" fillId="0" borderId="16" xfId="1218" applyNumberFormat="1" applyFont="1" applyBorder="1" applyAlignment="1">
      <alignment horizontal="left"/>
    </xf>
    <xf numFmtId="201" fontId="2" fillId="0" borderId="18" xfId="1218" applyNumberFormat="1" applyFont="1" applyBorder="1" applyAlignment="1">
      <alignment horizontal="left"/>
    </xf>
    <xf numFmtId="201" fontId="2" fillId="14" borderId="14" xfId="1218" applyNumberFormat="1" applyFont="1" applyFill="1" applyBorder="1" applyAlignment="1">
      <alignment horizontal="center"/>
    </xf>
    <xf numFmtId="201" fontId="2" fillId="0" borderId="18" xfId="1218" applyNumberFormat="1" applyFont="1" applyBorder="1" applyAlignment="1">
      <alignment horizontal="center"/>
    </xf>
    <xf numFmtId="201" fontId="2" fillId="0" borderId="13" xfId="1218" applyNumberFormat="1" applyFont="1" applyBorder="1" applyAlignment="1">
      <alignment horizontal="center"/>
    </xf>
    <xf numFmtId="201" fontId="2" fillId="0" borderId="15" xfId="1218" applyNumberFormat="1" applyFont="1" applyBorder="1" applyAlignment="1">
      <alignment horizontal="center"/>
    </xf>
    <xf numFmtId="186" fontId="2" fillId="0" borderId="13" xfId="1218" applyNumberFormat="1" applyFont="1" applyBorder="1" applyAlignment="1">
      <alignment horizontal="center"/>
    </xf>
    <xf numFmtId="203" fontId="2" fillId="14" borderId="14" xfId="2296" applyNumberFormat="1" applyFont="1" applyFill="1" applyBorder="1" applyAlignment="1">
      <alignment horizontal="center"/>
    </xf>
    <xf numFmtId="203" fontId="2" fillId="14" borderId="24" xfId="2296" applyNumberFormat="1" applyFont="1" applyFill="1" applyBorder="1" applyAlignment="1">
      <alignment horizontal="center"/>
    </xf>
    <xf numFmtId="9" fontId="2" fillId="0" borderId="14" xfId="32" applyFont="1" applyBorder="1" applyAlignment="1">
      <alignment horizontal="center"/>
    </xf>
    <xf numFmtId="180" fontId="2" fillId="0" borderId="14" xfId="32" applyNumberFormat="1" applyFont="1" applyFill="1" applyBorder="1" applyAlignment="1">
      <alignment horizontal="center"/>
    </xf>
    <xf numFmtId="0" fontId="7" fillId="0" borderId="14" xfId="1218" applyFont="1" applyBorder="1"/>
    <xf numFmtId="201" fontId="2" fillId="0" borderId="8" xfId="1218" applyNumberFormat="1" applyFont="1" applyBorder="1" applyAlignment="1">
      <alignment horizontal="center"/>
    </xf>
    <xf numFmtId="201" fontId="2" fillId="0" borderId="9" xfId="1218" applyNumberFormat="1" applyFont="1" applyBorder="1" applyAlignment="1">
      <alignment horizontal="center"/>
    </xf>
    <xf numFmtId="186" fontId="2" fillId="0" borderId="9" xfId="1218" applyNumberFormat="1" applyFont="1" applyBorder="1" applyAlignment="1">
      <alignment horizontal="center"/>
    </xf>
    <xf numFmtId="201" fontId="2" fillId="0" borderId="9" xfId="1218" applyNumberFormat="1" applyFont="1" applyBorder="1" applyAlignment="1">
      <alignment horizontal="left"/>
    </xf>
    <xf numFmtId="201" fontId="2" fillId="0" borderId="25" xfId="1218" applyNumberFormat="1" applyFont="1" applyBorder="1" applyAlignment="1">
      <alignment horizontal="left"/>
    </xf>
    <xf numFmtId="201" fontId="2" fillId="0" borderId="15" xfId="1218" applyNumberFormat="1" applyFont="1" applyBorder="1" applyAlignment="1">
      <alignment horizontal="left"/>
    </xf>
    <xf numFmtId="201" fontId="38" fillId="15" borderId="0" xfId="0" applyNumberFormat="1" applyFont="1" applyFill="1" applyAlignment="1">
      <alignment horizontal="center"/>
    </xf>
    <xf numFmtId="201" fontId="2" fillId="15" borderId="0" xfId="0" applyNumberFormat="1" applyFont="1" applyFill="1" applyAlignment="1">
      <alignment horizontal="center"/>
    </xf>
    <xf numFmtId="201" fontId="39" fillId="15" borderId="0" xfId="0" applyNumberFormat="1" applyFont="1" applyFill="1" applyAlignment="1">
      <alignment horizontal="center"/>
    </xf>
    <xf numFmtId="201" fontId="8" fillId="15" borderId="0" xfId="0" applyNumberFormat="1" applyFont="1" applyFill="1" applyAlignment="1">
      <alignment horizontal="center"/>
    </xf>
    <xf numFmtId="10" fontId="2" fillId="15" borderId="0" xfId="0" applyNumberFormat="1" applyFont="1" applyFill="1" applyAlignment="1">
      <alignment horizontal="center"/>
    </xf>
    <xf numFmtId="10" fontId="2" fillId="14" borderId="14" xfId="32" applyNumberFormat="1" applyFont="1" applyFill="1" applyBorder="1" applyAlignment="1">
      <alignment horizontal="center"/>
    </xf>
    <xf numFmtId="9" fontId="2" fillId="0" borderId="14" xfId="32" applyFont="1" applyFill="1" applyBorder="1" applyAlignment="1">
      <alignment horizontal="center"/>
    </xf>
    <xf numFmtId="201" fontId="2" fillId="0" borderId="23" xfId="1218" applyNumberFormat="1" applyFont="1" applyBorder="1" applyAlignment="1">
      <alignment horizontal="center"/>
    </xf>
    <xf numFmtId="201" fontId="2" fillId="0" borderId="6" xfId="1218" applyNumberFormat="1" applyFont="1" applyBorder="1" applyAlignment="1">
      <alignment horizontal="center"/>
    </xf>
    <xf numFmtId="201" fontId="2" fillId="0" borderId="24" xfId="1218" applyNumberFormat="1" applyFont="1" applyBorder="1" applyAlignment="1">
      <alignment horizontal="center"/>
    </xf>
    <xf numFmtId="49" fontId="9" fillId="6" borderId="0" xfId="2296" applyNumberFormat="1" applyFont="1" applyFill="1" applyAlignment="1">
      <alignment horizontal="center"/>
    </xf>
    <xf numFmtId="201" fontId="2" fillId="15" borderId="0" xfId="0" applyNumberFormat="1" applyFont="1" applyFill="1" applyAlignment="1">
      <alignment horizontal="center" wrapText="1"/>
    </xf>
    <xf numFmtId="201" fontId="34" fillId="15" borderId="0" xfId="0" applyNumberFormat="1" applyFont="1" applyFill="1" applyAlignment="1">
      <alignment horizontal="center"/>
    </xf>
    <xf numFmtId="180" fontId="2" fillId="0" borderId="14" xfId="2296" applyNumberFormat="1" applyFont="1" applyBorder="1" applyAlignment="1">
      <alignment horizontal="center"/>
    </xf>
    <xf numFmtId="201" fontId="6" fillId="0" borderId="13" xfId="0" applyNumberFormat="1" applyFont="1" applyBorder="1" applyAlignment="1">
      <alignment horizontal="center"/>
    </xf>
    <xf numFmtId="201" fontId="6" fillId="0" borderId="15" xfId="0" applyNumberFormat="1" applyFont="1" applyBorder="1" applyAlignment="1">
      <alignment horizontal="center"/>
    </xf>
    <xf numFmtId="186" fontId="6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203" fontId="6" fillId="0" borderId="14" xfId="0" applyNumberFormat="1" applyFont="1" applyBorder="1" applyAlignment="1">
      <alignment horizontal="center"/>
    </xf>
    <xf numFmtId="201" fontId="10" fillId="0" borderId="14" xfId="0" applyNumberFormat="1" applyFont="1" applyBorder="1" applyAlignment="1">
      <alignment horizontal="center"/>
    </xf>
    <xf numFmtId="9" fontId="6" fillId="0" borderId="14" xfId="0" applyNumberFormat="1" applyFont="1" applyBorder="1" applyAlignment="1">
      <alignment horizontal="center"/>
    </xf>
    <xf numFmtId="204" fontId="6" fillId="0" borderId="14" xfId="0" applyNumberFormat="1" applyFont="1" applyBorder="1" applyAlignment="1">
      <alignment horizontal="center"/>
    </xf>
    <xf numFmtId="10" fontId="6" fillId="0" borderId="14" xfId="0" applyNumberFormat="1" applyFont="1" applyBorder="1" applyAlignment="1">
      <alignment horizontal="center"/>
    </xf>
    <xf numFmtId="180" fontId="6" fillId="0" borderId="14" xfId="0" applyNumberFormat="1" applyFont="1" applyBorder="1" applyAlignment="1">
      <alignment horizontal="center"/>
    </xf>
    <xf numFmtId="201" fontId="6" fillId="0" borderId="23" xfId="0" applyNumberFormat="1" applyFont="1" applyBorder="1" applyAlignment="1">
      <alignment horizontal="center"/>
    </xf>
    <xf numFmtId="201" fontId="11" fillId="0" borderId="33" xfId="0" applyNumberFormat="1" applyFont="1" applyBorder="1" applyAlignment="1">
      <alignment horizontal="center"/>
    </xf>
    <xf numFmtId="201" fontId="11" fillId="0" borderId="34" xfId="0" applyNumberFormat="1" applyFont="1" applyBorder="1" applyAlignment="1">
      <alignment horizontal="center"/>
    </xf>
    <xf numFmtId="201" fontId="11" fillId="0" borderId="6" xfId="0" applyNumberFormat="1" applyFont="1" applyBorder="1" applyAlignment="1">
      <alignment horizontal="center"/>
    </xf>
    <xf numFmtId="201" fontId="11" fillId="0" borderId="24" xfId="0" applyNumberFormat="1" applyFont="1" applyBorder="1" applyAlignment="1">
      <alignment horizontal="center"/>
    </xf>
    <xf numFmtId="201" fontId="11" fillId="0" borderId="6" xfId="0" applyNumberFormat="1" applyFont="1" applyBorder="1" applyAlignment="1">
      <alignment horizontal="left"/>
    </xf>
    <xf numFmtId="9" fontId="6" fillId="0" borderId="14" xfId="32" applyFont="1" applyBorder="1" applyAlignment="1">
      <alignment horizontal="center"/>
    </xf>
    <xf numFmtId="201" fontId="6" fillId="0" borderId="16" xfId="0" applyNumberFormat="1" applyFont="1" applyBorder="1" applyAlignment="1">
      <alignment horizontal="center"/>
    </xf>
    <xf numFmtId="201" fontId="6" fillId="0" borderId="18" xfId="0" applyNumberFormat="1" applyFont="1" applyBorder="1" applyAlignment="1">
      <alignment horizontal="center"/>
    </xf>
    <xf numFmtId="2" fontId="7" fillId="0" borderId="0" xfId="1218" applyNumberFormat="1" applyFont="1"/>
    <xf numFmtId="204" fontId="7" fillId="0" borderId="0" xfId="1218" applyNumberFormat="1" applyFont="1"/>
    <xf numFmtId="0" fontId="2" fillId="0" borderId="18" xfId="2296" applyFont="1" applyBorder="1" applyAlignment="1">
      <alignment horizontal="center"/>
    </xf>
    <xf numFmtId="0" fontId="0" fillId="12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9" fillId="0" borderId="16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96" fontId="2" fillId="0" borderId="57" xfId="0" applyNumberFormat="1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0" fillId="0" borderId="45" xfId="0" applyBorder="1"/>
    <xf numFmtId="0" fontId="2" fillId="0" borderId="57" xfId="0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196" fontId="2" fillId="0" borderId="16" xfId="0" applyNumberFormat="1" applyFont="1" applyBorder="1" applyAlignment="1">
      <alignment horizontal="center" vertical="center"/>
    </xf>
    <xf numFmtId="209" fontId="2" fillId="0" borderId="14" xfId="2294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180" fontId="2" fillId="0" borderId="14" xfId="32" applyNumberFormat="1" applyFont="1" applyBorder="1" applyAlignment="1">
      <alignment horizontal="center" vertical="center"/>
    </xf>
    <xf numFmtId="10" fontId="2" fillId="0" borderId="18" xfId="0" applyNumberFormat="1" applyFont="1" applyBorder="1" applyAlignment="1">
      <alignment horizontal="center" vertical="center"/>
    </xf>
    <xf numFmtId="10" fontId="2" fillId="0" borderId="14" xfId="32" applyNumberFormat="1" applyFont="1" applyBorder="1" applyAlignment="1">
      <alignment horizontal="center" vertical="center"/>
    </xf>
    <xf numFmtId="201" fontId="2" fillId="0" borderId="59" xfId="1218" applyNumberFormat="1" applyFont="1" applyBorder="1" applyAlignment="1">
      <alignment horizontal="center"/>
    </xf>
    <xf numFmtId="201" fontId="2" fillId="0" borderId="5" xfId="1218" applyNumberFormat="1" applyFont="1" applyBorder="1" applyAlignment="1">
      <alignment horizontal="center"/>
    </xf>
    <xf numFmtId="9" fontId="2" fillId="0" borderId="5" xfId="32" applyFont="1" applyFill="1" applyBorder="1" applyAlignment="1">
      <alignment horizontal="center"/>
    </xf>
    <xf numFmtId="0" fontId="0" fillId="12" borderId="60" xfId="0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9" fontId="2" fillId="0" borderId="14" xfId="32" applyFont="1" applyBorder="1" applyAlignment="1">
      <alignment horizontal="center" vertical="center"/>
    </xf>
    <xf numFmtId="0" fontId="0" fillId="0" borderId="16" xfId="0" applyBorder="1"/>
    <xf numFmtId="203" fontId="2" fillId="0" borderId="16" xfId="0" applyNumberFormat="1" applyFont="1" applyBorder="1" applyAlignment="1">
      <alignment horizontal="center" vertical="center"/>
    </xf>
    <xf numFmtId="0" fontId="2" fillId="0" borderId="14" xfId="0" applyFont="1" applyBorder="1"/>
    <xf numFmtId="2" fontId="2" fillId="16" borderId="14" xfId="0" applyNumberFormat="1" applyFont="1" applyFill="1" applyBorder="1" applyAlignment="1">
      <alignment horizontal="center" vertical="center"/>
    </xf>
    <xf numFmtId="49" fontId="12" fillId="12" borderId="0" xfId="2296" applyNumberFormat="1" applyFont="1" applyFill="1" applyAlignment="1">
      <alignment horizontal="center"/>
    </xf>
    <xf numFmtId="203" fontId="2" fillId="16" borderId="14" xfId="2296" applyNumberFormat="1" applyFont="1" applyFill="1" applyBorder="1" applyAlignment="1">
      <alignment horizontal="center"/>
    </xf>
    <xf numFmtId="182" fontId="2" fillId="0" borderId="14" xfId="24" applyNumberFormat="1" applyFont="1" applyBorder="1" applyAlignment="1">
      <alignment horizontal="center"/>
    </xf>
    <xf numFmtId="182" fontId="2" fillId="3" borderId="14" xfId="24" applyNumberFormat="1" applyFont="1" applyFill="1" applyBorder="1" applyAlignment="1">
      <alignment horizontal="center"/>
    </xf>
    <xf numFmtId="49" fontId="2" fillId="10" borderId="8" xfId="2296" applyNumberFormat="1" applyFont="1" applyFill="1" applyBorder="1" applyAlignment="1">
      <alignment horizontal="center"/>
    </xf>
    <xf numFmtId="49" fontId="2" fillId="10" borderId="9" xfId="2296" applyNumberFormat="1" applyFont="1" applyFill="1" applyBorder="1" applyAlignment="1">
      <alignment horizontal="center"/>
    </xf>
    <xf numFmtId="49" fontId="2" fillId="10" borderId="9" xfId="2296" applyNumberFormat="1" applyFont="1" applyFill="1" applyBorder="1" applyAlignment="1">
      <alignment horizontal="left"/>
    </xf>
    <xf numFmtId="49" fontId="2" fillId="10" borderId="25" xfId="2296" applyNumberFormat="1" applyFont="1" applyFill="1" applyBorder="1" applyAlignment="1">
      <alignment horizontal="left"/>
    </xf>
    <xf numFmtId="49" fontId="2" fillId="10" borderId="13" xfId="2296" applyNumberFormat="1" applyFont="1" applyFill="1" applyBorder="1" applyAlignment="1">
      <alignment horizontal="center"/>
    </xf>
    <xf numFmtId="49" fontId="2" fillId="10" borderId="14" xfId="2296" applyNumberFormat="1" applyFont="1" applyFill="1" applyBorder="1" applyAlignment="1">
      <alignment horizontal="center"/>
    </xf>
    <xf numFmtId="49" fontId="2" fillId="10" borderId="14" xfId="2296" applyNumberFormat="1" applyFont="1" applyFill="1" applyBorder="1" applyAlignment="1">
      <alignment horizontal="left"/>
    </xf>
    <xf numFmtId="0" fontId="2" fillId="10" borderId="14" xfId="2296" applyFont="1" applyFill="1" applyBorder="1" applyAlignment="1">
      <alignment horizontal="center"/>
    </xf>
    <xf numFmtId="0" fontId="2" fillId="10" borderId="15" xfId="2296" applyFont="1" applyFill="1" applyBorder="1" applyAlignment="1">
      <alignment horizontal="center"/>
    </xf>
    <xf numFmtId="49" fontId="2" fillId="10" borderId="13" xfId="2296" applyNumberFormat="1" applyFont="1" applyFill="1" applyBorder="1" applyAlignment="1">
      <alignment horizontal="left"/>
    </xf>
    <xf numFmtId="49" fontId="2" fillId="10" borderId="15" xfId="2296" applyNumberFormat="1" applyFont="1" applyFill="1" applyBorder="1" applyAlignment="1">
      <alignment horizontal="left"/>
    </xf>
    <xf numFmtId="49" fontId="2" fillId="10" borderId="13" xfId="2296" applyNumberFormat="1" applyFont="1" applyFill="1" applyBorder="1" applyAlignment="1">
      <alignment horizontal="left" wrapText="1"/>
    </xf>
    <xf numFmtId="49" fontId="2" fillId="10" borderId="14" xfId="2296" applyNumberFormat="1" applyFont="1" applyFill="1" applyBorder="1" applyAlignment="1">
      <alignment horizontal="left" wrapText="1"/>
    </xf>
    <xf numFmtId="0" fontId="2" fillId="10" borderId="14" xfId="1218" applyFont="1" applyFill="1" applyBorder="1" applyAlignment="1">
      <alignment horizontal="left"/>
    </xf>
    <xf numFmtId="0" fontId="2" fillId="10" borderId="15" xfId="1218" applyFont="1" applyFill="1" applyBorder="1" applyAlignment="1">
      <alignment horizontal="left"/>
    </xf>
    <xf numFmtId="203" fontId="2" fillId="10" borderId="14" xfId="2296" applyNumberFormat="1" applyFont="1" applyFill="1" applyBorder="1" applyAlignment="1">
      <alignment horizontal="center"/>
    </xf>
    <xf numFmtId="0" fontId="2" fillId="10" borderId="14" xfId="2296" applyFont="1" applyFill="1" applyBorder="1" applyAlignment="1">
      <alignment horizontal="left"/>
    </xf>
    <xf numFmtId="203" fontId="2" fillId="10" borderId="15" xfId="2296" applyNumberFormat="1" applyFont="1" applyFill="1" applyBorder="1" applyAlignment="1">
      <alignment horizontal="center"/>
    </xf>
    <xf numFmtId="204" fontId="2" fillId="10" borderId="14" xfId="2296" applyNumberFormat="1" applyFont="1" applyFill="1" applyBorder="1" applyAlignment="1">
      <alignment horizontal="center"/>
    </xf>
    <xf numFmtId="0" fontId="40" fillId="10" borderId="16" xfId="2296" applyFont="1" applyFill="1" applyBorder="1" applyAlignment="1">
      <alignment horizontal="left"/>
    </xf>
    <xf numFmtId="0" fontId="40" fillId="10" borderId="18" xfId="2296" applyFont="1" applyFill="1" applyBorder="1" applyAlignment="1">
      <alignment horizontal="left"/>
    </xf>
    <xf numFmtId="0" fontId="40" fillId="10" borderId="14" xfId="2296" applyFont="1" applyFill="1" applyBorder="1" applyAlignment="1">
      <alignment horizontal="center"/>
    </xf>
    <xf numFmtId="203" fontId="40" fillId="10" borderId="14" xfId="2296" applyNumberFormat="1" applyFont="1" applyFill="1" applyBorder="1" applyAlignment="1">
      <alignment horizontal="center"/>
    </xf>
    <xf numFmtId="203" fontId="40" fillId="10" borderId="15" xfId="2296" applyNumberFormat="1" applyFont="1" applyFill="1" applyBorder="1" applyAlignment="1">
      <alignment horizontal="center"/>
    </xf>
    <xf numFmtId="203" fontId="2" fillId="10" borderId="14" xfId="32" applyNumberFormat="1" applyFont="1" applyFill="1" applyBorder="1" applyAlignment="1">
      <alignment horizontal="center"/>
    </xf>
    <xf numFmtId="10" fontId="2" fillId="10" borderId="14" xfId="2296" applyNumberFormat="1" applyFont="1" applyFill="1" applyBorder="1" applyAlignment="1">
      <alignment horizontal="center"/>
    </xf>
    <xf numFmtId="0" fontId="2" fillId="10" borderId="23" xfId="2296" applyFont="1" applyFill="1" applyBorder="1" applyAlignment="1">
      <alignment horizontal="center"/>
    </xf>
    <xf numFmtId="0" fontId="2" fillId="10" borderId="6" xfId="2296" applyFont="1" applyFill="1" applyBorder="1" applyAlignment="1">
      <alignment horizontal="center"/>
    </xf>
    <xf numFmtId="203" fontId="2" fillId="10" borderId="6" xfId="2296" applyNumberFormat="1" applyFont="1" applyFill="1" applyBorder="1" applyAlignment="1">
      <alignment horizontal="center"/>
    </xf>
    <xf numFmtId="203" fontId="2" fillId="10" borderId="24" xfId="2296" applyNumberFormat="1" applyFont="1" applyFill="1" applyBorder="1" applyAlignment="1">
      <alignment horizontal="center"/>
    </xf>
    <xf numFmtId="10" fontId="2" fillId="0" borderId="14" xfId="32" applyNumberFormat="1" applyFont="1" applyBorder="1" applyAlignment="1">
      <alignment horizontal="center"/>
    </xf>
    <xf numFmtId="0" fontId="7" fillId="17" borderId="0" xfId="1218" applyFont="1" applyFill="1" applyAlignment="1">
      <alignment horizontal="center"/>
    </xf>
    <xf numFmtId="0" fontId="7" fillId="17" borderId="0" xfId="1218" applyFont="1" applyFill="1"/>
    <xf numFmtId="203" fontId="7" fillId="17" borderId="0" xfId="1218" applyNumberFormat="1" applyFont="1" applyFill="1" applyAlignment="1">
      <alignment horizontal="center"/>
    </xf>
    <xf numFmtId="49" fontId="9" fillId="17" borderId="0" xfId="2296" applyNumberFormat="1" applyFont="1" applyFill="1" applyAlignment="1">
      <alignment horizontal="center"/>
    </xf>
    <xf numFmtId="49" fontId="2" fillId="17" borderId="8" xfId="2296" applyNumberFormat="1" applyFont="1" applyFill="1" applyBorder="1" applyAlignment="1">
      <alignment horizontal="center"/>
    </xf>
    <xf numFmtId="49" fontId="2" fillId="17" borderId="9" xfId="2296" applyNumberFormat="1" applyFont="1" applyFill="1" applyBorder="1" applyAlignment="1">
      <alignment horizontal="center"/>
    </xf>
    <xf numFmtId="49" fontId="2" fillId="17" borderId="9" xfId="2296" applyNumberFormat="1" applyFont="1" applyFill="1" applyBorder="1" applyAlignment="1">
      <alignment horizontal="left"/>
    </xf>
    <xf numFmtId="49" fontId="2" fillId="17" borderId="25" xfId="2296" applyNumberFormat="1" applyFont="1" applyFill="1" applyBorder="1" applyAlignment="1">
      <alignment horizontal="left"/>
    </xf>
    <xf numFmtId="49" fontId="2" fillId="17" borderId="13" xfId="2296" applyNumberFormat="1" applyFont="1" applyFill="1" applyBorder="1" applyAlignment="1">
      <alignment horizontal="center"/>
    </xf>
    <xf numFmtId="49" fontId="2" fillId="17" borderId="14" xfId="2296" applyNumberFormat="1" applyFont="1" applyFill="1" applyBorder="1" applyAlignment="1">
      <alignment horizontal="center"/>
    </xf>
    <xf numFmtId="49" fontId="2" fillId="17" borderId="14" xfId="2296" applyNumberFormat="1" applyFont="1" applyFill="1" applyBorder="1" applyAlignment="1">
      <alignment horizontal="left"/>
    </xf>
    <xf numFmtId="0" fontId="2" fillId="17" borderId="14" xfId="2296" applyFont="1" applyFill="1" applyBorder="1" applyAlignment="1"/>
    <xf numFmtId="0" fontId="2" fillId="17" borderId="15" xfId="2296" applyFont="1" applyFill="1" applyBorder="1" applyAlignment="1"/>
    <xf numFmtId="49" fontId="2" fillId="17" borderId="13" xfId="2296" applyNumberFormat="1" applyFont="1" applyFill="1" applyBorder="1" applyAlignment="1">
      <alignment horizontal="left"/>
    </xf>
    <xf numFmtId="49" fontId="2" fillId="17" borderId="15" xfId="2296" applyNumberFormat="1" applyFont="1" applyFill="1" applyBorder="1" applyAlignment="1">
      <alignment horizontal="left"/>
    </xf>
    <xf numFmtId="49" fontId="2" fillId="17" borderId="13" xfId="2296" applyNumberFormat="1" applyFont="1" applyFill="1" applyBorder="1" applyAlignment="1">
      <alignment horizontal="left" wrapText="1"/>
    </xf>
    <xf numFmtId="49" fontId="2" fillId="17" borderId="14" xfId="2296" applyNumberFormat="1" applyFont="1" applyFill="1" applyBorder="1" applyAlignment="1">
      <alignment horizontal="left" wrapText="1"/>
    </xf>
    <xf numFmtId="0" fontId="2" fillId="17" borderId="14" xfId="1218" applyFont="1" applyFill="1" applyBorder="1" applyAlignment="1">
      <alignment horizontal="left"/>
    </xf>
    <xf numFmtId="0" fontId="2" fillId="17" borderId="15" xfId="1218" applyFont="1" applyFill="1" applyBorder="1" applyAlignment="1">
      <alignment horizontal="left"/>
    </xf>
    <xf numFmtId="0" fontId="2" fillId="17" borderId="14" xfId="2296" applyFont="1" applyFill="1" applyBorder="1" applyAlignment="1">
      <alignment horizontal="center"/>
    </xf>
    <xf numFmtId="203" fontId="2" fillId="17" borderId="14" xfId="2296" applyNumberFormat="1" applyFont="1" applyFill="1" applyBorder="1" applyAlignment="1">
      <alignment horizontal="center"/>
    </xf>
    <xf numFmtId="0" fontId="2" fillId="17" borderId="15" xfId="2296" applyFont="1" applyFill="1" applyBorder="1" applyAlignment="1">
      <alignment horizontal="center"/>
    </xf>
    <xf numFmtId="0" fontId="2" fillId="17" borderId="14" xfId="2296" applyFont="1" applyFill="1" applyBorder="1" applyAlignment="1">
      <alignment horizontal="left"/>
    </xf>
    <xf numFmtId="203" fontId="2" fillId="17" borderId="15" xfId="2296" applyNumberFormat="1" applyFont="1" applyFill="1" applyBorder="1" applyAlignment="1">
      <alignment horizontal="center"/>
    </xf>
    <xf numFmtId="201" fontId="2" fillId="17" borderId="13" xfId="1218" applyNumberFormat="1" applyFont="1" applyFill="1" applyBorder="1" applyAlignment="1">
      <alignment horizontal="center"/>
    </xf>
    <xf numFmtId="201" fontId="2" fillId="17" borderId="14" xfId="1218" applyNumberFormat="1" applyFont="1" applyFill="1" applyBorder="1" applyAlignment="1">
      <alignment horizontal="left"/>
    </xf>
    <xf numFmtId="201" fontId="2" fillId="17" borderId="14" xfId="1218" applyNumberFormat="1" applyFont="1" applyFill="1" applyBorder="1" applyAlignment="1">
      <alignment horizontal="center"/>
    </xf>
    <xf numFmtId="201" fontId="2" fillId="17" borderId="15" xfId="1218" applyNumberFormat="1" applyFont="1" applyFill="1" applyBorder="1" applyAlignment="1">
      <alignment horizontal="center"/>
    </xf>
    <xf numFmtId="10" fontId="2" fillId="17" borderId="14" xfId="1218" applyNumberFormat="1" applyFont="1" applyFill="1" applyBorder="1" applyAlignment="1">
      <alignment horizontal="center"/>
    </xf>
    <xf numFmtId="186" fontId="2" fillId="17" borderId="13" xfId="1218" applyNumberFormat="1" applyFont="1" applyFill="1" applyBorder="1" applyAlignment="1">
      <alignment horizontal="center"/>
    </xf>
    <xf numFmtId="180" fontId="2" fillId="17" borderId="14" xfId="32" applyNumberFormat="1" applyFont="1" applyFill="1" applyBorder="1" applyAlignment="1">
      <alignment horizontal="center"/>
    </xf>
    <xf numFmtId="180" fontId="2" fillId="17" borderId="14" xfId="2296" applyNumberFormat="1" applyFont="1" applyFill="1" applyBorder="1" applyAlignment="1">
      <alignment horizontal="center"/>
    </xf>
    <xf numFmtId="208" fontId="2" fillId="17" borderId="14" xfId="2296" applyNumberFormat="1" applyFont="1" applyFill="1" applyBorder="1" applyAlignment="1">
      <alignment horizontal="center"/>
    </xf>
    <xf numFmtId="10" fontId="2" fillId="17" borderId="14" xfId="2296" applyNumberFormat="1" applyFont="1" applyFill="1" applyBorder="1" applyAlignment="1">
      <alignment horizontal="center"/>
    </xf>
    <xf numFmtId="0" fontId="2" fillId="17" borderId="23" xfId="2296" applyFont="1" applyFill="1" applyBorder="1" applyAlignment="1">
      <alignment horizontal="center"/>
    </xf>
    <xf numFmtId="0" fontId="2" fillId="17" borderId="6" xfId="2296" applyFont="1" applyFill="1" applyBorder="1" applyAlignment="1">
      <alignment horizontal="center"/>
    </xf>
    <xf numFmtId="203" fontId="2" fillId="17" borderId="6" xfId="2296" applyNumberFormat="1" applyFont="1" applyFill="1" applyBorder="1" applyAlignment="1">
      <alignment horizontal="center"/>
    </xf>
    <xf numFmtId="203" fontId="2" fillId="17" borderId="24" xfId="2296" applyNumberFormat="1" applyFont="1" applyFill="1" applyBorder="1" applyAlignment="1">
      <alignment horizontal="center"/>
    </xf>
    <xf numFmtId="49" fontId="13" fillId="17" borderId="0" xfId="2296" applyNumberFormat="1" applyFont="1" applyFill="1" applyAlignment="1">
      <alignment horizontal="center"/>
    </xf>
    <xf numFmtId="49" fontId="8" fillId="17" borderId="8" xfId="2296" applyNumberFormat="1" applyFont="1" applyFill="1" applyBorder="1" applyAlignment="1">
      <alignment horizontal="center"/>
    </xf>
    <xf numFmtId="49" fontId="8" fillId="17" borderId="9" xfId="2296" applyNumberFormat="1" applyFont="1" applyFill="1" applyBorder="1" applyAlignment="1">
      <alignment horizontal="center"/>
    </xf>
    <xf numFmtId="49" fontId="8" fillId="17" borderId="9" xfId="2296" applyNumberFormat="1" applyFont="1" applyFill="1" applyBorder="1" applyAlignment="1">
      <alignment horizontal="left"/>
    </xf>
    <xf numFmtId="49" fontId="8" fillId="17" borderId="25" xfId="2296" applyNumberFormat="1" applyFont="1" applyFill="1" applyBorder="1" applyAlignment="1">
      <alignment horizontal="left"/>
    </xf>
    <xf numFmtId="49" fontId="8" fillId="17" borderId="13" xfId="2296" applyNumberFormat="1" applyFont="1" applyFill="1" applyBorder="1" applyAlignment="1">
      <alignment horizontal="center"/>
    </xf>
    <xf numFmtId="49" fontId="8" fillId="17" borderId="14" xfId="2296" applyNumberFormat="1" applyFont="1" applyFill="1" applyBorder="1" applyAlignment="1">
      <alignment horizontal="center"/>
    </xf>
    <xf numFmtId="49" fontId="8" fillId="17" borderId="14" xfId="2296" applyNumberFormat="1" applyFont="1" applyFill="1" applyBorder="1" applyAlignment="1">
      <alignment horizontal="left"/>
    </xf>
    <xf numFmtId="0" fontId="8" fillId="17" borderId="14" xfId="2296" applyFont="1" applyFill="1" applyBorder="1" applyAlignment="1"/>
    <xf numFmtId="0" fontId="8" fillId="17" borderId="15" xfId="2296" applyFont="1" applyFill="1" applyBorder="1" applyAlignment="1"/>
    <xf numFmtId="49" fontId="8" fillId="17" borderId="13" xfId="2296" applyNumberFormat="1" applyFont="1" applyFill="1" applyBorder="1" applyAlignment="1">
      <alignment horizontal="left"/>
    </xf>
    <xf numFmtId="49" fontId="8" fillId="17" borderId="15" xfId="2296" applyNumberFormat="1" applyFont="1" applyFill="1" applyBorder="1" applyAlignment="1">
      <alignment horizontal="left"/>
    </xf>
    <xf numFmtId="49" fontId="8" fillId="17" borderId="13" xfId="2296" applyNumberFormat="1" applyFont="1" applyFill="1" applyBorder="1" applyAlignment="1">
      <alignment horizontal="left" wrapText="1"/>
    </xf>
    <xf numFmtId="49" fontId="8" fillId="17" borderId="14" xfId="2296" applyNumberFormat="1" applyFont="1" applyFill="1" applyBorder="1" applyAlignment="1">
      <alignment horizontal="left" wrapText="1"/>
    </xf>
    <xf numFmtId="0" fontId="8" fillId="17" borderId="14" xfId="1218" applyFont="1" applyFill="1" applyBorder="1" applyAlignment="1">
      <alignment horizontal="left"/>
    </xf>
    <xf numFmtId="0" fontId="8" fillId="17" borderId="15" xfId="1218" applyFont="1" applyFill="1" applyBorder="1" applyAlignment="1">
      <alignment horizontal="left"/>
    </xf>
    <xf numFmtId="0" fontId="8" fillId="17" borderId="14" xfId="2296" applyFont="1" applyFill="1" applyBorder="1" applyAlignment="1">
      <alignment horizontal="center"/>
    </xf>
    <xf numFmtId="203" fontId="8" fillId="17" borderId="14" xfId="2296" applyNumberFormat="1" applyFont="1" applyFill="1" applyBorder="1" applyAlignment="1">
      <alignment horizontal="center"/>
    </xf>
    <xf numFmtId="0" fontId="8" fillId="17" borderId="15" xfId="2296" applyFont="1" applyFill="1" applyBorder="1" applyAlignment="1">
      <alignment horizontal="center"/>
    </xf>
    <xf numFmtId="0" fontId="8" fillId="17" borderId="14" xfId="2296" applyFont="1" applyFill="1" applyBorder="1" applyAlignment="1">
      <alignment horizontal="left"/>
    </xf>
    <xf numFmtId="203" fontId="8" fillId="17" borderId="15" xfId="2296" applyNumberFormat="1" applyFont="1" applyFill="1" applyBorder="1" applyAlignment="1">
      <alignment horizontal="center"/>
    </xf>
    <xf numFmtId="201" fontId="8" fillId="17" borderId="13" xfId="1218" applyNumberFormat="1" applyFont="1" applyFill="1" applyBorder="1" applyAlignment="1">
      <alignment horizontal="center"/>
    </xf>
    <xf numFmtId="201" fontId="8" fillId="17" borderId="14" xfId="1218" applyNumberFormat="1" applyFont="1" applyFill="1" applyBorder="1" applyAlignment="1">
      <alignment horizontal="left"/>
    </xf>
    <xf numFmtId="201" fontId="8" fillId="17" borderId="14" xfId="1218" applyNumberFormat="1" applyFont="1" applyFill="1" applyBorder="1" applyAlignment="1">
      <alignment horizontal="center"/>
    </xf>
    <xf numFmtId="201" fontId="8" fillId="17" borderId="15" xfId="1218" applyNumberFormat="1" applyFont="1" applyFill="1" applyBorder="1" applyAlignment="1">
      <alignment horizontal="center"/>
    </xf>
    <xf numFmtId="10" fontId="8" fillId="17" borderId="14" xfId="1218" applyNumberFormat="1" applyFont="1" applyFill="1" applyBorder="1" applyAlignment="1">
      <alignment horizontal="center"/>
    </xf>
    <xf numFmtId="186" fontId="8" fillId="17" borderId="13" xfId="1218" applyNumberFormat="1" applyFont="1" applyFill="1" applyBorder="1" applyAlignment="1">
      <alignment horizontal="center"/>
    </xf>
    <xf numFmtId="180" fontId="8" fillId="17" borderId="14" xfId="32" applyNumberFormat="1" applyFont="1" applyFill="1" applyBorder="1" applyAlignment="1">
      <alignment horizontal="center"/>
    </xf>
    <xf numFmtId="180" fontId="8" fillId="17" borderId="14" xfId="2296" applyNumberFormat="1" applyFont="1" applyFill="1" applyBorder="1" applyAlignment="1">
      <alignment horizontal="center"/>
    </xf>
    <xf numFmtId="208" fontId="8" fillId="17" borderId="14" xfId="2296" applyNumberFormat="1" applyFont="1" applyFill="1" applyBorder="1" applyAlignment="1">
      <alignment horizontal="center"/>
    </xf>
    <xf numFmtId="10" fontId="8" fillId="17" borderId="14" xfId="2296" applyNumberFormat="1" applyFont="1" applyFill="1" applyBorder="1" applyAlignment="1">
      <alignment horizontal="center"/>
    </xf>
    <xf numFmtId="0" fontId="8" fillId="17" borderId="23" xfId="2296" applyFont="1" applyFill="1" applyBorder="1" applyAlignment="1">
      <alignment horizontal="center"/>
    </xf>
    <xf numFmtId="0" fontId="8" fillId="17" borderId="6" xfId="2296" applyFont="1" applyFill="1" applyBorder="1" applyAlignment="1">
      <alignment horizontal="center"/>
    </xf>
    <xf numFmtId="203" fontId="8" fillId="17" borderId="6" xfId="2296" applyNumberFormat="1" applyFont="1" applyFill="1" applyBorder="1" applyAlignment="1">
      <alignment horizontal="center"/>
    </xf>
    <xf numFmtId="203" fontId="8" fillId="17" borderId="24" xfId="2296" applyNumberFormat="1" applyFont="1" applyFill="1" applyBorder="1" applyAlignment="1">
      <alignment horizontal="center"/>
    </xf>
    <xf numFmtId="49" fontId="41" fillId="17" borderId="0" xfId="2296" applyNumberFormat="1" applyFont="1" applyFill="1" applyAlignment="1">
      <alignment horizontal="center"/>
    </xf>
    <xf numFmtId="0" fontId="0" fillId="0" borderId="0" xfId="2295"/>
    <xf numFmtId="203" fontId="0" fillId="0" borderId="0" xfId="2295" applyNumberFormat="1"/>
    <xf numFmtId="203" fontId="11" fillId="0" borderId="7" xfId="2295" applyNumberFormat="1" applyFont="1" applyBorder="1" applyAlignment="1">
      <alignment horizontal="left" vertical="center"/>
    </xf>
    <xf numFmtId="203" fontId="32" fillId="0" borderId="7" xfId="2295" applyNumberFormat="1" applyFont="1" applyBorder="1" applyAlignment="1">
      <alignment horizontal="left" vertical="center"/>
    </xf>
    <xf numFmtId="203" fontId="11" fillId="0" borderId="8" xfId="2295" applyNumberFormat="1" applyFont="1" applyBorder="1" applyAlignment="1">
      <alignment horizontal="center" vertical="center"/>
    </xf>
    <xf numFmtId="203" fontId="11" fillId="0" borderId="9" xfId="2295" applyNumberFormat="1" applyFont="1" applyBorder="1" applyAlignment="1">
      <alignment horizontal="center" vertical="center"/>
    </xf>
    <xf numFmtId="203" fontId="11" fillId="0" borderId="61" xfId="2295" applyNumberFormat="1" applyFont="1" applyBorder="1" applyAlignment="1">
      <alignment horizontal="center" vertical="center" wrapText="1"/>
    </xf>
    <xf numFmtId="203" fontId="11" fillId="0" borderId="25" xfId="2295" applyNumberFormat="1" applyFont="1" applyBorder="1" applyAlignment="1">
      <alignment horizontal="center" vertical="center"/>
    </xf>
    <xf numFmtId="203" fontId="11" fillId="0" borderId="13" xfId="2295" applyNumberFormat="1" applyFont="1" applyBorder="1" applyAlignment="1">
      <alignment horizontal="center" vertical="center"/>
    </xf>
    <xf numFmtId="203" fontId="11" fillId="0" borderId="14" xfId="2295" applyNumberFormat="1" applyFont="1" applyBorder="1" applyAlignment="1">
      <alignment horizontal="center" vertical="center"/>
    </xf>
    <xf numFmtId="203" fontId="11" fillId="0" borderId="62" xfId="2295" applyNumberFormat="1" applyFont="1" applyBorder="1" applyAlignment="1">
      <alignment horizontal="center" vertical="center" wrapText="1"/>
    </xf>
    <xf numFmtId="203" fontId="11" fillId="0" borderId="14" xfId="2295" applyNumberFormat="1" applyFont="1" applyBorder="1" applyAlignment="1">
      <alignment horizontal="center" vertical="center" wrapText="1"/>
    </xf>
    <xf numFmtId="203" fontId="11" fillId="0" borderId="15" xfId="2295" applyNumberFormat="1" applyFont="1" applyBorder="1" applyAlignment="1">
      <alignment horizontal="center" vertical="center" wrapText="1"/>
    </xf>
    <xf numFmtId="203" fontId="11" fillId="0" borderId="45" xfId="2295" applyNumberFormat="1" applyFont="1" applyBorder="1" applyAlignment="1">
      <alignment horizontal="center" vertical="center" wrapText="1"/>
    </xf>
    <xf numFmtId="207" fontId="2" fillId="0" borderId="13" xfId="2295" applyNumberFormat="1" applyFont="1" applyBorder="1" applyAlignment="1">
      <alignment horizontal="center" vertical="center"/>
    </xf>
    <xf numFmtId="0" fontId="2" fillId="0" borderId="14" xfId="2295" applyFont="1" applyBorder="1" applyAlignment="1">
      <alignment horizontal="center" vertical="center"/>
    </xf>
    <xf numFmtId="0" fontId="42" fillId="0" borderId="14" xfId="2295" applyFont="1" applyBorder="1" applyAlignment="1">
      <alignment horizontal="center" vertical="center"/>
    </xf>
    <xf numFmtId="203" fontId="2" fillId="0" borderId="14" xfId="2295" applyNumberFormat="1" applyFont="1" applyBorder="1" applyAlignment="1">
      <alignment horizontal="center" vertical="center"/>
    </xf>
    <xf numFmtId="203" fontId="2" fillId="0" borderId="15" xfId="2295" applyNumberFormat="1" applyFont="1" applyBorder="1" applyAlignment="1">
      <alignment horizontal="center" vertical="center"/>
    </xf>
    <xf numFmtId="203" fontId="2" fillId="0" borderId="14" xfId="2295" applyNumberFormat="1" applyFont="1" applyBorder="1" applyAlignment="1">
      <alignment horizontal="center" vertical="center" wrapText="1"/>
    </xf>
    <xf numFmtId="0" fontId="6" fillId="0" borderId="14" xfId="2295" applyFont="1" applyBorder="1" applyAlignment="1">
      <alignment horizontal="center" vertical="center"/>
    </xf>
    <xf numFmtId="0" fontId="10" fillId="0" borderId="14" xfId="2295" applyFont="1" applyBorder="1" applyAlignment="1">
      <alignment horizontal="center" vertical="center"/>
    </xf>
    <xf numFmtId="203" fontId="6" fillId="17" borderId="14" xfId="2295" applyNumberFormat="1" applyFont="1" applyFill="1" applyBorder="1" applyAlignment="1">
      <alignment horizontal="center" vertical="center"/>
    </xf>
    <xf numFmtId="203" fontId="33" fillId="0" borderId="14" xfId="2295" applyNumberFormat="1" applyFont="1" applyBorder="1" applyAlignment="1">
      <alignment horizontal="center" vertical="center"/>
    </xf>
    <xf numFmtId="203" fontId="6" fillId="0" borderId="14" xfId="2295" applyNumberFormat="1" applyFont="1" applyBorder="1" applyAlignment="1">
      <alignment horizontal="center" vertical="center" wrapText="1"/>
    </xf>
    <xf numFmtId="203" fontId="6" fillId="0" borderId="15" xfId="2295" applyNumberFormat="1" applyFont="1" applyBorder="1" applyAlignment="1">
      <alignment horizontal="center" vertical="center" wrapText="1"/>
    </xf>
    <xf numFmtId="203" fontId="2" fillId="17" borderId="14" xfId="2295" applyNumberFormat="1" applyFont="1" applyFill="1" applyBorder="1" applyAlignment="1">
      <alignment horizontal="center" vertical="center"/>
    </xf>
    <xf numFmtId="0" fontId="6" fillId="0" borderId="14" xfId="2295" applyFont="1" applyBorder="1" applyAlignment="1">
      <alignment horizontal="center"/>
    </xf>
    <xf numFmtId="203" fontId="6" fillId="0" borderId="14" xfId="2295" applyNumberFormat="1" applyFont="1" applyBorder="1" applyAlignment="1">
      <alignment horizontal="center" vertical="center"/>
    </xf>
    <xf numFmtId="203" fontId="6" fillId="0" borderId="13" xfId="2295" applyNumberFormat="1" applyFont="1" applyBorder="1" applyAlignment="1">
      <alignment horizontal="center" vertical="center"/>
    </xf>
    <xf numFmtId="0" fontId="2" fillId="0" borderId="13" xfId="2295" applyFont="1" applyBorder="1"/>
    <xf numFmtId="203" fontId="6" fillId="0" borderId="14" xfId="2295" applyNumberFormat="1" applyFont="1" applyBorder="1" applyAlignment="1">
      <alignment horizontal="left" vertical="center"/>
    </xf>
    <xf numFmtId="203" fontId="6" fillId="0" borderId="15" xfId="2295" applyNumberFormat="1" applyFont="1" applyBorder="1" applyAlignment="1">
      <alignment horizontal="left" vertical="center"/>
    </xf>
    <xf numFmtId="203" fontId="43" fillId="0" borderId="49" xfId="2295" applyNumberFormat="1" applyFont="1" applyBorder="1" applyAlignment="1">
      <alignment horizontal="center" vertical="center"/>
    </xf>
    <xf numFmtId="203" fontId="43" fillId="0" borderId="53" xfId="2295" applyNumberFormat="1" applyFont="1" applyBorder="1" applyAlignment="1">
      <alignment horizontal="center" vertical="center"/>
    </xf>
    <xf numFmtId="203" fontId="43" fillId="0" borderId="63" xfId="2295" applyNumberFormat="1" applyFont="1" applyBorder="1" applyAlignment="1">
      <alignment horizontal="center" vertical="center"/>
    </xf>
    <xf numFmtId="0" fontId="2" fillId="0" borderId="0" xfId="2295" applyFont="1"/>
    <xf numFmtId="203" fontId="6" fillId="0" borderId="0" xfId="2295" applyNumberFormat="1" applyFont="1" applyAlignment="1">
      <alignment horizontal="center" vertical="center"/>
    </xf>
    <xf numFmtId="203" fontId="6" fillId="0" borderId="0" xfId="2295" applyNumberFormat="1" applyFont="1" applyAlignment="1">
      <alignment horizontal="left" vertical="center"/>
    </xf>
    <xf numFmtId="203" fontId="32" fillId="0" borderId="7" xfId="2295" applyNumberFormat="1" applyFont="1" applyBorder="1" applyAlignment="1">
      <alignment horizontal="center" vertical="center"/>
    </xf>
    <xf numFmtId="203" fontId="11" fillId="0" borderId="0" xfId="2295" applyNumberFormat="1" applyFont="1" applyAlignment="1">
      <alignment vertical="center"/>
    </xf>
    <xf numFmtId="203" fontId="6" fillId="0" borderId="8" xfId="2295" applyNumberFormat="1" applyFont="1" applyBorder="1" applyAlignment="1">
      <alignment horizontal="center" vertical="center"/>
    </xf>
    <xf numFmtId="203" fontId="6" fillId="0" borderId="9" xfId="2295" applyNumberFormat="1" applyFont="1" applyBorder="1" applyAlignment="1">
      <alignment horizontal="center" vertical="center"/>
    </xf>
    <xf numFmtId="203" fontId="6" fillId="0" borderId="9" xfId="2295" applyNumberFormat="1" applyFont="1" applyBorder="1" applyAlignment="1">
      <alignment horizontal="center" vertical="center" wrapText="1"/>
    </xf>
    <xf numFmtId="203" fontId="6" fillId="0" borderId="25" xfId="2295" applyNumberFormat="1" applyFont="1" applyBorder="1" applyAlignment="1">
      <alignment horizontal="center" vertical="center" wrapText="1"/>
    </xf>
    <xf numFmtId="207" fontId="6" fillId="0" borderId="13" xfId="2295" applyNumberFormat="1" applyFont="1" applyBorder="1" applyAlignment="1">
      <alignment horizontal="center" vertical="center"/>
    </xf>
    <xf numFmtId="203" fontId="2" fillId="0" borderId="15" xfId="2295" applyNumberFormat="1" applyFont="1" applyBorder="1" applyAlignment="1">
      <alignment horizontal="center" vertical="center" wrapText="1"/>
    </xf>
    <xf numFmtId="176" fontId="6" fillId="0" borderId="14" xfId="2295" applyNumberFormat="1" applyFont="1" applyBorder="1" applyAlignment="1">
      <alignment horizontal="center" vertical="center"/>
    </xf>
    <xf numFmtId="0" fontId="2" fillId="0" borderId="14" xfId="2295" applyFont="1" applyBorder="1"/>
    <xf numFmtId="0" fontId="2" fillId="0" borderId="15" xfId="2295" applyFont="1" applyBorder="1"/>
    <xf numFmtId="0" fontId="2" fillId="0" borderId="23" xfId="2295" applyFont="1" applyBorder="1"/>
    <xf numFmtId="0" fontId="2" fillId="0" borderId="6" xfId="2295" applyFont="1" applyBorder="1"/>
    <xf numFmtId="0" fontId="2" fillId="0" borderId="24" xfId="2295" applyFont="1" applyBorder="1"/>
    <xf numFmtId="203" fontId="32" fillId="0" borderId="0" xfId="2295" applyNumberFormat="1" applyFont="1" applyAlignment="1">
      <alignment horizontal="center" vertical="center"/>
    </xf>
    <xf numFmtId="203" fontId="11" fillId="0" borderId="0" xfId="2295" applyNumberFormat="1" applyFont="1" applyAlignment="1">
      <alignment horizontal="center" vertical="center"/>
    </xf>
    <xf numFmtId="0" fontId="6" fillId="0" borderId="8" xfId="2295" applyFont="1" applyBorder="1" applyAlignment="1">
      <alignment horizontal="center" vertical="center" wrapText="1"/>
    </xf>
    <xf numFmtId="0" fontId="6" fillId="0" borderId="9" xfId="2295" applyFont="1" applyBorder="1" applyAlignment="1">
      <alignment horizontal="center" vertical="center" wrapText="1"/>
    </xf>
    <xf numFmtId="0" fontId="6" fillId="0" borderId="13" xfId="2295" applyFont="1" applyBorder="1" applyAlignment="1">
      <alignment horizontal="center" vertical="center" wrapText="1"/>
    </xf>
    <xf numFmtId="0" fontId="6" fillId="0" borderId="14" xfId="2295" applyFont="1" applyBorder="1" applyAlignment="1">
      <alignment horizontal="center" vertical="center" wrapText="1"/>
    </xf>
    <xf numFmtId="0" fontId="2" fillId="0" borderId="13" xfId="2295" applyFont="1" applyBorder="1" applyAlignment="1">
      <alignment horizontal="center" vertical="center" wrapText="1"/>
    </xf>
    <xf numFmtId="0" fontId="2" fillId="0" borderId="14" xfId="2295" applyFont="1" applyBorder="1" applyAlignment="1">
      <alignment horizontal="center" vertical="center" wrapText="1"/>
    </xf>
    <xf numFmtId="0" fontId="2" fillId="18" borderId="14" xfId="2295" applyFont="1" applyFill="1" applyBorder="1" applyAlignment="1">
      <alignment horizontal="center" vertical="center"/>
    </xf>
    <xf numFmtId="1" fontId="2" fillId="18" borderId="14" xfId="2295" applyNumberFormat="1" applyFont="1" applyFill="1" applyBorder="1" applyAlignment="1">
      <alignment horizontal="center" vertical="center"/>
    </xf>
    <xf numFmtId="0" fontId="2" fillId="0" borderId="23" xfId="2295" applyFont="1" applyBorder="1" applyAlignment="1">
      <alignment horizontal="center" vertical="center"/>
    </xf>
    <xf numFmtId="0" fontId="2" fillId="0" borderId="6" xfId="2295" applyFont="1" applyBorder="1" applyAlignment="1">
      <alignment horizontal="center" vertical="center"/>
    </xf>
    <xf numFmtId="0" fontId="44" fillId="0" borderId="0" xfId="1218" applyFont="1" applyAlignment="1">
      <alignment horizontal="center" vertical="center"/>
    </xf>
    <xf numFmtId="0" fontId="28" fillId="0" borderId="0" xfId="1218" applyFont="1" applyAlignment="1">
      <alignment horizontal="center" vertical="center"/>
    </xf>
    <xf numFmtId="0" fontId="45" fillId="0" borderId="0" xfId="1218" applyFont="1" applyAlignment="1">
      <alignment horizontal="center" vertical="center"/>
    </xf>
    <xf numFmtId="0" fontId="2" fillId="0" borderId="7" xfId="1218" applyFont="1" applyBorder="1" applyAlignment="1">
      <alignment horizontal="center"/>
    </xf>
    <xf numFmtId="0" fontId="2" fillId="0" borderId="7" xfId="1218" applyFont="1" applyBorder="1" applyAlignment="1">
      <alignment horizontal="right"/>
    </xf>
    <xf numFmtId="0" fontId="26" fillId="0" borderId="7" xfId="1218" applyFont="1" applyBorder="1" applyAlignment="1">
      <alignment horizontal="center"/>
    </xf>
    <xf numFmtId="0" fontId="2" fillId="0" borderId="64" xfId="1218" applyFont="1" applyBorder="1" applyAlignment="1">
      <alignment horizontal="center" wrapText="1"/>
    </xf>
    <xf numFmtId="0" fontId="42" fillId="0" borderId="9" xfId="1218" applyFont="1" applyBorder="1" applyAlignment="1">
      <alignment horizontal="center"/>
    </xf>
    <xf numFmtId="0" fontId="2" fillId="0" borderId="65" xfId="1218" applyFont="1" applyBorder="1" applyAlignment="1">
      <alignment horizontal="center" wrapText="1"/>
    </xf>
    <xf numFmtId="0" fontId="42" fillId="0" borderId="25" xfId="1218" applyFont="1" applyBorder="1" applyAlignment="1">
      <alignment horizontal="center"/>
    </xf>
    <xf numFmtId="0" fontId="42" fillId="0" borderId="11" xfId="1218" applyFont="1" applyBorder="1" applyAlignment="1">
      <alignment horizontal="center"/>
    </xf>
    <xf numFmtId="0" fontId="42" fillId="0" borderId="52" xfId="1218" applyFont="1" applyBorder="1" applyAlignment="1">
      <alignment horizontal="center"/>
    </xf>
    <xf numFmtId="0" fontId="42" fillId="0" borderId="13" xfId="1218" applyFont="1" applyBorder="1" applyAlignment="1">
      <alignment horizontal="center"/>
    </xf>
    <xf numFmtId="0" fontId="42" fillId="0" borderId="14" xfId="1218" applyFont="1" applyBorder="1" applyAlignment="1">
      <alignment horizontal="center"/>
    </xf>
    <xf numFmtId="0" fontId="42" fillId="0" borderId="15" xfId="1218" applyFont="1" applyBorder="1" applyAlignment="1">
      <alignment horizontal="center"/>
    </xf>
    <xf numFmtId="0" fontId="42" fillId="0" borderId="18" xfId="1218" applyFont="1" applyBorder="1" applyAlignment="1">
      <alignment horizontal="center"/>
    </xf>
    <xf numFmtId="0" fontId="42" fillId="0" borderId="34" xfId="1218" applyFont="1" applyBorder="1" applyAlignment="1">
      <alignment horizontal="center"/>
    </xf>
    <xf numFmtId="0" fontId="42" fillId="0" borderId="6" xfId="1218" applyFont="1" applyBorder="1" applyAlignment="1">
      <alignment horizontal="center"/>
    </xf>
    <xf numFmtId="0" fontId="42" fillId="0" borderId="0" xfId="1218" applyFont="1"/>
    <xf numFmtId="0" fontId="42" fillId="0" borderId="23" xfId="1218" applyFont="1" applyBorder="1" applyAlignment="1">
      <alignment horizontal="center"/>
    </xf>
    <xf numFmtId="0" fontId="42" fillId="0" borderId="24" xfId="1218" applyFont="1" applyBorder="1" applyAlignment="1">
      <alignment horizontal="center"/>
    </xf>
    <xf numFmtId="0" fontId="6" fillId="0" borderId="25" xfId="2295" applyFont="1" applyBorder="1" applyAlignment="1">
      <alignment horizontal="center" vertical="center" wrapText="1"/>
    </xf>
    <xf numFmtId="0" fontId="6" fillId="0" borderId="15" xfId="2295" applyFont="1" applyBorder="1" applyAlignment="1">
      <alignment horizontal="center" vertical="center" wrapText="1"/>
    </xf>
    <xf numFmtId="0" fontId="2" fillId="0" borderId="24" xfId="2295" applyFont="1" applyBorder="1" applyAlignment="1">
      <alignment horizontal="center" vertical="center"/>
    </xf>
    <xf numFmtId="0" fontId="26" fillId="0" borderId="0" xfId="1218" applyFont="1" applyAlignment="1">
      <alignment horizontal="right"/>
    </xf>
    <xf numFmtId="0" fontId="42" fillId="0" borderId="10" xfId="1218" applyFont="1" applyBorder="1" applyAlignment="1">
      <alignment horizontal="center"/>
    </xf>
    <xf numFmtId="0" fontId="42" fillId="0" borderId="12" xfId="1218" applyFont="1" applyBorder="1" applyAlignment="1">
      <alignment horizontal="center"/>
    </xf>
    <xf numFmtId="49" fontId="2" fillId="0" borderId="10" xfId="2296" applyNumberFormat="1" applyFont="1" applyBorder="1" applyAlignment="1">
      <alignment horizontal="left" vertical="center"/>
    </xf>
    <xf numFmtId="49" fontId="2" fillId="0" borderId="11" xfId="2296" applyNumberFormat="1" applyFont="1" applyBorder="1" applyAlignment="1">
      <alignment horizontal="left" vertical="center"/>
    </xf>
    <xf numFmtId="49" fontId="2" fillId="0" borderId="12" xfId="2296" applyNumberFormat="1" applyFont="1" applyBorder="1" applyAlignment="1">
      <alignment horizontal="left" vertical="center"/>
    </xf>
    <xf numFmtId="49" fontId="2" fillId="0" borderId="48" xfId="2296" applyNumberFormat="1" applyFont="1" applyBorder="1" applyAlignment="1">
      <alignment horizontal="left" vertical="center"/>
    </xf>
    <xf numFmtId="49" fontId="2" fillId="0" borderId="17" xfId="2296" applyNumberFormat="1" applyFont="1" applyBorder="1" applyAlignment="1">
      <alignment horizontal="left" vertical="center"/>
    </xf>
    <xf numFmtId="49" fontId="2" fillId="0" borderId="54" xfId="2296" applyNumberFormat="1" applyFont="1" applyBorder="1" applyAlignment="1">
      <alignment horizontal="left" vertical="center"/>
    </xf>
    <xf numFmtId="0" fontId="2" fillId="0" borderId="16" xfId="2296" applyFont="1" applyBorder="1" applyAlignment="1">
      <alignment horizontal="left" vertical="center"/>
    </xf>
    <xf numFmtId="0" fontId="2" fillId="0" borderId="18" xfId="2296" applyFont="1" applyBorder="1" applyAlignment="1">
      <alignment horizontal="left" vertical="center"/>
    </xf>
    <xf numFmtId="203" fontId="2" fillId="0" borderId="14" xfId="32" applyNumberFormat="1" applyFont="1" applyFill="1" applyBorder="1" applyAlignment="1">
      <alignment horizontal="center" vertical="center"/>
    </xf>
    <xf numFmtId="0" fontId="2" fillId="0" borderId="33" xfId="2296" applyFont="1" applyBorder="1" applyAlignment="1">
      <alignment horizontal="center" vertical="center"/>
    </xf>
    <xf numFmtId="0" fontId="2" fillId="0" borderId="34" xfId="2296" applyFont="1" applyBorder="1" applyAlignment="1">
      <alignment horizontal="center" vertical="center"/>
    </xf>
    <xf numFmtId="49" fontId="6" fillId="0" borderId="48" xfId="2296" applyNumberFormat="1" applyFont="1" applyBorder="1" applyAlignment="1">
      <alignment horizontal="left" vertical="center"/>
    </xf>
    <xf numFmtId="49" fontId="6" fillId="0" borderId="17" xfId="2296" applyNumberFormat="1" applyFont="1" applyBorder="1" applyAlignment="1">
      <alignment horizontal="left" vertical="center"/>
    </xf>
    <xf numFmtId="49" fontId="6" fillId="0" borderId="54" xfId="2296" applyNumberFormat="1" applyFont="1" applyBorder="1" applyAlignment="1">
      <alignment horizontal="left" vertical="center"/>
    </xf>
    <xf numFmtId="49" fontId="6" fillId="0" borderId="13" xfId="2296" applyNumberFormat="1" applyFont="1" applyBorder="1" applyAlignment="1">
      <alignment horizontal="left" vertical="center"/>
    </xf>
    <xf numFmtId="49" fontId="6" fillId="0" borderId="15" xfId="2296" applyNumberFormat="1" applyFont="1" applyBorder="1" applyAlignment="1">
      <alignment horizontal="left" vertical="center"/>
    </xf>
    <xf numFmtId="49" fontId="9" fillId="0" borderId="0" xfId="2296" applyNumberFormat="1" applyFont="1" applyAlignment="1">
      <alignment horizontal="center" vertical="center"/>
    </xf>
    <xf numFmtId="0" fontId="0" fillId="0" borderId="0" xfId="2296" applyFont="1" applyAlignment="1">
      <alignment horizontal="center" vertical="center"/>
    </xf>
    <xf numFmtId="0" fontId="0" fillId="0" borderId="0" xfId="2296" applyFont="1">
      <alignment vertical="center"/>
    </xf>
    <xf numFmtId="203" fontId="0" fillId="0" borderId="0" xfId="2296" applyNumberFormat="1" applyFont="1" applyAlignment="1">
      <alignment horizontal="center" vertical="center"/>
    </xf>
    <xf numFmtId="49" fontId="32" fillId="0" borderId="0" xfId="2296" applyNumberFormat="1" applyFont="1" applyAlignment="1">
      <alignment horizontal="center" vertical="center"/>
    </xf>
    <xf numFmtId="0" fontId="2" fillId="0" borderId="14" xfId="2296" applyFont="1" applyBorder="1">
      <alignment vertical="center"/>
    </xf>
    <xf numFmtId="0" fontId="0" fillId="0" borderId="0" xfId="1218" applyAlignment="1">
      <alignment horizontal="center"/>
    </xf>
    <xf numFmtId="203" fontId="0" fillId="0" borderId="0" xfId="1218" applyNumberFormat="1" applyAlignment="1">
      <alignment horizontal="center"/>
    </xf>
    <xf numFmtId="49" fontId="46" fillId="0" borderId="0" xfId="2296" applyNumberFormat="1" applyFont="1" applyAlignment="1">
      <alignment horizontal="center" vertical="center"/>
    </xf>
    <xf numFmtId="49" fontId="0" fillId="0" borderId="0" xfId="2296" applyNumberFormat="1" applyFont="1" applyAlignment="1">
      <alignment horizontal="center" vertical="center"/>
    </xf>
    <xf numFmtId="207" fontId="27" fillId="0" borderId="0" xfId="1309" applyNumberFormat="1" applyFont="1"/>
    <xf numFmtId="207" fontId="47" fillId="0" borderId="0" xfId="1309" applyNumberFormat="1" applyFont="1"/>
    <xf numFmtId="207" fontId="47" fillId="0" borderId="0" xfId="1309" applyNumberFormat="1" applyFont="1" applyAlignment="1">
      <alignment horizontal="center"/>
    </xf>
    <xf numFmtId="207" fontId="47" fillId="7" borderId="0" xfId="1309" applyNumberFormat="1" applyFont="1" applyFill="1" applyAlignment="1">
      <alignment horizontal="center"/>
    </xf>
    <xf numFmtId="207" fontId="48" fillId="7" borderId="0" xfId="1309" applyNumberFormat="1" applyFont="1" applyFill="1" applyAlignment="1">
      <alignment horizontal="center"/>
    </xf>
    <xf numFmtId="207" fontId="49" fillId="7" borderId="0" xfId="1309" applyNumberFormat="1" applyFont="1" applyFill="1"/>
    <xf numFmtId="207" fontId="50" fillId="7" borderId="0" xfId="1309" applyNumberFormat="1" applyFont="1" applyFill="1"/>
    <xf numFmtId="207" fontId="0" fillId="0" borderId="0" xfId="1309" applyNumberFormat="1"/>
    <xf numFmtId="207" fontId="0" fillId="0" borderId="0" xfId="1309" applyNumberFormat="1" applyAlignment="1">
      <alignment horizontal="left"/>
    </xf>
    <xf numFmtId="207" fontId="0" fillId="0" borderId="0" xfId="1309" applyNumberFormat="1" applyAlignment="1">
      <alignment horizontal="center"/>
    </xf>
    <xf numFmtId="203" fontId="0" fillId="0" borderId="0" xfId="1309" applyNumberFormat="1" applyAlignment="1">
      <alignment horizontal="center"/>
    </xf>
    <xf numFmtId="0" fontId="51" fillId="0" borderId="0" xfId="1309" applyFont="1" applyAlignment="1">
      <alignment horizontal="left" vertical="top"/>
    </xf>
    <xf numFmtId="207" fontId="52" fillId="0" borderId="14" xfId="1309" applyNumberFormat="1" applyFont="1" applyBorder="1" applyAlignment="1">
      <alignment horizontal="center" vertical="center" wrapText="1" shrinkToFit="1"/>
    </xf>
    <xf numFmtId="196" fontId="53" fillId="0" borderId="14" xfId="1309" applyNumberFormat="1" applyFont="1" applyBorder="1" applyAlignment="1">
      <alignment horizontal="center" vertical="center"/>
    </xf>
    <xf numFmtId="196" fontId="53" fillId="0" borderId="14" xfId="1309" applyNumberFormat="1" applyFont="1" applyBorder="1" applyAlignment="1">
      <alignment vertical="center"/>
    </xf>
    <xf numFmtId="196" fontId="53" fillId="0" borderId="14" xfId="1309" applyNumberFormat="1" applyFont="1" applyBorder="1" applyAlignment="1">
      <alignment horizontal="left" vertical="center"/>
    </xf>
    <xf numFmtId="207" fontId="53" fillId="0" borderId="14" xfId="1309" applyNumberFormat="1" applyFont="1" applyBorder="1" applyAlignment="1">
      <alignment horizontal="center" vertical="center"/>
    </xf>
    <xf numFmtId="203" fontId="53" fillId="0" borderId="14" xfId="1309" applyNumberFormat="1" applyFont="1" applyBorder="1" applyAlignment="1">
      <alignment horizontal="center" vertical="center"/>
    </xf>
    <xf numFmtId="207" fontId="53" fillId="0" borderId="14" xfId="1309" applyNumberFormat="1" applyFont="1" applyBorder="1" applyAlignment="1">
      <alignment vertical="center" shrinkToFit="1"/>
    </xf>
    <xf numFmtId="196" fontId="53" fillId="17" borderId="14" xfId="1309" applyNumberFormat="1" applyFont="1" applyFill="1" applyBorder="1" applyAlignment="1">
      <alignment vertical="center"/>
    </xf>
    <xf numFmtId="207" fontId="53" fillId="17" borderId="14" xfId="1309" applyNumberFormat="1" applyFont="1" applyFill="1" applyBorder="1" applyAlignment="1">
      <alignment vertical="center"/>
    </xf>
    <xf numFmtId="207" fontId="53" fillId="17" borderId="14" xfId="1309" applyNumberFormat="1" applyFont="1" applyFill="1" applyBorder="1" applyAlignment="1">
      <alignment horizontal="center" vertical="center"/>
    </xf>
    <xf numFmtId="203" fontId="53" fillId="17" borderId="14" xfId="1309" applyNumberFormat="1" applyFont="1" applyFill="1" applyBorder="1" applyAlignment="1">
      <alignment horizontal="center" vertical="center"/>
    </xf>
    <xf numFmtId="207" fontId="53" fillId="0" borderId="14" xfId="1309" applyNumberFormat="1" applyFont="1" applyBorder="1" applyAlignment="1">
      <alignment vertical="center"/>
    </xf>
    <xf numFmtId="208" fontId="53" fillId="0" borderId="14" xfId="1309" applyNumberFormat="1" applyFont="1" applyBorder="1" applyAlignment="1">
      <alignment vertical="center"/>
    </xf>
    <xf numFmtId="207" fontId="54" fillId="0" borderId="14" xfId="1309" applyNumberFormat="1" applyFont="1" applyBorder="1" applyAlignment="1">
      <alignment horizontal="center" vertical="center"/>
    </xf>
    <xf numFmtId="203" fontId="53" fillId="0" borderId="14" xfId="1309" applyNumberFormat="1" applyFont="1" applyBorder="1" applyAlignment="1">
      <alignment horizontal="center" vertical="center" shrinkToFit="1"/>
    </xf>
    <xf numFmtId="207" fontId="53" fillId="0" borderId="14" xfId="1309" applyNumberFormat="1" applyFont="1" applyBorder="1" applyAlignment="1">
      <alignment horizontal="center" vertical="center" shrinkToFit="1"/>
    </xf>
    <xf numFmtId="203" fontId="53" fillId="0" borderId="14" xfId="1309" applyNumberFormat="1" applyFont="1" applyBorder="1" applyAlignment="1">
      <alignment horizontal="left" vertical="center" shrinkToFit="1"/>
    </xf>
    <xf numFmtId="202" fontId="53" fillId="0" borderId="14" xfId="1309" applyNumberFormat="1" applyFont="1" applyBorder="1" applyAlignment="1">
      <alignment horizontal="center" vertical="center"/>
    </xf>
    <xf numFmtId="207" fontId="54" fillId="0" borderId="14" xfId="1309" applyNumberFormat="1" applyFont="1" applyBorder="1" applyAlignment="1">
      <alignment horizontal="center" vertical="center" shrinkToFit="1"/>
    </xf>
    <xf numFmtId="203" fontId="54" fillId="17" borderId="14" xfId="1309" applyNumberFormat="1" applyFont="1" applyFill="1" applyBorder="1" applyAlignment="1">
      <alignment horizontal="left" vertical="center" shrinkToFit="1"/>
    </xf>
    <xf numFmtId="207" fontId="54" fillId="17" borderId="14" xfId="1309" applyNumberFormat="1" applyFont="1" applyFill="1" applyBorder="1" applyAlignment="1">
      <alignment horizontal="center" vertical="center"/>
    </xf>
    <xf numFmtId="202" fontId="54" fillId="17" borderId="14" xfId="1309" applyNumberFormat="1" applyFont="1" applyFill="1" applyBorder="1" applyAlignment="1">
      <alignment horizontal="center" vertical="center"/>
    </xf>
    <xf numFmtId="202" fontId="54" fillId="0" borderId="14" xfId="1309" applyNumberFormat="1" applyFont="1" applyBorder="1" applyAlignment="1">
      <alignment horizontal="center" vertical="center"/>
    </xf>
    <xf numFmtId="0" fontId="44" fillId="0" borderId="0" xfId="0" applyFont="1"/>
    <xf numFmtId="186" fontId="2" fillId="0" borderId="0" xfId="2060" applyNumberFormat="1" applyFont="1" applyAlignment="1">
      <alignment horizontal="center" vertical="center" wrapText="1"/>
    </xf>
    <xf numFmtId="0" fontId="22" fillId="0" borderId="0" xfId="2301" applyFont="1" applyAlignment="1">
      <alignment horizontal="center" vertical="center"/>
    </xf>
    <xf numFmtId="186" fontId="8" fillId="0" borderId="14" xfId="2060" applyNumberFormat="1" applyFont="1" applyBorder="1" applyAlignment="1">
      <alignment horizontal="center" vertical="center" wrapText="1"/>
    </xf>
    <xf numFmtId="201" fontId="8" fillId="0" borderId="14" xfId="2060" applyNumberFormat="1" applyFont="1" applyBorder="1" applyAlignment="1">
      <alignment horizontal="center" vertical="center" wrapText="1"/>
    </xf>
    <xf numFmtId="0" fontId="55" fillId="0" borderId="14" xfId="0" applyFont="1" applyBorder="1" applyAlignment="1">
      <alignment horizontal="left" vertical="center"/>
    </xf>
    <xf numFmtId="0" fontId="0" fillId="0" borderId="14" xfId="0" applyBorder="1"/>
    <xf numFmtId="186" fontId="8" fillId="0" borderId="14" xfId="0" applyNumberFormat="1" applyFont="1" applyBorder="1" applyAlignment="1">
      <alignment horizontal="center" vertical="center"/>
    </xf>
    <xf numFmtId="201" fontId="2" fillId="0" borderId="14" xfId="2060" applyNumberFormat="1" applyFont="1" applyBorder="1" applyAlignment="1">
      <alignment horizontal="center" vertical="center" wrapText="1"/>
    </xf>
    <xf numFmtId="0" fontId="56" fillId="0" borderId="14" xfId="0" applyFont="1" applyBorder="1" applyAlignment="1">
      <alignment vertical="center"/>
    </xf>
    <xf numFmtId="0" fontId="56" fillId="0" borderId="14" xfId="0" applyFont="1" applyBorder="1" applyAlignment="1">
      <alignment horizontal="center" vertical="center" wrapText="1"/>
    </xf>
    <xf numFmtId="186" fontId="56" fillId="0" borderId="14" xfId="0" applyNumberFormat="1" applyFont="1" applyBorder="1" applyAlignment="1">
      <alignment horizontal="center" vertical="center"/>
    </xf>
    <xf numFmtId="186" fontId="2" fillId="17" borderId="14" xfId="2060" applyNumberFormat="1" applyFont="1" applyFill="1" applyBorder="1" applyAlignment="1">
      <alignment horizontal="center" vertical="center" wrapText="1"/>
    </xf>
    <xf numFmtId="186" fontId="2" fillId="0" borderId="14" xfId="2060" applyNumberFormat="1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/>
    </xf>
    <xf numFmtId="0" fontId="56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186" fontId="2" fillId="0" borderId="14" xfId="1218" applyNumberFormat="1" applyFont="1" applyBorder="1" applyAlignment="1">
      <alignment horizontal="center" vertical="center" wrapText="1"/>
    </xf>
    <xf numFmtId="186" fontId="0" fillId="0" borderId="0" xfId="0" applyNumberFormat="1"/>
    <xf numFmtId="0" fontId="56" fillId="0" borderId="0" xfId="2302" applyFont="1" applyAlignment="1">
      <alignment horizontal="center" vertical="center"/>
    </xf>
    <xf numFmtId="0" fontId="6" fillId="0" borderId="0" xfId="1218" applyFont="1" applyAlignment="1">
      <alignment horizontal="left" vertical="center"/>
    </xf>
    <xf numFmtId="49" fontId="57" fillId="0" borderId="0" xfId="2302" applyNumberFormat="1" applyFont="1" applyAlignment="1">
      <alignment horizontal="center" vertical="center"/>
    </xf>
    <xf numFmtId="0" fontId="57" fillId="0" borderId="0" xfId="2302" applyFont="1" applyAlignment="1">
      <alignment horizontal="left" vertical="center"/>
    </xf>
    <xf numFmtId="0" fontId="57" fillId="0" borderId="0" xfId="2302" applyFont="1" applyAlignment="1">
      <alignment horizontal="center" vertical="center"/>
    </xf>
    <xf numFmtId="201" fontId="57" fillId="0" borderId="0" xfId="2302" applyNumberFormat="1" applyFont="1" applyAlignment="1">
      <alignment horizontal="center" vertical="center"/>
    </xf>
    <xf numFmtId="0" fontId="22" fillId="0" borderId="0" xfId="2300" applyFont="1" applyAlignment="1">
      <alignment horizontal="center" vertical="center" wrapText="1"/>
    </xf>
    <xf numFmtId="0" fontId="58" fillId="0" borderId="0" xfId="2300" applyFont="1" applyAlignment="1">
      <alignment horizontal="center" vertical="center" wrapText="1"/>
    </xf>
    <xf numFmtId="49" fontId="55" fillId="0" borderId="14" xfId="2302" applyNumberFormat="1" applyFont="1" applyBorder="1" applyAlignment="1">
      <alignment horizontal="center" vertical="center"/>
    </xf>
    <xf numFmtId="0" fontId="55" fillId="0" borderId="14" xfId="2302" applyFont="1" applyBorder="1" applyAlignment="1">
      <alignment horizontal="center" vertical="center"/>
    </xf>
    <xf numFmtId="201" fontId="55" fillId="0" borderId="14" xfId="2302" applyNumberFormat="1" applyFont="1" applyBorder="1" applyAlignment="1">
      <alignment horizontal="center" vertical="center"/>
    </xf>
    <xf numFmtId="205" fontId="55" fillId="0" borderId="14" xfId="2302" applyNumberFormat="1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49" fontId="55" fillId="0" borderId="14" xfId="0" applyNumberFormat="1" applyFont="1" applyBorder="1" applyAlignment="1">
      <alignment horizontal="center" vertical="center"/>
    </xf>
    <xf numFmtId="0" fontId="55" fillId="0" borderId="14" xfId="0" applyFont="1" applyBorder="1" applyAlignment="1">
      <alignment vertical="center"/>
    </xf>
    <xf numFmtId="204" fontId="55" fillId="0" borderId="14" xfId="0" applyNumberFormat="1" applyFont="1" applyBorder="1" applyAlignment="1">
      <alignment horizontal="center" vertical="center"/>
    </xf>
    <xf numFmtId="205" fontId="55" fillId="0" borderId="14" xfId="0" applyNumberFormat="1" applyFont="1" applyBorder="1" applyAlignment="1">
      <alignment horizontal="center" vertical="center"/>
    </xf>
    <xf numFmtId="186" fontId="55" fillId="0" borderId="14" xfId="0" applyNumberFormat="1" applyFont="1" applyBorder="1" applyAlignment="1">
      <alignment horizontal="center" vertical="center"/>
    </xf>
    <xf numFmtId="201" fontId="55" fillId="0" borderId="14" xfId="0" applyNumberFormat="1" applyFont="1" applyBorder="1" applyAlignment="1">
      <alignment horizontal="center" vertical="center"/>
    </xf>
    <xf numFmtId="201" fontId="56" fillId="0" borderId="14" xfId="0" applyNumberFormat="1" applyFont="1" applyBorder="1" applyAlignment="1">
      <alignment horizontal="center" vertical="center"/>
    </xf>
    <xf numFmtId="205" fontId="56" fillId="0" borderId="14" xfId="0" applyNumberFormat="1" applyFont="1" applyBorder="1" applyAlignment="1">
      <alignment horizontal="center" vertical="center"/>
    </xf>
    <xf numFmtId="0" fontId="56" fillId="0" borderId="14" xfId="2302" applyFont="1" applyBorder="1" applyAlignment="1">
      <alignment horizontal="center" vertical="center"/>
    </xf>
    <xf numFmtId="49" fontId="56" fillId="0" borderId="14" xfId="2302" applyNumberFormat="1" applyFont="1" applyBorder="1" applyAlignment="1">
      <alignment horizontal="center" vertical="center"/>
    </xf>
    <xf numFmtId="201" fontId="56" fillId="0" borderId="14" xfId="2302" applyNumberFormat="1" applyFont="1" applyBorder="1" applyAlignment="1">
      <alignment horizontal="center" vertical="center"/>
    </xf>
    <xf numFmtId="176" fontId="55" fillId="0" borderId="14" xfId="0" applyNumberFormat="1" applyFont="1" applyBorder="1" applyAlignment="1">
      <alignment horizontal="left" vertical="center"/>
    </xf>
    <xf numFmtId="176" fontId="56" fillId="0" borderId="14" xfId="0" applyNumberFormat="1" applyFont="1" applyBorder="1" applyAlignment="1">
      <alignment horizontal="left" vertical="center"/>
    </xf>
    <xf numFmtId="186" fontId="56" fillId="0" borderId="14" xfId="2302" applyNumberFormat="1" applyFont="1" applyBorder="1" applyAlignment="1">
      <alignment horizontal="center" vertical="center"/>
    </xf>
    <xf numFmtId="176" fontId="55" fillId="0" borderId="14" xfId="0" applyNumberFormat="1" applyFont="1" applyBorder="1" applyAlignment="1">
      <alignment horizontal="left" vertical="center" shrinkToFit="1"/>
    </xf>
    <xf numFmtId="186" fontId="55" fillId="0" borderId="14" xfId="2302" applyNumberFormat="1" applyFont="1" applyBorder="1" applyAlignment="1">
      <alignment horizontal="center" vertical="center"/>
    </xf>
    <xf numFmtId="0" fontId="55" fillId="0" borderId="14" xfId="2302" applyFont="1" applyBorder="1" applyAlignment="1">
      <alignment horizontal="left" vertical="center"/>
    </xf>
    <xf numFmtId="0" fontId="59" fillId="0" borderId="14" xfId="2302" applyFont="1" applyBorder="1" applyAlignment="1">
      <alignment horizontal="center" vertical="center"/>
    </xf>
    <xf numFmtId="0" fontId="57" fillId="0" borderId="14" xfId="2302" applyFont="1" applyBorder="1" applyAlignment="1">
      <alignment horizontal="center" vertical="center"/>
    </xf>
    <xf numFmtId="49" fontId="57" fillId="0" borderId="14" xfId="2302" applyNumberFormat="1" applyFont="1" applyBorder="1" applyAlignment="1">
      <alignment horizontal="center" vertical="center"/>
    </xf>
    <xf numFmtId="176" fontId="56" fillId="0" borderId="14" xfId="0" applyNumberFormat="1" applyFont="1" applyBorder="1" applyAlignment="1">
      <alignment horizontal="left" vertical="center" shrinkToFit="1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6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left" vertical="center" wrapText="1"/>
    </xf>
    <xf numFmtId="2" fontId="14" fillId="0" borderId="14" xfId="0" applyNumberFormat="1" applyFont="1" applyFill="1" applyBorder="1" applyAlignment="1">
      <alignment horizontal="center" vertical="center"/>
    </xf>
    <xf numFmtId="208" fontId="61" fillId="0" borderId="14" xfId="0" applyNumberFormat="1" applyFont="1" applyFill="1" applyBorder="1" applyAlignment="1">
      <alignment horizontal="center" vertical="center"/>
    </xf>
    <xf numFmtId="0" fontId="14" fillId="0" borderId="14" xfId="1218" applyFont="1" applyBorder="1" applyAlignment="1">
      <alignment horizontal="center" vertical="center"/>
    </xf>
    <xf numFmtId="0" fontId="14" fillId="0" borderId="14" xfId="1218" applyFont="1" applyBorder="1" applyAlignment="1">
      <alignment vertical="center"/>
    </xf>
    <xf numFmtId="0" fontId="14" fillId="0" borderId="14" xfId="1218" applyFont="1" applyBorder="1" applyAlignment="1">
      <alignment vertical="center" wrapText="1"/>
    </xf>
    <xf numFmtId="2" fontId="15" fillId="0" borderId="14" xfId="0" applyNumberFormat="1" applyFont="1" applyFill="1" applyBorder="1" applyAlignment="1">
      <alignment horizontal="center" vertical="center"/>
    </xf>
    <xf numFmtId="2" fontId="14" fillId="0" borderId="45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left" vertical="center" wrapText="1"/>
    </xf>
    <xf numFmtId="206" fontId="14" fillId="0" borderId="14" xfId="0" applyNumberFormat="1" applyFont="1" applyFill="1" applyBorder="1" applyAlignment="1">
      <alignment horizontal="left" vertical="center"/>
    </xf>
    <xf numFmtId="201" fontId="14" fillId="0" borderId="14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203" fontId="14" fillId="0" borderId="1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vertical="center" wrapText="1"/>
    </xf>
    <xf numFmtId="10" fontId="14" fillId="0" borderId="14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203" fontId="15" fillId="0" borderId="0" xfId="0" applyNumberFormat="1" applyFont="1" applyFill="1" applyBorder="1" applyAlignment="1">
      <alignment vertical="center"/>
    </xf>
    <xf numFmtId="203" fontId="14" fillId="0" borderId="14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0" fontId="44" fillId="0" borderId="0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62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201" fontId="14" fillId="0" borderId="5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/>
    </xf>
    <xf numFmtId="0" fontId="61" fillId="0" borderId="14" xfId="0" applyFont="1" applyFill="1" applyBorder="1" applyAlignment="1">
      <alignment horizontal="left" vertical="center"/>
    </xf>
    <xf numFmtId="0" fontId="61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0" fillId="0" borderId="0" xfId="1218" applyAlignment="1">
      <alignment vertical="center"/>
    </xf>
    <xf numFmtId="201" fontId="0" fillId="0" borderId="0" xfId="1218" applyNumberFormat="1"/>
    <xf numFmtId="203" fontId="0" fillId="0" borderId="0" xfId="1218" applyNumberFormat="1"/>
    <xf numFmtId="0" fontId="62" fillId="0" borderId="0" xfId="1218" applyFont="1" applyAlignment="1">
      <alignment horizontal="center" vertical="center" wrapText="1"/>
    </xf>
    <xf numFmtId="0" fontId="62" fillId="0" borderId="0" xfId="1218" applyFont="1" applyAlignment="1">
      <alignment horizontal="center" vertical="center"/>
    </xf>
    <xf numFmtId="0" fontId="0" fillId="0" borderId="8" xfId="1218" applyBorder="1" applyAlignment="1">
      <alignment horizontal="center" vertical="center" wrapText="1"/>
    </xf>
    <xf numFmtId="0" fontId="0" fillId="0" borderId="9" xfId="1218" applyBorder="1" applyAlignment="1">
      <alignment horizontal="center" vertical="center" wrapText="1"/>
    </xf>
    <xf numFmtId="201" fontId="0" fillId="0" borderId="9" xfId="1218" applyNumberFormat="1" applyBorder="1" applyAlignment="1">
      <alignment horizontal="center" vertical="center" wrapText="1"/>
    </xf>
    <xf numFmtId="203" fontId="0" fillId="0" borderId="25" xfId="1218" applyNumberFormat="1" applyBorder="1" applyAlignment="1">
      <alignment horizontal="center" vertical="center" wrapText="1"/>
    </xf>
    <xf numFmtId="0" fontId="0" fillId="0" borderId="13" xfId="1218" applyBorder="1" applyAlignment="1">
      <alignment horizontal="center" vertical="center" wrapText="1"/>
    </xf>
    <xf numFmtId="0" fontId="0" fillId="0" borderId="14" xfId="1218" applyBorder="1" applyAlignment="1">
      <alignment horizontal="center" vertical="center" wrapText="1"/>
    </xf>
    <xf numFmtId="201" fontId="0" fillId="0" borderId="14" xfId="1218" applyNumberFormat="1" applyBorder="1" applyAlignment="1">
      <alignment horizontal="center" vertical="center" wrapText="1"/>
    </xf>
    <xf numFmtId="0" fontId="26" fillId="0" borderId="14" xfId="1218" applyFont="1" applyBorder="1" applyAlignment="1">
      <alignment horizontal="center" vertical="center" wrapText="1"/>
    </xf>
    <xf numFmtId="203" fontId="26" fillId="0" borderId="15" xfId="1218" applyNumberFormat="1" applyFont="1" applyBorder="1" applyAlignment="1">
      <alignment horizontal="center" vertical="center" wrapText="1"/>
    </xf>
    <xf numFmtId="0" fontId="44" fillId="0" borderId="13" xfId="1218" applyFont="1" applyBorder="1" applyAlignment="1">
      <alignment horizontal="center" vertical="center" wrapText="1"/>
    </xf>
    <xf numFmtId="0" fontId="44" fillId="0" borderId="14" xfId="1218" applyFont="1" applyBorder="1" applyAlignment="1">
      <alignment horizontal="center" vertical="center" wrapText="1"/>
    </xf>
    <xf numFmtId="201" fontId="26" fillId="0" borderId="14" xfId="1218" applyNumberFormat="1" applyFont="1" applyBorder="1" applyAlignment="1">
      <alignment horizontal="center" vertical="center" wrapText="1"/>
    </xf>
    <xf numFmtId="203" fontId="63" fillId="0" borderId="15" xfId="1218" applyNumberFormat="1" applyFont="1" applyBorder="1" applyAlignment="1">
      <alignment horizontal="center" vertical="center" wrapText="1"/>
    </xf>
    <xf numFmtId="0" fontId="26" fillId="0" borderId="13" xfId="1218" applyFont="1" applyBorder="1" applyAlignment="1">
      <alignment horizontal="center" vertical="center" wrapText="1"/>
    </xf>
    <xf numFmtId="204" fontId="26" fillId="0" borderId="14" xfId="1218" applyNumberFormat="1" applyFont="1" applyBorder="1" applyAlignment="1">
      <alignment horizontal="center" vertical="center" wrapText="1"/>
    </xf>
    <xf numFmtId="9" fontId="26" fillId="0" borderId="14" xfId="1218" applyNumberFormat="1" applyFont="1" applyBorder="1" applyAlignment="1">
      <alignment horizontal="center" vertical="center" wrapText="1"/>
    </xf>
    <xf numFmtId="0" fontId="26" fillId="0" borderId="23" xfId="1218" applyFont="1" applyBorder="1" applyAlignment="1">
      <alignment horizontal="center" vertical="center" wrapText="1"/>
    </xf>
    <xf numFmtId="0" fontId="0" fillId="0" borderId="6" xfId="1218" applyBorder="1" applyAlignment="1">
      <alignment horizontal="center" vertical="center" wrapText="1"/>
    </xf>
    <xf numFmtId="0" fontId="26" fillId="0" borderId="6" xfId="1218" applyFont="1" applyBorder="1" applyAlignment="1">
      <alignment horizontal="center" vertical="center" wrapText="1"/>
    </xf>
    <xf numFmtId="201" fontId="26" fillId="0" borderId="6" xfId="1218" applyNumberFormat="1" applyFont="1" applyBorder="1" applyAlignment="1">
      <alignment horizontal="center" vertical="center" wrapText="1"/>
    </xf>
    <xf numFmtId="203" fontId="63" fillId="0" borderId="24" xfId="1218" applyNumberFormat="1" applyFont="1" applyBorder="1" applyAlignment="1">
      <alignment horizontal="center" vertical="center" wrapText="1"/>
    </xf>
    <xf numFmtId="0" fontId="0" fillId="0" borderId="67" xfId="1218" applyBorder="1" applyAlignment="1">
      <alignment horizontal="center" vertical="center" wrapText="1"/>
    </xf>
    <xf numFmtId="0" fontId="2" fillId="0" borderId="0" xfId="1218" applyFont="1" applyAlignment="1">
      <alignment horizontal="center" vertical="center"/>
    </xf>
    <xf numFmtId="0" fontId="11" fillId="0" borderId="68" xfId="1218" applyFont="1" applyBorder="1" applyAlignment="1">
      <alignment horizontal="center" vertical="center"/>
    </xf>
    <xf numFmtId="0" fontId="64" fillId="0" borderId="7" xfId="1218" applyFont="1" applyBorder="1" applyAlignment="1">
      <alignment horizontal="center" vertical="center"/>
    </xf>
    <xf numFmtId="0" fontId="32" fillId="0" borderId="69" xfId="1218" applyFont="1" applyBorder="1" applyAlignment="1">
      <alignment horizontal="center" vertical="center"/>
    </xf>
    <xf numFmtId="0" fontId="32" fillId="0" borderId="67" xfId="1218" applyFont="1" applyBorder="1" applyAlignment="1">
      <alignment horizontal="center" vertical="center"/>
    </xf>
    <xf numFmtId="0" fontId="11" fillId="0" borderId="67" xfId="1218" applyFont="1" applyBorder="1" applyAlignment="1">
      <alignment horizontal="center" vertical="center"/>
    </xf>
    <xf numFmtId="0" fontId="2" fillId="0" borderId="67" xfId="1218" applyFont="1" applyBorder="1" applyAlignment="1">
      <alignment horizontal="center" vertical="center"/>
    </xf>
    <xf numFmtId="0" fontId="2" fillId="0" borderId="68" xfId="1218" applyFont="1" applyBorder="1" applyAlignment="1">
      <alignment horizontal="center" vertical="center"/>
    </xf>
    <xf numFmtId="0" fontId="2" fillId="0" borderId="13" xfId="1218" applyFont="1" applyBorder="1" applyAlignment="1">
      <alignment horizontal="center" vertical="center"/>
    </xf>
    <xf numFmtId="0" fontId="2" fillId="0" borderId="14" xfId="1218" applyFont="1" applyBorder="1" applyAlignment="1">
      <alignment horizontal="center" vertical="center"/>
    </xf>
    <xf numFmtId="203" fontId="2" fillId="0" borderId="14" xfId="1218" applyNumberFormat="1" applyFont="1" applyBorder="1" applyAlignment="1">
      <alignment horizontal="center" vertical="center"/>
    </xf>
    <xf numFmtId="203" fontId="2" fillId="0" borderId="0" xfId="1218" applyNumberFormat="1" applyFont="1" applyAlignment="1">
      <alignment horizontal="center" vertical="center"/>
    </xf>
    <xf numFmtId="201" fontId="2" fillId="19" borderId="14" xfId="1218" applyNumberFormat="1" applyFont="1" applyFill="1" applyBorder="1" applyAlignment="1">
      <alignment horizontal="center" vertical="center"/>
    </xf>
    <xf numFmtId="201" fontId="2" fillId="0" borderId="0" xfId="1218" applyNumberFormat="1" applyFont="1" applyAlignment="1">
      <alignment horizontal="center" vertical="center"/>
    </xf>
    <xf numFmtId="0" fontId="2" fillId="0" borderId="14" xfId="1218" applyFont="1" applyBorder="1" applyAlignment="1">
      <alignment horizontal="center" vertical="center" wrapText="1"/>
    </xf>
    <xf numFmtId="0" fontId="2" fillId="0" borderId="0" xfId="1218" applyFont="1" applyAlignment="1">
      <alignment horizontal="center" vertical="center" wrapText="1"/>
    </xf>
    <xf numFmtId="0" fontId="42" fillId="19" borderId="14" xfId="1218" applyFont="1" applyFill="1" applyBorder="1" applyAlignment="1">
      <alignment horizontal="center" vertical="center" wrapText="1"/>
    </xf>
    <xf numFmtId="0" fontId="42" fillId="0" borderId="0" xfId="1218" applyFont="1" applyAlignment="1">
      <alignment horizontal="center" vertical="center" wrapText="1"/>
    </xf>
    <xf numFmtId="10" fontId="2" fillId="0" borderId="0" xfId="32" applyNumberFormat="1" applyFont="1" applyFill="1" applyBorder="1" applyAlignment="1">
      <alignment horizontal="center" vertical="center"/>
    </xf>
    <xf numFmtId="0" fontId="8" fillId="0" borderId="14" xfId="1218" applyFont="1" applyBorder="1" applyAlignment="1">
      <alignment horizontal="center" vertical="center"/>
    </xf>
    <xf numFmtId="203" fontId="2" fillId="0" borderId="0" xfId="32" applyNumberFormat="1" applyFont="1" applyFill="1" applyBorder="1" applyAlignment="1">
      <alignment horizontal="center" vertical="center"/>
    </xf>
    <xf numFmtId="0" fontId="65" fillId="0" borderId="13" xfId="1218" applyFont="1" applyBorder="1" applyAlignment="1">
      <alignment horizontal="center" vertical="center" wrapText="1"/>
    </xf>
    <xf numFmtId="0" fontId="65" fillId="0" borderId="14" xfId="1218" applyFont="1" applyBorder="1" applyAlignment="1">
      <alignment horizontal="center" vertical="center" wrapText="1"/>
    </xf>
    <xf numFmtId="0" fontId="65" fillId="0" borderId="0" xfId="1218" applyFont="1" applyAlignment="1">
      <alignment horizontal="center" vertical="center" wrapText="1"/>
    </xf>
    <xf numFmtId="0" fontId="65" fillId="0" borderId="68" xfId="1218" applyFont="1" applyBorder="1" applyAlignment="1">
      <alignment horizontal="center" vertical="center" wrapText="1"/>
    </xf>
    <xf numFmtId="0" fontId="65" fillId="0" borderId="0" xfId="1218" applyFont="1" applyAlignment="1">
      <alignment horizontal="center" vertical="center"/>
    </xf>
    <xf numFmtId="0" fontId="11" fillId="0" borderId="0" xfId="1218" applyFont="1" applyAlignment="1">
      <alignment horizontal="center" vertical="center"/>
    </xf>
    <xf numFmtId="0" fontId="32" fillId="0" borderId="68" xfId="1218" applyFont="1" applyBorder="1" applyAlignment="1">
      <alignment horizontal="center" vertical="center"/>
    </xf>
    <xf numFmtId="0" fontId="32" fillId="0" borderId="0" xfId="1218" applyFont="1" applyAlignment="1">
      <alignment horizontal="center" vertical="center"/>
    </xf>
    <xf numFmtId="3" fontId="2" fillId="0" borderId="14" xfId="1218" applyNumberFormat="1" applyFont="1" applyBorder="1" applyAlignment="1">
      <alignment horizontal="center" vertical="center" wrapText="1"/>
    </xf>
    <xf numFmtId="0" fontId="2" fillId="0" borderId="19" xfId="1218" applyFont="1" applyBorder="1" applyAlignment="1">
      <alignment horizontal="center" vertical="center"/>
    </xf>
    <xf numFmtId="0" fontId="2" fillId="0" borderId="70" xfId="1218" applyFont="1" applyBorder="1" applyAlignment="1">
      <alignment horizontal="center" vertical="center"/>
    </xf>
    <xf numFmtId="0" fontId="2" fillId="19" borderId="14" xfId="1218" applyFont="1" applyFill="1" applyBorder="1" applyAlignment="1">
      <alignment horizontal="center" vertical="center" wrapText="1"/>
    </xf>
    <xf numFmtId="3" fontId="2" fillId="19" borderId="14" xfId="1218" applyNumberFormat="1" applyFont="1" applyFill="1" applyBorder="1" applyAlignment="1">
      <alignment horizontal="center" vertical="center" wrapText="1"/>
    </xf>
    <xf numFmtId="4" fontId="2" fillId="19" borderId="14" xfId="1218" applyNumberFormat="1" applyFont="1" applyFill="1" applyBorder="1" applyAlignment="1">
      <alignment horizontal="center" vertical="center" wrapText="1"/>
    </xf>
    <xf numFmtId="0" fontId="2" fillId="0" borderId="60" xfId="1218" applyFont="1" applyBorder="1" applyAlignment="1">
      <alignment horizontal="center" vertical="center"/>
    </xf>
    <xf numFmtId="209" fontId="2" fillId="19" borderId="14" xfId="1218" applyNumberFormat="1" applyFont="1" applyFill="1" applyBorder="1" applyAlignment="1">
      <alignment horizontal="center" vertical="center" wrapText="1"/>
    </xf>
    <xf numFmtId="0" fontId="11" fillId="0" borderId="50" xfId="1218" applyFont="1" applyBorder="1" applyAlignment="1">
      <alignment horizontal="center" vertical="center"/>
    </xf>
    <xf numFmtId="0" fontId="11" fillId="0" borderId="7" xfId="1218" applyFont="1" applyBorder="1" applyAlignment="1">
      <alignment horizontal="center" vertical="center"/>
    </xf>
    <xf numFmtId="0" fontId="2" fillId="0" borderId="7" xfId="1218" applyFont="1" applyBorder="1" applyAlignment="1">
      <alignment horizontal="center" vertical="center"/>
    </xf>
    <xf numFmtId="0" fontId="2" fillId="0" borderId="32" xfId="1218" applyFont="1" applyBorder="1" applyAlignment="1">
      <alignment horizontal="center" vertical="center"/>
    </xf>
    <xf numFmtId="0" fontId="44" fillId="0" borderId="0" xfId="951" applyFont="1" applyAlignment="1">
      <alignment vertical="center"/>
    </xf>
    <xf numFmtId="0" fontId="44" fillId="20" borderId="0" xfId="951" applyFont="1" applyFill="1" applyAlignment="1">
      <alignment vertical="center"/>
    </xf>
    <xf numFmtId="0" fontId="0" fillId="0" borderId="0" xfId="951" applyAlignment="1">
      <alignment vertical="center"/>
    </xf>
    <xf numFmtId="0" fontId="0" fillId="0" borderId="0" xfId="951" applyAlignment="1">
      <alignment horizontal="center" vertical="center"/>
    </xf>
    <xf numFmtId="0" fontId="13" fillId="0" borderId="0" xfId="611" applyFont="1" applyAlignment="1">
      <alignment horizontal="center" vertical="center"/>
    </xf>
    <xf numFmtId="0" fontId="44" fillId="0" borderId="0" xfId="611" applyFont="1" applyAlignment="1">
      <alignment horizontal="left" vertical="center"/>
    </xf>
    <xf numFmtId="0" fontId="8" fillId="0" borderId="0" xfId="611" applyFont="1" applyAlignment="1">
      <alignment horizontal="center" vertical="center"/>
    </xf>
    <xf numFmtId="0" fontId="8" fillId="0" borderId="8" xfId="1218" applyFont="1" applyBorder="1" applyAlignment="1">
      <alignment horizontal="center" vertical="center"/>
    </xf>
    <xf numFmtId="0" fontId="8" fillId="0" borderId="9" xfId="1218" applyFont="1" applyBorder="1" applyAlignment="1">
      <alignment horizontal="center" vertical="center"/>
    </xf>
    <xf numFmtId="203" fontId="8" fillId="0" borderId="9" xfId="1218" applyNumberFormat="1" applyFont="1" applyBorder="1" applyAlignment="1">
      <alignment horizontal="center" vertical="center" wrapText="1"/>
    </xf>
    <xf numFmtId="0" fontId="8" fillId="0" borderId="9" xfId="1218" applyFont="1" applyBorder="1" applyAlignment="1">
      <alignment horizontal="center" vertical="center" wrapText="1"/>
    </xf>
    <xf numFmtId="0" fontId="8" fillId="0" borderId="25" xfId="1218" applyFont="1" applyBorder="1" applyAlignment="1">
      <alignment horizontal="center" vertical="center"/>
    </xf>
    <xf numFmtId="0" fontId="11" fillId="0" borderId="13" xfId="1218" applyFont="1" applyBorder="1" applyAlignment="1">
      <alignment horizontal="left" vertical="center"/>
    </xf>
    <xf numFmtId="0" fontId="11" fillId="0" borderId="14" xfId="1218" applyFont="1" applyBorder="1" applyAlignment="1">
      <alignment horizontal="left" vertical="center"/>
    </xf>
    <xf numFmtId="208" fontId="11" fillId="0" borderId="14" xfId="1218" applyNumberFormat="1" applyFont="1" applyBorder="1" applyAlignment="1">
      <alignment horizontal="center" vertical="center"/>
    </xf>
    <xf numFmtId="208" fontId="11" fillId="0" borderId="15" xfId="1218" applyNumberFormat="1" applyFont="1" applyBorder="1" applyAlignment="1">
      <alignment horizontal="center" vertical="center"/>
    </xf>
    <xf numFmtId="0" fontId="11" fillId="0" borderId="13" xfId="1218" applyFont="1" applyBorder="1" applyAlignment="1">
      <alignment horizontal="center" vertical="center"/>
    </xf>
    <xf numFmtId="0" fontId="6" fillId="0" borderId="14" xfId="1218" applyFont="1" applyBorder="1" applyAlignment="1">
      <alignment vertical="center"/>
    </xf>
    <xf numFmtId="208" fontId="6" fillId="0" borderId="14" xfId="1218" applyNumberFormat="1" applyFont="1" applyBorder="1" applyAlignment="1">
      <alignment horizontal="center" vertical="center"/>
    </xf>
    <xf numFmtId="208" fontId="6" fillId="0" borderId="15" xfId="1218" applyNumberFormat="1" applyFont="1" applyBorder="1" applyAlignment="1">
      <alignment horizontal="center" vertical="center"/>
    </xf>
    <xf numFmtId="208" fontId="0" fillId="0" borderId="0" xfId="951" applyNumberFormat="1" applyAlignment="1">
      <alignment vertical="center"/>
    </xf>
    <xf numFmtId="0" fontId="8" fillId="0" borderId="13" xfId="1218" applyFont="1" applyBorder="1" applyAlignment="1">
      <alignment horizontal="center" vertical="center"/>
    </xf>
    <xf numFmtId="0" fontId="11" fillId="0" borderId="14" xfId="1218" applyFont="1" applyBorder="1" applyAlignment="1">
      <alignment vertical="center"/>
    </xf>
    <xf numFmtId="0" fontId="44" fillId="0" borderId="0" xfId="951" applyFont="1" applyAlignment="1">
      <alignment horizontal="center" vertical="center"/>
    </xf>
    <xf numFmtId="0" fontId="8" fillId="0" borderId="14" xfId="1218" applyFont="1" applyBorder="1" applyAlignment="1">
      <alignment vertical="center"/>
    </xf>
    <xf numFmtId="208" fontId="44" fillId="0" borderId="0" xfId="951" applyNumberFormat="1" applyFont="1" applyAlignment="1">
      <alignment vertical="center"/>
    </xf>
    <xf numFmtId="206" fontId="44" fillId="0" borderId="0" xfId="951" applyNumberFormat="1" applyFont="1" applyAlignment="1">
      <alignment vertical="center"/>
    </xf>
    <xf numFmtId="193" fontId="44" fillId="0" borderId="0" xfId="951" applyNumberFormat="1" applyFont="1" applyAlignment="1">
      <alignment vertical="center"/>
    </xf>
    <xf numFmtId="193" fontId="44" fillId="20" borderId="0" xfId="951" applyNumberFormat="1" applyFont="1" applyFill="1" applyAlignment="1">
      <alignment vertical="center"/>
    </xf>
    <xf numFmtId="208" fontId="44" fillId="20" borderId="0" xfId="951" applyNumberFormat="1" applyFont="1" applyFill="1" applyAlignment="1">
      <alignment vertical="center"/>
    </xf>
    <xf numFmtId="0" fontId="8" fillId="0" borderId="13" xfId="1218" applyFont="1" applyBorder="1" applyAlignment="1">
      <alignment horizontal="left" vertical="center"/>
    </xf>
    <xf numFmtId="0" fontId="8" fillId="0" borderId="14" xfId="1218" applyFont="1" applyBorder="1" applyAlignment="1">
      <alignment horizontal="left" vertical="center"/>
    </xf>
    <xf numFmtId="193" fontId="44" fillId="0" borderId="0" xfId="951" applyNumberFormat="1" applyFont="1" applyAlignment="1">
      <alignment horizontal="center" vertical="center"/>
    </xf>
    <xf numFmtId="193" fontId="0" fillId="0" borderId="0" xfId="951" applyNumberFormat="1" applyAlignment="1">
      <alignment vertical="center"/>
    </xf>
    <xf numFmtId="208" fontId="8" fillId="0" borderId="14" xfId="1218" applyNumberFormat="1" applyFont="1" applyBorder="1" applyAlignment="1">
      <alignment horizontal="center" vertical="center"/>
    </xf>
    <xf numFmtId="208" fontId="44" fillId="0" borderId="14" xfId="951" applyNumberFormat="1" applyFont="1" applyBorder="1" applyAlignment="1">
      <alignment vertical="center"/>
    </xf>
    <xf numFmtId="208" fontId="2" fillId="0" borderId="14" xfId="1218" applyNumberFormat="1" applyFont="1" applyBorder="1" applyAlignment="1">
      <alignment horizontal="center" vertical="center"/>
    </xf>
    <xf numFmtId="208" fontId="0" fillId="0" borderId="14" xfId="951" applyNumberFormat="1" applyBorder="1" applyAlignment="1">
      <alignment vertical="center"/>
    </xf>
    <xf numFmtId="188" fontId="0" fillId="0" borderId="0" xfId="951" applyNumberFormat="1" applyAlignment="1">
      <alignment vertical="center"/>
    </xf>
    <xf numFmtId="0" fontId="66" fillId="0" borderId="13" xfId="1218" applyFont="1" applyBorder="1" applyAlignment="1">
      <alignment horizontal="center" vertical="center"/>
    </xf>
    <xf numFmtId="0" fontId="66" fillId="0" borderId="14" xfId="1218" applyFont="1" applyBorder="1" applyAlignment="1">
      <alignment horizontal="center" vertical="center"/>
    </xf>
    <xf numFmtId="0" fontId="8" fillId="0" borderId="13" xfId="1218" applyFont="1" applyBorder="1" applyAlignment="1">
      <alignment horizontal="left" vertical="center" shrinkToFit="1"/>
    </xf>
    <xf numFmtId="0" fontId="8" fillId="0" borderId="14" xfId="1218" applyFont="1" applyBorder="1" applyAlignment="1">
      <alignment horizontal="left" vertical="center" shrinkToFit="1"/>
    </xf>
    <xf numFmtId="49" fontId="2" fillId="0" borderId="13" xfId="1218" applyNumberFormat="1" applyFont="1" applyBorder="1" applyAlignment="1">
      <alignment horizontal="center" vertical="center"/>
    </xf>
    <xf numFmtId="0" fontId="2" fillId="0" borderId="14" xfId="1218" applyFont="1" applyBorder="1" applyAlignment="1">
      <alignment horizontal="left" vertical="center"/>
    </xf>
    <xf numFmtId="10" fontId="0" fillId="0" borderId="0" xfId="32" applyNumberFormat="1" applyFont="1" applyAlignment="1">
      <alignment vertical="center"/>
    </xf>
    <xf numFmtId="0" fontId="2" fillId="7" borderId="14" xfId="1218" applyFont="1" applyFill="1" applyBorder="1" applyAlignment="1">
      <alignment horizontal="left" vertical="center"/>
    </xf>
    <xf numFmtId="208" fontId="2" fillId="7" borderId="14" xfId="1218" applyNumberFormat="1" applyFont="1" applyFill="1" applyBorder="1" applyAlignment="1">
      <alignment horizontal="center" vertical="center"/>
    </xf>
    <xf numFmtId="0" fontId="66" fillId="0" borderId="23" xfId="1218" applyFont="1" applyBorder="1" applyAlignment="1">
      <alignment horizontal="center" vertical="center"/>
    </xf>
    <xf numFmtId="0" fontId="66" fillId="0" borderId="6" xfId="1218" applyFont="1" applyBorder="1" applyAlignment="1">
      <alignment horizontal="center" vertical="center"/>
    </xf>
    <xf numFmtId="208" fontId="8" fillId="0" borderId="6" xfId="1218" applyNumberFormat="1" applyFont="1" applyBorder="1" applyAlignment="1">
      <alignment horizontal="center" vertical="center"/>
    </xf>
    <xf numFmtId="208" fontId="8" fillId="0" borderId="24" xfId="1218" applyNumberFormat="1" applyFont="1" applyBorder="1" applyAlignment="1">
      <alignment horizontal="center" vertical="center"/>
    </xf>
    <xf numFmtId="2" fontId="0" fillId="0" borderId="0" xfId="951" applyNumberFormat="1" applyAlignment="1">
      <alignment horizontal="center" vertical="center"/>
    </xf>
    <xf numFmtId="208" fontId="0" fillId="0" borderId="0" xfId="951" applyNumberFormat="1" applyAlignment="1">
      <alignment horizontal="center" vertical="center"/>
    </xf>
    <xf numFmtId="193" fontId="0" fillId="0" borderId="0" xfId="951" applyNumberFormat="1" applyAlignment="1">
      <alignment horizontal="center" vertical="center"/>
    </xf>
    <xf numFmtId="209" fontId="0" fillId="0" borderId="0" xfId="951" applyNumberFormat="1" applyAlignment="1">
      <alignment vertical="center"/>
    </xf>
    <xf numFmtId="204" fontId="0" fillId="0" borderId="0" xfId="951" applyNumberFormat="1" applyAlignment="1">
      <alignment vertical="center"/>
    </xf>
    <xf numFmtId="206" fontId="0" fillId="0" borderId="0" xfId="951" applyNumberFormat="1" applyAlignment="1">
      <alignment vertical="center"/>
    </xf>
    <xf numFmtId="1" fontId="44" fillId="0" borderId="0" xfId="951" applyNumberFormat="1" applyFont="1" applyAlignment="1">
      <alignment horizontal="center" vertical="center"/>
    </xf>
    <xf numFmtId="2" fontId="44" fillId="20" borderId="0" xfId="951" applyNumberFormat="1" applyFont="1" applyFill="1" applyAlignment="1">
      <alignment vertical="center"/>
    </xf>
    <xf numFmtId="203" fontId="0" fillId="0" borderId="0" xfId="951" applyNumberFormat="1" applyAlignment="1">
      <alignment vertical="center"/>
    </xf>
  </cellXfs>
  <cellStyles count="2946">
    <cellStyle name="常规" xfId="0" builtinId="0"/>
    <cellStyle name="货币[0]" xfId="1" builtinId="7"/>
    <cellStyle name="好_批复黄羊滩（116）预算定额（最终）2010.9.3_2013.10.11（最终）吴忠市金积造123纸工业园区速生林" xfId="2"/>
    <cellStyle name="差_黄土梁灌区_小人饮工程工程量" xfId="3"/>
    <cellStyle name="_ET_STYLE_NoName_00__Book1_1_宁夏深沟村1万亩概算核2013.2.4" xfId="4"/>
    <cellStyle name="输入" xfId="5" builtinId="20"/>
    <cellStyle name="汇总 6" xfId="6"/>
    <cellStyle name="_ET_STYLE_NoName_00__吴忠市孙家滩项目2011.12.16（马玲）【2009】13号文概算标准" xfId="7"/>
    <cellStyle name="常规 44" xfId="8"/>
    <cellStyle name="常规 39" xfId="9"/>
    <cellStyle name="常规 2 3 2 2 10_喊叫水概算汇总表【批复】" xfId="10"/>
    <cellStyle name="货币" xfId="11" builtinId="4"/>
    <cellStyle name="20% - 强调文字颜色 3" xfId="12" builtinId="38"/>
    <cellStyle name="差_丁家儿沟工程量表_（10.17）庄立明2014年中央统筹资金永宁县第一排水沟、永清沟治理及泵站改造工程" xfId="13"/>
    <cellStyle name="差_黄羊滩（116）预算定额（最终）2010.03.28_贺兰县兰光村、金鑫村高效节水核2012.9.13_2015年小农水新增资金项目永宁县泵站翻建改造工程" xfId="14"/>
    <cellStyle name="args.style" xfId="15"/>
    <cellStyle name="Accent2 - 40%" xfId="16"/>
    <cellStyle name="千位分隔[0]" xfId="17" builtinId="6"/>
    <cellStyle name="差_西吉县葫芦河治理工程概算表（116号）-核_2012.5.15修改 五里坡配套控制价" xfId="18"/>
    <cellStyle name="差_贺兰县兰光村、金鑫村高效节水核2012.9.13_2015年小农水新增资金项目永宁县泵站翻建改造工程" xfId="19"/>
    <cellStyle name="40% - 强调文字颜色 3" xfId="20" builtinId="39"/>
    <cellStyle name="常规 2 3 2 2 4 5" xfId="21"/>
    <cellStyle name="差_庆华水厂设计费监理费计算表_2013年度青铜峡小农水概算核2013.3.4" xfId="22"/>
    <cellStyle name="差" xfId="23" builtinId="27"/>
    <cellStyle name="千位分隔" xfId="24" builtinId="3"/>
    <cellStyle name="60% - 强调文字颜色 3" xfId="25" builtinId="40"/>
    <cellStyle name="差_利通区东塔寺乡白寺滩村优质葡萄高效节水灌溉工程概算_2014年小农水工程高效片区概算核2014.6.5" xfId="26"/>
    <cellStyle name="常规 12 2 3" xfId="27"/>
    <cellStyle name="好_利水公司二标段报价_（10.17）庄立明2014年中央统筹资金永宁县第一排水沟、永清沟治理及泵站改造工程" xfId="28"/>
    <cellStyle name="Accent2 - 60%" xfId="29"/>
    <cellStyle name="超链接" xfId="30" builtinId="8"/>
    <cellStyle name="常规 10 2 2 3" xfId="31"/>
    <cellStyle name="百分比" xfId="32" builtinId="5"/>
    <cellStyle name="常规 2 3 2 2 11" xfId="33"/>
    <cellStyle name="差_李庄饮水工程概算核2012.5.16_2015年小农水新增资金项目永宁县泵站翻建改造工程" xfId="34"/>
    <cellStyle name="已访问的超链接" xfId="35" builtinId="9"/>
    <cellStyle name="注释" xfId="36" builtinId="10"/>
    <cellStyle name="60% - 强调文字颜色 2 3" xfId="37"/>
    <cellStyle name="常规 12 2 2 3" xfId="38"/>
    <cellStyle name="20% - 强调文字颜色 4 5" xfId="39"/>
    <cellStyle name="_ET_STYLE_NoName_00__Sheet3" xfId="40"/>
    <cellStyle name="差_利通区二支渠工程概算（周工核定）20100914_利水公司二标段报价_（10.17）庄立明2014年中央统筹资金永宁县第一排水沟、永清沟治理及泵站改造工程" xfId="41"/>
    <cellStyle name="常规 12 2 2" xfId="42"/>
    <cellStyle name="差_青铜峡鸽子山概算核2014.6.12" xfId="43"/>
    <cellStyle name="60% - 强调文字颜色 2" xfId="44" builtinId="36"/>
    <cellStyle name="40% - 强调文字颜色 3 9" xfId="45"/>
    <cellStyle name="好_临时工" xfId="46"/>
    <cellStyle name="差_利通区2012年小农水重点县概算核2012.9.18" xfId="47"/>
    <cellStyle name="标题 4" xfId="48" builtinId="19"/>
    <cellStyle name="_ET_STYLE_NoName_00_ 4" xfId="49"/>
    <cellStyle name="警告文本" xfId="50" builtinId="11"/>
    <cellStyle name="常规 6 5" xfId="51"/>
    <cellStyle name="60% - 强调文字颜色 6 8" xfId="52"/>
    <cellStyle name="标题" xfId="53" builtinId="15"/>
    <cellStyle name="好_宁夏农垦农业综合开发十二五规划3.15" xfId="54"/>
    <cellStyle name="好_2011年南梁农场利用政策性贷款实施农业综合开发项目预算表_贺兰北庙9-8" xfId="55"/>
    <cellStyle name="差_复件 2010年马莲渠灌域小型农田水利工程" xfId="56"/>
    <cellStyle name="差_Book1_原州区姚磨喷灌概算核2014.1.6" xfId="57"/>
    <cellStyle name="40% - 强调文字颜色 3 10" xfId="58"/>
    <cellStyle name="解释性文本" xfId="59" builtinId="53"/>
    <cellStyle name="标题 1" xfId="60" builtinId="16"/>
    <cellStyle name="Accent3_（10.17）庄立明2014年中央统筹资金永宁县第一排水沟、永清沟治理及泵站改造工程" xfId="61"/>
    <cellStyle name="百分比 4" xfId="62"/>
    <cellStyle name="标题 2" xfId="63" builtinId="17"/>
    <cellStyle name="百分比 5" xfId="64"/>
    <cellStyle name="差_渝河下游沟道治理工程概算核2012.6.19_孙家滩高效节水概算朱清核（加30万最终批复f）2015.1.8" xfId="65"/>
    <cellStyle name="差 7" xfId="66"/>
    <cellStyle name="0,0_x000d__x000a_NA_x000d__x000a_" xfId="67"/>
    <cellStyle name="差_黄土梁灌区_盐池2014年度高效节水灌溉概算核2014.6.27" xfId="68"/>
    <cellStyle name="常规 5 2 2" xfId="69"/>
    <cellStyle name="_Book1_1_泾源县党史研究室主任汇总表" xfId="70"/>
    <cellStyle name="60% - 强调文字颜色 1" xfId="71" builtinId="32"/>
    <cellStyle name="差_23-宁夏 3" xfId="72"/>
    <cellStyle name="差_黄羊滩（116）预算定额（最终）2010.03.28_滨河连接线招标控制价_孙家滩高效节水概算朱清核（加30万最终批复f）2015.1.8" xfId="73"/>
    <cellStyle name="40% - 强调文字颜色 3 8" xfId="74"/>
    <cellStyle name="标题 3" xfId="75" builtinId="18"/>
    <cellStyle name="常规 12 2 4" xfId="76"/>
    <cellStyle name="_彭堡水库概算" xfId="77"/>
    <cellStyle name="60% - 强调文字颜色 4" xfId="78" builtinId="44"/>
    <cellStyle name="输出" xfId="79" builtinId="21"/>
    <cellStyle name="好_9.15二支渠工程(核实后概算)_清水沟投标报价" xfId="80"/>
    <cellStyle name="差_黄土梁灌区 5" xfId="81"/>
    <cellStyle name="Input" xfId="82"/>
    <cellStyle name="计算" xfId="83" builtinId="22"/>
    <cellStyle name="常规 2 3 2 2 12 4" xfId="84"/>
    <cellStyle name="常规 2 3 2 2 2 5" xfId="85"/>
    <cellStyle name="差_3.21波浪渠现状及改造表_2013年平罗小农水工程概算核2013.3.2_孙家滩高效节水概算朱清核（加30万最终批复f）2015.1.8" xfId="86"/>
    <cellStyle name="差_黄土梁灌区_贺兰县兰光村、金鑫村高效节水核2012.9.13_吴忠市国家农业科技园区供水工程最终" xfId="87"/>
    <cellStyle name="好_单价_第五批小农水重点县中宁县舟塔乡铁渠枸杞滴灌工程2014.4.9" xfId="88"/>
    <cellStyle name="差_兴水公司二支渠报价_2014年小农水工程高效片区概算核2014.6.5" xfId="89"/>
    <cellStyle name="检查单元格" xfId="90" builtinId="23"/>
    <cellStyle name="40% - 强调文字颜色 4 2" xfId="91"/>
    <cellStyle name="20% - 强调文字颜色 6" xfId="92" builtinId="50"/>
    <cellStyle name="差_贺兰金贵镇2013年高标准估算表8.2 79-8" xfId="93"/>
    <cellStyle name="Currency [0]" xfId="94"/>
    <cellStyle name="强调文字颜色 2" xfId="95" builtinId="33"/>
    <cellStyle name="常规 2 2 2 5" xfId="96"/>
    <cellStyle name="注释 2 3" xfId="97"/>
    <cellStyle name="常规 10 4_喊叫水概算汇总表【批复】" xfId="98"/>
    <cellStyle name="40% - 强调文字颜色 5 7" xfId="99"/>
    <cellStyle name="常规 6 2 3" xfId="100"/>
    <cellStyle name="_Book1_1_项目区田间工程统计表" xfId="101"/>
    <cellStyle name="链接单元格" xfId="102" builtinId="24"/>
    <cellStyle name="好_利通区东塔寺乡白寺滩村优质葡萄高效节水灌溉工程概算_利水公司二标段报价_2014年小农水工程高效片区概算核2014.6.5" xfId="103"/>
    <cellStyle name="差_Book1_渝河下游沟道治理工程概算核2012.6.19_（10.17）庄立明2014年中央统筹资金永宁县第一排水沟、永清沟治理及泵站改造工程" xfId="104"/>
    <cellStyle name="差_13标预算_贺兰县以色列贷款项目建设内容估算表" xfId="105"/>
    <cellStyle name="40% - 强调文字颜色 6 5" xfId="106"/>
    <cellStyle name="汇总" xfId="107" builtinId="25"/>
    <cellStyle name="差_利通区二支渠工程概算（周工核定）20100914_清水沟投标报价_2015年小农水新增资金项目永宁县泵站翻建改造工程" xfId="108"/>
    <cellStyle name="好" xfId="109" builtinId="26"/>
    <cellStyle name="常规 2 3 2 2 2 4_喊叫水概算汇总表【批复】" xfId="110"/>
    <cellStyle name="好_3.21江淑萍新表_2015年小农水新增资金项目永宁县泵站翻建改造工程" xfId="111"/>
    <cellStyle name="定额单位" xfId="112"/>
    <cellStyle name="常规 2 3 2 2 12 3_喊叫水概算汇总表【批复】" xfId="113"/>
    <cellStyle name="差_中小河流单价" xfId="114"/>
    <cellStyle name="好_中小河流单价_（10.17）庄立明2014年中央统筹资金永宁县第一排水沟、永清沟治理及泵站改造工程" xfId="115"/>
    <cellStyle name="Heading 3" xfId="116"/>
    <cellStyle name="常规 3 2 6" xfId="117"/>
    <cellStyle name="20% - 强调文字颜色 3 3" xfId="118"/>
    <cellStyle name="适中" xfId="119" builtinId="28"/>
    <cellStyle name="常规 5 3_11.24盐池高效节水" xfId="120"/>
    <cellStyle name="常规 2 3 2 2 7 3" xfId="121"/>
    <cellStyle name="差_副本3.29马波二渠所需表3.30_吴忠市国家农业科技园区供水工程最终" xfId="122"/>
    <cellStyle name="20% - 强调文字颜色 5" xfId="123" builtinId="46"/>
    <cellStyle name="强调文字颜色 1" xfId="124" builtinId="29"/>
    <cellStyle name="常规 2 2 2 4" xfId="125"/>
    <cellStyle name="差_利水公司二标段报价_孙家滩高效节水概算朱清核（加30万最终批复f）2015.1.8" xfId="126"/>
    <cellStyle name="_吴忠市五里坡移民项目骨干工程2010.10.20-2_2013年平罗小农水工程概算核2013.3.2" xfId="127"/>
    <cellStyle name="20% - 强调文字颜色 1" xfId="128" builtinId="30"/>
    <cellStyle name="好_9.15二支渠工程(核实后概算)_2015年小农水新增资金项目永宁县泵站翻建改造工程" xfId="129"/>
    <cellStyle name="差_13标预算_Book1" xfId="130"/>
    <cellStyle name="好_宁夏易捷枸杞庄园科技有限公司恩和枸杞示范基地滴灌项目2012.3.23（1f）_吴忠市孙家滩土地占补二期预算（马建涛2014.7.6终）" xfId="131"/>
    <cellStyle name="_高家闸概算116号文概算（核）_2013年平罗小农水工程概算核2013.3.2" xfId="132"/>
    <cellStyle name="40% - 强调文字颜色 1" xfId="133" builtinId="31"/>
    <cellStyle name="20% - 强调文字颜色 2" xfId="134" builtinId="34"/>
    <cellStyle name="差_渝河下游沟道治理工程概算核2012.6.19" xfId="135"/>
    <cellStyle name="40% - 强调文字颜色 2" xfId="136" builtinId="35"/>
    <cellStyle name="强调文字颜色 3" xfId="137" builtinId="37"/>
    <cellStyle name="常规 2 3 2 2 2 10" xfId="138"/>
    <cellStyle name="常规 2 2 2 6" xfId="139"/>
    <cellStyle name="差_策勒县108号文概算实施方案8000亩2011.10_吴忠市国家农业科技园区供水工程最终" xfId="140"/>
    <cellStyle name="PSChar" xfId="141"/>
    <cellStyle name="强调文字颜色 4" xfId="142" builtinId="41"/>
    <cellStyle name="常规 2 3 2 2 2 11" xfId="143"/>
    <cellStyle name="常规 2 2 2 7" xfId="144"/>
    <cellStyle name="好_宁夏农垦农业综合开发十二五规划3.15_Book1_贺兰北庙9-8" xfId="145"/>
    <cellStyle name="_Book1_宁夏深沟村1万亩概算核2013.2.4" xfId="146"/>
    <cellStyle name="好_23-宁夏 3" xfId="147"/>
    <cellStyle name="_Book1_机电 " xfId="148"/>
    <cellStyle name="20% - 强调文字颜色 4" xfId="149" builtinId="42"/>
    <cellStyle name="40% - 强调文字颜色 4" xfId="150" builtinId="43"/>
    <cellStyle name="强调文字颜色 5" xfId="151" builtinId="45"/>
    <cellStyle name="常规 2 3 2 2 2 12" xfId="152"/>
    <cellStyle name="常规 2 2 2 8" xfId="153"/>
    <cellStyle name="差_黄土梁灌区_滨河连接线招标控制价_2014年小农水工程高效片区概算核2014.6.5" xfId="154"/>
    <cellStyle name="差_Book1_渝河下游沟道治理工程概算核2012.6.19" xfId="155"/>
    <cellStyle name="40% - 强调文字颜色 5" xfId="156" builtinId="47"/>
    <cellStyle name="_ET_STYLE_NoName_00__2014年扁担沟镇土地整理" xfId="157"/>
    <cellStyle name="60% - 强调文字颜色 5" xfId="158" builtinId="48"/>
    <cellStyle name="强调文字颜色 6" xfId="159" builtinId="49"/>
    <cellStyle name="常规 2 3 2 2 2 13" xfId="160"/>
    <cellStyle name="常规 2 2 2 9" xfId="161"/>
    <cellStyle name="40% - 强调文字颜色 6" xfId="162" builtinId="51"/>
    <cellStyle name="_弱电系统设备配置报价清单" xfId="163"/>
    <cellStyle name="60% - 强调文字颜色 6" xfId="164" builtinId="52"/>
    <cellStyle name="20% - 强调文字颜色 5 10" xfId="165"/>
    <cellStyle name="好_黄羊滩（116）预算定额（最终）2010.03.28_第五批小农水重点县中宁县舟塔乡铁渠枸杞滴灌工程2014.4.9" xfId="166"/>
    <cellStyle name="_Book1_1" xfId="167"/>
    <cellStyle name="_20100326高清市院遂宁检察院1080P配置清单26日改" xfId="168"/>
    <cellStyle name="好_吴忠市孙家滩项目2011.12.16（马玲）【2009】13号文概算标准_孙家滩高效节水概算朱清核（加30万最终批复f）2015.1.8" xfId="169"/>
    <cellStyle name="常规 2 3 2 2 2 4 3" xfId="170"/>
    <cellStyle name="差_人工湖工程预算2011.3.25(存）" xfId="171"/>
    <cellStyle name="捠壿_Region Orders (2)" xfId="172"/>
    <cellStyle name="_Book1_1_永宁闽宁葡萄滴管工程（三期）概算核2014.10.12" xfId="173"/>
    <cellStyle name="差_23-宁夏_三标段报价1" xfId="174"/>
    <cellStyle name="_20100326高清市院遂宁检察院1080P配置清单26日改_机电 " xfId="175"/>
    <cellStyle name="?鸪_x000c__x001e_#_x000d__x0017_U_x0001_?a_x0011__x0007__x0001__x0001_" xfId="176"/>
    <cellStyle name="差_Book1_1_喊叫水概算汇总表【批复】" xfId="177"/>
    <cellStyle name="_Book1_1_孙家滩高效节水概算朱清核（加30万最终批复f）2015.1.8" xfId="178"/>
    <cellStyle name="好_管材招标控制价_孙家滩高效节水概算朱清核（加30万最终批复f）2015.1.8" xfId="179"/>
    <cellStyle name="差_9.15二支渠工程(核实后概算)" xfId="180"/>
    <cellStyle name="_ET_STYLE_NoName_00__长易河人饮工程估算核2012.7.5" xfId="181"/>
    <cellStyle name="_20100326高清市院遂宁检察院1080P配置清单26日改_中石化效益费用计算1008" xfId="182"/>
    <cellStyle name="ColLevel_0" xfId="183"/>
    <cellStyle name="好_Book1_1_中石化效益费用计算1008_孙家滩高效节水概算朱清核（加30万最终批复f）2015.1.8" xfId="184"/>
    <cellStyle name="?鹎%U龡&amp;H?_x0008__x001c__x001c_?_x0007__x0001__x0001_" xfId="185"/>
    <cellStyle name="强调文字颜色 2 2" xfId="186"/>
    <cellStyle name="@ET_Style?CF_Style_1" xfId="187"/>
    <cellStyle name="好_黄羊滩（116）预算定额（最终）2010.03.28 3" xfId="188"/>
    <cellStyle name="差_天宇奶牛概算（张伟峰） 3" xfId="189"/>
    <cellStyle name="_116号文 估算 2009.12.22" xfId="190"/>
    <cellStyle name="20% - 强调文字颜色 1 10" xfId="191"/>
    <cellStyle name="60% - 强调文字颜色 1 9" xfId="192"/>
    <cellStyle name="常规 2 7 2" xfId="193"/>
    <cellStyle name="_Book1" xfId="194"/>
    <cellStyle name="好_Book1_丁家儿沟工程量表_孙家滩高效节水概算朱清核（加30万最终批复f）2015.1.8" xfId="195"/>
    <cellStyle name="_1泉眼山110kV变电站工程" xfId="196"/>
    <cellStyle name="_20100326高清市院遂宁检察院1080P配置清单26日改_（苏）宁夏中宁红梧山预算概算0407" xfId="197"/>
    <cellStyle name="差_永宁县中干沟沟道砌护工程（一期工程）马玲2012.3.19 3" xfId="198"/>
    <cellStyle name="差_2011年小农水概算5.4_利水公司二标段报价_2015年小农水新增资金项目永宁县泵站翻建改造工程" xfId="199"/>
    <cellStyle name="差_9.15二支渠工程(核实后概算)_吴忠市国家农业科技园区供水工程最终" xfId="200"/>
    <cellStyle name="_2010年第一批自来水入户工程量清单(发）xls" xfId="201"/>
    <cellStyle name="60% - 强调文字颜色 6 6" xfId="202"/>
    <cellStyle name="常规 2 8_（200909061550利水Ⅰ标段报价）吴忠市金银滩镇土地治理工程" xfId="203"/>
    <cellStyle name="差_西吉县葫芦河治理工程概算表（116号）-核_滨河连接线招标控制价" xfId="204"/>
    <cellStyle name="差_吴忠市孙家滩项目2011.12.16-批复概算_盐池县高效节水概算" xfId="205"/>
    <cellStyle name="_Book1_1_宁夏深沟村1万亩概算核2013.2.4" xfId="206"/>
    <cellStyle name="差_复件 2010年马莲渠灌域小型农田水利工程_2013年平罗小农水工程概算核2013.3.2_孙家滩高效节水概算朱清核（加30万最终批复f）2015.1.8" xfId="207"/>
    <cellStyle name="_Book1_（苏）宁夏中宁红梧山预算概算0407" xfId="208"/>
    <cellStyle name="好_20100227马莲渠乡左右岸合计（江淑萍）_利通区马波二渠及四支渠断面_2013年平罗小农水工程概算核2013.3.2" xfId="209"/>
    <cellStyle name="20% - 强调文字颜色 5 2" xfId="210"/>
    <cellStyle name="_Book1_1_小人饮工程工程量" xfId="211"/>
    <cellStyle name="寘嬫愗傝_Region Orders (2)" xfId="212"/>
    <cellStyle name="常规 2 3 2 2 9 2" xfId="213"/>
    <cellStyle name="差_黄土梁灌区_惠农渠永宁县李俊镇新老出水渠取水工程2013-05-14" xfId="214"/>
    <cellStyle name="差_23-宁夏_清水沟投标报价" xfId="215"/>
    <cellStyle name="_ET_STYLE_NoName_00__Book1_2015年小农水新增资金项目永宁县泵站翻建改造工程" xfId="216"/>
    <cellStyle name="_Book1_1_渝河下游沟道治理工程概算核2012.6.19" xfId="217"/>
    <cellStyle name="Comma_!!!GO" xfId="218"/>
    <cellStyle name="常规 17 2_（10.17）庄立明2014年中央统筹资金永宁县第一排水沟、永清沟治理及泵站改造工程" xfId="219"/>
    <cellStyle name="_ET_STYLE_NoName_00__吴忠市孙家滩优质苹果高效节水灌溉工程总概算表2012.10.21（马玲）-核" xfId="220"/>
    <cellStyle name="输入 10" xfId="221"/>
    <cellStyle name="强调文字颜色 4 8" xfId="222"/>
    <cellStyle name="好_20100227马莲渠乡左右岸合计（江淑萍）_3.21江淑萍新表" xfId="223"/>
    <cellStyle name="差_盐池县红山沟河道整治工程110303 2" xfId="224"/>
    <cellStyle name="_Book1_1_原州区姚磨喷灌概算核2014.1.6" xfId="225"/>
    <cellStyle name="好_太阳山自动化概算_永宁闽宁葡萄滴管工程（三期）概算核2014.10.12" xfId="226"/>
    <cellStyle name="常规 3 2 3" xfId="227"/>
    <cellStyle name="Accent2 - 20%" xfId="228"/>
    <cellStyle name="差_永宁县胜利乡金沙葡萄滴灌项目116号文概算2012.11.21_喊叫水概算汇总表【批复】" xfId="229"/>
    <cellStyle name="_Book1_2" xfId="230"/>
    <cellStyle name="差_2012年移民人饮工程计算表10‰" xfId="231"/>
    <cellStyle name="常规 2 3 2 2 9 2 3" xfId="232"/>
    <cellStyle name="差_23-宁夏" xfId="233"/>
    <cellStyle name="_Book1_2_渝河下游沟道治理工程概算核2012.6.19" xfId="234"/>
    <cellStyle name="好_吴忠市孙家滩项目2011.12.16-批复概算_(陈少先8.6）高效节水灌溉工程" xfId="235"/>
    <cellStyle name="好_太阳山自动化概算" xfId="236"/>
    <cellStyle name="_Book1_2_（10.17）庄立明2014年中央统筹资金永宁县第一排水沟、永清沟治理及泵站改造工程" xfId="237"/>
    <cellStyle name="_Book1_2_2015年小农水新增资金项目永宁县泵站翻建改造工程" xfId="238"/>
    <cellStyle name="20% - 强调文字颜色 2 5" xfId="239"/>
    <cellStyle name="_彭堡水库控制价（方案一自拌砼）" xfId="240"/>
    <cellStyle name="好_4.6马波二渠轮灌组划分" xfId="241"/>
    <cellStyle name="常规 2 3 2 2 12_20110920吴忠市利通区秦渠两侧绿化带整地项目控制价工程" xfId="242"/>
    <cellStyle name="差_小洪沟（新定额）2010.7.10改估算改_原州区姚磨喷灌概算核2014.1.6" xfId="243"/>
    <cellStyle name="Linked Cell" xfId="244"/>
    <cellStyle name="好_西吉县葫芦河治理工程概算表（116号）-核_贺兰县兰光村、金鑫村高效节水核2012.9.13_吴忠市国家农业科技园区供水工程最终" xfId="245"/>
    <cellStyle name="好_2011年小农水概算5.4_利水公司二标段报价" xfId="246"/>
    <cellStyle name="_ET_STYLE_NoName_00__窑山人饮概算核2012.4.27" xfId="247"/>
    <cellStyle name="检查单元格 2" xfId="248"/>
    <cellStyle name="好_桑园沟新定额概算表(0713收)(审)_盐池2014年度高效节水灌溉概算核2014.6.27" xfId="249"/>
    <cellStyle name="差_台时计算表_孙家滩高效节水概算朱清核（加30万最终批复f）2015.1.8" xfId="250"/>
    <cellStyle name="标题 4 4" xfId="251"/>
    <cellStyle name="差_单价_滨河连接线招标控制价" xfId="252"/>
    <cellStyle name="差_Book1_1_（苏）宁夏中宁红梧山预算概算0407" xfId="253"/>
    <cellStyle name="_Book1_2_Book1" xfId="254"/>
    <cellStyle name="好_策勒县108号文概算实施方案8000亩2011.10_（10.17）庄立明2014年中央统筹资金永宁县第一排水沟、永清沟治理及泵站改造工程" xfId="255"/>
    <cellStyle name="常规 2 8 4_20110920吴忠市利通区秦渠两侧绿化带整地项目控制价工程" xfId="256"/>
    <cellStyle name="_Book1_2_机电 " xfId="257"/>
    <cellStyle name="_Book1_渝河下游沟道治理工程概算核2012.6.19" xfId="258"/>
    <cellStyle name="_Book1_2_泾源县党史研究室主任汇总表" xfId="259"/>
    <cellStyle name="40% - 强调文字颜色 6 3" xfId="260"/>
    <cellStyle name="常规 2 8 4 2" xfId="261"/>
    <cellStyle name="_Book1_2_孙家滩高效节水概算朱清核（加30万最终批复f）2015.1.8" xfId="262"/>
    <cellStyle name="e鯪9Y" xfId="263"/>
    <cellStyle name="_Book1_2_吴忠市国家农业科技园区供水工程最终" xfId="264"/>
    <cellStyle name="Input [yellow]" xfId="265"/>
    <cellStyle name="_Book1_2_项目区田间工程统计表" xfId="266"/>
    <cellStyle name="Pourcentage_pldt" xfId="267"/>
    <cellStyle name="标题 5" xfId="268"/>
    <cellStyle name="_Book1_2_盐池小农概算核2012.9.12" xfId="269"/>
    <cellStyle name="差_201203281850 五里坡配套控制价" xfId="270"/>
    <cellStyle name="20% - 强调文字颜色 4 10" xfId="271"/>
    <cellStyle name="差_菊花台节灌工程预算滴灌2010114_孙家滩高效节水概算朱清核（加30万最终批复f）2015.1.8" xfId="272"/>
    <cellStyle name="常规 2 10 3" xfId="273"/>
    <cellStyle name="_ET_STYLE_NoName_00__渝河下游沟道治理工程概算核2012.6.19" xfId="274"/>
    <cellStyle name="常规 2 2 3 2_2010.11.05水利工程单价定额表" xfId="275"/>
    <cellStyle name="Check Cell" xfId="276"/>
    <cellStyle name="常规 20" xfId="277"/>
    <cellStyle name="常规 15" xfId="278"/>
    <cellStyle name="_ET_STYLE_NoName_00__Book1_1_孙家滩高效节水概算朱清核（加30万最终批复f）2015.1.8" xfId="279"/>
    <cellStyle name="_Book1_2_原州区姚磨喷灌概算核2014.1.6" xfId="280"/>
    <cellStyle name="计算 9" xfId="281"/>
    <cellStyle name="Heading 1" xfId="282"/>
    <cellStyle name="差_13标预算_Book1_贺兰北庙9-8" xfId="283"/>
    <cellStyle name="_Book1_3" xfId="284"/>
    <cellStyle name="_Book1_Book1" xfId="285"/>
    <cellStyle name="_Book1_泾源县党史研究室主任汇总表" xfId="286"/>
    <cellStyle name="RowLevel_0" xfId="287"/>
    <cellStyle name="好_利通区2012年小农水重点县概算核2012.9.18_吴忠市国家农业科技园区供水工程最终" xfId="288"/>
    <cellStyle name="_Book1_孙家滩高效节水概算朱清核（加30万最终批复f）2015.1.8" xfId="289"/>
    <cellStyle name="_ET_STYLE_NoName_00__同德人饮工程概算表(水利厅新定额)方案一9.3" xfId="290"/>
    <cellStyle name="常规 2 10 2" xfId="291"/>
    <cellStyle name="_Book1_五里坡2014年度小农水概算核2014.6.8" xfId="292"/>
    <cellStyle name="e鯪9Y_x000b_" xfId="293"/>
    <cellStyle name="40% - 强调文字颜色 5 10" xfId="294"/>
    <cellStyle name="差_2013年平罗小农水工程概算核2013.3.2" xfId="295"/>
    <cellStyle name="Accent6" xfId="296"/>
    <cellStyle name="差_Book1_1_贺兰县以色列贷款项目建设内容估算表" xfId="297"/>
    <cellStyle name="_ET_STYLE_NoName_00__中宁县小农水投资概算核2014.6.21" xfId="298"/>
    <cellStyle name="_Book1_小人饮工程工程量" xfId="299"/>
    <cellStyle name="40% - 强调文字颜色 1 8" xfId="300"/>
    <cellStyle name="_ET_STYLE_NoName_00__Book1_1_五里坡2014年度小农水概算核2014.6.8" xfId="301"/>
    <cellStyle name="好_水力计算、管材统计表" xfId="302"/>
    <cellStyle name="好_Book1_永宁闽宁葡萄滴管工程（三期）概算核2014.10.12_孙家滩高效节水概算朱清核（加30万最终批复f）2015.1.8" xfId="303"/>
    <cellStyle name="_Book1_盐池2014年度高效节水灌溉概算核2014.6.27" xfId="304"/>
    <cellStyle name="40% - 强调文字颜色 3 7" xfId="305"/>
    <cellStyle name="差_批复黄羊滩（116）预算定额（最终）2010.9.3_2013.10.11（最终）吴忠市金积造123纸工业园区速生林_1" xfId="306"/>
    <cellStyle name="差_PVC管材_原州区姚磨喷灌概算核2014.1.6_孙家滩高效节水概算朱清核（加30万最终批复f）2015.1.8" xfId="307"/>
    <cellStyle name="差_23-宁夏 2" xfId="308"/>
    <cellStyle name="好_中小河流-桑园沟治理工程预算-桑园沟2010.12.22核_建筑工程概算表" xfId="309"/>
    <cellStyle name="好_小洪沟（新定额）2010.7.10改估算改_小人饮工程工程量" xfId="310"/>
    <cellStyle name="_Book1_原州区姚磨喷灌概算核2014.1.6" xfId="311"/>
    <cellStyle name="差_灌水率及渠道流量计算" xfId="312"/>
    <cellStyle name="好_20100227马莲渠乡左右岸合计（江淑萍）_利通区马波二渠及四支渠断面_吴忠市国家农业科技园区供水工程最终" xfId="313"/>
    <cellStyle name="常规 2 3 2 2 4_（ 2010年概算）利通区二支渠工程5.25" xfId="314"/>
    <cellStyle name="Accent1 - 60%" xfId="315"/>
    <cellStyle name="_贺兰沙井子沟道治理（宁夏定额）2010.8.2" xfId="316"/>
    <cellStyle name="_ET_STYLE_NoName_00__表1" xfId="317"/>
    <cellStyle name="好_20100227马莲渠乡左右岸合计（江淑萍）_3.21江淑萍新表_2013年平罗小农水工程概算核2013.3.2" xfId="318"/>
    <cellStyle name="_Book1_盐池小农概算核2012.9.12" xfId="319"/>
    <cellStyle name="_Book1_永宁闽宁葡萄滴管工程（三期）概算核2014.10.12" xfId="320"/>
    <cellStyle name="常规 22" xfId="321"/>
    <cellStyle name="常规 17" xfId="322"/>
    <cellStyle name="好_黄羊滩（116）预算定额（最终）2010.03.28_宁夏中宁县出口枸杞生产示范基地节水滴灌项目" xfId="323"/>
    <cellStyle name="差_五里坡2014年度小农水概算核2014.6.8_孙家滩高效节水概算朱清核（加30万最终批复f）2015.1.8" xfId="324"/>
    <cellStyle name="_Book1_中石化效益费用计算1008" xfId="325"/>
    <cellStyle name="20% - Accent2" xfId="326"/>
    <cellStyle name="_南山台子概算116号文 徐改" xfId="327"/>
    <cellStyle name="差_吴忠市孙家滩项目2011.12.16（马玲）【2009】13号文概算标准_孙家滩高效节水概算朱清核（加30万最终批复f）2015.1.8" xfId="328"/>
    <cellStyle name="_ET_STYLE_NoName_00_" xfId="329"/>
    <cellStyle name="差_西吉县葫芦河治理工程概算表（116号）-核_灵武2014高效节水工程概算核2014.6.27" xfId="330"/>
    <cellStyle name="_ET_STYLE_NoName_00_ 2" xfId="331"/>
    <cellStyle name="40% - 强调文字颜色 6 6" xfId="332"/>
    <cellStyle name="_ET_STYLE_NoName_00_ 2 2" xfId="333"/>
    <cellStyle name="常规 6 3 2" xfId="334"/>
    <cellStyle name="差_清水沟投标报价_2013年平罗小农水工程概算核2013.3.2_孙家滩高效节水概算朱清核（加30万最终批复f）2015.1.8" xfId="335"/>
    <cellStyle name="40% - 强调文字颜色 6 7" xfId="336"/>
    <cellStyle name="好_天宁牧业公司万头奶牛基地供水工程投资概算总表2012.6.27（马玲）" xfId="337"/>
    <cellStyle name="好_黄土梁灌区_滨河连接线招标控制价_孙家滩高效节水概算朱清核（加30万最终批复f）2015.1.8" xfId="338"/>
    <cellStyle name="_ET_STYLE_NoName_00__宽口井工程总预算201212119" xfId="339"/>
    <cellStyle name="_ET_STYLE_NoName_00_ 2 3" xfId="340"/>
    <cellStyle name="差_西吉县葫芦河治理工程概算表（116号）-核_滨河连接线招标控制价_孙家滩高效节水概算朱清核（加30万最终批复f）2015.1.8" xfId="341"/>
    <cellStyle name="Accent3 - 60%" xfId="342"/>
    <cellStyle name="差_清水沟投标报价" xfId="343"/>
    <cellStyle name="40% - 强调文字颜色 6 8" xfId="344"/>
    <cellStyle name="差_西吉县葫芦河治理工程概算表（116号）-核_盐池2014年度高效节水灌溉概算核2014.6.27" xfId="345"/>
    <cellStyle name="差_贺兰北庙9-8" xfId="346"/>
    <cellStyle name="_ET_STYLE_NoName_00_ 2 4" xfId="347"/>
    <cellStyle name="_永宁2011年重点县初设估算-定" xfId="348"/>
    <cellStyle name="好_阿克苏地区节水规划估算(内审修改)_2013年平罗小农水工程概算核2013.3.2" xfId="349"/>
    <cellStyle name="差_批复黄羊滩（116）预算定额（最终）2010.9.3_宁夏中宁县出口枸杞生产示范基地节水滴灌项目" xfId="350"/>
    <cellStyle name="_ET_STYLE_NoName_00_ 3" xfId="351"/>
    <cellStyle name="好_吴忠市孙家滩项目2011.12.16-批复概算 2" xfId="352"/>
    <cellStyle name="_ET_STYLE_NoName_00__2013年平罗小农水工程概算核2013.3.2" xfId="353"/>
    <cellStyle name="_ET_STYLE_NoName_00__2014年吴忠市利通区金积镇土地整理2014.2.25（出新）" xfId="354"/>
    <cellStyle name="差_高家闸 概算宁夏13号文新定额-2010.12.21核_2015年小农水新增资金项目永宁县泵站翻建改造工程" xfId="355"/>
    <cellStyle name="Explanatory Text" xfId="356"/>
    <cellStyle name="差_2011年南梁农场利用政策性贷款实施农业综合开发项目预算表_Book1" xfId="357"/>
    <cellStyle name="_ET_STYLE_NoName_00__2014年小农水工程高效片区概算核2014.6.5" xfId="358"/>
    <cellStyle name="好_3.21波浪渠现状及改造表_（10.17）庄立明2014年中央统筹资金永宁县第一排水沟、永清沟治理及泵站改造工程" xfId="359"/>
    <cellStyle name="差_盐池县入户改造工程预算及指标表（2012.10.10）" xfId="360"/>
    <cellStyle name="_ET_STYLE_NoName_00__Book1" xfId="361"/>
    <cellStyle name="20% - 强调文字颜色 2 6" xfId="362"/>
    <cellStyle name="好_概算表4.19_平罗高仁节水灌溉概算表5.20（总价核定）" xfId="363"/>
    <cellStyle name="_ET_STYLE_NoName_00__Book1_（10.17）庄立明2014年中央统筹资金永宁县第一排水沟、永清沟治理及泵站改造工程" xfId="364"/>
    <cellStyle name="差_黄羊滩（116）预算定额（最终）2010.03.28_吴忠市利通区扁担沟镇五里坡片区综合开发工程" xfId="365"/>
    <cellStyle name="差_Book1_丁家儿沟工程量表_吴忠市国家农业科技园区供水工程最终" xfId="366"/>
    <cellStyle name="差_利通区二支渠工程概算（周工核定）20100914_清水沟投标报价_2013年平罗小农水工程概算核2013.3.2_孙家滩高效节水概算朱清核（加30万最终批复f）2015.1.8" xfId="367"/>
    <cellStyle name="60% - 强调文字颜色 2 10" xfId="368"/>
    <cellStyle name="常规 40" xfId="369"/>
    <cellStyle name="常规 35" xfId="370"/>
    <cellStyle name="_ET_STYLE_NoName_00__Book1_（苏）宁夏中宁红梧山预算概算0407" xfId="371"/>
    <cellStyle name="_ET_STYLE_NoName_00__Book1_1" xfId="372"/>
    <cellStyle name="好_单价_惠农渠永宁县李俊镇新老出水渠取水工程2013-05-14" xfId="373"/>
    <cellStyle name="差_菊花台节灌工程预算滴灌2010114_（10.17）庄立明2014年中央统筹资金永宁县第一排水沟、永清沟治理及泵站改造工程" xfId="374"/>
    <cellStyle name="PSSpacer" xfId="375"/>
    <cellStyle name="40% - 强调文字颜色 4 6" xfId="376"/>
    <cellStyle name="差_PVC管材_盐池2014年度高效节水灌溉概算核2014.6.27" xfId="377"/>
    <cellStyle name="_ET_STYLE_NoName_00__Book1_1_（10.17）庄立明2014年中央统筹资金永宁县第一排水沟、永清沟治理及泵站改造工程" xfId="378"/>
    <cellStyle name="_ET_STYLE_NoName_00__Book1_1_2015年小农水新增资金项目永宁县泵站翻建改造工程" xfId="379"/>
    <cellStyle name="标题 3 7" xfId="380"/>
    <cellStyle name="好_Book1_小人饮工程工程量" xfId="381"/>
    <cellStyle name="常规 19 3" xfId="382"/>
    <cellStyle name="_ET_STYLE_NoName_00__Book1_1_Book1" xfId="383"/>
    <cellStyle name="差_黄羊滩（116）预算定额（最终）2010.03.28_永宁闽宁葡萄滴管工程（三期）概算核2014.10.12" xfId="384"/>
    <cellStyle name="_ET_STYLE_NoName_00__Book1_1_机电 " xfId="385"/>
    <cellStyle name="差_201203281850 五里坡配套控制价_2014年小农水工程高效片区概算核2014.6.5" xfId="386"/>
    <cellStyle name="常规 56" xfId="387"/>
    <cellStyle name="好_阿克苏地区节水规划估算(内审修改)_2013年度青铜峡小农水概算核2013.3.4" xfId="388"/>
    <cellStyle name="差_兴水公司二支渠报价_（10.17）庄立明2014年中央统筹资金永宁县第一排水沟、永清沟治理及泵站改造工程" xfId="389"/>
    <cellStyle name="_ET_STYLE_NoName_00__Book1_1_吴忠市国家农业科技园区供水工程最终" xfId="390"/>
    <cellStyle name="常规 2 3 2 2 3 6" xfId="391"/>
    <cellStyle name="_ET_STYLE_NoName_00__Book1_1_项目区田间工程统计表" xfId="392"/>
    <cellStyle name="差_永宁县胜利乡金沙葡萄滴灌项目116号文概算2012.11.21" xfId="393"/>
    <cellStyle name="_ET_STYLE_NoName_00__Book1_1_盐池2014年度高效节水灌溉概算核2014.6.27" xfId="394"/>
    <cellStyle name="60% - 强调文字颜色 4 7" xfId="395"/>
    <cellStyle name="差_2012.10.7利通区2012年小农水项目工程量清单_2014年小农水工程高效片区概算核2014.6.5" xfId="396"/>
    <cellStyle name="20% - 强调文字颜色 6 9" xfId="397"/>
    <cellStyle name="_节灌工程量清单" xfId="398"/>
    <cellStyle name="好_201203281850 五里坡配套控制价_2014年小农水工程高效片区概算核2014.6.5" xfId="399"/>
    <cellStyle name="差_贺兰县兰光村、金鑫村高效节水核2012.9.13_孙家滩高效节水概算朱清核（加30万最终批复f）2015.1.8" xfId="400"/>
    <cellStyle name="_ET_STYLE_NoName_00__Book1_1_盐池小农概算核2012.9.12" xfId="401"/>
    <cellStyle name="差_黄羊滩（116）预算定额（最终）2010.03.28 4" xfId="402"/>
    <cellStyle name="_ET_STYLE_NoName_00__Book1_1_原州区姚磨喷灌概算核2014.1.6" xfId="403"/>
    <cellStyle name="Accent5 - 20%" xfId="404"/>
    <cellStyle name="常规 2 3 2 2 5 3 2" xfId="405"/>
    <cellStyle name="_ET_STYLE_NoName_00__Book1_2" xfId="406"/>
    <cellStyle name="60% - 强调文字颜色 5 10" xfId="407"/>
    <cellStyle name="40% - 强调文字颜色 2 2" xfId="408"/>
    <cellStyle name="_ET_STYLE_NoName_00__Book1_2_孙家滩高效节水概算朱清核（加30万最终批复f）2015.1.8" xfId="409"/>
    <cellStyle name="_跃进渠隧洞方案一估算 116号文（20100305）" xfId="410"/>
    <cellStyle name="常规 2 2 8" xfId="411"/>
    <cellStyle name="好_生态移民农业开发土壤改良及治沙工程控制价工程修改_2014年小农水工程高效片区概算核2014.6.5" xfId="412"/>
    <cellStyle name="标题 1 4" xfId="413"/>
    <cellStyle name="_ET_STYLE_NoName_00__Book1_2_永宁闽宁葡萄滴管工程（三期）概算核2014.10.12" xfId="414"/>
    <cellStyle name="强调文字颜色 3 9" xfId="415"/>
    <cellStyle name="好_批复黄羊滩（116）预算定额（最终）2010.9.3_宁夏中宁县出口枸杞生产示范基地节水滴灌项目" xfId="416"/>
    <cellStyle name="_ET_STYLE_NoName_00__Book1_Book1" xfId="417"/>
    <cellStyle name="好_利通区马波二渠及四支渠断面_2013年平罗小农水工程概算核2013.3.2" xfId="418"/>
    <cellStyle name="差_盐池县平阳沟小型农田水利节水灌溉工程概算" xfId="419"/>
    <cellStyle name="_ET_STYLE_NoName_00__Book1_五里坡2014年度小农水概算核2014.6.8" xfId="420"/>
    <cellStyle name="差_吴忠市孙家滩项目2011.12.16-批复概算" xfId="421"/>
    <cellStyle name="好_庆华水厂设计费监理费计算表_2013年平罗小农水工程概算核2013.3.2_孙家滩高效节水概算朱清核（加30万最终批复f）2015.1.8" xfId="422"/>
    <cellStyle name="_ET_STYLE_NoName_00__Book1_宁夏深沟村1万亩概算核2013.2.4" xfId="423"/>
    <cellStyle name="标题 3 4" xfId="424"/>
    <cellStyle name="_ET_STYLE_NoName_00__Book1_孙家滩高效节水概算朱清核（加30万最终批复f）2015.1.8" xfId="425"/>
    <cellStyle name="差_Book1_1_永宁闽宁葡萄滴管工程（三期）概算核2014.10.12" xfId="426"/>
    <cellStyle name="40% - 强调文字颜色 4 8" xfId="427"/>
    <cellStyle name="Mon閠aire [0]_!!!GO" xfId="428"/>
    <cellStyle name="差_Book1_1_原州区姚磨喷灌概算核2014.1.6" xfId="429"/>
    <cellStyle name="Accent3 - 40%" xfId="430"/>
    <cellStyle name="_ET_STYLE_NoName_00__Book1_吴忠市国家农业科技园区供水工程最终" xfId="431"/>
    <cellStyle name="60% - 强调文字颜色 1 6" xfId="432"/>
    <cellStyle name="20% - 强调文字颜色 3 8" xfId="433"/>
    <cellStyle name="_ET_STYLE_NoName_00__Book1_盐池2014年度高效节水灌溉概算核2014.6.27" xfId="434"/>
    <cellStyle name="60% - 强调文字颜色 3 6" xfId="435"/>
    <cellStyle name="强调 1" xfId="436"/>
    <cellStyle name="20% - 强调文字颜色 5 8" xfId="437"/>
    <cellStyle name="_ET_STYLE_NoName_00__Book1_盐池小农概算核2012.9.12" xfId="438"/>
    <cellStyle name="好_西沟节水灌溉工程预算" xfId="439"/>
    <cellStyle name="_ET_STYLE_NoName_00__Book1_原州区姚磨喷灌概算核2014.1.6" xfId="440"/>
    <cellStyle name="常规 10 3" xfId="441"/>
    <cellStyle name="差_3.30日2010年马莲渠灌域小型农田水利工程_2013年平罗小农水工程概算核2013.3.2_孙家滩高效节水概算朱清核（加30万最终批复f）2015.1.8" xfId="442"/>
    <cellStyle name="Accent2_（10.17）庄立明2014年中央统筹资金永宁县第一排水沟、永清沟治理及泵站改造工程" xfId="443"/>
    <cellStyle name="_ET_STYLE_NoName_00__Book1_中石化效益费用计算1008" xfId="444"/>
    <cellStyle name="60% - 强调文字颜色 6 4" xfId="445"/>
    <cellStyle name="e鯪9Y_x000b_ 3" xfId="446"/>
    <cellStyle name="差_中小河流-桑园沟治理工程预算-桑园沟2010.12.22核_小人饮工程工程量" xfId="447"/>
    <cellStyle name="差_单价_贺兰县兰光村、金鑫村高效节水核2012.9.13_（10.17）庄立明2014年中央统筹资金永宁县第一排水沟、永清沟治理及泵站改造工程" xfId="448"/>
    <cellStyle name="_项目区田间工程统计表" xfId="449"/>
    <cellStyle name="_ET_STYLE_NoName_00__Sheet3_（苏）宁夏中宁红梧山预算概算0407" xfId="450"/>
    <cellStyle name="差_Book1_灌水率及渠道流量计算" xfId="451"/>
    <cellStyle name="_ET_STYLE_NoName_00__Sheet3_机电 " xfId="452"/>
    <cellStyle name="差_利通区东塔寺乡白寺滩村优质葡萄高效节水灌溉工程概算_利水公司二标段报价_吴忠市国家农业科技园区供水工程最终" xfId="453"/>
    <cellStyle name="_ET_STYLE_NoName_00__Sheet3_中石化效益费用计算1008" xfId="454"/>
    <cellStyle name="_ET_STYLE_NoName_00__白芨滩大泉、临河红墩子农水处核出文版20140304" xfId="455"/>
    <cellStyle name="差_2011年小农水概算5.4_利水公司二标段报价" xfId="456"/>
    <cellStyle name="20% - 强调文字颜色 2 9" xfId="457"/>
    <cellStyle name="_ET_STYLE_NoName_00__表2-3" xfId="458"/>
    <cellStyle name="_ET_STYLE_NoName_00__单价汇总表" xfId="459"/>
    <cellStyle name="60% - 强调文字颜色 5 2" xfId="460"/>
    <cellStyle name="差_盐池2014年度高效节水灌溉概算核2014.6.27" xfId="461"/>
    <cellStyle name="_ET_STYLE_NoName_00__葫芦河新营段治理工程概算核2012.10.26" xfId="462"/>
    <cellStyle name="差_【2009】13号文概算标准" xfId="463"/>
    <cellStyle name="_ET_STYLE_NoName_00__机电 " xfId="464"/>
    <cellStyle name="Accent5 - 40%" xfId="465"/>
    <cellStyle name="常规 6_（ 2010年概算）利通区二支渠工程5.25" xfId="466"/>
    <cellStyle name="_ET_STYLE_NoName_00__李庄饮水工程概算核2012.5.16" xfId="467"/>
    <cellStyle name="_ET_STYLE_NoName_00__宁夏深沟村1万亩概算核2013.2.4" xfId="468"/>
    <cellStyle name="20% - 强调文字颜色 6 2" xfId="469"/>
    <cellStyle name="差_2010年马莲渠灌域小型农田水利工程_吴忠市国家农业科技园区供水工程最终" xfId="470"/>
    <cellStyle name="常规 2 2 3 3 3" xfId="471"/>
    <cellStyle name="好_13标预算_北庙灌水率及渠道流量计算9-6" xfId="472"/>
    <cellStyle name="_固海灌区 116号文估算2009.2.10" xfId="473"/>
    <cellStyle name="_ET_STYLE_NoName_00__同心王团人饮概算核2012.3.13" xfId="474"/>
    <cellStyle name="差_23-宁夏_十六堡移民新村节水灌溉工程控制价" xfId="475"/>
    <cellStyle name="差_9.15二支渠工程(核实后概算)_三标段报价1_2014年小农水工程高效片区概算核2014.6.5" xfId="476"/>
    <cellStyle name="Accent4_（10.17）庄立明2014年中央统筹资金永宁县第一排水沟、永清沟治理及泵站改造工程" xfId="477"/>
    <cellStyle name="_ET_STYLE_NoName_00__五里坡2014年度小农水概算核2014.6.8" xfId="478"/>
    <cellStyle name="好_中小河流单价_贺兰县兰光村、金鑫村高效节水核2012.9.13_孙家滩高效节水概算朱清核（加30万最终批复f）2015.1.8" xfId="479"/>
    <cellStyle name="_ET_STYLE_NoName_00__现状表" xfId="480"/>
    <cellStyle name="_ET_STYLE_NoName_00__项目区田间工程统计表" xfId="481"/>
    <cellStyle name="_ET_STYLE_NoName_00__小人饮工程工程量" xfId="482"/>
    <cellStyle name="百分比 3 3 2" xfId="483"/>
    <cellStyle name="好_吴忠市孙家滩项目2011.12.16（马玲）【2009】13号文概算标准 2" xfId="484"/>
    <cellStyle name="差_黄羊滩（116）预算定额（最终）2010.03.28_贺兰县兰光村、金鑫村高效节水核2012.9.13" xfId="485"/>
    <cellStyle name="_节灌工程量清单_2013年平罗小农水工程概算核2013.3.2" xfId="486"/>
    <cellStyle name="差_Microsoft Excel 工作表" xfId="487"/>
    <cellStyle name="_ET_STYLE_NoName_00__盐池县入户改造工程预算及指标表（2012.10.10）" xfId="488"/>
    <cellStyle name="no dec" xfId="489"/>
    <cellStyle name="40% - 强调文字颜色 5 5" xfId="490"/>
    <cellStyle name="常规 30" xfId="491"/>
    <cellStyle name="常规 25" xfId="492"/>
    <cellStyle name="_ET_STYLE_NoName_00__盐池小农概算核2012.9.12" xfId="493"/>
    <cellStyle name="_ET_STYLE_NoName_00__永宁县西部水资源综合利用工程（银子湖）概算2012.12.13" xfId="494"/>
    <cellStyle name="_ET_STYLE_NoName_00__中宁红柳沟概算20110530再核(常规)" xfId="495"/>
    <cellStyle name="差_天宁牧业公司万头奶牛基地供水工程投资概算总表2012.6.27（马玲） 2" xfId="496"/>
    <cellStyle name="_ET_STYLE_NoName_00__中宁县柳青渠概算2013.8(资料)" xfId="497"/>
    <cellStyle name="40% - 强调文字颜色 1 2" xfId="498"/>
    <cellStyle name="差_3.21波浪渠现状及改造表" xfId="499"/>
    <cellStyle name="_unit cost survey 20110817" xfId="500"/>
    <cellStyle name="60% - 强调文字颜色 3 7" xfId="501"/>
    <cellStyle name="差_永宁县西部水资源综合利用工程（银子湖）概算2012.12.13" xfId="502"/>
    <cellStyle name="60% - Accent1" xfId="503"/>
    <cellStyle name="_大战场预算" xfId="504"/>
    <cellStyle name="强调 2" xfId="505"/>
    <cellStyle name="20% - 强调文字颜色 5 9" xfId="506"/>
    <cellStyle name="好_晒场_贺兰县以色列贷款项目建设内容估算表" xfId="507"/>
    <cellStyle name="差_黄土梁灌区_2013.10.11（最终）吴忠市金积造123纸工业园区速生林" xfId="508"/>
    <cellStyle name="_单价" xfId="509"/>
    <cellStyle name="常规_脱烈概算表.xls" xfId="510"/>
    <cellStyle name="_第四拦洪库概算 2011.3.1" xfId="511"/>
    <cellStyle name="_典型设计宁夏定额" xfId="512"/>
    <cellStyle name="差_9.15二支渠工程(核实后概算)_三标段报价1_孙家滩高效节水概算朱清核（加30万最终批复f）2015.1.8" xfId="513"/>
    <cellStyle name="_高家闸概算116号文概算（核）" xfId="514"/>
    <cellStyle name="_高湾概算表2010-10-18（张旭）审" xfId="515"/>
    <cellStyle name="好_国土新定额 吴忠高闸（1） 2013.5.8" xfId="516"/>
    <cellStyle name="60% - 强调文字颜色 5 6" xfId="517"/>
    <cellStyle name="差_利通区东塔寺乡白寺滩村优质葡萄高效节水灌溉工程概算_利水公司二标段报价_2014年小农水工程高效片区概算核2014.6.5" xfId="518"/>
    <cellStyle name="好_Book1_渝河下游沟道治理工程概算核2012.6.19_吴忠市国家农业科技园区供水工程最终" xfId="519"/>
    <cellStyle name="_工程量" xfId="520"/>
    <cellStyle name="标题 1 2" xfId="521"/>
    <cellStyle name="百分比 4 2" xfId="522"/>
    <cellStyle name="常规 2 2 6" xfId="523"/>
    <cellStyle name="好_晒场_盐池2014年度高效节水灌溉概算核2014.6.27" xfId="524"/>
    <cellStyle name="_固海灌区 116号文概算2009.7.10" xfId="525"/>
    <cellStyle name="_固海一干渠续建改造估算（宁夏定额）2011.7.28" xfId="526"/>
    <cellStyle name="Normal" xfId="527"/>
    <cellStyle name="_贺兰沙井子沟道治理（宁夏定额）2010.8.2_2013年平罗小农水工程概算核2013.3.2" xfId="528"/>
    <cellStyle name="差_贺兰县以色列贷款项目建设内容估算表" xfId="529"/>
    <cellStyle name="_红三干27支排水沟工程" xfId="530"/>
    <cellStyle name="差_PVC管材_喊叫水概算汇总表【批复】" xfId="531"/>
    <cellStyle name="差_管材招标控制价_2014年小农水工程高效片区概算核2014.6.5" xfId="532"/>
    <cellStyle name="差_西沟节水灌溉工程预算" xfId="533"/>
    <cellStyle name="差_中小河流-桑园沟治理工程预算-桑园沟2010.12.22核_吴忠市孙家滩优质苹果高效节水灌溉工程总概算表2012.10.21（马玲）-核" xfId="534"/>
    <cellStyle name="好_单价_天元水泥厂工程概算表2014.4.21" xfId="535"/>
    <cellStyle name="常规 2 2 4_11.24盐池高效节水" xfId="536"/>
    <cellStyle name="好_PVC管材_小人饮工程工程量" xfId="537"/>
    <cellStyle name="_红三干27支排水沟工程_2013年平罗小农水工程概算核2013.3.2" xfId="538"/>
    <cellStyle name="差_宁夏农垦农业综合开发十二五规划3.15_北庙灌水率及渠道流量计算" xfId="539"/>
    <cellStyle name="_汇总表" xfId="540"/>
    <cellStyle name="差_单价_贺兰县兰光村、金鑫村高效节水核2012.9.13_2015年小农水新增资金项目永宁县泵站翻建改造工程" xfId="541"/>
    <cellStyle name="_勘察设计费计算" xfId="542"/>
    <cellStyle name="40% - 强调文字颜色 2 9" xfId="543"/>
    <cellStyle name="差_晒场_小人饮工程工程量" xfId="544"/>
    <cellStyle name="好_阿克苏地区节水规划估算(内审修改)_2013年平罗小农水工程概算核2013.3.2_孙家滩高效节水概算朱清核（加30万最终批复f）2015.1.8" xfId="545"/>
    <cellStyle name="差_13标预算_灌水率及渠道流量计算" xfId="546"/>
    <cellStyle name="_宽口井生态移民工程预算表" xfId="547"/>
    <cellStyle name="好_高家闸 概算宁夏13号文新定额-2010.12.21核_吴忠市国家农业科技园区供水工程最终" xfId="548"/>
    <cellStyle name="好_永宁县中干沟沟道砌护工程（一期工程）马玲2012.3.19 3" xfId="549"/>
    <cellStyle name="差_黄羊滩（116）预算定额（最终）2010.03.28_滨河连接线招标控制价_2014年小农水工程高效片区概算核2014.6.5" xfId="550"/>
    <cellStyle name="好_兴水公司二支渠报价_孙家滩高效节水概算朱清核（加30万最终批复f）2015.1.8" xfId="551"/>
    <cellStyle name="60% - 强调文字颜色 1 10" xfId="552"/>
    <cellStyle name="_秦家沟水库工程可研估算审核2011.5.12核" xfId="553"/>
    <cellStyle name="强调文字颜色 2 9" xfId="554"/>
    <cellStyle name="差_Book1_北庙灌水率及渠道流量计算9-6" xfId="555"/>
    <cellStyle name="差_天宁牧业公司万头奶牛基地供水工程投资概算总表2012.6.27（马玲） 3" xfId="556"/>
    <cellStyle name="_渠道统计(2010.11.08)" xfId="557"/>
    <cellStyle name="差_管材招标控制价_孙家滩高效节水概算朱清核（加30万最终批复f）2015.1.8" xfId="558"/>
    <cellStyle name="好_9.15二支渠工程(核实后概算)_清水沟投标报价_（10.17）庄立明2014年中央统筹资金永宁县第一排水沟、永清沟治理及泵站改造工程" xfId="559"/>
    <cellStyle name="差_单价 3" xfId="560"/>
    <cellStyle name="_桑园沟新定额概算表(0713收)(审)" xfId="561"/>
    <cellStyle name="好_3.30日2010年马莲渠灌域小型农田水利工程" xfId="562"/>
    <cellStyle name="_上海庙招标预算 116号文预算 2010.4.20" xfId="563"/>
    <cellStyle name="60% - 强调文字颜色 6 5" xfId="564"/>
    <cellStyle name="_同心人饮概算核2011.7.18" xfId="565"/>
    <cellStyle name="差_扁担沟扬水站统计表（改）_生态移民农业开发土壤改良及治沙工程控制价工程修改" xfId="566"/>
    <cellStyle name="20% - 强调文字颜色 1 9" xfId="567"/>
    <cellStyle name="差_利通区马波二渠及四支渠断面" xfId="568"/>
    <cellStyle name="_同心人饮估算（修改方案8" xfId="569"/>
    <cellStyle name="差_农业汇总2_三三支沟上段总概算" xfId="570"/>
    <cellStyle name="好_永宁县西部水资源综合利用工程（银子湖）概算2012.12.13 3" xfId="571"/>
    <cellStyle name="40% - 强调文字颜色 1 5" xfId="572"/>
    <cellStyle name="常规 9 4" xfId="573"/>
    <cellStyle name="Accent3" xfId="574"/>
    <cellStyle name="40% - 强调文字颜色 1 4" xfId="575"/>
    <cellStyle name="常规 9 3" xfId="576"/>
    <cellStyle name="差_23-宁夏_129绿化供水0312" xfId="577"/>
    <cellStyle name="Accent2" xfId="578"/>
    <cellStyle name="_同心王团人饮概算核2012.2.23" xfId="579"/>
    <cellStyle name="好_黄土梁灌区_陈木闸硬化路破损恢复概算表2014.2.28" xfId="580"/>
    <cellStyle name="_同心王团人饮概算核2012.3.13" xfId="581"/>
    <cellStyle name="差_3.21江淑萍新表_2013年平罗小农水工程概算核2013.3.2" xfId="582"/>
    <cellStyle name="常规 15 2" xfId="583"/>
    <cellStyle name="常规 20 2" xfId="584"/>
    <cellStyle name="_吴忠市五里坡移民项目骨干工程2010.10.20-2" xfId="585"/>
    <cellStyle name="常规 2 3 2 2 8 3" xfId="586"/>
    <cellStyle name="常规 5 3 2 2" xfId="587"/>
    <cellStyle name="20% - 强调文字颜色 4 3" xfId="588"/>
    <cellStyle name="_西吉县葫芦河治理工程概算表（116号）-核" xfId="589"/>
    <cellStyle name="好_2012.5.15修改 五里坡配套控制价_2014年小农水工程高效片区概算核2014.6.5" xfId="590"/>
    <cellStyle name="20% - 强调文字颜色 2 2" xfId="591"/>
    <cellStyle name="_西夏水库工程概算2012.6.1" xfId="592"/>
    <cellStyle name="差_23-宁夏_兴水公司二支渠报价" xfId="593"/>
    <cellStyle name="好_单价_吴忠利通区五里坡ff" xfId="594"/>
    <cellStyle name="_中宁人饮工程量分段2010(1).3.11" xfId="595"/>
    <cellStyle name="差_黄羊滩（116）预算定额（最终）2010.03.28 5" xfId="596"/>
    <cellStyle name="PSDate" xfId="597"/>
    <cellStyle name="_修改意见表.jsp" xfId="598"/>
    <cellStyle name="差_吴忠市孙家滩项目2011.12.16-批复概算_（2014.9.5）温棚滴灌工程" xfId="599"/>
    <cellStyle name="_原州区设施农业10万方蓄水池配套工程222万元" xfId="600"/>
    <cellStyle name="_中宁人饮工程量分段2010(1).3.11_2013年平罗小农水工程概算核2013.3.2" xfId="601"/>
    <cellStyle name="标题 3 9" xfId="602"/>
    <cellStyle name="_中宁县宽口井概算审核" xfId="603"/>
    <cellStyle name="差_3.21波浪渠现状及改造表_吴忠市国家农业科技园区供水工程最终" xfId="604"/>
    <cellStyle name="常规 16 2 2" xfId="605"/>
    <cellStyle name="标题 8" xfId="606"/>
    <cellStyle name="常规 17 2 4" xfId="607"/>
    <cellStyle name="_总 世行渠灌预算-终定2.4" xfId="608"/>
    <cellStyle name="_总 世行渠灌预算-终定2.4.xls(带断面形式）" xfId="609"/>
    <cellStyle name="40% - 强调文字颜色 6 10" xfId="610"/>
    <cellStyle name="0,0_x000d__x000a_NA_x000d__x000a_ 2" xfId="611"/>
    <cellStyle name="差_13标预算_2015年小农水新增资金项目永宁县泵站翻建改造工程" xfId="612"/>
    <cellStyle name="好_黄土梁灌区_天元水泥厂工程概算表2014.4.21" xfId="613"/>
    <cellStyle name="好_中小河流单价_Book1" xfId="614"/>
    <cellStyle name="Grey" xfId="615"/>
    <cellStyle name="差_农业汇总2" xfId="616"/>
    <cellStyle name="0,0_x000d__x000a_NA_x000d__x000a_ 3" xfId="617"/>
    <cellStyle name="差_2010年马莲渠灌域小型农田水利工程_2015年小农水新增资金项目永宁县泵站翻建改造工程" xfId="618"/>
    <cellStyle name="0,0_x000d__x000a_NA_x000d__x000a_ 4" xfId="619"/>
    <cellStyle name="差_2011年南梁农场利用政策性贷款实施农业综合开发项目预算表" xfId="620"/>
    <cellStyle name="0,0_x000d__x000a_NA_x000d__x000a__02 陈阳川水库工程概算核定（马微核量，朱清核价2011.8.26）" xfId="621"/>
    <cellStyle name="Accent1 - 20%" xfId="622"/>
    <cellStyle name="20% - Accent1" xfId="623"/>
    <cellStyle name="差_利通区东塔寺乡白寺滩村优质葡萄高效节水灌溉工程概算" xfId="624"/>
    <cellStyle name="差_2011年小农水概算5.4_利水公司二标段报价_（10.17）庄立明2014年中央统筹资金永宁县第一排水沟、永清沟治理及泵站改造工程" xfId="625"/>
    <cellStyle name="差_吴忠市孙家滩项目2011.12.16（马玲）【2009】13号文概算标准 2" xfId="626"/>
    <cellStyle name="20% - Accent3" xfId="627"/>
    <cellStyle name="差_吴忠市孙家滩项目2011.12.16（马玲）【2009】13号文概算标准 3" xfId="628"/>
    <cellStyle name="20% - Accent4" xfId="629"/>
    <cellStyle name="好_20100227马莲渠乡左右岸合计（江淑萍）_利通区马波二渠及四支渠断面_2015年小农水新增资金项目永宁县泵站翻建改造工程" xfId="630"/>
    <cellStyle name="20% - Accent5" xfId="631"/>
    <cellStyle name="20% - Accent6" xfId="632"/>
    <cellStyle name="20% - 强调文字颜色 1 2" xfId="633"/>
    <cellStyle name="20% - 强调文字颜色 1 3" xfId="634"/>
    <cellStyle name="好_策勒县108号文概算实施方案8000亩2011.10_2013年平罗小农水工程概算核2013.3.2" xfId="635"/>
    <cellStyle name="差_2014年扁担沟镇土地整理" xfId="636"/>
    <cellStyle name="20% - 强调文字颜色 1 4" xfId="637"/>
    <cellStyle name="好_2010年马莲渠灌域小型农田水利工程" xfId="638"/>
    <cellStyle name="20% - 强调文字颜色 1 5" xfId="639"/>
    <cellStyle name="好_小洪沟（新定额）2010.7.10改估算改_2013年度青铜峡小农水概算核2013.3.4" xfId="640"/>
    <cellStyle name="20% - 强调文字颜色 1 6" xfId="641"/>
    <cellStyle name="差_4.6马波二渠轮灌组划分_2015年小农水新增资金项目永宁县泵站翻建改造工程" xfId="642"/>
    <cellStyle name="20% - 强调文字颜色 1 7" xfId="643"/>
    <cellStyle name="20% - 强调文字颜色 1 8" xfId="644"/>
    <cellStyle name="Accent6 - 60%" xfId="645"/>
    <cellStyle name="20% - 强调文字颜色 2 10" xfId="646"/>
    <cellStyle name="60% - 强调文字颜色 6 9" xfId="647"/>
    <cellStyle name="差_Book1_1_中石化效益费用计算1008" xfId="648"/>
    <cellStyle name="20% - 强调文字颜色 2 3" xfId="649"/>
    <cellStyle name="工作内容" xfId="650"/>
    <cellStyle name="20% - 强调文字颜色 2 4" xfId="651"/>
    <cellStyle name="20% - 强调文字颜色 2 7" xfId="652"/>
    <cellStyle name="Currency_!!!GO" xfId="653"/>
    <cellStyle name="样式 1" xfId="654"/>
    <cellStyle name="20% - 强调文字颜色 2 8" xfId="655"/>
    <cellStyle name="好_农垦局2011年农发土地项目计划投资明细表(打印)" xfId="656"/>
    <cellStyle name="40% - 强调文字颜色 2 4" xfId="657"/>
    <cellStyle name="20% - 强调文字颜色 3 10" xfId="658"/>
    <cellStyle name="差_桑园沟新定额概算表(0713收)(审)" xfId="659"/>
    <cellStyle name="Heading 2" xfId="660"/>
    <cellStyle name="好_3.21江淑萍新表_2014年小农水工程高效片区概算核2014.6.5" xfId="661"/>
    <cellStyle name="常规 3 2 5" xfId="662"/>
    <cellStyle name="20% - 强调文字颜色 3 2" xfId="663"/>
    <cellStyle name="差_黄羊滩（116）预算定额（最终）2010.03.28_贺兰县兰光村、金鑫村高效节水核2012.9.13_孙家滩高效节水概算朱清核（加30万最终批复f）2015.1.8" xfId="664"/>
    <cellStyle name="Heading 4" xfId="665"/>
    <cellStyle name="常规 3 2 7" xfId="666"/>
    <cellStyle name="20% - 强调文字颜色 3 4" xfId="667"/>
    <cellStyle name="常规 2 3 2 2 2_2010.11.05水利工程单价定额表" xfId="668"/>
    <cellStyle name="60% - 强调文字颜色 1 2" xfId="669"/>
    <cellStyle name="60% - 强调文字颜色 1 3" xfId="670"/>
    <cellStyle name="常规 3 2 8" xfId="671"/>
    <cellStyle name="20% - 强调文字颜色 3 5" xfId="672"/>
    <cellStyle name="好_单价_滨河连接线招标控制价" xfId="673"/>
    <cellStyle name="60% - 强调文字颜色 1 4" xfId="674"/>
    <cellStyle name="常规 3 2 9" xfId="675"/>
    <cellStyle name="20% - 强调文字颜色 3 6" xfId="676"/>
    <cellStyle name="60% - 强调文字颜色 1 5" xfId="677"/>
    <cellStyle name="20% - 强调文字颜色 3 7" xfId="678"/>
    <cellStyle name="差_国土新定额 吴忠高闸（1） 2013.5.8" xfId="679"/>
    <cellStyle name="差_单价_2012.5.15修改 五里坡配套控制价_2014年小农水工程高效片区概算核2014.6.5" xfId="680"/>
    <cellStyle name="20% - 强调文字颜色 3 9" xfId="681"/>
    <cellStyle name="60% - 强调文字颜色 3 10" xfId="682"/>
    <cellStyle name="60% - 强调文字颜色 1 7" xfId="683"/>
    <cellStyle name="Mon閠aire_!!!GO" xfId="684"/>
    <cellStyle name="差_宁夏农垦农业综合开发十二五规划3.15_贺兰北庙9-8" xfId="685"/>
    <cellStyle name="好_13标预算_吴忠市国家农业科技园区供水工程最终" xfId="686"/>
    <cellStyle name="好_以色列贷款预算_吴忠市国家农业科技园区供水工程最终" xfId="687"/>
    <cellStyle name="20% - 强调文字颜色 4 2" xfId="688"/>
    <cellStyle name="常规 12 2 2 2" xfId="689"/>
    <cellStyle name="差_概算（世行）" xfId="690"/>
    <cellStyle name="60% - 强调文字颜色 2 2" xfId="691"/>
    <cellStyle name="差_农业水价改革示范项目（中卫）" xfId="692"/>
    <cellStyle name="20% - 强调文字颜色 4 4" xfId="693"/>
    <cellStyle name="差_23-宁夏_生态移民农业开发土壤改良及治沙工程控制价工程修改" xfId="694"/>
    <cellStyle name="好_中小河流单价_贺兰县兰光村、金鑫村高效节水核2012.9.13_（10.17）庄立明2014年中央统筹资金永宁县第一排水沟、永清沟治理及泵站改造工程" xfId="695"/>
    <cellStyle name="常规 2 3 2 2 2 2_喊叫水概算汇总表【批复】" xfId="696"/>
    <cellStyle name="60% - 强调文字颜色 2 4" xfId="697"/>
    <cellStyle name="20% - 强调文字颜色 4 6" xfId="698"/>
    <cellStyle name="差_小洪沟（新定额）2010.7.10改估算改_2013年平罗小农水工程概算核2013.3.2_孙家滩高效节水概算朱清核（加30万最终批复f）2015.1.8" xfId="699"/>
    <cellStyle name="差_13标预算_孙家滩高效节水概算朱清核（加30万最终批复f）2015.1.8" xfId="700"/>
    <cellStyle name="60% - 强调文字颜色 2 5" xfId="701"/>
    <cellStyle name="好_23-宁夏_生态移民农业开发土壤改良及治沙工程控制价工程修改" xfId="702"/>
    <cellStyle name="好_2010年马莲渠灌域小型农田水利工程_2014年小农水工程高效片区概算核2014.6.5" xfId="703"/>
    <cellStyle name="20% - 强调文字颜色 4 7" xfId="704"/>
    <cellStyle name="差_3.21波浪渠现状及改造表_2013年平罗小农水工程概算核2013.3.2" xfId="705"/>
    <cellStyle name="60% - 强调文字颜色 2 6" xfId="706"/>
    <cellStyle name="差_西吉县葫芦河治理工程概算表（116号）-核 2" xfId="707"/>
    <cellStyle name="20% - 强调文字颜色 4 8" xfId="708"/>
    <cellStyle name="60% - 强调文字颜色 2 7" xfId="709"/>
    <cellStyle name="差_西吉县葫芦河治理工程概算表（116号）-核 3" xfId="710"/>
    <cellStyle name="20% - 强调文字颜色 4 9" xfId="711"/>
    <cellStyle name="差_利通区东塔寺乡白寺滩村优质葡萄高效节水灌溉工程概算_2013年平罗小农水工程概算核2013.3.2_孙家滩高效节水概算朱清核（加30万最终批复f）2015.1.8" xfId="712"/>
    <cellStyle name="20% - 强调文字颜色 5 3" xfId="713"/>
    <cellStyle name="常规 12 2 3 2" xfId="714"/>
    <cellStyle name="强调文字颜色 4 10" xfId="715"/>
    <cellStyle name="60% - 强调文字颜色 3 2" xfId="716"/>
    <cellStyle name="好_复件 2010年马莲渠灌域小型农田水利工程_孙家滩高效节水概算朱清核（加30万最终批复f）2015.1.8" xfId="717"/>
    <cellStyle name="20% - 强调文字颜色 5 4" xfId="718"/>
    <cellStyle name="差_小洪沟（新定额）2010.7.10改估算改_2013年平罗小农水工程概算核2013.3.2" xfId="719"/>
    <cellStyle name="60% - 强调文字颜色 3 3" xfId="720"/>
    <cellStyle name="汇总 10" xfId="721"/>
    <cellStyle name="差_13标预算" xfId="722"/>
    <cellStyle name="好_Book1_丁家儿沟工程量表_2015年小农水新增资金项目永宁县泵站翻建改造工程" xfId="723"/>
    <cellStyle name="20% - 强调文字颜色 5 5" xfId="724"/>
    <cellStyle name="60% - 强调文字颜色 3 4" xfId="725"/>
    <cellStyle name="差_利通区2012年小农水重点县概算核2012.9.18_吴忠市国家农业科技园区供水工程最终" xfId="726"/>
    <cellStyle name="20% - 强调文字颜色 5 6" xfId="727"/>
    <cellStyle name="差_PVC管材_原州区姚磨喷灌概算核2014.1.6" xfId="728"/>
    <cellStyle name="60% - 强调文字颜色 3 5" xfId="729"/>
    <cellStyle name="20% - 强调文字颜色 5 7" xfId="730"/>
    <cellStyle name="差_兴水公司二支渠报价_2015年小农水新增资金项目永宁县泵站翻建改造工程" xfId="731"/>
    <cellStyle name="检查单元格 2 5" xfId="732"/>
    <cellStyle name="20% - 强调文字颜色 6 10" xfId="733"/>
    <cellStyle name="差_利通区二支渠工程概算（周工核定）20100914_兴水公司二支渠报价_吴忠市国家农业科技园区供水工程最终" xfId="734"/>
    <cellStyle name="20% - 强调文字颜色 6 3" xfId="735"/>
    <cellStyle name="好_西吉县葫芦河治理工程概算表（116号）-核_吴忠市孙家滩土地占补二期预算（马建涛2014.7.6终）" xfId="736"/>
    <cellStyle name="好_利通区二支渠工程概算（周工核定）20100914_清水沟投标报价_2013年平罗小农水工程概算核2013.3.2" xfId="737"/>
    <cellStyle name="差_扁担沟初步概算2013.12.01" xfId="738"/>
    <cellStyle name="Neutral" xfId="739"/>
    <cellStyle name="差_西吉县葫芦河治理工程概算表（116号）-核_2012.5.15修改 五里坡配套控制价_2014年小农水工程高效片区概算核2014.6.5" xfId="740"/>
    <cellStyle name="60% - 强调文字颜色 4 2" xfId="741"/>
    <cellStyle name="20% - 强调文字颜色 6 4" xfId="742"/>
    <cellStyle name="60% - 强调文字颜色 4 3" xfId="743"/>
    <cellStyle name="20% - 强调文字颜色 6 5" xfId="744"/>
    <cellStyle name="差_Book1_孙家滩高效节水概算朱清核（加30万最终批复f）2015.1.8" xfId="745"/>
    <cellStyle name="好_台时、单价汇总_孙家滩高效节水概算朱清核（加30万最终批复f）2015.1.8" xfId="746"/>
    <cellStyle name="60% - 强调文字颜色 4 4" xfId="747"/>
    <cellStyle name="20% - 强调文字颜色 6 6" xfId="748"/>
    <cellStyle name="差_五里坡生态移民农业开发土壤改良及治沙工程控制价工程_孙家滩高效节水概算朱清核（加30万最终批复f）2015.1.8" xfId="749"/>
    <cellStyle name="常规 2 3 2 2 3 4 2" xfId="750"/>
    <cellStyle name="60% - 强调文字颜色 4 5" xfId="751"/>
    <cellStyle name="20% - 强调文字颜色 6 7" xfId="752"/>
    <cellStyle name="差_晒场_原州区姚磨喷灌概算核2014.1.6_孙家滩高效节水概算朱清核（加30万最终批复f）2015.1.8" xfId="753"/>
    <cellStyle name="常规 2 3 2 2 3 4 3" xfId="754"/>
    <cellStyle name="60% - 强调文字颜色 4 6" xfId="755"/>
    <cellStyle name="20% - 强调文字颜色 6 8" xfId="756"/>
    <cellStyle name="40% - Accent1" xfId="757"/>
    <cellStyle name="Accent5_（10.17）庄立明2014年中央统筹资金永宁县第一排水沟、永清沟治理及泵站改造工程" xfId="758"/>
    <cellStyle name="40% - Accent2" xfId="759"/>
    <cellStyle name="好_黄羊滩（116）预算定额（最终）2010.03.28_中宁红柳沟概算最终2013.4.17" xfId="760"/>
    <cellStyle name="40% - Accent3" xfId="761"/>
    <cellStyle name="差_西吉县葫芦河治理工程概算表（116号）-核_Sheet1" xfId="762"/>
    <cellStyle name="好_20100227马莲渠乡左右岸合计（江淑萍）_利通区马波二渠及四支渠断面_2013年平罗小农水工程概算核2013.3.2_孙家滩高效节水概算朱清核（加30万最终批复f）2015.1.8" xfId="763"/>
    <cellStyle name="40% - Accent4" xfId="764"/>
    <cellStyle name="Normal - Style1" xfId="765"/>
    <cellStyle name="差_2011年小农水概算5.4_2015年小农水新增资金项目永宁县泵站翻建改造工程" xfId="766"/>
    <cellStyle name="警告文本 2" xfId="767"/>
    <cellStyle name="40% - Accent5" xfId="768"/>
    <cellStyle name="警告文本 3" xfId="769"/>
    <cellStyle name="40% - Accent6" xfId="770"/>
    <cellStyle name="40% - 强调文字颜色 1 10" xfId="771"/>
    <cellStyle name="Accent1" xfId="772"/>
    <cellStyle name="差_桑园沟新定额概算表(0713收)(审)_永宁闽宁葡萄滴管工程（三期）概算核2014.10.12" xfId="773"/>
    <cellStyle name="常规 9 2" xfId="774"/>
    <cellStyle name="40% - 强调文字颜色 1 3" xfId="775"/>
    <cellStyle name="常规 17 2 2_喊叫水概算汇总表【批复】" xfId="776"/>
    <cellStyle name="Accent4" xfId="777"/>
    <cellStyle name="好_20100227马莲渠乡左右岸合计（江淑萍）_吴忠市国家农业科技园区供水工程最终" xfId="778"/>
    <cellStyle name="常规 9 5" xfId="779"/>
    <cellStyle name="40% - 强调文字颜色 1 6" xfId="780"/>
    <cellStyle name="好_中小河流-桑园沟治理工程预算-桑园沟2010.12.22核_小人饮工程工程量" xfId="781"/>
    <cellStyle name="Accent5" xfId="782"/>
    <cellStyle name="40% - 强调文字颜色 1 7" xfId="783"/>
    <cellStyle name="New Times Roman" xfId="784"/>
    <cellStyle name="40% - 强调文字颜色 1 9" xfId="785"/>
    <cellStyle name="60% - 强调文字颜色 1 8" xfId="786"/>
    <cellStyle name="好_单价_灵武2014高效节水工程概算核2014.6.27" xfId="787"/>
    <cellStyle name="好_PVC管材" xfId="788"/>
    <cellStyle name="40% - 强调文字颜色 2 10" xfId="789"/>
    <cellStyle name="40% - 强调文字颜色 4 10" xfId="790"/>
    <cellStyle name="差_临时工" xfId="791"/>
    <cellStyle name="差_利通区马波二渠及四支渠断面_2014年小农水工程高效片区概算核2014.6.5" xfId="792"/>
    <cellStyle name="40% - 强调文字颜色 2 3" xfId="793"/>
    <cellStyle name="40% - 强调文字颜色 2 5" xfId="794"/>
    <cellStyle name="40% - 强调文字颜色 2 6" xfId="795"/>
    <cellStyle name="40% - 强调文字颜色 2 7" xfId="796"/>
    <cellStyle name="Milliers_!!!GO" xfId="797"/>
    <cellStyle name="差_3.30日2010年马莲渠灌域小型农田水利工程_2015年小农水新增资金项目永宁县泵站翻建改造工程" xfId="798"/>
    <cellStyle name="40% - 强调文字颜色 2 8" xfId="799"/>
    <cellStyle name="Accent3 - 20%" xfId="800"/>
    <cellStyle name="好_贺兰北庙9-8" xfId="801"/>
    <cellStyle name="40% - 强调文字颜色 3 2" xfId="802"/>
    <cellStyle name="40% - 强调文字颜色 3 3" xfId="803"/>
    <cellStyle name="好_利通区东塔寺乡白寺滩村优质葡萄高效节水灌溉工程概算_利水公司二标段报价" xfId="804"/>
    <cellStyle name="差_2010年马莲渠灌域小型农田水利工程_2013年平罗小农水工程概算核2013.3.2_孙家滩高效节水概算朱清核（加30万最终批复f）2015.1.8" xfId="805"/>
    <cellStyle name="40% - 强调文字颜色 3 4" xfId="806"/>
    <cellStyle name="40% - 强调文字颜色 3 5" xfId="807"/>
    <cellStyle name="6mal" xfId="808"/>
    <cellStyle name="40% - 强调文字颜色 3 6" xfId="809"/>
    <cellStyle name="40% - 强调文字颜色 4 3" xfId="810"/>
    <cellStyle name="差_西吉县葫芦河治理工程概算表（116号）-核_2013.10.11（最终）吴忠市金积造123纸工业园区速生林" xfId="811"/>
    <cellStyle name="40% - 强调文字颜色 4 4" xfId="812"/>
    <cellStyle name="好_2011年基本农田工程招标控制价_孙家滩高效节水概算朱清核（加30万最终批复f）2015.1.8" xfId="813"/>
    <cellStyle name="40% - 强调文字颜色 4 5" xfId="814"/>
    <cellStyle name="差_阿克苏地区节水规划估算(内审修改)_吴忠市国家农业科技园区供水工程最终" xfId="815"/>
    <cellStyle name="好_桑园沟新定额概算表(0713收)(审)_永宁闽宁葡萄滴管工程（三期）概算核2014.10.12" xfId="816"/>
    <cellStyle name="好_吴忠市孙家滩项目2011.12.16（马玲）【2009】13号文概算标准_(陈少先8.6）高效节水灌溉工程" xfId="817"/>
    <cellStyle name="40% - 强调文字颜色 4 7" xfId="818"/>
    <cellStyle name="差_生态移民农业开发土壤改良及治沙工程控制价工程修改" xfId="819"/>
    <cellStyle name="40% - 强调文字颜色 4 9" xfId="820"/>
    <cellStyle name="40% - 强调文字颜色 5 2" xfId="821"/>
    <cellStyle name="好_Book1_1_贺兰北庙9-8" xfId="822"/>
    <cellStyle name="40% - 强调文字颜色 5 3" xfId="823"/>
    <cellStyle name="差_宁夏深沟村1万亩概算核2013.2.4" xfId="824"/>
    <cellStyle name="好_高效节水单价-2期" xfId="825"/>
    <cellStyle name="40% - 强调文字颜色 5 4" xfId="826"/>
    <cellStyle name="注释 2 2" xfId="827"/>
    <cellStyle name="好_3.30日2010年马莲渠灌域小型农田水利工程_2013年平罗小农水工程概算核2013.3.2_孙家滩高效节水概算朱清核（加30万最终批复f）2015.1.8" xfId="828"/>
    <cellStyle name="40% - 强调文字颜色 5 6" xfId="829"/>
    <cellStyle name="好_高家闸 概算宁夏13号文新定额-2010.12.21核" xfId="830"/>
    <cellStyle name="常规 6 2 2" xfId="831"/>
    <cellStyle name="差_3.21波浪渠现状及改造表_孙家滩高效节水概算朱清核（加30万最终批复f）2015.1.8" xfId="832"/>
    <cellStyle name="注释 2 4" xfId="833"/>
    <cellStyle name="40% - 强调文字颜色 5 8" xfId="834"/>
    <cellStyle name="40% - 强调文字颜色 5 9" xfId="835"/>
    <cellStyle name="好_五里坡2014年度小农水概算核2014.6.8_孙家滩高效节水概算朱清核（加30万最终批复f）2015.1.8" xfId="836"/>
    <cellStyle name="40% - 强调文字颜色 6 2" xfId="837"/>
    <cellStyle name="40% - 强调文字颜色 6 4" xfId="838"/>
    <cellStyle name="40% - 强调文字颜色 6 9" xfId="839"/>
    <cellStyle name="好_黄羊滩（116）预算定额（最终）2010.03.28_惠农渠永宁县李俊镇新老出水渠取水工程2013-05-14" xfId="840"/>
    <cellStyle name="60% - 强调文字颜色 3 8" xfId="841"/>
    <cellStyle name="部门" xfId="842"/>
    <cellStyle name="差_原州区姚磨喷灌概算核2014.1.6_孙家滩高效节水概算朱清核（加30万最终批复f）2015.1.8" xfId="843"/>
    <cellStyle name="差_渝河下游沟道治理工程概算核2012.6.19_（10.17）庄立明2014年中央统筹资金永宁县第一排水沟、永清沟治理及泵站改造工程" xfId="844"/>
    <cellStyle name="60% - Accent2" xfId="845"/>
    <cellStyle name="60% - 强调文字颜色 3 9" xfId="846"/>
    <cellStyle name="60% - Accent3" xfId="847"/>
    <cellStyle name="常规 10 2 4 2" xfId="848"/>
    <cellStyle name="差_2011年小农水概算5.4_吴忠市国家农业科技园区供水工程最终" xfId="849"/>
    <cellStyle name="PSInt" xfId="850"/>
    <cellStyle name="60% - Accent4" xfId="851"/>
    <cellStyle name="per.style" xfId="852"/>
    <cellStyle name="强调文字颜色 4 2" xfId="853"/>
    <cellStyle name="差_中石化效益费用计算1008" xfId="854"/>
    <cellStyle name="60% - Accent5" xfId="855"/>
    <cellStyle name="t" xfId="856"/>
    <cellStyle name="强调文字颜色 4 3" xfId="857"/>
    <cellStyle name="60% - Accent6" xfId="858"/>
    <cellStyle name="60% - 强调文字颜色 2 8" xfId="859"/>
    <cellStyle name="常规 10 2 3 2" xfId="860"/>
    <cellStyle name="Accent6 - 20%" xfId="861"/>
    <cellStyle name="60% - 强调文字颜色 2 9" xfId="862"/>
    <cellStyle name="60% - 强调文字颜色 6 7" xfId="863"/>
    <cellStyle name="60% - 强调文字颜色 4 10" xfId="864"/>
    <cellStyle name="60% - 强调文字颜色 4 8" xfId="865"/>
    <cellStyle name="差_2011年小农水概算5.4_2014年小农水工程高效片区概算核2014.6.5" xfId="866"/>
    <cellStyle name="Accent6 - 40%" xfId="867"/>
    <cellStyle name="差_立岗镇建筑物统计表" xfId="868"/>
    <cellStyle name="60% - 强调文字颜色 4 9" xfId="869"/>
    <cellStyle name="好_西吉县葫芦河治理工程概算表（116号）-核_11.24盐池高效节水" xfId="870"/>
    <cellStyle name="60% - 强调文字颜色 5 3" xfId="871"/>
    <cellStyle name="60% - 强调文字颜色 5 4" xfId="872"/>
    <cellStyle name="60% - 强调文字颜色 5 5" xfId="873"/>
    <cellStyle name="60% - 强调文字颜色 5 7" xfId="874"/>
    <cellStyle name="60% - 强调文字颜色 5 8" xfId="875"/>
    <cellStyle name="差_Book1_原州区姚磨喷灌概算核2014.1.6_孙家滩高效节水概算朱清核（加30万最终批复f）2015.1.8" xfId="876"/>
    <cellStyle name="60% - 强调文字颜色 5 9" xfId="877"/>
    <cellStyle name="Currency1" xfId="878"/>
    <cellStyle name="60% - 强调文字颜色 6 10" xfId="879"/>
    <cellStyle name="60% - 强调文字颜色 6 2" xfId="880"/>
    <cellStyle name="好_20100227马莲渠乡左右岸合计（江淑萍）_3.21江淑萍新表_2014年小农水工程高效片区概算核2014.6.5" xfId="881"/>
    <cellStyle name="60% - 强调文字颜色 6 3" xfId="882"/>
    <cellStyle name="好_黄羊滩（116）预算定额（最终）2010.03.28_五里坡2014年度小农水概算核2014.6.8" xfId="883"/>
    <cellStyle name="差_Book1_渝河下游沟道治理工程概算核2012.6.19_吴忠市国家农业科技园区供水工程最终" xfId="884"/>
    <cellStyle name="Accent1 - 40%" xfId="885"/>
    <cellStyle name="差_管网水力" xfId="886"/>
    <cellStyle name="差_2011年小农水概算5.4_2013年平罗小农水工程概算核2013.3.2" xfId="887"/>
    <cellStyle name="Accent1_（10.17）庄立明2014年中央统筹资金永宁县第一排水沟、永清沟治理及泵站改造工程" xfId="888"/>
    <cellStyle name="好_Book1_盐池2014年度高效节水灌溉概算核2014.6.27" xfId="889"/>
    <cellStyle name="常规 13_（ 2010年概算）利通区二支渠工程5.25" xfId="890"/>
    <cellStyle name="差_单价_天元水泥厂工程概算表2014.4.21" xfId="891"/>
    <cellStyle name="Accent4 - 20%" xfId="892"/>
    <cellStyle name="差_23-宁夏_2013年度青铜峡小农水概算核2013.3.4" xfId="893"/>
    <cellStyle name="Accent4 - 40%" xfId="894"/>
    <cellStyle name="好_黄羊滩（116）预算定额（最终）2010.03.28_贺兰县兰光村、金鑫村高效节水核2012.9.13_（10.17）庄立明2014年中央统筹资金永宁县第一排水沟、永清沟治理及泵站改造工程" xfId="895"/>
    <cellStyle name="Accent4 - 60%" xfId="896"/>
    <cellStyle name="捠壿 [0.00]_Region Orders (2)" xfId="897"/>
    <cellStyle name="Accent5 - 60%" xfId="898"/>
    <cellStyle name="样式 1_钨砂塘估算表" xfId="899"/>
    <cellStyle name="Accent6_（10.17）庄立明2014年中央统筹资金永宁县第一排水沟、永清沟治理及泵站改造工程" xfId="900"/>
    <cellStyle name="Bad" xfId="901"/>
    <cellStyle name="差_李庄饮水工程概算核2012.5.16_孙家滩高效节水概算朱清核（加30万最终批复f）2015.1.8" xfId="902"/>
    <cellStyle name="差_Book1_丁家儿沟工程量表_（10.17）庄立明2014年中央统筹资金永宁县第一排水沟、永清沟治理及泵站改造工程" xfId="903"/>
    <cellStyle name="差_2012.10.7利通区2012年小农水项目工程量清单" xfId="904"/>
    <cellStyle name="常规 15 2 3" xfId="905"/>
    <cellStyle name="差_中小河流-桑园沟治理工程预算-桑园沟2010.12.22核_贺兰县兰光村、金鑫村高效节水核2012.9.13_孙家滩高效节水概算朱清核（加30万最终批复f）2015.1.8" xfId="906"/>
    <cellStyle name="PSHeading" xfId="907"/>
    <cellStyle name="Calculation" xfId="908"/>
    <cellStyle name="常规 3 6" xfId="909"/>
    <cellStyle name="Comma [0]" xfId="910"/>
    <cellStyle name="comma zerodec" xfId="911"/>
    <cellStyle name="差_4.6马波二渠轮灌组划分" xfId="912"/>
    <cellStyle name="差_Book1_永宁闽宁葡萄滴管工程（三期）概算核2014.10.12" xfId="913"/>
    <cellStyle name="常规 2 2 4 2" xfId="914"/>
    <cellStyle name="Date" xfId="915"/>
    <cellStyle name="常规 2 8 2_11.24盐池高效节水" xfId="916"/>
    <cellStyle name="Dollar (zero dec)" xfId="917"/>
    <cellStyle name="差_23-宁夏_贺兰县兰光村、金鑫村高效节水核2012.9.13" xfId="918"/>
    <cellStyle name="Euro" xfId="919"/>
    <cellStyle name="差_西吉县葫芦河治理工程概算表（116号）-核_2013.10.11（最终）吴忠市金积造123纸工业园区速生林_1" xfId="920"/>
    <cellStyle name="常规 17 2 2 3" xfId="921"/>
    <cellStyle name="e鯪9Y_x000b_ 2" xfId="922"/>
    <cellStyle name="e鯪9Y_x000b__2014.6.26永宁县闽宁镇防洪工程" xfId="923"/>
    <cellStyle name="常规 10" xfId="924"/>
    <cellStyle name="Good" xfId="925"/>
    <cellStyle name="差_13标预算_贺兰北庙9-8" xfId="926"/>
    <cellStyle name="Header1" xfId="927"/>
    <cellStyle name="Header2" xfId="928"/>
    <cellStyle name="常规 2 3 2 2 11 2_喊叫水概算汇总表【批复】" xfId="929"/>
    <cellStyle name="Input Cells" xfId="930"/>
    <cellStyle name="好_9.15二支渠工程(核实后概算)_三标段报价1_孙家滩高效节水概算朱清核（加30万最终批复f）2015.1.8" xfId="931"/>
    <cellStyle name="Input_（10.17）庄立明2014年中央统筹资金永宁县第一排水沟、永清沟治理及泵站改造工程" xfId="932"/>
    <cellStyle name="差_4.6马波二渠轮灌组划分_2013年平罗小农水工程概算核2013.3.2_孙家滩高效节水概算朱清核（加30万最终批复f）2015.1.8" xfId="933"/>
    <cellStyle name="好_黄羊滩（116）预算定额（最终）2010.03.28 4" xfId="934"/>
    <cellStyle name="Linked Cells" xfId="935"/>
    <cellStyle name="好_中小河流-桑园沟治理工程预算-桑园沟2010.12.22核_吴忠市孙家滩优质苹果高效节水灌溉工程总概算表2012.10.21（马玲）-核" xfId="936"/>
    <cellStyle name="好_单价 4" xfId="937"/>
    <cellStyle name="Millares [0]_96 Risk" xfId="938"/>
    <cellStyle name="常规 2 2 2 2" xfId="939"/>
    <cellStyle name="Millares_96 Risk" xfId="940"/>
    <cellStyle name="差_2011年基本农田工程招标控制价_2015年小农水新增资金项目永宁县泵站翻建改造工程" xfId="941"/>
    <cellStyle name="Milliers [0]_!!!GO" xfId="942"/>
    <cellStyle name="Moneda [0]_96 Risk" xfId="943"/>
    <cellStyle name="好_利通区马波二渠及四支渠断面_吴忠市国家农业科技园区供水工程最终" xfId="944"/>
    <cellStyle name="Moneda_96 Risk" xfId="945"/>
    <cellStyle name="Normal_!!!GO" xfId="946"/>
    <cellStyle name="Normal_Book1" xfId="947"/>
    <cellStyle name="差_9.15二支渠工程(核实后概算)_清水沟投标报价_2013年平罗小农水工程概算核2013.3.2_孙家滩高效节水概算朱清核（加30万最终批复f）2015.1.8" xfId="948"/>
    <cellStyle name="差_2011年小农水概算5.4_孙家滩高效节水概算朱清核（加30万最终批复f）2015.1.8" xfId="949"/>
    <cellStyle name="Note" xfId="950"/>
    <cellStyle name="常规 7 6" xfId="951"/>
    <cellStyle name="Output" xfId="952"/>
    <cellStyle name="Percent [2]" xfId="953"/>
    <cellStyle name="差_中宁水价改革南北渠预算" xfId="954"/>
    <cellStyle name="常规 3_（ 2010年概算）利通区二支渠工程5.25" xfId="955"/>
    <cellStyle name="Percent_!!!GO" xfId="956"/>
    <cellStyle name="PSDec" xfId="957"/>
    <cellStyle name="sstot" xfId="958"/>
    <cellStyle name="Standard_AREAS" xfId="959"/>
    <cellStyle name="常规 2 3 4" xfId="960"/>
    <cellStyle name="t_HVAC Equipment (3)" xfId="961"/>
    <cellStyle name="差_庆华水厂设计费监理费计算表_（10.17）庄立明2014年中央统筹资金永宁县第一排水沟、永清沟治理及泵站改造工程" xfId="962"/>
    <cellStyle name="常规 3 3 4" xfId="963"/>
    <cellStyle name="Title" xfId="964"/>
    <cellStyle name="好_利通区二支渠工程概算（周工核定）20100914_三标段报价1_2014年小农水工程高效片区概算核2014.6.5" xfId="965"/>
    <cellStyle name="Total" xfId="966"/>
    <cellStyle name="好_副本3.29马波二渠所需表3.30_2013年平罗小农水工程概算核2013.3.2_孙家滩高效节水概算朱清核（加30万最终批复f）2015.1.8" xfId="967"/>
    <cellStyle name="Warning Text" xfId="968"/>
    <cellStyle name="差_青铜峡市2万亩葡萄滴灌概算" xfId="969"/>
    <cellStyle name="百分比 2" xfId="970"/>
    <cellStyle name="差_利水公司二标段报价_2013年平罗小农水工程概算核2013.3.2" xfId="971"/>
    <cellStyle name="百分比 2 2" xfId="972"/>
    <cellStyle name="百分比 2 3" xfId="973"/>
    <cellStyle name="百分比 3" xfId="974"/>
    <cellStyle name="差_单价_中宁红柳沟概算最终2013.4.17" xfId="975"/>
    <cellStyle name="百分比 3 2" xfId="976"/>
    <cellStyle name="差_20110920吴忠市利通区秦渠两侧绿化带整地项目控制价工程" xfId="977"/>
    <cellStyle name="百分比 3 3" xfId="978"/>
    <cellStyle name="常规 2 2 7" xfId="979"/>
    <cellStyle name="百分比 4 3" xfId="980"/>
    <cellStyle name="标题 1 3" xfId="981"/>
    <cellStyle name="差_批复黄羊滩（116）预算定额（最终）2010.9.3_吴忠市金积造纸工业园区 速生林（余工）基地工程【2009)13号" xfId="982"/>
    <cellStyle name="编号" xfId="983"/>
    <cellStyle name="标题 1 10" xfId="984"/>
    <cellStyle name="标题 1 5" xfId="985"/>
    <cellStyle name="差_9.15二支渠工程(核实后概算)_清水沟投标报价_2015年小农水新增资金项目永宁县泵站翻建改造工程" xfId="986"/>
    <cellStyle name="差_单价_Sheet1" xfId="987"/>
    <cellStyle name="标题 1 6" xfId="988"/>
    <cellStyle name="差_晒场_喊叫水概算汇总表【批复】" xfId="989"/>
    <cellStyle name="差_菊花台节灌工程预算滴灌2010114_吴忠市国家农业科技园区供水工程最终" xfId="990"/>
    <cellStyle name="标题 1 7" xfId="991"/>
    <cellStyle name="标题 1 8" xfId="992"/>
    <cellStyle name="差_Book1_盐池小农概算核2012.9.12_孙家滩高效节水概算朱清核（加30万最终批复f）2015.1.8" xfId="993"/>
    <cellStyle name="标题 1 9" xfId="994"/>
    <cellStyle name="标题 10" xfId="995"/>
    <cellStyle name="好_副本3.29马波二渠所需表3.30_2015年小农水新增资金项目永宁县泵站翻建改造工程" xfId="996"/>
    <cellStyle name="标题 11" xfId="997"/>
    <cellStyle name="标题 12" xfId="998"/>
    <cellStyle name="好_黄土梁灌区_吴忠市孙家滩土地占补二期预算（马建涛2014.7.6终）" xfId="999"/>
    <cellStyle name="标题 13" xfId="1000"/>
    <cellStyle name="差_3.21江淑萍新表_2014年小农水工程高效片区概算核2014.6.5" xfId="1001"/>
    <cellStyle name="标题 2 10" xfId="1002"/>
    <cellStyle name="标题 2 2" xfId="1003"/>
    <cellStyle name="标题 2 3" xfId="1004"/>
    <cellStyle name="差_2011年基本农田工程招标控制价_孙家滩高效节水概算朱清核（加30万最终批复f）2015.1.8" xfId="1005"/>
    <cellStyle name="标题 2 4" xfId="1006"/>
    <cellStyle name="标题 2 5" xfId="1007"/>
    <cellStyle name="差_3.21江淑萍新表" xfId="1008"/>
    <cellStyle name="标题 2 6" xfId="1009"/>
    <cellStyle name="标题 2 7" xfId="1010"/>
    <cellStyle name="差_清水沟投标报价_2015年小农水新增资金项目永宁县泵站翻建改造工程" xfId="1011"/>
    <cellStyle name="标题 2 8" xfId="1012"/>
    <cellStyle name="标题 2 9" xfId="1013"/>
    <cellStyle name="差_20110920吴忠市利通区秦渠两侧绿化带整地项目控制价工程_2014年小农水工程高效片区概算核2014.6.5" xfId="1014"/>
    <cellStyle name="标题 3 10" xfId="1015"/>
    <cellStyle name="差_23-宁夏_利水公司二标段报价" xfId="1016"/>
    <cellStyle name="差_以色列贷款预算_吴忠市国家农业科技园区供水工程最终" xfId="1017"/>
    <cellStyle name="标题 3 2" xfId="1018"/>
    <cellStyle name="好_3.21江淑萍新表" xfId="1019"/>
    <cellStyle name="标题 3 3" xfId="1020"/>
    <cellStyle name="标题 3 5" xfId="1021"/>
    <cellStyle name="标题 3 6" xfId="1022"/>
    <cellStyle name="标题 3 8" xfId="1023"/>
    <cellStyle name="标题 4 10" xfId="1024"/>
    <cellStyle name="常规 2 3 2 2_11.24盐池高效节水" xfId="1025"/>
    <cellStyle name="标题 4 2" xfId="1026"/>
    <cellStyle name="差_阿克苏地区节水规划估算(内审修改)_孙家滩高效节水概算朱清核（加30万最终批复f）2015.1.8" xfId="1027"/>
    <cellStyle name="差_黄土梁灌区_喊叫水概算汇总表【批复】" xfId="1028"/>
    <cellStyle name="常规 7 3 3" xfId="1029"/>
    <cellStyle name="差_中小河流单价_改(8.6)宁夏弘德慈善产业园区防洪工程" xfId="1030"/>
    <cellStyle name="标题 4 3" xfId="1031"/>
    <cellStyle name="标题 4 5" xfId="1032"/>
    <cellStyle name="标题 4 6" xfId="1033"/>
    <cellStyle name="差_白芨滩大泉、临河红墩子农水处核出文版20140304_孙家滩高效节水概算朱清核（加30万最终批复f）2015.1.8" xfId="1034"/>
    <cellStyle name="好_清水沟投标报价_2014年小农水工程高效片区概算核2014.6.5" xfId="1035"/>
    <cellStyle name="差_黄土梁灌区_滨河连接线招标控制价_孙家滩高效节水概算朱清核（加30万最终批复f）2015.1.8" xfId="1036"/>
    <cellStyle name="标题 4 7" xfId="1037"/>
    <cellStyle name="差_20110920吴忠市利通区秦渠两侧绿化带整地项目控制价工程_孙家滩高效节水概算朱清核（加30万最终批复f）2015.1.8" xfId="1038"/>
    <cellStyle name="差_利通区马波二渠及四支渠断面_（10.17）庄立明2014年中央统筹资金永宁县第一排水沟、永清沟治理及泵站改造工程" xfId="1039"/>
    <cellStyle name="标题 4 8" xfId="1040"/>
    <cellStyle name="标题 4 9" xfId="1041"/>
    <cellStyle name="好_23-宁夏_管材招标控制价" xfId="1042"/>
    <cellStyle name="标题 6" xfId="1043"/>
    <cellStyle name="差_立岗镇建筑物统计表_Book1" xfId="1044"/>
    <cellStyle name="差_2011年小农水概算5.4_利水公司二标段报价_2013年平罗小农水工程概算核2013.3.2" xfId="1045"/>
    <cellStyle name="标题 7" xfId="1046"/>
    <cellStyle name="标题 9" xfId="1047"/>
    <cellStyle name="常规 16 2 3" xfId="1048"/>
    <cellStyle name="标题1" xfId="1049"/>
    <cellStyle name="警告文本 9" xfId="1050"/>
    <cellStyle name="表标题" xfId="1051"/>
    <cellStyle name="差 10" xfId="1052"/>
    <cellStyle name="好_20100227马莲渠乡左右岸合计（江淑萍）_2013年平罗小农水工程概算核2013.3.2_孙家滩高效节水概算朱清核（加30万最终批复f）2015.1.8" xfId="1053"/>
    <cellStyle name="差_宁夏农垦农业综合开发十二五规划3.15_Book1" xfId="1054"/>
    <cellStyle name="差 2" xfId="1055"/>
    <cellStyle name="常规 2 3 2 2 4 5 2" xfId="1056"/>
    <cellStyle name="解释性文本 5" xfId="1057"/>
    <cellStyle name="常规 2 2 5 3" xfId="1058"/>
    <cellStyle name="差 3" xfId="1059"/>
    <cellStyle name="差_复件 2010年马莲渠灌域小型农田水利工程_2013年平罗小农水工程概算核2013.3.2" xfId="1060"/>
    <cellStyle name="差_南梁农场建设内容" xfId="1061"/>
    <cellStyle name="解释性文本 6" xfId="1062"/>
    <cellStyle name="差 4" xfId="1063"/>
    <cellStyle name="好_黄土梁灌区_2013.10.11（最终）吴忠市金积造123纸工业园区速生林_1" xfId="1064"/>
    <cellStyle name="好_桑园沟新定额概算表(0713收)(审)_小人饮工程工程量" xfId="1065"/>
    <cellStyle name="解释性文本 7" xfId="1066"/>
    <cellStyle name="差_单价_吴忠市利通区扁担沟镇五里坡片区综合开发工程" xfId="1067"/>
    <cellStyle name="差 5" xfId="1068"/>
    <cellStyle name="差_吴忠市孙家滩项目2011.12.16（马玲）【2009】13号文概算标准_（2014.9.5）温棚滴灌工程" xfId="1069"/>
    <cellStyle name="解释性文本 8" xfId="1070"/>
    <cellStyle name="差_利通区东塔寺乡白寺滩村优质葡萄高效节水灌溉工程概算_孙家滩高效节水概算朱清核（加30万最终批复f）2015.1.8" xfId="1071"/>
    <cellStyle name="差_（苏）宁夏中宁红梧山预算概算0407_孙家滩高效节水概算朱清核（加30万最终批复f）2015.1.8" xfId="1072"/>
    <cellStyle name="差 6" xfId="1073"/>
    <cellStyle name="解释性文本 9" xfId="1074"/>
    <cellStyle name="差 8" xfId="1075"/>
    <cellStyle name="差 9" xfId="1076"/>
    <cellStyle name="差_（苏）宁夏中宁红梧山预算概算0407" xfId="1077"/>
    <cellStyle name="差_13标预算_（10.17）庄立明2014年中央统筹资金永宁县第一排水沟、永清沟治理及泵站改造工程" xfId="1078"/>
    <cellStyle name="差_13标预算_北庙灌水率及渠道流量计算" xfId="1079"/>
    <cellStyle name="差_13标预算_北庙灌水率及渠道流量计算9-6" xfId="1080"/>
    <cellStyle name="差_3.21波浪渠现状及改造表_2015年小农水新增资金项目永宁县泵站翻建改造工程" xfId="1081"/>
    <cellStyle name="差_盐池小农概算核2012.9.12" xfId="1082"/>
    <cellStyle name="输出 10" xfId="1083"/>
    <cellStyle name="差_单价_吴忠市孙家滩土地占补二期预算（马建涛2014.7.6终）" xfId="1084"/>
    <cellStyle name="差_Book1_小人饮工程工程量" xfId="1085"/>
    <cellStyle name="差_13标预算_吴忠市国家农业科技园区供水工程最终" xfId="1086"/>
    <cellStyle name="差_西吉县葫芦河治理工程概算表（116号）-核_吴忠市利通区扁担沟镇五里坡片区综合开发工程" xfId="1087"/>
    <cellStyle name="差_2010年马莲渠灌域小型农田水利工程" xfId="1088"/>
    <cellStyle name="好_批复黄羊滩（116）预算定额（最终）2010.9.3" xfId="1089"/>
    <cellStyle name="差_2010年马莲渠灌域小型农田水利工程_（10.17）庄立明2014年中央统筹资金永宁县第一排水沟、永清沟治理及泵站改造工程" xfId="1090"/>
    <cellStyle name="差_黄羊滩（116）预算定额（最终）2010.03.28_2012.5.15修改 五里坡配套控制价" xfId="1091"/>
    <cellStyle name="常规 2 3 2 2 12 3" xfId="1092"/>
    <cellStyle name="好_9.15二支渠工程(核实后概算)_2014年小农水工程高效片区概算核2014.6.5" xfId="1093"/>
    <cellStyle name="常规 2 3 2 2 2 4" xfId="1094"/>
    <cellStyle name="差_2010年马莲渠灌域小型农田水利工程_2013年平罗小农水工程概算核2013.3.2" xfId="1095"/>
    <cellStyle name="差_2010年马莲渠灌域小型农田水利工程_2014年小农水工程高效片区概算核2014.6.5" xfId="1096"/>
    <cellStyle name="差_2010年马莲渠灌域小型农田水利工程_孙家滩高效节水概算朱清核（加30万最终批复f）2015.1.8" xfId="1097"/>
    <cellStyle name="好_批复黄羊滩（116）预算定额（最终）2010.9.3_孙家滩高效节水概算朱清核（加30万最终批复f）2015.1.8" xfId="1098"/>
    <cellStyle name="差_2011年基本农田工程招标控制价" xfId="1099"/>
    <cellStyle name="差_2011年基本农田工程招标控制价_（10.17）庄立明2014年中央统筹资金永宁县第一排水沟、永清沟治理及泵站改造工程" xfId="1100"/>
    <cellStyle name="常规 3 5" xfId="1101"/>
    <cellStyle name="差_2011年基本农田工程招标控制价_2013年平罗小农水工程概算核2013.3.2" xfId="1102"/>
    <cellStyle name="差_9.15二支渠工程(核实后概算)_2015年小农水新增资金项目永宁县泵站翻建改造工程" xfId="1103"/>
    <cellStyle name="差_2011年基本农田工程招标控制价_2013年平罗小农水工程概算核2013.3.2_孙家滩高效节水概算朱清核（加30万最终批复f）2015.1.8" xfId="1104"/>
    <cellStyle name="差_2011年基本农田工程招标控制价_2014年小农水工程高效片区概算核2014.6.5" xfId="1105"/>
    <cellStyle name="差_2011年基本农田工程招标控制价_吴忠市国家农业科技园区供水工程最终" xfId="1106"/>
    <cellStyle name="差_2011年南梁农场利用政策性贷款实施农业综合开发项目预算表_贺兰北庙9-8" xfId="1107"/>
    <cellStyle name="常规 11 2" xfId="1108"/>
    <cellStyle name="差_2011年小农水概算5.4" xfId="1109"/>
    <cellStyle name="差_9.15二支渠工程(核实后概算)_清水沟投标报价_2013年平罗小农水工程概算核2013.3.2" xfId="1110"/>
    <cellStyle name="强调文字颜色 6 10" xfId="1111"/>
    <cellStyle name="差_2011年小农水概算5.4_（10.17）庄立明2014年中央统筹资金永宁县第一排水沟、永清沟治理及泵站改造工程" xfId="1112"/>
    <cellStyle name="差_单价_陈木闸硬化路破损恢复概算表2014.2.28" xfId="1113"/>
    <cellStyle name="差_2011年小农水概算5.4_2013年平罗小农水工程概算核2013.3.2_孙家滩高效节水概算朱清核（加30万最终批复f）2015.1.8" xfId="1114"/>
    <cellStyle name="差_2011年小农水概算5.4_利水公司二标段报价_2013年平罗小农水工程概算核2013.3.2_孙家滩高效节水概算朱清核（加30万最终批复f）2015.1.8" xfId="1115"/>
    <cellStyle name="好_贺兰县兰光村、金鑫村高效节水核2012.9.13_吴忠市国家农业科技园区供水工程最终" xfId="1116"/>
    <cellStyle name="好_利通区东塔寺乡白寺滩村优质葡萄高效节水灌溉工程概算" xfId="1117"/>
    <cellStyle name="差_中小河流单价_贺兰县兰光村、金鑫村高效节水核2012.9.13_吴忠市国家农业科技园区供水工程最终" xfId="1118"/>
    <cellStyle name="差_2011年小农水概算5.4_利水公司二标段报价_2014年小农水工程高效片区概算核2014.6.5" xfId="1119"/>
    <cellStyle name="常规 2 3 2 2 3 14" xfId="1120"/>
    <cellStyle name="好_单价_吴忠市孙家滩土地占补二期预算（马建涛2014.7.6终）" xfId="1121"/>
    <cellStyle name="差_利通区马波二渠及四支渠断面_2013年平罗小农水工程概算核2013.3.2_孙家滩高效节水概算朱清核（加30万最终批复f）2015.1.8" xfId="1122"/>
    <cellStyle name="差_2011年小农水概算5.4_利水公司二标段报价_孙家滩高效节水概算朱清核（加30万最终批复f）2015.1.8" xfId="1123"/>
    <cellStyle name="常规 17 2 2" xfId="1124"/>
    <cellStyle name="常规 2 3 2 2 11 2 3" xfId="1125"/>
    <cellStyle name="差_2011年小农水概算5.4_利水公司二标段报价_吴忠市国家农业科技园区供水工程最终" xfId="1126"/>
    <cellStyle name="差_2012.10.7利通区2012年小农水项目工程量清单_孙家滩高效节水概算朱清核（加30万最终批复f）2015.1.8" xfId="1127"/>
    <cellStyle name="差_以色列贷款预算" xfId="1128"/>
    <cellStyle name="好_李庄饮水工程概算核2012.5.16_吴忠市国家农业科技园区供水工程最终" xfId="1129"/>
    <cellStyle name="常规 2 2 3" xfId="1130"/>
    <cellStyle name="差_2012.5.15修改 五里坡配套控制价" xfId="1131"/>
    <cellStyle name="差_2012.5.15修改 五里坡配套控制价_2014年小农水工程高效片区概算核2014.6.5" xfId="1132"/>
    <cellStyle name="差_2012.5.15修改 五里坡配套控制价_孙家滩高效节水概算朱清核（加30万最终批复f）2015.1.8" xfId="1133"/>
    <cellStyle name="常规 4 2 3" xfId="1134"/>
    <cellStyle name="常规 4 5" xfId="1135"/>
    <cellStyle name="差_201203281850 五里坡配套控制价_孙家滩高效节水概算朱清核（加30万最终批复f）2015.1.8" xfId="1136"/>
    <cellStyle name="差_五里坡生态移民农业开发土壤改良及治沙工程控制价工程" xfId="1137"/>
    <cellStyle name="常规 2 3 2 2 6 3" xfId="1138"/>
    <cellStyle name="常规 2 3 2 2 16 2" xfId="1139"/>
    <cellStyle name="差_批复黄羊滩（116）预算定额（最终）2010.9.3_Sheet1" xfId="1140"/>
    <cellStyle name="差_2013-2017高效节灌总体实施方案投资估算编制（模板）2012-12-15" xfId="1141"/>
    <cellStyle name="差_2014.6.26永宁县闽宁镇防洪工程" xfId="1142"/>
    <cellStyle name="差_2014年扁担沟镇土地整理_例：土地开发整理预算定额" xfId="1143"/>
    <cellStyle name="差_2014年小农水工程高效片区概算核2014.6.5" xfId="1144"/>
    <cellStyle name="好_20100227马莲渠乡左右岸合计（江淑萍）_3.21波浪渠现状及改造表_2013年平罗小农水工程概算核2013.3.2_孙家滩高效节水概算朱清核（加30万最终批复f）2015.1.8" xfId="1145"/>
    <cellStyle name="好_盐池2014年度高效节水灌溉概算核2014.6.27_孙家滩高效节水概算朱清核（加30万最终批复f）2015.1.8" xfId="1146"/>
    <cellStyle name="强调文字颜色 2 4" xfId="1147"/>
    <cellStyle name="差_23-宁夏_管材招标控制价" xfId="1148"/>
    <cellStyle name="差_23-宁夏_贺兰县2万亩概算核2013.3.5" xfId="1149"/>
    <cellStyle name="汇总 2" xfId="1150"/>
    <cellStyle name="差_3.21波浪渠现状及改造表_（10.17）庄立明2014年中央统筹资金永宁县第一排水沟、永清沟治理及泵站改造工程" xfId="1151"/>
    <cellStyle name="差_北庙灌水率及渠道流量计算9-6" xfId="1152"/>
    <cellStyle name="差_3.21波浪渠现状及改造表_2014年小农水工程高效片区概算核2014.6.5" xfId="1153"/>
    <cellStyle name="差_3.21江淑萍新表_（10.17）庄立明2014年中央统筹资金永宁县第一排水沟、永清沟治理及泵站改造工程" xfId="1154"/>
    <cellStyle name="差_3.21江淑萍新表_2013年平罗小农水工程概算核2013.3.2_孙家滩高效节水概算朱清核（加30万最终批复f）2015.1.8" xfId="1155"/>
    <cellStyle name="差_3.21江淑萍新表_2015年小农水新增资金项目永宁县泵站翻建改造工程" xfId="1156"/>
    <cellStyle name="差_3.21江淑萍新表_孙家滩高效节水概算朱清核（加30万最终批复f）2015.1.8" xfId="1157"/>
    <cellStyle name="差_3.21江淑萍新表_吴忠市国家农业科技园区供水工程最终" xfId="1158"/>
    <cellStyle name="好_Book1_盐池小农概算核2012.9.12_（10.17）庄立明2014年中央统筹资金永宁县第一排水沟、永清沟治理及泵站改造工程" xfId="1159"/>
    <cellStyle name="好_利通区二支渠工程概算（周工核定）20100914_利水公司二标段报价_2014年小农水工程高效片区概算核2014.6.5" xfId="1160"/>
    <cellStyle name="差_利通区2012年小农水重点县概算核2012.9.18_孙家滩高效节水概算朱清核（加30万最终批复f）2015.1.8" xfId="1161"/>
    <cellStyle name="差_3.30日2010年马莲渠灌域小型农田水利工程" xfId="1162"/>
    <cellStyle name="差_3.30日2010年马莲渠灌域小型农田水利工程_（10.17）庄立明2014年中央统筹资金永宁县第一排水沟、永清沟治理及泵站改造工程" xfId="1163"/>
    <cellStyle name="差_3.30日2010年马莲渠灌域小型农田水利工程_2013年平罗小农水工程概算核2013.3.2" xfId="1164"/>
    <cellStyle name="差_3.30日2010年马莲渠灌域小型农田水利工程_2014年小农水工程高效片区概算核2014.6.5" xfId="1165"/>
    <cellStyle name="常规 2 4 4" xfId="1166"/>
    <cellStyle name="差_3.30日2010年马莲渠灌域小型农田水利工程_孙家滩高效节水概算朱清核（加30万最终批复f）2015.1.8" xfId="1167"/>
    <cellStyle name="差_3.30日2010年马莲渠灌域小型农田水利工程_吴忠市国家农业科技园区供水工程最终" xfId="1168"/>
    <cellStyle name="常规 17 2 2 2" xfId="1169"/>
    <cellStyle name="差_4.6马波二渠轮灌组划分_（10.17）庄立明2014年中央统筹资金永宁县第一排水沟、永清沟治理及泵站改造工程" xfId="1170"/>
    <cellStyle name="差_4.6马波二渠轮灌组划分_2013年平罗小农水工程概算核2013.3.2" xfId="1171"/>
    <cellStyle name="差_4.6马波二渠轮灌组划分_2014年小农水工程高效片区概算核2014.6.5" xfId="1172"/>
    <cellStyle name="差_4.6马波二渠轮灌组划分_孙家滩高效节水概算朱清核（加30万最终批复f）2015.1.8" xfId="1173"/>
    <cellStyle name="差_4.6马波二渠轮灌组划分_吴忠市国家农业科技园区供水工程最终" xfId="1174"/>
    <cellStyle name="常规 22 2" xfId="1175"/>
    <cellStyle name="常规 17 2" xfId="1176"/>
    <cellStyle name="差_9.15二支渠工程(核实后概算)_（10.17）庄立明2014年中央统筹资金永宁县第一排水沟、永清沟治理及泵站改造工程" xfId="1177"/>
    <cellStyle name="差_9.15二支渠工程(核实后概算)_2013年平罗小农水工程概算核2013.3.2" xfId="1178"/>
    <cellStyle name="差_丁家儿沟工程量表_孙家滩高效节水概算朱清核（加30万最终批复f）2015.1.8" xfId="1179"/>
    <cellStyle name="差_9.15二支渠工程(核实后概算)_2013年平罗小农水工程概算核2013.3.2_孙家滩高效节水概算朱清核（加30万最终批复f）2015.1.8" xfId="1180"/>
    <cellStyle name="差_9.15二支渠工程(核实后概算)_2014年小农水工程高效片区概算核2014.6.5" xfId="1181"/>
    <cellStyle name="强调文字颜色 1 8" xfId="1182"/>
    <cellStyle name="好_三标段报价1_孙家滩高效节水概算朱清核（加30万最终批复f）2015.1.8" xfId="1183"/>
    <cellStyle name="好_20110920吴忠市利通区秦渠两侧绿化带整地项目控制价工程_2014年小农水工程高效片区概算核2014.6.5" xfId="1184"/>
    <cellStyle name="差_9.15二支渠工程(核实后概算)_清水沟投标报价" xfId="1185"/>
    <cellStyle name="差_9.15二支渠工程(核实后概算)_清水沟投标报价_（10.17）庄立明2014年中央统筹资金永宁县第一排水沟、永清沟治理及泵站改造工程" xfId="1186"/>
    <cellStyle name="差_9.15二支渠工程(核实后概算)_清水沟投标报价_2014年小农水工程高效片区概算核2014.6.5" xfId="1187"/>
    <cellStyle name="差_9.15二支渠工程(核实后概算)_清水沟投标报价_孙家滩高效节水概算朱清核（加30万最终批复f）2015.1.8" xfId="1188"/>
    <cellStyle name="差_黄羊滩（116）预算定额（最终）2010.03.28_盐池2014年度高效节水灌溉概算核2014.6.27" xfId="1189"/>
    <cellStyle name="好_Book1_（10.17）庄立明2014年中央统筹资金永宁县第一排水沟、永清沟治理及泵站改造工程" xfId="1190"/>
    <cellStyle name="常规 16 2_喊叫水概算汇总表【批复】" xfId="1191"/>
    <cellStyle name="差_吴忠城南防洪排涝工程附属工程预算_2014年小农水工程高效片区概算核2014.6.5" xfId="1192"/>
    <cellStyle name="差_9.15二支渠工程(核实后概算)_清水沟投标报价_吴忠市国家农业科技园区供水工程最终" xfId="1193"/>
    <cellStyle name="差_9.15二支渠工程(核实后概算)_三标段报价1" xfId="1194"/>
    <cellStyle name="差_利通区二支渠工程概算（周工核定）20100914_利水公司二标段报价_吴忠市国家农业科技园区供水工程最终" xfId="1195"/>
    <cellStyle name="差_9.15二支渠工程(核实后概算)_孙家滩高效节水概算朱清核（加30万最终批复f）2015.1.8" xfId="1196"/>
    <cellStyle name="差_Book1_宁夏深沟村1万亩概算核2013.2.4" xfId="1197"/>
    <cellStyle name="差_黄羊滩（116）预算定额（最终）2010.03.28_吴忠利通区五里坡ff" xfId="1198"/>
    <cellStyle name="差_Book1" xfId="1199"/>
    <cellStyle name="差_Book1_（10.17）庄立明2014年中央统筹资金永宁县第一排水沟、永清沟治理及泵站改造工程" xfId="1200"/>
    <cellStyle name="差_单价_2012.5.15修改 五里坡配套控制价_孙家滩高效节水概算朱清核（加30万最终批复f）2015.1.8" xfId="1201"/>
    <cellStyle name="差_利通区二支渠工程概算（周工核定）20100914_利水公司二标段报价_孙家滩高效节水概算朱清核（加30万最终批复f）2015.1.8" xfId="1202"/>
    <cellStyle name="差_Book1_（苏）宁夏中宁红梧山预算概算0407" xfId="1203"/>
    <cellStyle name="好_吴忠市孙家滩项目2011.12.16-批复概算_2013.10.11（最终）吴忠市金积造123纸工业园区速生林" xfId="1204"/>
    <cellStyle name="差_Book1_（苏）宁夏中宁红梧山预算概算0407_孙家滩高效节水概算朱清核（加30万最终批复f）2015.1.8" xfId="1205"/>
    <cellStyle name="差_Book1_1" xfId="1206"/>
    <cellStyle name="差_Book1_1_（苏）宁夏中宁红梧山预算概算0407_孙家滩高效节水概算朱清核（加30万最终批复f）2015.1.8" xfId="1207"/>
    <cellStyle name="差_单价_滨河连接线招标控制价_孙家滩高效节水概算朱清核（加30万最终批复f）2015.1.8" xfId="1208"/>
    <cellStyle name="好_单价_贺兰县兰光村、金鑫村高效节水核2012.9.13_2015年小农水新增资金项目永宁县泵站翻建改造工程" xfId="1209"/>
    <cellStyle name="差_Book1_1_Book1" xfId="1210"/>
    <cellStyle name="好_西吉县葫芦河治理工程概算表（116号）-核_喊叫水概算汇总表【批复】" xfId="1211"/>
    <cellStyle name="差_Book1_1_Book1_孙家滩高效节水概算朱清核（加30万最终批复f）2015.1.8" xfId="1212"/>
    <cellStyle name="差_Book1_1_北庙灌水率及渠道流量计算" xfId="1213"/>
    <cellStyle name="差_Book1_1_北庙灌水率及渠道流量计算9-6" xfId="1214"/>
    <cellStyle name="差_Book1_1_灌水率及渠道流量计算" xfId="1215"/>
    <cellStyle name="差_高家闸 概算宁夏13号文新定额-2010.12.21核_吴忠市国家农业科技园区供水工程最终" xfId="1216"/>
    <cellStyle name="差_Book1_1_贺兰北庙9-8" xfId="1217"/>
    <cellStyle name="常规 13" xfId="1218"/>
    <cellStyle name="差_Book1_1_机电 " xfId="1219"/>
    <cellStyle name="解释性文本 2" xfId="1220"/>
    <cellStyle name="差_Book1_1_例：土地开发整理预算定额" xfId="1221"/>
    <cellStyle name="差_Book1_1_孙家滩高效节水概算朱清核（加30万最终批复f）2015.1.8" xfId="1222"/>
    <cellStyle name="差_复件 4月15日2010年马莲渠灌域小型农田水利工程概算11_2015年小农水新增资金项目永宁县泵站翻建改造工程" xfId="1223"/>
    <cellStyle name="差_Book1_1_小人饮工程工程量" xfId="1224"/>
    <cellStyle name="差_Book1_1_盐池2014年度高效节水灌溉概算核2014.6.27" xfId="1225"/>
    <cellStyle name="差_小人饮工程工程量" xfId="1226"/>
    <cellStyle name="千位分隔 2 2" xfId="1227"/>
    <cellStyle name="差_Book1_1_永宁闽宁葡萄滴管工程（三期）概算核2014.10.12_孙家滩高效节水概算朱清核（加30万最终批复f）2015.1.8" xfId="1228"/>
    <cellStyle name="差_Book1_1_原州区姚磨喷灌概算核2014.1.6_孙家滩高效节水概算朱清核（加30万最终批复f）2015.1.8" xfId="1229"/>
    <cellStyle name="差_Book1_1_中石化效益费用计算1008_孙家滩高效节水概算朱清核（加30万最终批复f）2015.1.8" xfId="1230"/>
    <cellStyle name="差_Book1_2" xfId="1231"/>
    <cellStyle name="差_Book1_2_贺兰北庙9-8" xfId="1232"/>
    <cellStyle name="差_概算表4.19_平罗高仁节水灌溉概算表4.26（定）" xfId="1233"/>
    <cellStyle name="差_Book1_2_孙家滩高效节水概算朱清核（加30万最终批复f）2015.1.8" xfId="1234"/>
    <cellStyle name="差_黄羊滩（116）预算定额（最终）2010.03.28_五里坡2014年度小农水概算核2014.6.8" xfId="1235"/>
    <cellStyle name="链接单元格 2" xfId="1236"/>
    <cellStyle name="差_天宁牧业公司万头奶牛基地供水工程投资概算总表2012.6.27（马玲）" xfId="1237"/>
    <cellStyle name="差_Book1_2015年小农水新增资金项目永宁县泵站翻建改造工程" xfId="1238"/>
    <cellStyle name="差_Book1_3" xfId="1239"/>
    <cellStyle name="差_Book1_Book1" xfId="1240"/>
    <cellStyle name="差_五里坡2014年度小农水概算核2014.6.8" xfId="1241"/>
    <cellStyle name="差_Book1_北庙灌水率及渠道流量计算" xfId="1242"/>
    <cellStyle name="好_农发仪器设备1_北庙灌水率及渠道流量计算9-6" xfId="1243"/>
    <cellStyle name="差_清水沟投标报价_（10.17）庄立明2014年中央统筹资金永宁县第一排水沟、永清沟治理及泵站改造工程" xfId="1244"/>
    <cellStyle name="差_Book1_丁家儿沟工程量表" xfId="1245"/>
    <cellStyle name="差_Book1_丁家儿沟工程量表_2015年小农水新增资金项目永宁县泵站翻建改造工程" xfId="1246"/>
    <cellStyle name="差_Book1_丁家儿沟工程量表_孙家滩高效节水概算朱清核（加30万最终批复f）2015.1.8" xfId="1247"/>
    <cellStyle name="常规 19 2" xfId="1248"/>
    <cellStyle name="好 2" xfId="1249"/>
    <cellStyle name="常规 2 3 2 2 5 5" xfId="1250"/>
    <cellStyle name="差_Book1_喊叫水概算汇总表【批复】" xfId="1251"/>
    <cellStyle name="差_Book1_机电 " xfId="1252"/>
    <cellStyle name="常规 3 8" xfId="1253"/>
    <cellStyle name="差_Book1_泾源县党史研究室主任汇总表" xfId="1254"/>
    <cellStyle name="差_Book1_三三支沟上段总概算" xfId="1255"/>
    <cellStyle name="好_批复黄羊滩（116）预算定额（最终）2010.9.3_11.24盐池高效节水" xfId="1256"/>
    <cellStyle name="好_9.15二支渠工程(核实后概算)_清水沟投标报价_2013年平罗小农水工程概算核2013.3.2" xfId="1257"/>
    <cellStyle name="差_高家闸 概算宁夏13号文新定额-2010.12.21核_孙家滩高效节水概算朱清核（加30万最终批复f）2015.1.8" xfId="1258"/>
    <cellStyle name="差_Book1_吴忠市国家农业科技园区供水工程最终" xfId="1259"/>
    <cellStyle name="差_Book1_盐池2014年度高效节水灌溉概算核2014.6.27" xfId="1260"/>
    <cellStyle name="差_小洪沟（新定额）2010.7.10改估算改_原州区姚磨喷灌概算核2014.1.6_孙家滩高效节水概算朱清核（加30万最终批复f）2015.1.8" xfId="1261"/>
    <cellStyle name="好_20100227马莲渠乡左右岸合计（江淑萍）_孙家滩高效节水概算朱清核（加30万最终批复f）2015.1.8" xfId="1262"/>
    <cellStyle name="差_Book1_盐池小农概算核2012.9.12" xfId="1263"/>
    <cellStyle name="好_概算表4.19_平罗高仁节水灌溉概算表4.26（定）" xfId="1264"/>
    <cellStyle name="常规 2 3 2 2 3 13" xfId="1265"/>
    <cellStyle name="差_西吉县葫芦河治理工程概算表（116号）-核_贺兰县兰光村、金鑫村高效节水核2012.9.13_吴忠市国家农业科技园区供水工程最终" xfId="1266"/>
    <cellStyle name="差_Book1_盐池小农概算核2012.9.12_（10.17）庄立明2014年中央统筹资金永宁县第一排水沟、永清沟治理及泵站改造工程" xfId="1267"/>
    <cellStyle name="差_Book1_盐池小农概算核2012.9.12_2015年小农水新增资金项目永宁县泵站翻建改造工程" xfId="1268"/>
    <cellStyle name="差_Book1_盐池小农概算核2012.9.12_吴忠市国家农业科技园区供水工程最终" xfId="1269"/>
    <cellStyle name="差_Book1_永宁闽宁葡萄滴管工程（三期）概算核2014.10.12_孙家滩高效节水概算朱清核（加30万最终批复f）2015.1.8" xfId="1270"/>
    <cellStyle name="常规 2_（ 2010年概算）利通区二支渠工程5.25" xfId="1271"/>
    <cellStyle name="差_Book1_于祥灌水率及渠道流量计算1" xfId="1272"/>
    <cellStyle name="常规 2 2 4 2 2" xfId="1273"/>
    <cellStyle name="差_Book1_渝河下游沟道治理工程概算核2012.6.19_2015年小农水新增资金项目永宁县泵站翻建改造工程" xfId="1274"/>
    <cellStyle name="差_Book1_渝河下游沟道治理工程概算核2012.6.19_孙家滩高效节水概算朱清核（加30万最终批复f）2015.1.8" xfId="1275"/>
    <cellStyle name="差_PVC管材" xfId="1276"/>
    <cellStyle name="好_单价_贺兰县兰光村、金鑫村高效节水核2012.9.13" xfId="1277"/>
    <cellStyle name="差_PVC管材_小人饮工程工程量" xfId="1278"/>
    <cellStyle name="差_复件 2010年马莲渠灌域小型农田水利工程_吴忠市国家农业科技园区供水工程最终" xfId="1279"/>
    <cellStyle name="差_PVC管材_永宁闽宁葡萄滴管工程（三期）概算核2014.10.12" xfId="1280"/>
    <cellStyle name="好_灵武泵站总预算表" xfId="1281"/>
    <cellStyle name="差_Sheet1" xfId="1282"/>
    <cellStyle name="差_Sheet1_（10.17）庄立明2014年中央统筹资金永宁县第一排水沟、永清沟治理及泵站改造工程" xfId="1283"/>
    <cellStyle name="差_德隆116号文概算2012.11.21" xfId="1284"/>
    <cellStyle name="差_Sheet1_2015年小农水新增资金项目永宁县泵站翻建改造工程" xfId="1285"/>
    <cellStyle name="差_Sheet1_吴忠市国家农业科技园区供水工程最终" xfId="1286"/>
    <cellStyle name="差_灵武泵站总预算表" xfId="1287"/>
    <cellStyle name="差_Sheet2" xfId="1288"/>
    <cellStyle name="差_批复黄羊滩（116）预算定额（最终）2010.9.3_孙家滩高效节水概算朱清核（加30万最终批复f）2015.1.8" xfId="1289"/>
    <cellStyle name="差_阿克苏地区节水规划估算(内审修改)" xfId="1290"/>
    <cellStyle name="差_阿克苏地区节水规划估算(内审修改)_（10.17）庄立明2014年中央统筹资金永宁县第一排水沟、永清沟治理及泵站改造工程" xfId="1291"/>
    <cellStyle name="常规 2 3 2 2 12 2 2" xfId="1292"/>
    <cellStyle name="差_阿克苏地区节水规划估算(内审修改)_2013年度青铜峡小农水概算核2013.3.4" xfId="1293"/>
    <cellStyle name="差_黄羊滩（116）预算定额（最终）2010.03.28" xfId="1294"/>
    <cellStyle name="差_阿克苏地区节水规划估算(内审修改)_2013年平罗小农水工程概算核2013.3.2" xfId="1295"/>
    <cellStyle name="差_阿克苏地区节水规划估算(内审修改)_2013年平罗小农水工程概算核2013.3.2_孙家滩高效节水概算朱清核（加30万最终批复f）2015.1.8" xfId="1296"/>
    <cellStyle name="差_阿克苏地区节水规划估算(内审修改)_2015年小农水新增资金项目永宁县泵站翻建改造工程" xfId="1297"/>
    <cellStyle name="常规 2 3 2 2 17" xfId="1298"/>
    <cellStyle name="差_白芨滩大泉、临河红墩子农水处核出文版20140304" xfId="1299"/>
    <cellStyle name="差_黄土梁灌区_滨河连接线招标控制价" xfId="1300"/>
    <cellStyle name="差_报价" xfId="1301"/>
    <cellStyle name="常规 23" xfId="1302"/>
    <cellStyle name="常规 18" xfId="1303"/>
    <cellStyle name="差_北庙灌水率及渠道流量计算" xfId="1304"/>
    <cellStyle name="差_扁担沟扬水站统计表（改）" xfId="1305"/>
    <cellStyle name="差_扁担沟扬水站统计表（改） 2" xfId="1306"/>
    <cellStyle name="差_扁担沟扬水站统计表（改） 3" xfId="1307"/>
    <cellStyle name="好_清水沟投标报价_孙家滩高效节水概算朱清核（加30万最终批复f）2015.1.8" xfId="1308"/>
    <cellStyle name="常规_预算定额套单价" xfId="1309"/>
    <cellStyle name="差_单价_2012.5.15修改 五里坡配套控制价" xfId="1310"/>
    <cellStyle name="好_以色列贷款预算" xfId="1311"/>
    <cellStyle name="好_13标预算" xfId="1312"/>
    <cellStyle name="差_策勒县108号文概算实施方案8000亩2011.10_2013年平罗小农水工程概算核2013.3.2" xfId="1313"/>
    <cellStyle name="差_扁担沟扬水站统计表（改）_129绿化供水0312" xfId="1314"/>
    <cellStyle name="好_Book1_（苏）宁夏中宁红梧山预算概算0407" xfId="1315"/>
    <cellStyle name="常规 2 3 2 2 3 4_喊叫水概算汇总表【批复】" xfId="1316"/>
    <cellStyle name="差_扁担沟扬水站统计表（改）_3.13工程量清单" xfId="1317"/>
    <cellStyle name="常规 20 4" xfId="1318"/>
    <cellStyle name="常规 15 4" xfId="1319"/>
    <cellStyle name="差_扁担沟扬水站统计表（改）_3.13工程量清单_3.21波浪渠现状及改造表" xfId="1320"/>
    <cellStyle name="差_扁担沟扬水站统计表（改）_3.21波浪渠现状及改造表" xfId="1321"/>
    <cellStyle name="差_扁担沟扬水站统计表（改）_3.21江淑萍新表" xfId="1322"/>
    <cellStyle name="好_中小河流-桑园沟治理工程预算-桑园沟2010.12.22核_贺兰县兰光村、金鑫村高效节水核2012.9.13_吴忠市国家农业科技园区供水工程最终" xfId="1323"/>
    <cellStyle name="差_扁担沟扬水站统计表（改）_管材招标控制价" xfId="1324"/>
    <cellStyle name="差_利通区二支渠工程概算（周工核定）20100914_2015年小农水新增资金项目永宁县泵站翻建改造工程" xfId="1325"/>
    <cellStyle name="常规 15 2 2" xfId="1326"/>
    <cellStyle name="差_扁担沟扬水站统计表（改）_招投标工程量" xfId="1327"/>
    <cellStyle name="差_扁担沟扬水站统计表（改）_招投标工程量_129绿化供水0312" xfId="1328"/>
    <cellStyle name="常规 2 4 3 3" xfId="1329"/>
    <cellStyle name="差_扁担沟扬水站统计表（改）_招投标工程量_管材招标控制价" xfId="1330"/>
    <cellStyle name="差_扁担沟扬水站统计表（改）_招投标工程量_生态移民农业开发土壤改良及治沙工程控制价工程修改" xfId="1331"/>
    <cellStyle name="差_策勒县108号文概算实施方案8000亩2011.10" xfId="1332"/>
    <cellStyle name="差_策勒县108号文概算实施方案8000亩2011.10_（10.17）庄立明2014年中央统筹资金永宁县第一排水沟、永清沟治理及泵站改造工程" xfId="1333"/>
    <cellStyle name="好_吴忠市孙家滩项目2011.12.16-批复概算_（2014.9.5）温棚滴灌工程" xfId="1334"/>
    <cellStyle name="差_策勒县108号文概算实施方案8000亩2011.10_2013年度青铜峡小农水概算核2013.3.4" xfId="1335"/>
    <cellStyle name="好_以色列贷款预算_孙家滩高效节水概算朱清核（加30万最终批复f）2015.1.8" xfId="1336"/>
    <cellStyle name="好_13标预算_孙家滩高效节水概算朱清核（加30万最终批复f）2015.1.8" xfId="1337"/>
    <cellStyle name="差_策勒县108号文概算实施方案8000亩2011.10_2013年平罗小农水工程概算核2013.3.2_孙家滩高效节水概算朱清核（加30万最终批复f）2015.1.8" xfId="1338"/>
    <cellStyle name="差_策勒县108号文概算实施方案8000亩2011.10_2015年小农水新增资金项目永宁县泵站翻建改造工程" xfId="1339"/>
    <cellStyle name="常规 2 3 2 2 12" xfId="1340"/>
    <cellStyle name="差_策勒县108号文概算实施方案8000亩2011.10_孙家滩高效节水概算朱清核（加30万最终批复f）2015.1.8" xfId="1341"/>
    <cellStyle name="好_单价_陈木闸硬化路破损恢复概算表2014.2.28" xfId="1342"/>
    <cellStyle name="差_大鸭子渠自动水位计概算（宁夏新定额最终）" xfId="1343"/>
    <cellStyle name="差_单价" xfId="1344"/>
    <cellStyle name="常规 2 4 2 3" xfId="1345"/>
    <cellStyle name="差_吴忠市孙家滩项目2011.12.16（马玲）【2009】13号文概算标准_(陈少先8.6）高效节水灌溉工程" xfId="1346"/>
    <cellStyle name="差_单价_灵武2014高效节水工程概算核2014.6.27_孙家滩高效节水概算朱清核（加30万最终批复f）2015.1.8" xfId="1347"/>
    <cellStyle name="差_单价 2" xfId="1348"/>
    <cellStyle name="差_单价 4" xfId="1349"/>
    <cellStyle name="差_单价 5" xfId="1350"/>
    <cellStyle name="常规 2 3 2 2 12 2_喊叫水概算汇总表【批复】" xfId="1351"/>
    <cellStyle name="差_单价_11.24盐池高效节水" xfId="1352"/>
    <cellStyle name="差_丁家儿沟工程量表_2015年小农水新增资金项目永宁县泵站翻建改造工程" xfId="1353"/>
    <cellStyle name="差_单价_2013.10.11（最终）吴忠市金积造123纸工业园区速生林" xfId="1354"/>
    <cellStyle name="差_单价_2013.10.11（最终）吴忠市金积造123纸工业园区速生林_1" xfId="1355"/>
    <cellStyle name="差_单价_滨河连接线招标控制价_2014年小农水工程高效片区概算核2014.6.5" xfId="1356"/>
    <cellStyle name="差_宁夏小农水重点县项目取费标准参照表2012-10-21" xfId="1357"/>
    <cellStyle name="差_单价_第五批小农水重点县中宁县舟塔乡铁渠枸杞滴灌工程2014.4.9" xfId="1358"/>
    <cellStyle name="差_单价_反帝沟上段2012.12.25" xfId="1359"/>
    <cellStyle name="差_批复黄羊滩（116）预算定额（最终）2010.9.3 2" xfId="1360"/>
    <cellStyle name="好_灌水率" xfId="1361"/>
    <cellStyle name="差_单价_喊叫水概算汇总表【批复】" xfId="1362"/>
    <cellStyle name="差_单价_贺兰县兰光村、金鑫村高效节水核2012.9.13" xfId="1363"/>
    <cellStyle name="好_Book1_1_中石化效益费用计算1008" xfId="1364"/>
    <cellStyle name="差_单价_贺兰县兰光村、金鑫村高效节水核2012.9.13_孙家滩高效节水概算朱清核（加30万最终批复f）2015.1.8" xfId="1365"/>
    <cellStyle name="差_单价_贺兰县兰光村、金鑫村高效节水核2012.9.13_吴忠市国家农业科技园区供水工程最终" xfId="1366"/>
    <cellStyle name="差_李庄饮水工程概算核2012.5.16_（10.17）庄立明2014年中央统筹资金永宁县第一排水沟、永清沟治理及泵站改造工程" xfId="1367"/>
    <cellStyle name="差_单价_惠农渠永宁县李俊镇新老出水渠取水工程2013-05-14" xfId="1368"/>
    <cellStyle name="常规 2 3 2 2 2 8" xfId="1369"/>
    <cellStyle name="差_盐池县红山沟河道整治工程110303" xfId="1370"/>
    <cellStyle name="差_单价_灵武2014高效节水工程概算核2014.6.27" xfId="1371"/>
    <cellStyle name="差_单价_宁夏中宁县出口枸杞生产示范基地节水滴灌项目" xfId="1372"/>
    <cellStyle name="差_单价_吴忠利通区五里坡ff" xfId="1373"/>
    <cellStyle name="差_单价_吴忠市金积造纸工业园区 速生林（余工）基地工程【2009)13号" xfId="1374"/>
    <cellStyle name="常规 9_（ 2010年概算）利通区二支渠工程5.25" xfId="1375"/>
    <cellStyle name="差_吴忠市双吉沟概算核2012.12.7" xfId="1376"/>
    <cellStyle name="差_单价_五里坡2014年度小农水概算核2014.6.8" xfId="1377"/>
    <cellStyle name="差_黄土梁灌区 3" xfId="1378"/>
    <cellStyle name="差_概算表4.19_平罗高仁节水灌溉概算表5.20（总价核定）" xfId="1379"/>
    <cellStyle name="差_单价_小人饮工程工程量" xfId="1380"/>
    <cellStyle name="好_中小河流-桑园沟治理工程预算-桑园沟2010.12.22核_永宁闽宁葡萄滴管工程（三期）概算核2014.10.12" xfId="1381"/>
    <cellStyle name="差_单价_盐池2014年度高效节水灌溉概算核2014.6.27" xfId="1382"/>
    <cellStyle name="差_吴忠市孙家滩项目2011.12.16-批复概算 3" xfId="1383"/>
    <cellStyle name="差_单价_永宁闽宁葡萄滴管工程（三期）概算核2014.10.12" xfId="1384"/>
    <cellStyle name="差_德隆116号文概算2012.11.21_喊叫水概算汇总表【批复】" xfId="1385"/>
    <cellStyle name="差_德隆116号文概算2012.11.21_盐池2014年度高效节水灌溉概算核2014.6.27" xfId="1386"/>
    <cellStyle name="差_德隆116号文概算2012.11.21_永宁闽宁葡萄滴管工程（三期）概算核2014.10.12" xfId="1387"/>
    <cellStyle name="好_2010年马莲渠灌域小型农田水利工程_孙家滩高效节水概算朱清核（加30万最终批复f）2015.1.8" xfId="1388"/>
    <cellStyle name="差_第二次上报129绿化供水0312" xfId="1389"/>
    <cellStyle name="差_第二次上报129绿化供水0312_2014年小农水工程高效片区概算核2014.6.5" xfId="1390"/>
    <cellStyle name="差_利水公司二标段报价_2013年平罗小农水工程概算核2013.3.2_孙家滩高效节水概算朱清核（加30万最终批复f）2015.1.8" xfId="1391"/>
    <cellStyle name="差_第二次上报129绿化供水0312_孙家滩高效节水概算朱清核（加30万最终批复f）2015.1.8" xfId="1392"/>
    <cellStyle name="差_永宁县中干沟沟道砌护工程（一期工程）马玲2012.3.19" xfId="1393"/>
    <cellStyle name="差_丁家儿沟工程量表" xfId="1394"/>
    <cellStyle name="常规 2 3 2 2 10 3" xfId="1395"/>
    <cellStyle name="差_丁家儿沟工程量表_吴忠市国家农业科技园区供水工程最终" xfId="1396"/>
    <cellStyle name="差_复件 2010年马莲渠灌域小型农田水利工程_（10.17）庄立明2014年中央统筹资金永宁县第一排水沟、永清沟治理及泵站改造工程" xfId="1397"/>
    <cellStyle name="常规 2 2 3 2 3" xfId="1398"/>
    <cellStyle name="差_复件 2010年马莲渠灌域小型农田水利工程_2014年小农水工程高效片区概算核2014.6.5" xfId="1399"/>
    <cellStyle name="差_复件 2010年马莲渠灌域小型农田水利工程_2015年小农水新增资金项目永宁县泵站翻建改造工程" xfId="1400"/>
    <cellStyle name="差_复件 2010年马莲渠灌域小型农田水利工程_孙家滩高效节水概算朱清核（加30万最终批复f）2015.1.8" xfId="1401"/>
    <cellStyle name="好_第二次上报129绿化供水0312_孙家滩高效节水概算朱清核（加30万最终批复f）2015.1.8" xfId="1402"/>
    <cellStyle name="差_复件 2014.6.11中宁县井梁子沟治理工程" xfId="1403"/>
    <cellStyle name="差_复件 4月15日2010年马莲渠灌域小型农田水利工程概算11" xfId="1404"/>
    <cellStyle name="借出原因" xfId="1405"/>
    <cellStyle name="差_复件 4月15日2010年马莲渠灌域小型农田水利工程概算11_（10.17）庄立明2014年中央统筹资金永宁县第一排水沟、永清沟治理及泵站改造工程" xfId="1406"/>
    <cellStyle name="好_天宇奶牛概算（张伟峰） 2" xfId="1407"/>
    <cellStyle name="好_4.6马波二渠轮灌组划分_孙家滩高效节水概算朱清核（加30万最终批复f）2015.1.8" xfId="1408"/>
    <cellStyle name="差_黄土梁灌区_天元水泥厂工程概算表2014.4.21" xfId="1409"/>
    <cellStyle name="常规 5 2" xfId="1410"/>
    <cellStyle name="差_复件 4月15日2010年马莲渠灌域小型农田水利工程概算11_2013年平罗小农水工程概算核2013.3.2" xfId="1411"/>
    <cellStyle name="差_复件 4月15日2010年马莲渠灌域小型农田水利工程概算11_2013年平罗小农水工程概算核2013.3.2_孙家滩高效节水概算朱清核（加30万最终批复f）2015.1.8" xfId="1412"/>
    <cellStyle name="差_复件 4月15日2010年马莲渠灌域小型农田水利工程概算11_2014年小农水工程高效片区概算核2014.6.5" xfId="1413"/>
    <cellStyle name="差_副本3.29马波二渠所需表3.30_孙家滩高效节水概算朱清核（加30万最终批复f）2015.1.8" xfId="1414"/>
    <cellStyle name="差_复件 4月15日2010年马莲渠灌域小型农田水利工程概算11_孙家滩高效节水概算朱清核（加30万最终批复f）2015.1.8" xfId="1415"/>
    <cellStyle name="好_利通区2012年小农水重点县概算核2012.9.18" xfId="1416"/>
    <cellStyle name="差_利通区二支渠工程概算（周工核定）20100914_清水沟投标报价_孙家滩高效节水概算朱清核（加30万最终批复f）2015.1.8" xfId="1417"/>
    <cellStyle name="差_复件 4月15日2010年马莲渠灌域小型农田水利工程概算11_吴忠市国家农业科技园区供水工程最终" xfId="1418"/>
    <cellStyle name="差_副本3.29马波二渠所需表3.30" xfId="1419"/>
    <cellStyle name="差_副本3.29马波二渠所需表3.30_（10.17）庄立明2014年中央统筹资金永宁县第一排水沟、永清沟治理及泵站改造工程" xfId="1420"/>
    <cellStyle name="差_副本3.29马波二渠所需表3.30_2013年平罗小农水工程概算核2013.3.2" xfId="1421"/>
    <cellStyle name="差_副本3.29马波二渠所需表3.30_2013年平罗小农水工程概算核2013.3.2_孙家滩高效节水概算朱清核（加30万最终批复f）2015.1.8" xfId="1422"/>
    <cellStyle name="差_副本3.29马波二渠所需表3.30_2014年小农水工程高效片区概算核2014.6.5" xfId="1423"/>
    <cellStyle name="差_副本3.29马波二渠所需表3.30_2015年小农水新增资金项目永宁县泵站翻建改造工程" xfId="1424"/>
    <cellStyle name="差_概算（世行）_三三支沟上段总概算" xfId="1425"/>
    <cellStyle name="差_吴忠市孙家滩项目2011.12.16（马玲）【2009】13号文概算标准_2013.10.11（最终）吴忠市金积造123纸工业园区速生林" xfId="1426"/>
    <cellStyle name="差_西吉县葫芦河治理工程概算表（116号）-核_贺兰县兰光村、金鑫村高效节水核2012.9.13_（10.17）庄立明2014年中央统筹资金永宁县第一排水沟、永清沟治理及泵站改造工程" xfId="1427"/>
    <cellStyle name="差_概算表" xfId="1428"/>
    <cellStyle name="好_利通区二支渠工程概算（周工核定）20100914_兴水公司二支渠报价_2014年小农水工程高效片区概算核2014.6.5" xfId="1429"/>
    <cellStyle name="差_概算表12" xfId="1430"/>
    <cellStyle name="差_概算表4.19" xfId="1431"/>
    <cellStyle name="差_西吉县葫芦河治理工程概算表（116号）-核_吴忠市金积造纸工业园区 速生林（余工）基地工程【2009)13号" xfId="1432"/>
    <cellStyle name="差_高家闸 概算宁夏13号文新定额-2010.12.21核" xfId="1433"/>
    <cellStyle name="差_高家闸 概算宁夏13号文新定额-2010.12.21核_（10.17）庄立明2014年中央统筹资金永宁县第一排水沟、永清沟治理及泵站改造工程" xfId="1434"/>
    <cellStyle name="差_高效节水单价-2期" xfId="1435"/>
    <cellStyle name="差_高效节水单价-2期_孙家滩高效节水概算朱清核（加30万最终批复f）2015.1.8" xfId="1436"/>
    <cellStyle name="好_西吉县葫芦河治理工程概算表（116号）-核 2" xfId="1437"/>
    <cellStyle name="差_工程预算" xfId="1438"/>
    <cellStyle name="差_利通区二支渠工程概算（周工核定）20100914_利水公司二标段报价_2014年小农水工程高效片区概算核2014.6.5" xfId="1439"/>
    <cellStyle name="差_黄土梁灌区_吴忠市孙家滩土地占补二期预算（马建涛2014.7.6终）" xfId="1440"/>
    <cellStyle name="好_策勒县108号文概算实施方案8000亩2011.10_吴忠市国家农业科技园区供水工程最终" xfId="1441"/>
    <cellStyle name="差_管材招标控制价" xfId="1442"/>
    <cellStyle name="好_德隆116号文概算2012.11.21_盐池2014年度高效节水灌溉概算核2014.6.27" xfId="1443"/>
    <cellStyle name="差_黄土梁灌区_吴忠市利通区扁担沟镇五里坡片区综合开发工程" xfId="1444"/>
    <cellStyle name="差_管理汇总2" xfId="1445"/>
    <cellStyle name="好_批复黄羊滩（116）预算定额（最终）2010.9.3_2013.10.11（最终）吴忠市金积造123纸工业园区速生林_1" xfId="1446"/>
    <cellStyle name="差_西吉县葫芦河治理工程概算表（116号）-核_小人饮工程工程量" xfId="1447"/>
    <cellStyle name="差_管理汇总2_三三支沟上段总概算" xfId="1448"/>
    <cellStyle name="差_灌水率" xfId="1449"/>
    <cellStyle name="好_宁夏易捷枸杞庄园科技有限公司恩和枸杞示范基地滴灌项目2012.3.23（1f）_永宁闽宁葡萄滴管工程（三期）概算核2014.10.12" xfId="1450"/>
    <cellStyle name="差_国土新定额 吴忠高闸（玲姐） 2013.5.8" xfId="1451"/>
    <cellStyle name="差_贺兰县2万亩概算核2013.3.7" xfId="1452"/>
    <cellStyle name="差_贺兰县兰光村、金鑫村高效节水核2012.9.13" xfId="1453"/>
    <cellStyle name="差_利通区二支渠工程概算（周工核定）20100914_兴水公司二支渠报价_2015年小农水新增资金项目永宁县泵站翻建改造工程" xfId="1454"/>
    <cellStyle name="差_贺兰县兰光村、金鑫村高效节水核2012.9.13_（10.17）庄立明2014年中央统筹资金永宁县第一排水沟、永清沟治理及泵站改造工程" xfId="1455"/>
    <cellStyle name="常规 2 3 2 2 5 3_喊叫水概算汇总表【批复】" xfId="1456"/>
    <cellStyle name="差_中小河流-桑园沟治理工程预算-桑园沟2010.12.22核_宁夏小农水重点县项目取费标准参照表2012-10-21（审）" xfId="1457"/>
    <cellStyle name="差_贺兰县兰光村、金鑫村高效节水核2012.9.13_吴忠市国家农业科技园区供水工程最终" xfId="1458"/>
    <cellStyle name="差_黄土梁灌区" xfId="1459"/>
    <cellStyle name="好_副本3.29马波二渠所需表3.30_孙家滩高效节水概算朱清核（加30万最终批复f）2015.1.8" xfId="1460"/>
    <cellStyle name="差_黄土梁灌区 2" xfId="1461"/>
    <cellStyle name="差_黄土梁灌区 4" xfId="1462"/>
    <cellStyle name="差_黄土梁灌区_11.24盐池高效节水" xfId="1463"/>
    <cellStyle name="差_黄土梁灌区_2012.5.15修改 五里坡配套控制价" xfId="1464"/>
    <cellStyle name="差_批复黄羊滩（116）预算定额（最终）2010.9.3_原州区姚磨喷灌概算核2014.1.6_孙家滩高效节水概算朱清核（加30万最终批复f）2015.1.8" xfId="1465"/>
    <cellStyle name="差_黄土梁灌区_2012.5.15修改 五里坡配套控制价_2014年小农水工程高效片区概算核2014.6.5" xfId="1466"/>
    <cellStyle name="差_黄土梁灌区_2012.5.15修改 五里坡配套控制价_孙家滩高效节水概算朱清核（加30万最终批复f）2015.1.8" xfId="1467"/>
    <cellStyle name="差_黄土梁灌区_2013.10.11（最终）吴忠市金积造123纸工业园区速生林_1" xfId="1468"/>
    <cellStyle name="差_黄土梁灌区_Sheet1" xfId="1469"/>
    <cellStyle name="差_黄土梁灌区_陈木闸硬化路破损恢复概算表2014.2.28" xfId="1470"/>
    <cellStyle name="差_黄土梁灌区_第五批小农水重点县中宁县舟塔乡铁渠枸杞滴灌工程2014.4.9" xfId="1471"/>
    <cellStyle name="好_吴忠市孙家滩项目2011.12.16-批复概算_盐池2014年度高效节水灌溉概算核2014.6.27" xfId="1472"/>
    <cellStyle name="差_黄土梁灌区_反帝沟上段2012.12.25" xfId="1473"/>
    <cellStyle name="差_黄土梁灌区_贺兰县兰光村、金鑫村高效节水核2012.9.13" xfId="1474"/>
    <cellStyle name="好_西吉县葫芦河治理工程概算表（116号）-核" xfId="1475"/>
    <cellStyle name="差_黄土梁灌区_贺兰县兰光村、金鑫村高效节水核2012.9.13_（10.17）庄立明2014年中央统筹资金永宁县第一排水沟、永清沟治理及泵站改造工程" xfId="1476"/>
    <cellStyle name="汇总 4" xfId="1477"/>
    <cellStyle name="常规 2 3 2 2 16_喊叫水概算汇总表【批复】" xfId="1478"/>
    <cellStyle name="好_黄土梁灌区_惠农渠永宁县李俊镇新老出水渠取水工程2013-05-14" xfId="1479"/>
    <cellStyle name="好_丁家儿沟工程量表_（10.17）庄立明2014年中央统筹资金永宁县第一排水沟、永清沟治理及泵站改造工程" xfId="1480"/>
    <cellStyle name="差_黄土梁灌区_贺兰县兰光村、金鑫村高效节水核2012.9.13_2015年小农水新增资金项目永宁县泵站翻建改造工程" xfId="1481"/>
    <cellStyle name="解释性文本 4" xfId="1482"/>
    <cellStyle name="差_黄土梁灌区_贺兰县兰光村、金鑫村高效节水核2012.9.13_孙家滩高效节水概算朱清核（加30万最终批复f）2015.1.8" xfId="1483"/>
    <cellStyle name="常规 2 2 5 2" xfId="1484"/>
    <cellStyle name="好_项目区田间工程统计表" xfId="1485"/>
    <cellStyle name="差_黄土梁灌区_灵武2014高效节水工程概算核2014.6.27" xfId="1486"/>
    <cellStyle name="好_复件 2014.6.11中宁县井梁子沟治理工程" xfId="1487"/>
    <cellStyle name="常规 15_11.24盐池高效节水" xfId="1488"/>
    <cellStyle name="差_黄土梁灌区_灵武2014高效节水工程概算核2014.6.27_孙家滩高效节水概算朱清核（加30万最终批复f）2015.1.8" xfId="1489"/>
    <cellStyle name="好_2011年基本农田工程招标控制价" xfId="1490"/>
    <cellStyle name="差_黄土梁灌区_宁夏中宁县出口枸杞生产示范基地节水滴灌项目" xfId="1491"/>
    <cellStyle name="差_黄土梁灌区_吴忠利通区五里坡ff" xfId="1492"/>
    <cellStyle name="差_黄土梁灌区_吴忠市金积造纸工业园区 速生林（余工）基地工程【2009)13号" xfId="1493"/>
    <cellStyle name="差_黄土梁灌区_五里坡2014年度小农水概算核2014.6.8" xfId="1494"/>
    <cellStyle name="常规 10 2 5" xfId="1495"/>
    <cellStyle name="差_小洪沟（新定额）2010.7.10改估算改_贺兰县以色列贷款项目建设内容估算表" xfId="1496"/>
    <cellStyle name="差_黄土梁灌区_永宁闽宁葡萄滴管工程（三期）概算核2014.10.12" xfId="1497"/>
    <cellStyle name="差_黄土梁灌区_中宁红柳沟概算最终2013.4.17" xfId="1498"/>
    <cellStyle name="差_黄羊滩（116）预算定额（最终）2010.03.28 2" xfId="1499"/>
    <cellStyle name="好_黄土梁灌区_吴忠利通区五里坡ff" xfId="1500"/>
    <cellStyle name="差_黄羊滩（116）预算定额（最终）2010.03.28 3" xfId="1501"/>
    <cellStyle name="差_黄羊滩（116）预算定额（最终）2010.03.28_11.24盐池高效节水" xfId="1502"/>
    <cellStyle name="差_黄羊滩（116）预算定额（最终）2010.03.28_2012.5.15修改 五里坡配套控制价_2014年小农水工程高效片区概算核2014.6.5" xfId="1503"/>
    <cellStyle name="好_黄土梁灌区 2" xfId="1504"/>
    <cellStyle name="差_西吉县葫芦河治理工程概算表（116号）-核_吴忠利通区五里坡ff" xfId="1505"/>
    <cellStyle name="好_德隆116号文概算2012.11.21_永宁闽宁葡萄滴管工程（三期）概算核2014.10.12" xfId="1506"/>
    <cellStyle name="差_黄羊滩（116）预算定额（最终）2010.03.28_2012.5.15修改 五里坡配套控制价_孙家滩高效节水概算朱清核（加30万最终批复f）2015.1.8" xfId="1507"/>
    <cellStyle name="差_黄羊滩（116）预算定额（最终）2010.03.28_2013.10.11（最终）吴忠市金积造123纸工业园区速生林" xfId="1508"/>
    <cellStyle name="差_黄羊滩（116）预算定额（最终）2010.03.28_2013.10.11（最终）吴忠市金积造123纸工业园区速生林_1" xfId="1509"/>
    <cellStyle name="好_利通区二支渠工程概算（周工核定）20100914_清水沟投标报价_孙家滩高效节水概算朱清核（加30万最终批复f）2015.1.8" xfId="1510"/>
    <cellStyle name="差_黄羊滩（116）预算定额（最终）2010.03.28_Sheet1" xfId="1511"/>
    <cellStyle name="差_黄羊滩（116）预算定额（最终）2010.03.28_滨河连接线招标控制价" xfId="1512"/>
    <cellStyle name="差_黄羊滩（116）预算定额（最终）2010.03.28_陈木闸硬化路破损恢复概算表2014.2.28" xfId="1513"/>
    <cellStyle name="差_黄羊滩（116）预算定额（最终）2010.03.28_第五批小农水重点县中宁县舟塔乡铁渠枸杞滴灌工程2014.4.9" xfId="1514"/>
    <cellStyle name="差_黄羊滩（116）预算定额（最终）2010.03.28_反帝沟上段2012.12.25" xfId="1515"/>
    <cellStyle name="差_晒场_永宁闽宁葡萄滴管工程（三期）概算核2014.10.12" xfId="1516"/>
    <cellStyle name="差_黄羊滩（116）预算定额（最终）2010.03.28_喊叫水概算汇总表【批复】" xfId="1517"/>
    <cellStyle name="差_黄羊滩（116）预算定额（最终）2010.03.28_贺兰县兰光村、金鑫村高效节水核2012.9.13_（10.17）庄立明2014年中央统筹资金永宁县第一排水沟、永清沟治理及泵站改造工程" xfId="1518"/>
    <cellStyle name="差_黄羊滩（116）预算定额（最终）2010.03.28_贺兰县兰光村、金鑫村高效节水核2012.9.13_吴忠市国家农业科技园区供水工程最终" xfId="1519"/>
    <cellStyle name="差_黄羊滩（116）预算定额（最终）2010.03.28_惠农渠永宁县李俊镇新老出水渠取水工程2013-05-14" xfId="1520"/>
    <cellStyle name="差_黄羊滩（116）预算定额（最终）2010.03.28_灵武2014高效节水工程概算核2014.6.27" xfId="1521"/>
    <cellStyle name="差_黄羊滩（116）预算定额（最终）2010.03.28_灵武2014高效节水工程概算核2014.6.27_孙家滩高效节水概算朱清核（加30万最终批复f）2015.1.8" xfId="1522"/>
    <cellStyle name="差_黄羊滩（116）预算定额（最终）2010.03.28_宁夏中宁县出口枸杞生产示范基地节水滴灌项目" xfId="1523"/>
    <cellStyle name="好_吴忠城南防洪排涝工程附属工程预算" xfId="1524"/>
    <cellStyle name="常规 2 3 2 2 11 2" xfId="1525"/>
    <cellStyle name="差_黄羊滩（116）预算定额（最终）2010.03.28_天元水泥厂工程概算表2014.4.21" xfId="1526"/>
    <cellStyle name="差_黄羊滩（116）预算定额（最终）2010.03.28_吴忠市金积造纸工业园区 速生林（余工）基地工程【2009)13号" xfId="1527"/>
    <cellStyle name="差_黄羊滩（116）预算定额（最终）2010.03.28_吴忠市孙家滩土地占补二期预算（马建涛2014.7.6终）" xfId="1528"/>
    <cellStyle name="差_利通区二支渠工程概算（周工核定）20100914_2013年平罗小农水工程概算核2013.3.2_孙家滩高效节水概算朱清核（加30万最终批复f）2015.1.8" xfId="1529"/>
    <cellStyle name="差_黄羊滩（116）预算定额（最终）2010.03.28_小人饮工程工程量" xfId="1530"/>
    <cellStyle name="差_黄羊滩（116）预算定额（最终）2010.03.28_中宁红柳沟概算最终2013.4.17" xfId="1531"/>
    <cellStyle name="差_建筑物" xfId="1532"/>
    <cellStyle name="差_泾源县党史研究室主任汇总表" xfId="1533"/>
    <cellStyle name="差_菊花台节灌工程预算滴灌2010114" xfId="1534"/>
    <cellStyle name="好_双龙渠概算表2012.9.17（改水洗砂） 3" xfId="1535"/>
    <cellStyle name="常规 12 3" xfId="1536"/>
    <cellStyle name="差_菊花台节灌工程预算滴灌2010114_2015年小农水新增资金项目永宁县泵站翻建改造工程" xfId="1537"/>
    <cellStyle name="差_菊花台节灌工程预算滴灌2010114_贺兰县以色列贷款项目建设内容估算表" xfId="1538"/>
    <cellStyle name="差_利通区马波二渠及四支渠断面_孙家滩高效节水概算朱清核（加30万最终批复f）2015.1.8" xfId="1539"/>
    <cellStyle name="差_李庄饮水工程概算核2012.5.16" xfId="1540"/>
    <cellStyle name="差_李庄饮水工程概算核2012.5.16_吴忠市国家农业科技园区供水工程最终" xfId="1541"/>
    <cellStyle name="差_立岗镇建筑物统计表_贺兰北庙9-8" xfId="1542"/>
    <cellStyle name="好_单价_吴忠市利通区扁担沟镇五里坡片区综合开发工程" xfId="1543"/>
    <cellStyle name="差_西吉县葫芦河治理工程概算表（116号）-核_喊叫水概算汇总表【批复】" xfId="1544"/>
    <cellStyle name="强调文字颜色 3 6" xfId="1545"/>
    <cellStyle name="差_利水公司二标段报价" xfId="1546"/>
    <cellStyle name="差_利水公司二标段报价_（10.17）庄立明2014年中央统筹资金永宁县第一排水沟、永清沟治理及泵站改造工程" xfId="1547"/>
    <cellStyle name="差_永宁县中干沟沟道砌护工程（一期工程）马玲2012.3.19 2" xfId="1548"/>
    <cellStyle name="差_利水公司二标段报价_2014年小农水工程高效片区概算核2014.6.5" xfId="1549"/>
    <cellStyle name="强调文字颜色 4 9" xfId="1550"/>
    <cellStyle name="差_盐池县红山沟河道整治工程110303 3" xfId="1551"/>
    <cellStyle name="差_利水公司二标段报价_2015年小农水新增资金项目永宁县泵站翻建改造工程" xfId="1552"/>
    <cellStyle name="好_德隆116号文概算2012.11.21" xfId="1553"/>
    <cellStyle name="差_吴忠市孙家滩项目2011.12.16-批复概算 2" xfId="1554"/>
    <cellStyle name="好_盐池2014年度高效节水灌溉概算核2014.6.27" xfId="1555"/>
    <cellStyle name="好_20100227马莲渠乡左右岸合计（江淑萍）_3.21波浪渠现状及改造表_2013年平罗小农水工程概算核2013.3.2" xfId="1556"/>
    <cellStyle name="差_中石化效益费用计算1008_孙家滩高效节水概算朱清核（加30万最终批复f）2015.1.8" xfId="1557"/>
    <cellStyle name="差_利水公司二标段报价_吴忠市国家农业科技园区供水工程最终" xfId="1558"/>
    <cellStyle name="千分位[0__fb-2?1,2)_引黄硌区12表" xfId="1559"/>
    <cellStyle name="差_利通区2012年小农水重点县概算核2012.9.18_（10.17）庄立明2014年中央统筹资金永宁县第一排水沟、永清沟治理及泵站改造工程" xfId="1560"/>
    <cellStyle name="常规 2 3 2 2 9 5" xfId="1561"/>
    <cellStyle name="差_利通区2012年小农水重点县概算核2012.9.18_2015年小农水新增资金项目永宁县泵站翻建改造工程" xfId="1562"/>
    <cellStyle name="差_利通区东塔寺乡白寺滩村优质葡萄高效节水灌溉工程概算_（10.17）庄立明2014年中央统筹资金永宁县第一排水沟、永清沟治理及泵站改造工程" xfId="1563"/>
    <cellStyle name="好_Book1_1_永宁闽宁葡萄滴管工程（三期）概算核2014.10.12_孙家滩高效节水概算朱清核（加30万最终批复f）2015.1.8" xfId="1564"/>
    <cellStyle name="常规 14 4" xfId="1565"/>
    <cellStyle name="差_利通区东塔寺乡白寺滩村优质葡萄高效节水灌溉工程概算_2013年平罗小农水工程概算核2013.3.2" xfId="1566"/>
    <cellStyle name="常规 11_Book1" xfId="1567"/>
    <cellStyle name="常规 5_（ 2010年概算）利通区二支渠工程5.25" xfId="1568"/>
    <cellStyle name="差_利通区东塔寺乡白寺滩村优质葡萄高效节水灌溉工程概算_2015年小农水新增资金项目永宁县泵站翻建改造工程" xfId="1569"/>
    <cellStyle name="好_复件 4月15日2010年马莲渠灌域小型农田水利工程概算11_（10.17）庄立明2014年中央统筹资金永宁县第一排水沟、永清沟治理及泵站改造工程" xfId="1570"/>
    <cellStyle name="差_晒场_原州区姚磨喷灌概算核2014.1.6" xfId="1571"/>
    <cellStyle name="差_利通区东塔寺乡白寺滩村优质葡萄高效节水灌溉工程概算_利水公司二标段报价" xfId="1572"/>
    <cellStyle name="差_利通区东塔寺乡白寺滩村优质葡萄高效节水灌溉工程概算_利水公司二标段报价_（10.17）庄立明2014年中央统筹资金永宁县第一排水沟、永清沟治理及泵站改造工程" xfId="1573"/>
    <cellStyle name="好 4" xfId="1574"/>
    <cellStyle name="差_利通区东塔寺乡白寺滩村优质葡萄高效节水灌溉工程概算_利水公司二标段报价_2013年平罗小农水工程概算核2013.3.2" xfId="1575"/>
    <cellStyle name="差_利通区二支渠工程概算（周工核定）20100914_清水沟投标报价_（10.17）庄立明2014年中央统筹资金永宁县第一排水沟、永清沟治理及泵站改造工程" xfId="1576"/>
    <cellStyle name="差_利通区东塔寺乡白寺滩村优质葡萄高效节水灌溉工程概算_利水公司二标段报价_2013年平罗小农水工程概算核2013.3.2_孙家滩高效节水概算朱清核（加30万最终批复f）2015.1.8" xfId="1577"/>
    <cellStyle name="差_西吉县葫芦河治理工程概算表（116号）-核_五里坡2014年度小农水概算核2014.6.8" xfId="1578"/>
    <cellStyle name="差_利通区东塔寺乡白寺滩村优质葡萄高效节水灌溉工程概算_利水公司二标段报价_2015年小农水新增资金项目永宁县泵站翻建改造工程" xfId="1579"/>
    <cellStyle name="差_利通区东塔寺乡白寺滩村优质葡萄高效节水灌溉工程概算_利水公司二标段报价_孙家滩高效节水概算朱清核（加30万最终批复f）2015.1.8" xfId="1580"/>
    <cellStyle name="差_利通区东塔寺乡白寺滩村优质葡萄高效节水灌溉工程概算_吴忠市国家农业科技园区供水工程最终" xfId="1581"/>
    <cellStyle name="差_利通区二支渠工程概算（周工核定）20100914" xfId="1582"/>
    <cellStyle name="好_双龙渠概算表2012.9.17（改水洗砂）_Book1" xfId="1583"/>
    <cellStyle name="好_利通区二支渠工程概算（周工核定）20100914_清水沟投标报价_2014年小农水工程高效片区概算核2014.6.5" xfId="1584"/>
    <cellStyle name="常规 3 3" xfId="1585"/>
    <cellStyle name="差_利通区二支渠工程概算（周工核定）20100914_（10.17）庄立明2014年中央统筹资金永宁县第一排水沟、永清沟治理及泵站改造工程" xfId="1586"/>
    <cellStyle name="好_201203281850 五里坡配套控制价_孙家滩高效节水概算朱清核（加30万最终批复f）2015.1.8" xfId="1587"/>
    <cellStyle name="差_利通区二支渠工程概算（周工核定）20100914_2013年平罗小农水工程概算核2013.3.2" xfId="1588"/>
    <cellStyle name="好_小洪沟（新定额）2010.7.10改估算改" xfId="1589"/>
    <cellStyle name="差_利通区二支渠工程概算（周工核定）20100914_2014年小农水工程高效片区概算核2014.6.5" xfId="1590"/>
    <cellStyle name="差_利通区二支渠工程概算（周工核定）20100914_利水公司二标段报价" xfId="1591"/>
    <cellStyle name="差_中小河流-桑园沟治理工程预算-桑园沟2010.12.22核_贺兰县兰光村、金鑫村高效节水核2012.9.13_2015年小农水新增资金项目永宁县泵站翻建改造工程" xfId="1592"/>
    <cellStyle name="差_利通区二支渠工程概算（周工核定）20100914_利水公司二标段报价_2013年平罗小农水工程概算核2013.3.2" xfId="1593"/>
    <cellStyle name="好_双龙渠概算表2012.9.17（改水洗砂） 2" xfId="1594"/>
    <cellStyle name="常规 12 2" xfId="1595"/>
    <cellStyle name="差_利通区二支渠工程概算（周工核定）20100914_利水公司二标段报价_2013年平罗小农水工程概算核2013.3.2_孙家滩高效节水概算朱清核（加30万最终批复f）2015.1.8" xfId="1596"/>
    <cellStyle name="差_利通区二支渠工程概算（周工核定）20100914_利水公司二标段报价_2015年小农水新增资金项目永宁县泵站翻建改造工程" xfId="1597"/>
    <cellStyle name="差_庆华水厂设计费监理费计算表_孙家滩高效节水概算朱清核（加30万最终批复f）2015.1.8" xfId="1598"/>
    <cellStyle name="好_2010年马莲渠灌域小型农田水利工程_（10.17）庄立明2014年中央统筹资金永宁县第一排水沟、永清沟治理及泵站改造工程" xfId="1599"/>
    <cellStyle name="差_中小河流单价_吴忠市国家农业科技园区供水工程最终" xfId="1600"/>
    <cellStyle name="差_利通区二支渠工程概算（周工核定）20100914_清水沟投标报价" xfId="1601"/>
    <cellStyle name="差_利通区二支渠工程概算（周工核定）20100914_清水沟投标报价_2013年平罗小农水工程概算核2013.3.2" xfId="1602"/>
    <cellStyle name="差_西吉县葫芦河治理工程概算表（116号）-核 5" xfId="1603"/>
    <cellStyle name="差_利通区二支渠工程概算（周工核定）20100914_清水沟投标报价_2014年小农水工程高效片区概算核2014.6.5" xfId="1604"/>
    <cellStyle name="差_秦家沟水库工程可研估算审核2011.5.12核_小人饮工程工程量" xfId="1605"/>
    <cellStyle name="好_2011年小农水概算5.4_2015年小农水新增资金项目永宁县泵站翻建改造工程" xfId="1606"/>
    <cellStyle name="差_利通区二支渠工程概算（周工核定）20100914_清水沟投标报价_吴忠市国家农业科技园区供水工程最终" xfId="1607"/>
    <cellStyle name="好_利通区东塔寺乡白寺滩村优质葡萄高效节水灌溉工程概算_利水公司二标段报价_2013年平罗小农水工程概算核2013.3.2_孙家滩高效节水概算朱清核（加30万最终批复f）2015.1.8" xfId="1608"/>
    <cellStyle name="差_利通区二支渠工程概算（周工核定）20100914_三标段报价1" xfId="1609"/>
    <cellStyle name="适中 6" xfId="1610"/>
    <cellStyle name="差_利通区二支渠工程概算（周工核定）20100914_三标段报价1_2014年小农水工程高效片区概算核2014.6.5" xfId="1611"/>
    <cellStyle name="差_利通区二支渠工程概算（周工核定）20100914_三标段报价1_孙家滩高效节水概算朱清核（加30万最终批复f）2015.1.8" xfId="1612"/>
    <cellStyle name="好_中卫市南山台泵站1 2" xfId="1613"/>
    <cellStyle name="差_利通区二支渠工程概算（周工核定）20100914_孙家滩高效节水概算朱清核（加30万最终批复f）2015.1.8" xfId="1614"/>
    <cellStyle name="差_利通区二支渠工程概算（周工核定）20100914_吴忠市国家农业科技园区供水工程最终" xfId="1615"/>
    <cellStyle name="好_9.15二支渠工程(核实后概算)_清水沟投标报价_2015年小农水新增资金项目永宁县泵站翻建改造工程" xfId="1616"/>
    <cellStyle name="差_利通区二支渠工程概算（周工核定）20100914_兴水公司二支渠报价" xfId="1617"/>
    <cellStyle name="好_丁家儿沟工程量表_2015年小农水新增资金项目永宁县泵站翻建改造工程" xfId="1618"/>
    <cellStyle name="好_单价_2013.10.11（最终）吴忠市金积造123纸工业园区速生林" xfId="1619"/>
    <cellStyle name="常规 5 2 2 3" xfId="1620"/>
    <cellStyle name="常规 2 3 2 2 3 2_喊叫水概算汇总表【批复】" xfId="1621"/>
    <cellStyle name="差_西吉县葫芦河治理工程概算表（116号）-核_宁夏中宁县出口枸杞生产示范基地节水滴灌项目" xfId="1622"/>
    <cellStyle name="差_利通区二支渠工程概算（周工核定）20100914_兴水公司二支渠报价_（10.17）庄立明2014年中央统筹资金永宁县第一排水沟、永清沟治理及泵站改造工程" xfId="1623"/>
    <cellStyle name="差_利通区二支渠工程概算（周工核定）20100914_兴水公司二支渠报价_2013年平罗小农水工程概算核2013.3.2" xfId="1624"/>
    <cellStyle name="差_利通区二支渠工程概算（周工核定）20100914_兴水公司二支渠报价_2013年平罗小农水工程概算核2013.3.2_孙家滩高效节水概算朱清核（加30万最终批复f）2015.1.8" xfId="1625"/>
    <cellStyle name="常规 2 3 2" xfId="1626"/>
    <cellStyle name="差_利通区二支渠工程概算（周工核定）20100914_兴水公司二支渠报价_2014年小农水工程高效片区概算核2014.6.5" xfId="1627"/>
    <cellStyle name="常规 2 3 2 2 9 5 2" xfId="1628"/>
    <cellStyle name="差_利通区二支渠工程概算（周工核定）20100914_兴水公司二支渠报价_孙家滩高效节水概算朱清核（加30万最终批复f）2015.1.8" xfId="1629"/>
    <cellStyle name="差_利通区马波二渠及四支渠断面_2013年平罗小农水工程概算核2013.3.2" xfId="1630"/>
    <cellStyle name="好_黄羊滩（116）预算定额（最终）2010.03.28_2012.5.15修改 五里坡配套控制价_2014年小农水工程高效片区概算核2014.6.5" xfId="1631"/>
    <cellStyle name="常规 10_（ 2010年概算）利通区二支渠工程5.25" xfId="1632"/>
    <cellStyle name="差_利通区马波二渠及四支渠断面_2015年小农水新增资金项目永宁县泵站翻建改造工程" xfId="1633"/>
    <cellStyle name="好_2011年小农水概算5.4_利水公司二标段报价_2014年小农水工程高效片区概算核2014.6.5" xfId="1634"/>
    <cellStyle name="差_利通区马波二渠及四支渠断面_吴忠市国家农业科技园区供水工程最终" xfId="1635"/>
    <cellStyle name="好_20100227马莲渠乡左右岸合计（江淑萍）_（10.17）庄立明2014年中央统筹资金永宁县第一排水沟、永清沟治理及泵站改造工程" xfId="1636"/>
    <cellStyle name="常规 2 3 2 2 3" xfId="1637"/>
    <cellStyle name="差_宁夏农垦农业综合开发十二五规划3.15" xfId="1638"/>
    <cellStyle name="强调文字颜色 3 4" xfId="1639"/>
    <cellStyle name="常规 2 11" xfId="1640"/>
    <cellStyle name="好_扁担沟扬水站统计表（改）_招投标工程量_129绿化供水0312" xfId="1641"/>
    <cellStyle name="差_宁夏农垦农业综合开发十二五规划3.15_Book1_贺兰北庙9-8" xfId="1642"/>
    <cellStyle name="常规 2 3 2 2 4 8_喊叫水概算汇总表【批复】" xfId="1643"/>
    <cellStyle name="差_宁夏农垦农业综合开发十二五规划3.15_北庙灌水率及渠道流量计算9-6" xfId="1644"/>
    <cellStyle name="差_宁夏农垦农业综合开发十二五规划3.15_灌水率及渠道流量计算" xfId="1645"/>
    <cellStyle name="差_宁夏易捷枸杞庄园科技有限公司恩和枸杞示范基地滴灌项目2012.3.23（1f）" xfId="1646"/>
    <cellStyle name="差_宁夏易捷枸杞庄园科技有限公司恩和枸杞示范基地滴灌项目2012.3.23（1f）_2013.10.11（最终）吴忠市金积造123纸工业园区速生林" xfId="1647"/>
    <cellStyle name="好_2011年小农水概算5.4_利水公司二标段报价_（10.17）庄立明2014年中央统筹资金永宁县第一排水沟、永清沟治理及泵站改造工程" xfId="1648"/>
    <cellStyle name="差_宁夏易捷枸杞庄园科技有限公司恩和枸杞示范基地滴灌项目2012.3.23（1f）_孙家滩高效节水概算朱清核（加30万最终批复f）2015.1.8" xfId="1649"/>
    <cellStyle name="常规 13 3" xfId="1650"/>
    <cellStyle name="差_宁夏易捷枸杞庄园科技有限公司恩和枸杞示范基地滴灌项目2012.3.23（1f）_吴忠市孙家滩土地占补二期预算（马建涛2014.7.6终）" xfId="1651"/>
    <cellStyle name="差_宁夏易捷枸杞庄园科技有限公司恩和枸杞示范基地滴灌项目2012.3.23（1f）_永宁闽宁葡萄滴管工程（三期）概算核2014.10.12" xfId="1652"/>
    <cellStyle name="差_农发仪器设备1" xfId="1653"/>
    <cellStyle name="差_农发仪器设备1_Book1" xfId="1654"/>
    <cellStyle name="差_农发仪器设备1_Book1_贺兰北庙9-8" xfId="1655"/>
    <cellStyle name="好_以色列贷款预算_（10.17）庄立明2014年中央统筹资金永宁县第一排水沟、永清沟治理及泵站改造工程" xfId="1656"/>
    <cellStyle name="好_13标预算_（10.17）庄立明2014年中央统筹资金永宁县第一排水沟、永清沟治理及泵站改造工程" xfId="1657"/>
    <cellStyle name="差_农发仪器设备1_北庙灌水率及渠道流量计算" xfId="1658"/>
    <cellStyle name="差_农发仪器设备1_北庙灌水率及渠道流量计算9-6" xfId="1659"/>
    <cellStyle name="好_吴忠市孙家滩项目2011.12.16（马玲）【2009】13号文概算标准_Book1" xfId="1660"/>
    <cellStyle name="差_农发仪器设备1_灌水率及渠道流量计算" xfId="1661"/>
    <cellStyle name="常规 10 2 2_20110920吴忠市利通区秦渠两侧绿化带整地项目控制价工程" xfId="1662"/>
    <cellStyle name="差_农发仪器设备1_贺兰北庙9-8" xfId="1663"/>
    <cellStyle name="差_农垦局2011年农发土地项目计划投资明细表(打印)" xfId="1664"/>
    <cellStyle name="差_农垦局2011年政策性贷款土地项目计划投资明细表" xfId="1665"/>
    <cellStyle name="差_农业水价综合改革项目概算" xfId="1666"/>
    <cellStyle name="差_彭阳县工程概算表2012-10-21-核" xfId="1667"/>
    <cellStyle name="差_批复黄羊滩（116）预算定额（最终）2010.9.3" xfId="1668"/>
    <cellStyle name="差_批复黄羊滩（116）预算定额（最终）2010.9.3 3" xfId="1669"/>
    <cellStyle name="差_批复黄羊滩（116）预算定额（最终）2010.9.3 4" xfId="1670"/>
    <cellStyle name="差_批复黄羊滩（116）预算定额（最终）2010.9.3 5" xfId="1671"/>
    <cellStyle name="差_批复黄羊滩（116）预算定额（最终）2010.9.3_吴忠市孙家滩土地占补二期预算（马建涛2014.7.6终）" xfId="1672"/>
    <cellStyle name="差_批复黄羊滩（116）预算定额（最终）2010.9.3_11.24盐池高效节水" xfId="1673"/>
    <cellStyle name="常规 9 2_喊叫水概算汇总表【批复】" xfId="1674"/>
    <cellStyle name="差_批复黄羊滩（116）预算定额（最终）2010.9.3_2013.10.11（最终）吴忠市金积造123纸工业园区速生林" xfId="1675"/>
    <cellStyle name="差_批复黄羊滩（116）预算定额（最终）2010.9.3_第五批小农水重点县中宁县舟塔乡铁渠枸杞滴灌工程2014.4.9" xfId="1676"/>
    <cellStyle name="差_批复黄羊滩（116）预算定额（最终）2010.9.3_惠农渠永宁县李俊镇新老出水渠取水工程2013-05-14" xfId="1677"/>
    <cellStyle name="差_小洪沟（新定额）2010.7.10改估算改_小人饮工程工程量" xfId="1678"/>
    <cellStyle name="差_批复黄羊滩（116）预算定额（最终）2010.9.3_利通区抗旱规划报告（修编）暨2012-2016年实施方案" xfId="1679"/>
    <cellStyle name="常规 2 2 2 2 2" xfId="1680"/>
    <cellStyle name="差_批复黄羊滩（116）预算定额（最终）2010.9.3_天元水泥厂工程概算表2014.4.21" xfId="1681"/>
    <cellStyle name="差_中卫市南山台泵站1" xfId="1682"/>
    <cellStyle name="差_批复黄羊滩（116）预算定额（最终）2010.9.3_吴忠利通区五里坡ff" xfId="1683"/>
    <cellStyle name="差_批复黄羊滩（116）预算定额（最终）2010.9.3_五里坡2014年度小农水概算核2014.6.8" xfId="1684"/>
    <cellStyle name="好_西吉县葫芦河治理工程概算表（116号）-核_2013.10.11（最终）吴忠市金积造123纸工业园区速生林_1" xfId="1685"/>
    <cellStyle name="差_批复黄羊滩（116）预算定额（最终）2010.9.3_小人饮工程工程量" xfId="1686"/>
    <cellStyle name="差_批复黄羊滩（116）预算定额（最终）2010.9.3_原州区姚磨喷灌概算核2014.1.6" xfId="1687"/>
    <cellStyle name="常规 2 3 2 2 9 2 2" xfId="1688"/>
    <cellStyle name="差_平罗高仁节水灌溉概算表5.20（总价核定）" xfId="1689"/>
    <cellStyle name="差_吴忠市孙家滩项目2011.12.16-批复概算_盐池2014年度高效节水灌溉概算核2014.6.27" xfId="1690"/>
    <cellStyle name="差_秦家沟水库工程可研估算审核2011.5.12核" xfId="1691"/>
    <cellStyle name="差_双龙渠概算表2012.9.17（改水洗砂）_孙家滩高效节水概算朱清核（加30万最终批复f）2015.1.8" xfId="1692"/>
    <cellStyle name="差_秦家沟水库工程可研估算审核2011.5.12核_喊叫水概算汇总表【批复】" xfId="1693"/>
    <cellStyle name="常规 3 9" xfId="1694"/>
    <cellStyle name="差_秦家沟水库工程可研估算审核2011.5.12核_盐池2014年度高效节水灌溉概算核2014.6.27" xfId="1695"/>
    <cellStyle name="差_秦家沟水库工程可研估算审核2011.5.12核_永宁闽宁葡萄滴管工程（三期）概算核2014.10.12" xfId="1696"/>
    <cellStyle name="常规 5 2 2 2" xfId="1697"/>
    <cellStyle name="差_中小河流-桑园沟治理工程预算-桑园沟2010.12.22核_其他费用" xfId="1698"/>
    <cellStyle name="差_人工湖工程预算2011.3.25(存） 3" xfId="1699"/>
    <cellStyle name="差_秦家沟水库工程可研估算审核2011.5.12核_原州区姚磨喷灌概算核2014.1.6" xfId="1700"/>
    <cellStyle name="差_秦家沟水库工程可研估算审核2011.5.12核_原州区姚磨喷灌概算核2014.1.6_孙家滩高效节水概算朱清核（加30万最终批复f）2015.1.8" xfId="1701"/>
    <cellStyle name="好_Book1_三三支沟上段总概算" xfId="1702"/>
    <cellStyle name="差_青铜峡反帝沟概算核2013.11.20朱清核价马微核量 (20130103设计调整20140110申总和马微)(1)" xfId="1703"/>
    <cellStyle name="差_青铜峡市未入户工程工程量" xfId="1704"/>
    <cellStyle name="差_清水沟投标报价_2013年平罗小农水工程概算核2013.3.2" xfId="1705"/>
    <cellStyle name="差_清水沟投标报价_2014年小农水工程高效片区概算核2014.6.5" xfId="1706"/>
    <cellStyle name="差_清水沟投标报价_孙家滩高效节水概算朱清核（加30万最终批复f）2015.1.8" xfId="1707"/>
    <cellStyle name="差_清水沟投标报价_吴忠市国家农业科技园区供水工程最终" xfId="1708"/>
    <cellStyle name="好_单价_贺兰县兰光村、金鑫村高效节水核2012.9.13_（10.17）庄立明2014年中央统筹资金永宁县第一排水沟、永清沟治理及泵站改造工程" xfId="1709"/>
    <cellStyle name="差_庆华水厂设计费监理费计算表" xfId="1710"/>
    <cellStyle name="差_庆华水厂设计费监理费计算表_2013年平罗小农水工程概算核2013.3.2" xfId="1711"/>
    <cellStyle name="差_庆华水厂设计费监理费计算表_2013年平罗小农水工程概算核2013.3.2_孙家滩高效节水概算朱清核（加30万最终批复f）2015.1.8" xfId="1712"/>
    <cellStyle name="差_中小河流单价_2015年小农水新增资金项目永宁县泵站翻建改造工程" xfId="1713"/>
    <cellStyle name="好_管理汇总2" xfId="1714"/>
    <cellStyle name="好_Book1_丁家儿沟工程量表" xfId="1715"/>
    <cellStyle name="差_庆华水厂设计费监理费计算表_2015年小农水新增资金项目永宁县泵站翻建改造工程" xfId="1716"/>
    <cellStyle name="好_利通区二支渠工程概算（周工核定）20100914_2013年平罗小农水工程概算核2013.3.2_孙家滩高效节水概算朱清核（加30万最终批复f）2015.1.8" xfId="1717"/>
    <cellStyle name="差_庆华水厂设计费监理费计算表_吴忠市国家农业科技园区供水工程最终" xfId="1718"/>
    <cellStyle name="差_人工湖工程预算2011.3.25(存） 2" xfId="1719"/>
    <cellStyle name="差_三标段报价1" xfId="1720"/>
    <cellStyle name="好_西吉县葫芦河治理工程概算表（116号）-核_反帝沟上段2012.12.25" xfId="1721"/>
    <cellStyle name="好_3.30日2010年马莲渠灌域小型农田水利工程_孙家滩高效节水概算朱清核（加30万最终批复f）2015.1.8" xfId="1722"/>
    <cellStyle name="差_三标段报价1_2014年小农水工程高效片区概算核2014.6.5" xfId="1723"/>
    <cellStyle name="差_三标段报价1_孙家滩高效节水概算朱清核（加30万最终批复f）2015.1.8" xfId="1724"/>
    <cellStyle name="差_三墩子节水灌溉工程预算" xfId="1725"/>
    <cellStyle name="差_三三支沟上段总概算" xfId="1726"/>
    <cellStyle name="检查单元格 3" xfId="1727"/>
    <cellStyle name="差_桑园沟新定额概算表(0713收)(审)_喊叫水概算汇总表【批复】" xfId="1728"/>
    <cellStyle name="差_桑园沟新定额概算表(0713收)(审)_小人饮工程工程量" xfId="1729"/>
    <cellStyle name="差_桑园沟新定额概算表(0713收)(审)_盐池2014年度高效节水灌溉概算核2014.6.27" xfId="1730"/>
    <cellStyle name="好_利通区二支渠工程概算（周工核定）20100914_清水沟投标报价_（10.17）庄立明2014年中央统筹资金永宁县第一排水沟、永清沟治理及泵站改造工程" xfId="1731"/>
    <cellStyle name="差_桑园沟新定额概算表(0713收)(审)_原州区姚磨喷灌概算核2014.1.6" xfId="1732"/>
    <cellStyle name="差_桑园沟新定额概算表(0713收)(审)_原州区姚磨喷灌概算核2014.1.6_孙家滩高效节水概算朱清核（加30万最终批复f）2015.1.8" xfId="1733"/>
    <cellStyle name="差_中小河流-桑园沟治理工程预算-桑园沟2010.12.22核_盐池2014年度高效节水灌溉概算核2014.6.27" xfId="1734"/>
    <cellStyle name="差_晒场" xfId="1735"/>
    <cellStyle name="差_晒场_贺兰县以色列贷款项目建设内容估算表" xfId="1736"/>
    <cellStyle name="差_晒场_盐池2014年度高效节水灌溉概算核2014.6.27" xfId="1737"/>
    <cellStyle name="常规 2 3 2 2" xfId="1738"/>
    <cellStyle name="差_生态移民农业开发土壤改良及治沙工程控制价工程修改_2014年小农水工程高效片区概算核2014.6.5" xfId="1739"/>
    <cellStyle name="货币 2 2" xfId="1740"/>
    <cellStyle name="差_生态移民农业开发土壤改良及治沙工程控制价工程修改_孙家滩高效节水概算朱清核（加30万最终批复f）2015.1.8" xfId="1741"/>
    <cellStyle name="差_石头河概算" xfId="1742"/>
    <cellStyle name="差_双龙渠概算表2012.9.17（改水洗砂）" xfId="1743"/>
    <cellStyle name="差_双龙渠概算表2012.9.17（改水洗砂） 2" xfId="1744"/>
    <cellStyle name="差_双龙渠概算表2012.9.17（改水洗砂） 3" xfId="1745"/>
    <cellStyle name="常规 5 5 2" xfId="1746"/>
    <cellStyle name="差_双龙渠概算表2012.9.17（改水洗砂） 4" xfId="1747"/>
    <cellStyle name="好_菊花台节灌工程预算滴灌2010114" xfId="1748"/>
    <cellStyle name="常规 5 5 3" xfId="1749"/>
    <cellStyle name="差_双龙渠概算表2012.9.17（改水洗砂） 5" xfId="1750"/>
    <cellStyle name="差_双龙渠概算表2012.9.17（改水洗砂）_Book1" xfId="1751"/>
    <cellStyle name="差_双龙渠概算表2012.9.17（改水洗砂）_Book2" xfId="1752"/>
    <cellStyle name="好_单价_盐池2014年度高效节水灌溉概算核2014.6.27" xfId="1753"/>
    <cellStyle name="差_水力计算、管材统计表" xfId="1754"/>
    <cellStyle name="差_以色列贷款预算_（10.17）庄立明2014年中央统筹资金永宁县第一排水沟、永清沟治理及泵站改造工程" xfId="1755"/>
    <cellStyle name="差_台时、单价汇总" xfId="1756"/>
    <cellStyle name="差_台时、单价汇总_孙家滩高效节水概算朱清核（加30万最终批复f）2015.1.8" xfId="1757"/>
    <cellStyle name="差_台时计算表" xfId="1758"/>
    <cellStyle name="强调文字颜色 5 6" xfId="1759"/>
    <cellStyle name="差_太阳山自动化概算" xfId="1760"/>
    <cellStyle name="差_太阳山自动化概算_喊叫水概算汇总表【批复】" xfId="1761"/>
    <cellStyle name="差_太阳山自动化概算_永宁闽宁葡萄滴管工程（三期）概算核2014.10.12" xfId="1762"/>
    <cellStyle name="好_黄羊滩（116）预算定额（最终）2010.03.28" xfId="1763"/>
    <cellStyle name="差_天宇奶牛概算（张伟峰）" xfId="1764"/>
    <cellStyle name="好_黄羊滩（116）预算定额（最终）2010.03.28 2" xfId="1765"/>
    <cellStyle name="差_天宇奶牛概算（张伟峰） 2" xfId="1766"/>
    <cellStyle name="好_小洪沟（新定额）2010.7.10改估算改_贺兰县以色列贷款项目建设内容估算表" xfId="1767"/>
    <cellStyle name="好_单价_2012.5.15修改 五里坡配套控制价" xfId="1768"/>
    <cellStyle name="差_同心人饮估算（修改方案8" xfId="1769"/>
    <cellStyle name="差_同心人饮估算（修改方案8_贺兰县2万亩概算核2013.3.5" xfId="1770"/>
    <cellStyle name="差_王乐井乡王吾岔高效节水灌溉工程预算" xfId="1771"/>
    <cellStyle name="差_吴忠城南防洪排涝工程附属工程预算" xfId="1772"/>
    <cellStyle name="差_西吉县葫芦河治理工程概算表（116号）-核_2012.5.15修改 五里坡配套控制价_孙家滩高效节水概算朱清核（加30万最终批复f）2015.1.8" xfId="1773"/>
    <cellStyle name="差_吴忠城南防洪排涝工程附属工程预算_孙家滩高效节水概算朱清核（加30万最终批复f）2015.1.8" xfId="1774"/>
    <cellStyle name="差_吴忠市双吉沟概算核2012.12.6" xfId="1775"/>
    <cellStyle name="差_吴忠市孙家牧草高效节水灌溉工程总概算表2012.12.7（马玲）" xfId="1776"/>
    <cellStyle name="差_西吉县葫芦河治理工程概算表（116号）-核_中宁红柳沟概算最终2013.4.17" xfId="1777"/>
    <cellStyle name="强调文字颜色 5 9" xfId="1778"/>
    <cellStyle name="差_吴忠市孙家滩项目2011.12.16（马玲）【2009】13号文概算标准" xfId="1779"/>
    <cellStyle name="常规 2 3 2 2 9 4" xfId="1780"/>
    <cellStyle name="差_吴忠市孙家滩项目2011.12.16（马玲）【2009】13号文概算标准_Book1" xfId="1781"/>
    <cellStyle name="差_吴忠市孙家滩项目2011.12.16（马玲）【2009】13号文概算标准_小人饮工程工程量" xfId="1782"/>
    <cellStyle name="差_吴忠市孙家滩项目2011.12.16（马玲）【2009】13号文概算标准_永宁闽宁葡萄滴管工程（三期）概算核2014.10.12" xfId="1783"/>
    <cellStyle name="千位分隔 2" xfId="1784"/>
    <cellStyle name="差_吴忠市孙家滩项目2011.12.16-批复概算_(陈少先8.6）高效节水灌溉工程" xfId="1785"/>
    <cellStyle name="差_吴忠市孙家滩项目2011.12.16-批复概算_2013.10.11（最终）吴忠市金积造123纸工业园区速生林" xfId="1786"/>
    <cellStyle name="差_吴忠市孙家滩项目2011.12.16-批复概算_Book1" xfId="1787"/>
    <cellStyle name="检查单元格 2 3" xfId="1788"/>
    <cellStyle name="差_吴忠市孙家滩项目2011.12.16-批复概算_喊叫水概算汇总表【批复】" xfId="1789"/>
    <cellStyle name="差_小洪沟（新定额）2010.7.10改估算改_永宁闽宁葡萄滴管工程（三期）概算核2014.10.12" xfId="1790"/>
    <cellStyle name="差_吴忠市孙家滩项目2011.12.16-批复概算_永宁闽宁葡萄滴管工程（三期）概算核2014.10.12" xfId="1791"/>
    <cellStyle name="货币 2 3" xfId="1792"/>
    <cellStyle name="差_吴忠市孙家滩项目2011.12.16-批复概算_永宁闽宁葡萄滴管工程（三期）概算核2014.10.12_孙家滩高效节水概算朱清核（加30万最终批复f）2015.1.8" xfId="1793"/>
    <cellStyle name="差_吴忠市孙家滩优质苹果高效节水灌溉工程总概算表2012.10.21（马玲）-核" xfId="1794"/>
    <cellStyle name="常规 9 3 3" xfId="1795"/>
    <cellStyle name="差_五里坡生态移民农业开发土壤改良及治沙工程控制价工程_2014年小农水工程高效片区概算核2014.6.5" xfId="1796"/>
    <cellStyle name="差_西吉县葫芦河治理工程概算表（116号）-核" xfId="1797"/>
    <cellStyle name="差_西吉县葫芦河治理工程概算表（116号）-核 4" xfId="1798"/>
    <cellStyle name="差_西吉县葫芦河治理工程概算表（116号）-核_11.24盐池高效节水" xfId="1799"/>
    <cellStyle name="差_西吉县葫芦河治理工程概算表（116号）-核_滨河连接线招标控制价_2014年小农水工程高效片区概算核2014.6.5" xfId="1800"/>
    <cellStyle name="常规 2 3 2 2 4 8" xfId="1801"/>
    <cellStyle name="差_西吉县葫芦河治理工程概算表（116号）-核_陈木闸硬化路破损恢复概算表2014.2.28" xfId="1802"/>
    <cellStyle name="汇总 9" xfId="1803"/>
    <cellStyle name="常规 2 3 2 2 3 12" xfId="1804"/>
    <cellStyle name="差_西吉县葫芦河治理工程概算表（116号）-核_第五批小农水重点县中宁县舟塔乡铁渠枸杞滴灌工程2014.4.9" xfId="1805"/>
    <cellStyle name="好_天宇奶牛概算（张伟峰） 3" xfId="1806"/>
    <cellStyle name="差_西吉县葫芦河治理工程概算表（116号）-核_反帝沟上段2012.12.25" xfId="1807"/>
    <cellStyle name="差_西吉县葫芦河治理工程概算表（116号）-核_贺兰县兰光村、金鑫村高效节水核2012.9.13" xfId="1808"/>
    <cellStyle name="差_西吉县葫芦河治理工程概算表（116号）-核_贺兰县兰光村、金鑫村高效节水核2012.9.13_2015年小农水新增资金项目永宁县泵站翻建改造工程" xfId="1809"/>
    <cellStyle name="差_西吉县葫芦河治理工程概算表（116号）-核_贺兰县兰光村、金鑫村高效节水核2012.9.13_孙家滩高效节水概算朱清核（加30万最终批复f）2015.1.8" xfId="1810"/>
    <cellStyle name="常规 2 3 2 2 7 2_喊叫水概算汇总表【批复】" xfId="1811"/>
    <cellStyle name="差_西吉县葫芦河治理工程概算表（116号）-核_惠农渠永宁县李俊镇新老出水渠取水工程2013-05-14" xfId="1812"/>
    <cellStyle name="差_西吉县葫芦河治理工程概算表（116号）-核_灵武2014高效节水工程概算核2014.6.27_孙家滩高效节水概算朱清核（加30万最终批复f）2015.1.8" xfId="1813"/>
    <cellStyle name="差_西吉县葫芦河治理工程概算表（116号）-核_天元水泥厂工程概算表2014.4.21" xfId="1814"/>
    <cellStyle name="常规 2 2 4" xfId="1815"/>
    <cellStyle name="好_永宁县中干沟沟道砌护工程（一期工程）马玲2012.3.19" xfId="1816"/>
    <cellStyle name="常规 2 3 2 2 11 3_喊叫水概算汇总表【批复】" xfId="1817"/>
    <cellStyle name="差_西吉县葫芦河治理工程概算表（116号）-核_吴忠市孙家滩土地占补二期预算（马建涛2014.7.6终）" xfId="1818"/>
    <cellStyle name="好_2014年扁担沟镇土地整理_例：土地开发整理预算定额" xfId="1819"/>
    <cellStyle name="差_西吉县葫芦河治理工程概算表（116号）-核_永宁闽宁葡萄滴管工程（三期）概算核2014.10.12" xfId="1820"/>
    <cellStyle name="差_项目区田间工程统计表" xfId="1821"/>
    <cellStyle name="差_小洪沟（新定额）2010.7.10改估算改" xfId="1822"/>
    <cellStyle name="差_小洪沟（新定额）2010.7.10改估算改_2013年度青铜峡小农水概算核2013.3.4" xfId="1823"/>
    <cellStyle name="计算 6" xfId="1824"/>
    <cellStyle name="好_利通区马波二渠及四支渠断面" xfId="1825"/>
    <cellStyle name="差_小洪沟（新定额）2010.7.10改估算改_2014年小农水工程高效片区概算核2014.6.5" xfId="1826"/>
    <cellStyle name="差_小洪沟（新定额）2010.7.10改估算改_喊叫水概算汇总表【批复】" xfId="1827"/>
    <cellStyle name="常规 2 3 2 2 10 2" xfId="1828"/>
    <cellStyle name="差_小农水单价" xfId="1829"/>
    <cellStyle name="差_小农水单价_孙家滩高效节水概算朱清核（加30万最终批复f）2015.1.8" xfId="1830"/>
    <cellStyle name="差_兴水公司二支渠报价" xfId="1831"/>
    <cellStyle name="差_兴水公司二支渠报价_2013年平罗小农水工程概算核2013.3.2" xfId="1832"/>
    <cellStyle name="好_20100227马莲渠乡左右岸合计（江淑萍）_3.21波浪渠现状及改造表_2014年小农水工程高效片区概算核2014.6.5" xfId="1833"/>
    <cellStyle name="差_兴水公司二支渠报价_2013年平罗小农水工程概算核2013.3.2_孙家滩高效节水概算朱清核（加30万最终批复f）2015.1.8" xfId="1834"/>
    <cellStyle name="差_兴水公司二支渠报价_孙家滩高效节水概算朱清核（加30万最终批复f）2015.1.8" xfId="1835"/>
    <cellStyle name="差_兴水公司二支渠报价_吴忠市国家农业科技园区供水工程最终" xfId="1836"/>
    <cellStyle name="差_盐池2014年度高效节水灌溉概算核2014.6.27_孙家滩高效节水概算朱清核（加30万最终批复f）2015.1.8" xfId="1837"/>
    <cellStyle name="差_盐池高效节水概算核2014.1.7" xfId="1838"/>
    <cellStyle name="差_盐池县红山沟河道整治概算核2011.4.19" xfId="1839"/>
    <cellStyle name="差_盐池县麻黄山净水厂概算表2013.7.10" xfId="1840"/>
    <cellStyle name="差_窑山人饮概算核2012.4.27" xfId="1841"/>
    <cellStyle name="差_中小河流-桑园沟治理工程预算-桑园沟2010.12.22核_宁夏小农水重点县项目取费标准参照表2012-10-21（审）_孙家滩高效节水概算朱清核（加30万最终批复f）2015.1.8" xfId="1842"/>
    <cellStyle name="差_以色列贷款预算_2015年小农水新增资金项目永宁县泵站翻建改造工程" xfId="1843"/>
    <cellStyle name="常规 11 4" xfId="1844"/>
    <cellStyle name="差_以色列贷款预算_贺兰县以色列贷款项目建设内容估算表" xfId="1845"/>
    <cellStyle name="差_以色列贷款预算_孙家滩高效节水概算朱清核（加30万最终批复f）2015.1.8" xfId="1846"/>
    <cellStyle name="差_永宁县胜利乡金沙葡萄滴灌项目116号文概算2012.11.21_盐池2014年度高效节水灌溉概算核2014.6.27" xfId="1847"/>
    <cellStyle name="差_永宁县胜利乡金沙葡萄滴灌项目116号文概算2012.11.21_永宁闽宁葡萄滴管工程（三期）概算核2014.10.12" xfId="1848"/>
    <cellStyle name="差_永宁县西部水资源综合利用工程（银子湖）概算2012.12.13 2" xfId="1849"/>
    <cellStyle name="好_Sheet1" xfId="1850"/>
    <cellStyle name="差_永宁县西部水资源综合利用工程（银子湖）概算2012.12.13 3" xfId="1851"/>
    <cellStyle name="差_渝河下游沟道治理工程概算核2012.6.19_2015年小农水新增资金项目永宁县泵站翻建改造工程" xfId="1852"/>
    <cellStyle name="好_黄羊滩（116）预算定额（最终）2010.03.28_11.24盐池高效节水" xfId="1853"/>
    <cellStyle name="好_黄土梁灌区_第五批小农水重点县中宁县舟塔乡铁渠枸杞滴灌工程2014.4.9" xfId="1854"/>
    <cellStyle name="差_渝河下游沟道治理工程概算核2012.6.19_吴忠市国家农业科技园区供水工程最终" xfId="1855"/>
    <cellStyle name="差_原州区姚磨喷灌概算核2014.1.6" xfId="1856"/>
    <cellStyle name="差_中宁红柳沟概算20110530再核(常规)" xfId="1857"/>
    <cellStyle name="㼿㼿㼿㼿?" xfId="1858"/>
    <cellStyle name="适中 4" xfId="1859"/>
    <cellStyle name="超级链接_004号文一级" xfId="1860"/>
    <cellStyle name="差_中宁县小农水投资概算核2014.6.21" xfId="1861"/>
    <cellStyle name="差_中卫市南山台泵站1 2" xfId="1862"/>
    <cellStyle name="好_利通区2012年小农水重点县概算核2012.9.18_（10.17）庄立明2014年中央统筹资金永宁县第一排水沟、永清沟治理及泵站改造工程" xfId="1863"/>
    <cellStyle name="差_中卫市南山台泵站1 3" xfId="1864"/>
    <cellStyle name="差_中小河流单价_（10.17）庄立明2014年中央统筹资金永宁县第一排水沟、永清沟治理及泵站改造工程" xfId="1865"/>
    <cellStyle name="差_中小河流单价_Book1" xfId="1866"/>
    <cellStyle name="差_中小河流单价_贺兰县兰光村、金鑫村高效节水核2012.9.13" xfId="1867"/>
    <cellStyle name="好_白芨滩大泉、临河红墩子农水处核出文版20140304" xfId="1868"/>
    <cellStyle name="差_中小河流单价_贺兰县兰光村、金鑫村高效节水核2012.9.13_（10.17）庄立明2014年中央统筹资金永宁县第一排水沟、永清沟治理及泵站改造工程" xfId="1869"/>
    <cellStyle name="差_中小河流单价_贺兰县兰光村、金鑫村高效节水核2012.9.13_2015年小农水新增资金项目永宁县泵站翻建改造工程" xfId="1870"/>
    <cellStyle name="好_李庄饮水工程概算核2012.5.16_（10.17）庄立明2014年中央统筹资金永宁县第一排水沟、永清沟治理及泵站改造工程" xfId="1871"/>
    <cellStyle name="差_中小河流单价_贺兰县兰光村、金鑫村高效节水核2012.9.13_孙家滩高效节水概算朱清核（加30万最终批复f）2015.1.8" xfId="1872"/>
    <cellStyle name="好_小洪沟（新定额）2010.7.10改估算改_永宁闽宁葡萄滴管工程（三期）概算核2014.10.12" xfId="1873"/>
    <cellStyle name="好_吴忠市双吉沟概算核2012.12.6" xfId="1874"/>
    <cellStyle name="差_中小河流单价_孙家滩高效节水概算朱清核（加30万最终批复f）2015.1.8" xfId="1875"/>
    <cellStyle name="差_中小河流单价3" xfId="1876"/>
    <cellStyle name="差_中小河流-桑园沟治理工程预算-桑园沟2010.12.22核" xfId="1877"/>
    <cellStyle name="差_中小河流-桑园沟治理工程预算-桑园沟2010.12.22核_喊叫水概算汇总表【批复】" xfId="1878"/>
    <cellStyle name="差_中小河流-桑园沟治理工程预算-桑园沟2010.12.22核_贺兰县兰光村、金鑫村高效节水核2012.9.13" xfId="1879"/>
    <cellStyle name="差_中小河流-桑园沟治理工程预算-桑园沟2010.12.22核_贺兰县兰光村、金鑫村高效节水核2012.9.13_（10.17）庄立明2014年中央统筹资金永宁县第一排水沟、永清沟治理及泵站改造工程" xfId="1880"/>
    <cellStyle name="好_中卫市南山台泵站1 3" xfId="1881"/>
    <cellStyle name="差_中小河流-桑园沟治理工程预算-桑园沟2010.12.22核_贺兰县兰光村、金鑫村高效节水核2012.9.13_吴忠市国家农业科技园区供水工程最终" xfId="1882"/>
    <cellStyle name="差_中小河流-桑园沟治理工程预算-桑园沟2010.12.22核_建筑工程概算表" xfId="1883"/>
    <cellStyle name="常规 2 3 2 2 11 3 2" xfId="1884"/>
    <cellStyle name="差_中小河流-桑园沟治理工程预算-桑园沟2010.12.22核_永宁闽宁葡萄滴管工程（三期）概算核2014.10.12" xfId="1885"/>
    <cellStyle name="常规 2 3 2 2 11 5" xfId="1886"/>
    <cellStyle name="常规 10 2" xfId="1887"/>
    <cellStyle name="好_五里坡生态移民农业开发土壤改良及治沙工程控制价工程" xfId="1888"/>
    <cellStyle name="好_利水公司二标段报价" xfId="1889"/>
    <cellStyle name="常规 10 2 2" xfId="1890"/>
    <cellStyle name="样式 1 4" xfId="1891"/>
    <cellStyle name="常规 10 2 2 2" xfId="1892"/>
    <cellStyle name="常规 10 2 3" xfId="1893"/>
    <cellStyle name="常规 12_（ 2010年概算）利通区二支渠工程5.25" xfId="1894"/>
    <cellStyle name="常规 10 2 3 3" xfId="1895"/>
    <cellStyle name="常规 10 2 3 4" xfId="1896"/>
    <cellStyle name="常规 10 2 3 5" xfId="1897"/>
    <cellStyle name="强调文字颜色 3 3" xfId="1898"/>
    <cellStyle name="常规 2 10" xfId="1899"/>
    <cellStyle name="常规 10 2 3_2010年马莲渠灌域小型农田水利工程" xfId="1900"/>
    <cellStyle name="好_小农水单价_孙家滩高效节水概算朱清核（加30万最终批复f）2015.1.8" xfId="1901"/>
    <cellStyle name="常规 10 2 4" xfId="1902"/>
    <cellStyle name="常规 10 2 4_喊叫水概算汇总表【批复】" xfId="1903"/>
    <cellStyle name="好_西吉县葫芦河治理工程概算表（116号）-核 4" xfId="1904"/>
    <cellStyle name="常规 10 2_11.24盐池高效节水" xfId="1905"/>
    <cellStyle name="常规 10 3 2" xfId="1906"/>
    <cellStyle name="常规 10 3_喊叫水概算汇总表【批复】" xfId="1907"/>
    <cellStyle name="常规 10 4" xfId="1908"/>
    <cellStyle name="常规 10 4 2" xfId="1909"/>
    <cellStyle name="好_扁担沟扬水站统计表（改）_3.21波浪渠现状及改造表" xfId="1910"/>
    <cellStyle name="常规 10 4 3" xfId="1911"/>
    <cellStyle name="常规 10 5" xfId="1912"/>
    <cellStyle name="常规 11" xfId="1913"/>
    <cellStyle name="好_23-宁夏_清水沟投标报价" xfId="1914"/>
    <cellStyle name="常规 11 3" xfId="1915"/>
    <cellStyle name="好_双龙渠概算表2012.9.17（改水洗砂）" xfId="1916"/>
    <cellStyle name="常规 12" xfId="1917"/>
    <cellStyle name="常规 12 2 2_20110920吴忠市利通区秦渠两侧绿化带整地项目控制价工程" xfId="1918"/>
    <cellStyle name="好_Book1_渝河下游沟道治理工程概算核2012.6.19_（10.17）庄立明2014年中央统筹资金永宁县第一排水沟、永清沟治理及泵站改造工程" xfId="1919"/>
    <cellStyle name="常规 2 3 2 2 7 2" xfId="1920"/>
    <cellStyle name="常规 12 2 3_2010年马莲渠灌域小型农田水利工程" xfId="1921"/>
    <cellStyle name="常规 12 2_11.24盐池高效节水" xfId="1922"/>
    <cellStyle name="强调文字颜色 2 10" xfId="1923"/>
    <cellStyle name="常规 12 3 2" xfId="1924"/>
    <cellStyle name="常规 12 3 3" xfId="1925"/>
    <cellStyle name="好_双龙渠概算表2012.9.17（改水洗砂） 4" xfId="1926"/>
    <cellStyle name="常规 12 4" xfId="1927"/>
    <cellStyle name="好_双龙渠概算表2012.9.17（改水洗砂） 5" xfId="1928"/>
    <cellStyle name="常规 12 5" xfId="1929"/>
    <cellStyle name="常规 13 2" xfId="1930"/>
    <cellStyle name="常规 13 2 2" xfId="1931"/>
    <cellStyle name="常规 13 2 3" xfId="1932"/>
    <cellStyle name="好_黄羊滩（116）预算定额（最终）2010.03.28_贺兰县兰光村、金鑫村高效节水核2012.9.13_吴忠市国家农业科技园区供水工程最终" xfId="1933"/>
    <cellStyle name="常规 2 3 2 2 7" xfId="1934"/>
    <cellStyle name="常规 13 2_喊叫水概算汇总表【批复】" xfId="1935"/>
    <cellStyle name="常规 13 4" xfId="1936"/>
    <cellStyle name="常规 14" xfId="1937"/>
    <cellStyle name="常规 14 2" xfId="1938"/>
    <cellStyle name="好_西吉县葫芦河治理工程概算表（116号）-核_灵武2014高效节水工程概算核2014.6.27_孙家滩高效节水概算朱清核（加30万最终批复f）2015.1.8" xfId="1939"/>
    <cellStyle name="好_PVC管材_原州区姚磨喷灌概算核2014.1.6_孙家滩高效节水概算朱清核（加30万最终批复f）2015.1.8" xfId="1940"/>
    <cellStyle name="常规 14 3" xfId="1941"/>
    <cellStyle name="常规 14_Book1" xfId="1942"/>
    <cellStyle name="好_Book1_1_小人饮工程工程量" xfId="1943"/>
    <cellStyle name="常规 20 3" xfId="1944"/>
    <cellStyle name="常规 15 3" xfId="1945"/>
    <cellStyle name="常规 22_Book1" xfId="1946"/>
    <cellStyle name="常规 21" xfId="1947"/>
    <cellStyle name="常规 16" xfId="1948"/>
    <cellStyle name="常规 21 2" xfId="1949"/>
    <cellStyle name="常规 16 2" xfId="1950"/>
    <cellStyle name="常规 2 7" xfId="1951"/>
    <cellStyle name="常规 16 2 2 2" xfId="1952"/>
    <cellStyle name="好_黄羊滩（116）预算定额（最终）2010.03.28_盐池2014年度高效节水灌溉概算核2014.6.27" xfId="1953"/>
    <cellStyle name="常规 16 2 2_喊叫水概算汇总表【批复】" xfId="1954"/>
    <cellStyle name="常规 16 2 4" xfId="1955"/>
    <cellStyle name="常规 21 3" xfId="1956"/>
    <cellStyle name="常规 16 3" xfId="1957"/>
    <cellStyle name="常规 21 4" xfId="1958"/>
    <cellStyle name="常规 16 4" xfId="1959"/>
    <cellStyle name="常规 16_2012.10.7利通区2012年小农水项目工程量清单" xfId="1960"/>
    <cellStyle name="常规 17 2 3" xfId="1961"/>
    <cellStyle name="常规 22 3" xfId="1962"/>
    <cellStyle name="常规 17 3" xfId="1963"/>
    <cellStyle name="常规 22 4" xfId="1964"/>
    <cellStyle name="常规 17 4" xfId="1965"/>
    <cellStyle name="常规 17_2012.5.15修改 五里坡配套控制价" xfId="1966"/>
    <cellStyle name="常规 23 2" xfId="1967"/>
    <cellStyle name="常规 18 2" xfId="1968"/>
    <cellStyle name="好_Microsoft Excel 工作表" xfId="1969"/>
    <cellStyle name="常规 23 3" xfId="1970"/>
    <cellStyle name="常规 18 3" xfId="1971"/>
    <cellStyle name="好_永宁县胜利乡金沙葡萄滴灌项目116号文概算2012.11.21" xfId="1972"/>
    <cellStyle name="常规 23 4" xfId="1973"/>
    <cellStyle name="常规 18 4" xfId="1974"/>
    <cellStyle name="常规 2 3 2 2 12 5" xfId="1975"/>
    <cellStyle name="常规 18_20110920吴忠市利通区秦渠两侧绿化带整地项目控制价工程" xfId="1976"/>
    <cellStyle name="常规 2 3 2 2 2 6" xfId="1977"/>
    <cellStyle name="常规 24" xfId="1978"/>
    <cellStyle name="常规 19" xfId="1979"/>
    <cellStyle name="常规 19 4" xfId="1980"/>
    <cellStyle name="好_吴忠市孙家滩项目2011.12.16-批复概算_喊叫水概算汇总表【批复】" xfId="1981"/>
    <cellStyle name="常规 2 2 9" xfId="1982"/>
    <cellStyle name="常规 19_Book1" xfId="1983"/>
    <cellStyle name="好 10" xfId="1984"/>
    <cellStyle name="常规 2" xfId="1985"/>
    <cellStyle name="强调文字颜色 3 5" xfId="1986"/>
    <cellStyle name="常规 2 12" xfId="1987"/>
    <cellStyle name="常规 2 2" xfId="1988"/>
    <cellStyle name="常规 2 2 2" xfId="1989"/>
    <cellStyle name="常规 2 2 2 2 3" xfId="1990"/>
    <cellStyle name="好_宁夏易捷枸杞庄园科技有限公司恩和枸杞示范基地滴灌项目2012.3.23（1f）" xfId="1991"/>
    <cellStyle name="常规 2 2 2 3" xfId="1992"/>
    <cellStyle name="常规 2 2 2_11.24盐池高效节水" xfId="1993"/>
    <cellStyle name="常规 2 2 3 2" xfId="1994"/>
    <cellStyle name="常规 2 2 3 2 2" xfId="1995"/>
    <cellStyle name="常规 2 2 3 3" xfId="1996"/>
    <cellStyle name="常规 2 2 3 3 2" xfId="1997"/>
    <cellStyle name="好_工程预算" xfId="1998"/>
    <cellStyle name="常规 2 2 3 4" xfId="1999"/>
    <cellStyle name="常规 2 2 3 5" xfId="2000"/>
    <cellStyle name="常规 2 2 3_（ 2010年概算）利通区二支渠工程5.25" xfId="2001"/>
    <cellStyle name="好_西吉县葫芦河治理工程概算表（116号）-核_滨河连接线招标控制价_2014年小农水工程高效片区概算核2014.6.5" xfId="2002"/>
    <cellStyle name="常规 2 3 2 2 13" xfId="2003"/>
    <cellStyle name="好_管理汇总2_三三支沟上段总概算" xfId="2004"/>
    <cellStyle name="好_Sheet1_（10.17）庄立明2014年中央统筹资金永宁县第一排水沟、永清沟治理及泵站改造工程" xfId="2005"/>
    <cellStyle name="常规 2 2 4 2 3" xfId="2006"/>
    <cellStyle name="常规 2 2 4 3" xfId="2007"/>
    <cellStyle name="常规 2 2 4 4" xfId="2008"/>
    <cellStyle name="常规 2 2 5" xfId="2009"/>
    <cellStyle name="常规 2 2_（071011利水一标段）黄河宁夏段二期防洪工程银灵吴青段堤防建设项目" xfId="2010"/>
    <cellStyle name="常规 2 3" xfId="2011"/>
    <cellStyle name="常规 2 3 2 2 10" xfId="2012"/>
    <cellStyle name="好_2011年基本农田工程招标控制价_（10.17）庄立明2014年中央统筹资金永宁县第一排水沟、永清沟治理及泵站改造工程" xfId="2013"/>
    <cellStyle name="常规 2 3 2 2 11 2 2" xfId="2014"/>
    <cellStyle name="常规 2 3 2 2 11 3" xfId="2015"/>
    <cellStyle name="好_黄羊滩（116）预算定额（最终）2010.03.28_吴忠市金积造纸工业园区 速生林（余工）基地工程【2009)13号" xfId="2016"/>
    <cellStyle name="常规 2 3 2 2 11 4" xfId="2017"/>
    <cellStyle name="常规 2 3 2 2 11_20110920吴忠市利通区秦渠两侧绿化带整地项目控制价工程" xfId="2018"/>
    <cellStyle name="常规 2 3 2 2 12 2" xfId="2019"/>
    <cellStyle name="常规 2 3 2 2 2 3" xfId="2020"/>
    <cellStyle name="常规 2 3 2 2 12 3 2" xfId="2021"/>
    <cellStyle name="常规 2 3 2 2 2 4 2" xfId="2022"/>
    <cellStyle name="常规 2 3 2 2 13 2" xfId="2023"/>
    <cellStyle name="好_23-宁夏_十六堡移民新村节水灌溉工程控制价" xfId="2024"/>
    <cellStyle name="常规 2 3 2 2 13 3" xfId="2025"/>
    <cellStyle name="好_黄土梁灌区_贺兰县兰光村、金鑫村高效节水核2012.9.13" xfId="2026"/>
    <cellStyle name="常规 2 3 2 2 14" xfId="2027"/>
    <cellStyle name="常规 2 3 2 2 14 2" xfId="2028"/>
    <cellStyle name="常规 2 3 2 2 14 3" xfId="2029"/>
    <cellStyle name="常规 2 3 2 2 15" xfId="2030"/>
    <cellStyle name="单价编号" xfId="2031"/>
    <cellStyle name="常规 2 3 2 2 15 2" xfId="2032"/>
    <cellStyle name="好_黄土梁灌区" xfId="2033"/>
    <cellStyle name="常规 2 3 2 2 15 3" xfId="2034"/>
    <cellStyle name="常规 2 3 2 2 16" xfId="2035"/>
    <cellStyle name="常规 2 3 2 2 2" xfId="2036"/>
    <cellStyle name="常规 2 3 2 2 2 2" xfId="2037"/>
    <cellStyle name="好_宁夏深沟村1万亩概算核2013.2.4" xfId="2038"/>
    <cellStyle name="常规 2 3 2 2 2 2 2" xfId="2039"/>
    <cellStyle name="常规 2 3 2 2 2 4 4" xfId="2040"/>
    <cellStyle name="好_3.21江淑萍新表_吴忠市国家农业科技园区供水工程最终" xfId="2041"/>
    <cellStyle name="常规 2 3 2 2 2 7" xfId="2042"/>
    <cellStyle name="常规 2 3 2 2 2 9" xfId="2043"/>
    <cellStyle name="强调文字颜色 5 8" xfId="2044"/>
    <cellStyle name="常规 2 3 2 2 2 9 2" xfId="2045"/>
    <cellStyle name="常规 2 3 2 2 2 9_喊叫水概算汇总表【批复】" xfId="2046"/>
    <cellStyle name="汇总 7" xfId="2047"/>
    <cellStyle name="好_农发仪器设备1" xfId="2048"/>
    <cellStyle name="常规 2 3 2 2 3 10" xfId="2049"/>
    <cellStyle name="好_农业水价综合改革项目概算" xfId="2050"/>
    <cellStyle name="常规 2 3 2 2 3 10 2" xfId="2051"/>
    <cellStyle name="常规 2 3 2 2 3 10_喊叫水概算汇总表【批复】" xfId="2052"/>
    <cellStyle name="汇总 8" xfId="2053"/>
    <cellStyle name="常规 2 3 2 2 3 11" xfId="2054"/>
    <cellStyle name="常规 2 3 2 2 3 15" xfId="2055"/>
    <cellStyle name="好_盐池县红山沟河道整治工程110303" xfId="2056"/>
    <cellStyle name="常规 2 3 2 2 3 2" xfId="2057"/>
    <cellStyle name="好_盐池县红山沟河道整治工程110303 2" xfId="2058"/>
    <cellStyle name="常规 2 3 2 2 3 2 2" xfId="2059"/>
    <cellStyle name="常规_概算表12" xfId="2060"/>
    <cellStyle name="常规 2 3 2 2 3 3" xfId="2061"/>
    <cellStyle name="好_Book1_永宁闽宁葡萄滴管工程（三期）概算核2014.10.12" xfId="2062"/>
    <cellStyle name="常规 2 3 2 2 3 3 2" xfId="2063"/>
    <cellStyle name="常规 2 3 2 2 3 3_喊叫水概算汇总表【批复】" xfId="2064"/>
    <cellStyle name="常规 2 3 2 2 3 4" xfId="2065"/>
    <cellStyle name="常规 2 3 2 2 3 5" xfId="2066"/>
    <cellStyle name="常规 2 3 2 2 3 7" xfId="2067"/>
    <cellStyle name="常规 2 3 2 2 3 8" xfId="2068"/>
    <cellStyle name="常规 2 3 2 2 3 9" xfId="2069"/>
    <cellStyle name="常规 2 3 2 2 3_2（ 2010年概算）利通区二支渠工程6.1" xfId="2070"/>
    <cellStyle name="常规 2 3 2 2 4" xfId="2071"/>
    <cellStyle name="常规 2 3 2 2 4 10" xfId="2072"/>
    <cellStyle name="常规 2 3 2 2 4 2" xfId="2073"/>
    <cellStyle name="常规 2 3 2 2 4 3" xfId="2074"/>
    <cellStyle name="常规 2 3 2 2 4 3 2" xfId="2075"/>
    <cellStyle name="常规 2 3 2 2 4 3 3" xfId="2076"/>
    <cellStyle name="常规 2 3 2 2 4 3_喊叫水概算汇总表【批复】" xfId="2077"/>
    <cellStyle name="常规 2 3 2 2 4 4" xfId="2078"/>
    <cellStyle name="常规 2 3 2 2 4 5_喊叫水概算汇总表【批复】" xfId="2079"/>
    <cellStyle name="常规 2 3 2 2 4 6" xfId="2080"/>
    <cellStyle name="常规 2 3 2 2 4 7" xfId="2081"/>
    <cellStyle name="好_三标段报价1_2014年小农水工程高效片区概算核2014.6.5" xfId="2082"/>
    <cellStyle name="常规 2 3 2 2 4 8 2" xfId="2083"/>
    <cellStyle name="常规 2 3 2 2 4 9" xfId="2084"/>
    <cellStyle name="常规 2 3 2 2 5" xfId="2085"/>
    <cellStyle name="常规 2 3 2 2 5 2" xfId="2086"/>
    <cellStyle name="常规 2 3 2 2 5 3" xfId="2087"/>
    <cellStyle name="好_单价_五里坡2014年度小农水概算核2014.6.8" xfId="2088"/>
    <cellStyle name="常规 2 3 2 2 5 4" xfId="2089"/>
    <cellStyle name="好_20100227马莲渠乡左右岸合计（江淑萍）_利通区马波二渠及四支渠断面" xfId="2090"/>
    <cellStyle name="常规 2 3 2 2 5_20110920吴忠市利通区秦渠两侧绿化带整地项目控制价工程" xfId="2091"/>
    <cellStyle name="好_生态移民农业开发土壤改良及治沙工程控制价工程修改_孙家滩高效节水概算朱清核（加30万最终批复f）2015.1.8" xfId="2092"/>
    <cellStyle name="常规 2 3 2 2 6" xfId="2093"/>
    <cellStyle name="常规 2 3 2 2 6 2" xfId="2094"/>
    <cellStyle name="常规 2 3 2 2 6 2 2" xfId="2095"/>
    <cellStyle name="常规 2 3 2 2 6 2_喊叫水概算汇总表【批复】" xfId="2096"/>
    <cellStyle name="常规 2 3 2 2 6_2（ 2010年概算）利通区二支渠工程6.1" xfId="2097"/>
    <cellStyle name="常规 2 3 2 2 7 2 2" xfId="2098"/>
    <cellStyle name="好_黄羊滩（116）预算定额（最终）2010.03.28_喊叫水概算汇总表【批复】" xfId="2099"/>
    <cellStyle name="常规 2 3 2 2 7 2 3" xfId="2100"/>
    <cellStyle name="常规 2 3 2 2 7 4" xfId="2101"/>
    <cellStyle name="常规 2 3 2 2 7 5" xfId="2102"/>
    <cellStyle name="常规 2 3 2 2 7 5 2" xfId="2103"/>
    <cellStyle name="常规 2 3 2 2 7 5_喊叫水概算汇总表【批复】" xfId="2104"/>
    <cellStyle name="常规 2 3 2 2 7 6" xfId="2105"/>
    <cellStyle name="常规 2 3 2 2 7 7" xfId="2106"/>
    <cellStyle name="常规 2 3 2 2 7_20110920吴忠市利通区秦渠两侧绿化带整地项目控制价工程" xfId="2107"/>
    <cellStyle name="常规 2 3 2 2 8" xfId="2108"/>
    <cellStyle name="常规 2 3 2 2 8 2" xfId="2109"/>
    <cellStyle name="常规 2 3 2 2 9" xfId="2110"/>
    <cellStyle name="常规 2 3 2 2 9 2_喊叫水概算汇总表【批复】" xfId="2111"/>
    <cellStyle name="常规 2 3 2 2 9 3" xfId="2112"/>
    <cellStyle name="常规 2 3 2 2 9 3 2" xfId="2113"/>
    <cellStyle name="常规 2 3 2 2 9 3 3" xfId="2114"/>
    <cellStyle name="常规 2 3 2 2 9 3_喊叫水概算汇总表【批复】" xfId="2115"/>
    <cellStyle name="常规 2 3 2 2 9 5_喊叫水概算汇总表【批复】" xfId="2116"/>
    <cellStyle name="好_黄土梁灌区_灵武2014高效节水工程概算核2014.6.27" xfId="2117"/>
    <cellStyle name="常规 2 3 2 2 9 6" xfId="2118"/>
    <cellStyle name="好_黄土梁灌区_贺兰县兰光村、金鑫村高效节水核2012.9.13_2015年小农水新增资金项目永宁县泵站翻建改造工程" xfId="2119"/>
    <cellStyle name="常规 2 3 2 2 9_20110920吴忠市利通区秦渠两侧绿化带整地项目控制价工程" xfId="2120"/>
    <cellStyle name="常规 2 3 2 3" xfId="2121"/>
    <cellStyle name="常规 2 3 2 3 2" xfId="2122"/>
    <cellStyle name="常规 2 3 2 3 3" xfId="2123"/>
    <cellStyle name="常规 2 3 2 4" xfId="2124"/>
    <cellStyle name="常规 2 3 2 4 2" xfId="2125"/>
    <cellStyle name="好_西吉县葫芦河治理工程概算表（116号）-核_2013.10.11（最终）吴忠市金积造123纸工业园区速生林" xfId="2126"/>
    <cellStyle name="常规 2 3 2 4 3" xfId="2127"/>
    <cellStyle name="常规 2 3 2 4_喊叫水概算汇总表【批复】" xfId="2128"/>
    <cellStyle name="常规 2 3 2 5" xfId="2129"/>
    <cellStyle name="常规 2 3 2 6" xfId="2130"/>
    <cellStyle name="常规 2 3 2_（ 2010年概算）利通区二支渠工程5.25" xfId="2131"/>
    <cellStyle name="常规 2 3 3" xfId="2132"/>
    <cellStyle name="好_概算表12" xfId="2133"/>
    <cellStyle name="常规 2 3_11.24盐池高效节水" xfId="2134"/>
    <cellStyle name="常规 2 4" xfId="2135"/>
    <cellStyle name="常规 2 4 2" xfId="2136"/>
    <cellStyle name="常规 2 4 2 2" xfId="2137"/>
    <cellStyle name="常规 2 4 3" xfId="2138"/>
    <cellStyle name="常规 2 4 3 2" xfId="2139"/>
    <cellStyle name="常规 2 4 5" xfId="2140"/>
    <cellStyle name="常规 2 4_11.24盐池高效节水" xfId="2141"/>
    <cellStyle name="常规 2 5" xfId="2142"/>
    <cellStyle name="常规 2 5 2" xfId="2143"/>
    <cellStyle name="检查单元格 6" xfId="2144"/>
    <cellStyle name="常规 2 5 2 2" xfId="2145"/>
    <cellStyle name="检查单元格 7" xfId="2146"/>
    <cellStyle name="常规 2 5 2 3" xfId="2147"/>
    <cellStyle name="常规 2 5 3" xfId="2148"/>
    <cellStyle name="好_同心人饮估算（修改方案8_贺兰县2万亩概算核2013.3.5" xfId="2149"/>
    <cellStyle name="常规 2 5 4" xfId="2150"/>
    <cellStyle name="常规 2 5_（ 2010年概算）利通区二支渠工程5.25" xfId="2151"/>
    <cellStyle name="常规 2 6" xfId="2152"/>
    <cellStyle name="常规 2 6 2" xfId="2153"/>
    <cellStyle name="好_23-宁夏_三标段报价1" xfId="2154"/>
    <cellStyle name="常规 2 6 3" xfId="2155"/>
    <cellStyle name="常规 2 7 3" xfId="2156"/>
    <cellStyle name="输入 2" xfId="2157"/>
    <cellStyle name="好_批复黄羊滩（116）预算定额（最终）2010.9.3_原州区姚磨喷灌概算核2014.1.6" xfId="2158"/>
    <cellStyle name="常规 2 8" xfId="2159"/>
    <cellStyle name="常规 2 8 2" xfId="2160"/>
    <cellStyle name="常规 2 8 2 2" xfId="2161"/>
    <cellStyle name="常规 2 8 2 2 2" xfId="2162"/>
    <cellStyle name="好_复件 4月15日2010年马莲渠灌域小型农田水利工程概算11_2014年小农水工程高效片区概算核2014.6.5" xfId="2163"/>
    <cellStyle name="常规 2 8 2 2 3" xfId="2164"/>
    <cellStyle name="常规 2 8 2 3" xfId="2165"/>
    <cellStyle name="常规 2 8 2 4" xfId="2166"/>
    <cellStyle name="常规 2 8 3" xfId="2167"/>
    <cellStyle name="常规 2 8 4" xfId="2168"/>
    <cellStyle name="输入 3" xfId="2169"/>
    <cellStyle name="常规 2 9" xfId="2170"/>
    <cellStyle name="常规 2 9 2" xfId="2171"/>
    <cellStyle name="常规 2 9 3" xfId="2172"/>
    <cellStyle name="常规 20_吴忠市孙家滩优质苹果高效节水灌溉工程总概算表2012.10.21（马玲）-核" xfId="2173"/>
    <cellStyle name="常规 21_吴忠市孙家滩优质苹果高效节水灌溉工程总概算表2012.10.21（马玲）-核" xfId="2174"/>
    <cellStyle name="常规 31" xfId="2175"/>
    <cellStyle name="常规 26" xfId="2176"/>
    <cellStyle name="好_太阳山自动化概算_喊叫水概算汇总表【批复】" xfId="2177"/>
    <cellStyle name="好_黄土梁灌区_滨河连接线招标控制价_2014年小农水工程高效片区概算核2014.6.5" xfId="2178"/>
    <cellStyle name="常规 32" xfId="2179"/>
    <cellStyle name="常规 27" xfId="2180"/>
    <cellStyle name="常规 33" xfId="2181"/>
    <cellStyle name="常规 28" xfId="2182"/>
    <cellStyle name="好_（苏）宁夏中宁红梧山预算概算0407" xfId="2183"/>
    <cellStyle name="常规 34" xfId="2184"/>
    <cellStyle name="常规 29" xfId="2185"/>
    <cellStyle name="注释 10" xfId="2186"/>
    <cellStyle name="常规 3" xfId="2187"/>
    <cellStyle name="常规 3 2" xfId="2188"/>
    <cellStyle name="常规 3 2 2" xfId="2189"/>
    <cellStyle name="常规 3 2 4" xfId="2190"/>
    <cellStyle name="常规 3 2_2014年扁担沟镇土地整理" xfId="2191"/>
    <cellStyle name="常规 3 3 2" xfId="2192"/>
    <cellStyle name="好_扁担沟扬水站统计表（改）_管材招标控制价" xfId="2193"/>
    <cellStyle name="好_20100227马莲渠乡左右岸合计（江淑萍）_3.21江淑萍新表_吴忠市国家农业科技园区供水工程最终" xfId="2194"/>
    <cellStyle name="常规 3 3 2 2" xfId="2195"/>
    <cellStyle name="常规 3 3 2 3" xfId="2196"/>
    <cellStyle name="常规 3 3 3" xfId="2197"/>
    <cellStyle name="常规 3 3_11.24盐池高效节水" xfId="2198"/>
    <cellStyle name="好_双龙渠概算表2012.9.17（改水洗砂）_Book2" xfId="2199"/>
    <cellStyle name="常规 3 4" xfId="2200"/>
    <cellStyle name="好_利通区二支渠工程概算（周工核定）20100914_兴水公司二支渠报价_2013年平罗小农水工程概算核2013.3.2_孙家滩高效节水概算朱清核（加30万最终批复f）2015.1.8" xfId="2201"/>
    <cellStyle name="常规 3 7" xfId="2202"/>
    <cellStyle name="常规 41" xfId="2203"/>
    <cellStyle name="常规 36" xfId="2204"/>
    <cellStyle name="常规 42" xfId="2205"/>
    <cellStyle name="常规 37" xfId="2206"/>
    <cellStyle name="常规 43" xfId="2207"/>
    <cellStyle name="常规 38" xfId="2208"/>
    <cellStyle name="常规 4" xfId="2209"/>
    <cellStyle name="常规 4 2" xfId="2210"/>
    <cellStyle name="常规 4 4" xfId="2211"/>
    <cellStyle name="常规 4 2 2" xfId="2212"/>
    <cellStyle name="常规 4 3" xfId="2213"/>
    <cellStyle name="好_渝河下游沟道治理工程概算核2012.6.19_吴忠市国家农业科技园区供水工程最终" xfId="2214"/>
    <cellStyle name="常规 5 4" xfId="2215"/>
    <cellStyle name="常规 4 3 2" xfId="2216"/>
    <cellStyle name="常规 5 5" xfId="2217"/>
    <cellStyle name="常规 4 3 3" xfId="2218"/>
    <cellStyle name="常规 4 3_2013年度青铜峡小农水概算核2013.3.4" xfId="2219"/>
    <cellStyle name="常规 4 6" xfId="2220"/>
    <cellStyle name="常规 4 7" xfId="2221"/>
    <cellStyle name="好_20100227马莲渠乡左右岸合计（江淑萍）_3.21波浪渠现状及改造表_（10.17）庄立明2014年中央统筹资金永宁县第一排水沟、永清沟治理及泵站改造工程" xfId="2222"/>
    <cellStyle name="常规 4 8" xfId="2223"/>
    <cellStyle name="常规 4 9" xfId="2224"/>
    <cellStyle name="常规 4_（ 2010年概算）利通区二支渠工程5.25" xfId="2225"/>
    <cellStyle name="常规 50" xfId="2226"/>
    <cellStyle name="常规 45" xfId="2227"/>
    <cellStyle name="好_三标段报价1" xfId="2228"/>
    <cellStyle name="常规 51" xfId="2229"/>
    <cellStyle name="常规 46" xfId="2230"/>
    <cellStyle name="常规 52" xfId="2231"/>
    <cellStyle name="常规 47" xfId="2232"/>
    <cellStyle name="常规 53" xfId="2233"/>
    <cellStyle name="常规 48" xfId="2234"/>
    <cellStyle name="常规 54" xfId="2235"/>
    <cellStyle name="常规 49" xfId="2236"/>
    <cellStyle name="常规 5" xfId="2237"/>
    <cellStyle name="常规 5 2 3" xfId="2238"/>
    <cellStyle name="常规 5 2 4" xfId="2239"/>
    <cellStyle name="常规 5 2_（(20070927)兴水报价）吴忠市区四支渠续建配套节水改造工程" xfId="2240"/>
    <cellStyle name="常规 5 3" xfId="2241"/>
    <cellStyle name="常规 5 3 2" xfId="2242"/>
    <cellStyle name="好_利通区东塔寺乡白寺滩村优质葡萄高效节水灌溉工程概算_（10.17）庄立明2014年中央统筹资金永宁县第一排水沟、永清沟治理及泵站改造工程" xfId="2243"/>
    <cellStyle name="好_2011年小农水概算5.4_利水公司二标段报价_2013年平罗小农水工程概算核2013.3.2_孙家滩高效节水概算朱清核（加30万最终批复f）2015.1.8" xfId="2244"/>
    <cellStyle name="常规 5 3 2 3" xfId="2245"/>
    <cellStyle name="常规 5 3 3" xfId="2246"/>
    <cellStyle name="常规 5 3 4" xfId="2247"/>
    <cellStyle name="常规 5 4 2" xfId="2248"/>
    <cellStyle name="常规 5 4 3" xfId="2249"/>
    <cellStyle name="常规 5 6" xfId="2250"/>
    <cellStyle name="常规 5 7" xfId="2251"/>
    <cellStyle name="好_9.15二支渠工程(核实后概算)_清水沟投标报价_孙家滩高效节水概算朱清核（加30万最终批复f）2015.1.8" xfId="2252"/>
    <cellStyle name="常规 5 8" xfId="2253"/>
    <cellStyle name="常规 5 9" xfId="2254"/>
    <cellStyle name="常规 51 2" xfId="2255"/>
    <cellStyle name="常规 55" xfId="2256"/>
    <cellStyle name="常规 6" xfId="2257"/>
    <cellStyle name="常规 6 2" xfId="2258"/>
    <cellStyle name="常规 6 3" xfId="2259"/>
    <cellStyle name="常规 6 3 3" xfId="2260"/>
    <cellStyle name="好_副本3.29马波二渠所需表3.30_吴忠市国家农业科技园区供水工程最终" xfId="2261"/>
    <cellStyle name="常规 6 4" xfId="2262"/>
    <cellStyle name="常规 6 6" xfId="2263"/>
    <cellStyle name="常规 6 7" xfId="2264"/>
    <cellStyle name="常规 6 8" xfId="2265"/>
    <cellStyle name="常规 6 9" xfId="2266"/>
    <cellStyle name="好_西吉县葫芦河治理工程概算表（116号）-核_小人饮工程工程量" xfId="2267"/>
    <cellStyle name="常规 7" xfId="2268"/>
    <cellStyle name="常规 7 2" xfId="2269"/>
    <cellStyle name="常规 7 2 2" xfId="2270"/>
    <cellStyle name="常规 7 2 3" xfId="2271"/>
    <cellStyle name="好_Book1_泾源县党史研究室主任汇总表" xfId="2272"/>
    <cellStyle name="常规 7 3" xfId="2273"/>
    <cellStyle name="常规 7 3 2" xfId="2274"/>
    <cellStyle name="常规 7 4" xfId="2275"/>
    <cellStyle name="常规 7 5" xfId="2276"/>
    <cellStyle name="好_利通区东塔寺乡白寺滩村优质葡萄高效节水灌溉工程概算_2013年平罗小农水工程概算核2013.3.2_孙家滩高效节水概算朱清核（加30万最终批复f）2015.1.8" xfId="2277"/>
    <cellStyle name="常规 7_（071011利水一标段）黄河宁夏段二期防洪工程银灵吴青段堤防建设项目" xfId="2278"/>
    <cellStyle name="常规 8" xfId="2279"/>
    <cellStyle name="链接单元格 7" xfId="2280"/>
    <cellStyle name="常规 8 2" xfId="2281"/>
    <cellStyle name="链接单元格 8" xfId="2282"/>
    <cellStyle name="常规 8 3" xfId="2283"/>
    <cellStyle name="链接单元格 9" xfId="2284"/>
    <cellStyle name="常规 8 4" xfId="2285"/>
    <cellStyle name="常规 8_Book1" xfId="2286"/>
    <cellStyle name="常规 9" xfId="2287"/>
    <cellStyle name="注释 7" xfId="2288"/>
    <cellStyle name="常规 9 2 2" xfId="2289"/>
    <cellStyle name="注释 8" xfId="2290"/>
    <cellStyle name="常规 9 2 3" xfId="2291"/>
    <cellStyle name="常规 9 3 2" xfId="2292"/>
    <cellStyle name="好_单价_中宁红柳沟概算最终2013.4.17" xfId="2293"/>
    <cellStyle name="常规_14单价表" xfId="2294"/>
    <cellStyle name="常规_坝 概算" xfId="2295"/>
    <cellStyle name="常规_工程单价" xfId="2296"/>
    <cellStyle name="好_五里坡生态移民农业开发土壤改良及治沙工程控制价工程_孙家滩高效节水概算朱清核（加30万最终批复f）2015.1.8" xfId="2297"/>
    <cellStyle name="好_利水公司二标段报价_孙家滩高效节水概算朱清核（加30万最终批复f）2015.1.8" xfId="2298"/>
    <cellStyle name="好_贺兰县兰光村、金鑫村高效节水核2012.9.13" xfId="2299"/>
    <cellStyle name="常规_惠农可研报告表格修订(6(1).21)（无价差预备费）" xfId="2300"/>
    <cellStyle name="常规_平罗高仁节水灌溉概算表4.26（定）" xfId="2301"/>
    <cellStyle name="常规_世行项目水利措施实施计划安排" xfId="2302"/>
    <cellStyle name="常规_西吉喷灌高效节水概算核2014.6.27" xfId="2303"/>
    <cellStyle name="好_20100227马莲渠乡左右岸合计（江淑萍）_3.21波浪渠现状及改造表_吴忠市国家农业科技园区供水工程最终" xfId="2304"/>
    <cellStyle name="超链接 2" xfId="2305"/>
    <cellStyle name="单价名称" xfId="2306"/>
    <cellStyle name="分级显示列_1_Book1" xfId="2307"/>
    <cellStyle name="分级显示行_1_Book1" xfId="2308"/>
    <cellStyle name="好 3" xfId="2309"/>
    <cellStyle name="好 5" xfId="2310"/>
    <cellStyle name="好 6" xfId="2311"/>
    <cellStyle name="好 7" xfId="2312"/>
    <cellStyle name="好 8" xfId="2313"/>
    <cellStyle name="好 9" xfId="2314"/>
    <cellStyle name="好_批复黄羊滩（116）预算定额（最终）2010.9.3 3" xfId="2315"/>
    <cellStyle name="好_（苏）宁夏中宁红梧山预算概算0407_孙家滩高效节水概算朱清核（加30万最终批复f）2015.1.8" xfId="2316"/>
    <cellStyle name="好_【2009】13号文概算标准" xfId="2317"/>
    <cellStyle name="好_高家闸 概算宁夏13号文新定额-2010.12.21核_孙家滩高效节水概算朱清核（加30万最终批复f）2015.1.8" xfId="2318"/>
    <cellStyle name="好_13标预算_2015年小农水新增资金项目永宁县泵站翻建改造工程" xfId="2319"/>
    <cellStyle name="汇总 3" xfId="2320"/>
    <cellStyle name="好_13标预算_Book1" xfId="2321"/>
    <cellStyle name="好_13标预算_Book1_贺兰北庙9-8" xfId="2322"/>
    <cellStyle name="好_13标预算_北庙灌水率及渠道流量计算" xfId="2323"/>
    <cellStyle name="好_13标预算_灌水率及渠道流量计算" xfId="2324"/>
    <cellStyle name="好_13标预算_贺兰北庙9-8" xfId="2325"/>
    <cellStyle name="好_以色列贷款预算_贺兰县以色列贷款项目建设内容估算表" xfId="2326"/>
    <cellStyle name="好_13标预算_贺兰县以色列贷款项目建设内容估算表" xfId="2327"/>
    <cellStyle name="好_20100227马莲渠乡左右岸合计（江淑萍）_3.21江淑萍新表_2015年小农水新增资金项目永宁县泵站翻建改造工程" xfId="2328"/>
    <cellStyle name="好_20100227马莲渠乡左右岸合计（江淑萍）" xfId="2329"/>
    <cellStyle name="好_20100227马莲渠乡左右岸合计（江淑萍）_2013年平罗小农水工程概算核2013.3.2" xfId="2330"/>
    <cellStyle name="好_20100227马莲渠乡左右岸合计（江淑萍）_2014年小农水工程高效片区概算核2014.6.5" xfId="2331"/>
    <cellStyle name="好_20100227马莲渠乡左右岸合计（江淑萍）_2015年小农水新增资金项目永宁县泵站翻建改造工程" xfId="2332"/>
    <cellStyle name="好_20100227马莲渠乡左右岸合计（江淑萍）_3.21波浪渠现状及改造表" xfId="2333"/>
    <cellStyle name="好_20100227马莲渠乡左右岸合计（江淑萍）_3.21波浪渠现状及改造表_2015年小农水新增资金项目永宁县泵站翻建改造工程" xfId="2334"/>
    <cellStyle name="好_20100227马莲渠乡左右岸合计（江淑萍）_3.21波浪渠现状及改造表_孙家滩高效节水概算朱清核（加30万最终批复f）2015.1.8" xfId="2335"/>
    <cellStyle name="好_Book1_孙家滩高效节水概算朱清核（加30万最终批复f）2015.1.8" xfId="2336"/>
    <cellStyle name="好_20100227马莲渠乡左右岸合计（江淑萍）_3.21江淑萍新表_（10.17）庄立明2014年中央统筹资金永宁县第一排水沟、永清沟治理及泵站改造工程" xfId="2337"/>
    <cellStyle name="好_20100227马莲渠乡左右岸合计（江淑萍）_3.21江淑萍新表_2013年平罗小农水工程概算核2013.3.2_孙家滩高效节水概算朱清核（加30万最终批复f）2015.1.8" xfId="2338"/>
    <cellStyle name="好_20100227马莲渠乡左右岸合计（江淑萍）_3.21江淑萍新表_孙家滩高效节水概算朱清核（加30万最终批复f）2015.1.8" xfId="2339"/>
    <cellStyle name="好_贺兰县兰光村、金鑫村高效节水核2012.9.13_2015年小农水新增资金项目永宁县泵站翻建改造工程" xfId="2340"/>
    <cellStyle name="好_20100227马莲渠乡左右岸合计（江淑萍）_利通区马波二渠及四支渠断面_（10.17）庄立明2014年中央统筹资金永宁县第一排水沟、永清沟治理及泵站改造工程" xfId="2341"/>
    <cellStyle name="好_20100227马莲渠乡左右岸合计（江淑萍）_利通区马波二渠及四支渠断面_2014年小农水工程高效片区概算核2014.6.5" xfId="2342"/>
    <cellStyle name="好_20100227马莲渠乡左右岸合计（江淑萍）_利通区马波二渠及四支渠断面_孙家滩高效节水概算朱清核（加30万最终批复f）2015.1.8" xfId="2343"/>
    <cellStyle name="好_2010年马莲渠灌域小型农田水利工程_2013年平罗小农水工程概算核2013.3.2" xfId="2344"/>
    <cellStyle name="好_2010年马莲渠灌域小型农田水利工程_2013年平罗小农水工程概算核2013.3.2_孙家滩高效节水概算朱清核（加30万最终批复f）2015.1.8" xfId="2345"/>
    <cellStyle name="好_双龙渠概算表2012.9.17（改水洗砂）_孙家滩高效节水概算朱清核（加30万最终批复f）2015.1.8" xfId="2346"/>
    <cellStyle name="好_2010年马莲渠灌域小型农田水利工程_2015年小农水新增资金项目永宁县泵站翻建改造工程" xfId="2347"/>
    <cellStyle name="好_2010年马莲渠灌域小型农田水利工程_吴忠市国家农业科技园区供水工程最终" xfId="2348"/>
    <cellStyle name="好_兴水公司二支渠报价_2013年平罗小农水工程概算核2013.3.2" xfId="2349"/>
    <cellStyle name="好_20110920吴忠市利通区秦渠两侧绿化带整地项目控制价工程" xfId="2350"/>
    <cellStyle name="好_兴水公司二支渠报价_2013年平罗小农水工程概算核2013.3.2_孙家滩高效节水概算朱清核（加30万最终批复f）2015.1.8" xfId="2351"/>
    <cellStyle name="好_20110920吴忠市利通区秦渠两侧绿化带整地项目控制价工程_孙家滩高效节水概算朱清核（加30万最终批复f）2015.1.8" xfId="2352"/>
    <cellStyle name="好_2011年基本农田工程招标控制价_2013年平罗小农水工程概算核2013.3.2" xfId="2353"/>
    <cellStyle name="好_2011年基本农田工程招标控制价_2013年平罗小农水工程概算核2013.3.2_孙家滩高效节水概算朱清核（加30万最终批复f）2015.1.8" xfId="2354"/>
    <cellStyle name="强调文字颜色 1 3" xfId="2355"/>
    <cellStyle name="好_2011年基本农田工程招标控制价_2014年小农水工程高效片区概算核2014.6.5" xfId="2356"/>
    <cellStyle name="好_2011年基本农田工程招标控制价_2015年小农水新增资金项目永宁县泵站翻建改造工程" xfId="2357"/>
    <cellStyle name="好_2011年基本农田工程招标控制价_吴忠市国家农业科技园区供水工程最终" xfId="2358"/>
    <cellStyle name="好_2011年南梁农场利用政策性贷款实施农业综合开发项目预算表" xfId="2359"/>
    <cellStyle name="样式 1 2 2" xfId="2360"/>
    <cellStyle name="好_2011年南梁农场利用政策性贷款实施农业综合开发项目预算表_Book1" xfId="2361"/>
    <cellStyle name="好_2011年小农水概算5.4" xfId="2362"/>
    <cellStyle name="好_2011年小农水概算5.4_（10.17）庄立明2014年中央统筹资金永宁县第一排水沟、永清沟治理及泵站改造工程" xfId="2363"/>
    <cellStyle name="好_2011年小农水概算5.4_2013年平罗小农水工程概算核2013.3.2" xfId="2364"/>
    <cellStyle name="好_2011年小农水概算5.4_2013年平罗小农水工程概算核2013.3.2_孙家滩高效节水概算朱清核（加30万最终批复f）2015.1.8" xfId="2365"/>
    <cellStyle name="好_23-宁夏_兴水公司二支渠报价" xfId="2366"/>
    <cellStyle name="好_2011年小农水概算5.4_2014年小农水工程高效片区概算核2014.6.5" xfId="2367"/>
    <cellStyle name="好_黄土梁灌区 3" xfId="2368"/>
    <cellStyle name="好_2011年小农水概算5.4_利水公司二标段报价_2013年平罗小农水工程概算核2013.3.2" xfId="2369"/>
    <cellStyle name="好_2011年小农水概算5.4_利水公司二标段报价_2015年小农水新增资金项目永宁县泵站翻建改造工程" xfId="2370"/>
    <cellStyle name="好_2011年小农水概算5.4_利水公司二标段报价_孙家滩高效节水概算朱清核（加30万最终批复f）2015.1.8" xfId="2371"/>
    <cellStyle name="好_2011年小农水概算5.4_利水公司二标段报价_吴忠市国家农业科技园区供水工程最终" xfId="2372"/>
    <cellStyle name="好_2011年小农水概算5.4_孙家滩高效节水概算朱清核（加30万最终批复f）2015.1.8" xfId="2373"/>
    <cellStyle name="好_2011年小农水概算5.4_吴忠市国家农业科技园区供水工程最终" xfId="2374"/>
    <cellStyle name="好_2012.10.7利通区2012年小农水项目工程量清单" xfId="2375"/>
    <cellStyle name="好_2012.10.7利通区2012年小农水项目工程量清单_2014年小农水工程高效片区概算核2014.6.5" xfId="2376"/>
    <cellStyle name="好_2012.10.7利通区2012年小农水项目工程量清单_孙家滩高效节水概算朱清核（加30万最终批复f）2015.1.8" xfId="2377"/>
    <cellStyle name="好_2012.5.15修改 五里坡配套控制价" xfId="2378"/>
    <cellStyle name="好_2012.5.15修改 五里坡配套控制价_孙家滩高效节水概算朱清核（加30万最终批复f）2015.1.8" xfId="2379"/>
    <cellStyle name="好_201203281850 五里坡配套控制价" xfId="2380"/>
    <cellStyle name="好_2012年移民人饮工程计算表10‰" xfId="2381"/>
    <cellStyle name="好_2013-2017高效节灌总体实施方案投资估算编制（模板）2012-12-15" xfId="2382"/>
    <cellStyle name="好_2013年平罗小农水工程概算核2013.3.2" xfId="2383"/>
    <cellStyle name="好_2014.6.26永宁县闽宁镇防洪工程" xfId="2384"/>
    <cellStyle name="好_2014年扁担沟镇土地整理" xfId="2385"/>
    <cellStyle name="好_2014年小农水工程高效片区概算核2014.6.5" xfId="2386"/>
    <cellStyle name="好_23-宁夏" xfId="2387"/>
    <cellStyle name="好_中宁水价改革南北渠预算" xfId="2388"/>
    <cellStyle name="好_23-宁夏 2" xfId="2389"/>
    <cellStyle name="好_利通区二支渠工程概算（周工核定）20100914_吴忠市国家农业科技园区供水工程最终" xfId="2390"/>
    <cellStyle name="好_23-宁夏_129绿化供水0312" xfId="2391"/>
    <cellStyle name="好_23-宁夏_2013年度青铜峡小农水概算核2013.3.4" xfId="2392"/>
    <cellStyle name="好_23-宁夏_贺兰县2万亩概算核2013.3.5" xfId="2393"/>
    <cellStyle name="好_4.6马波二渠轮灌组划分_2013年平罗小农水工程概算核2013.3.2" xfId="2394"/>
    <cellStyle name="好_23-宁夏_贺兰县兰光村、金鑫村高效节水核2012.9.13" xfId="2395"/>
    <cellStyle name="好_23-宁夏_利水公司二标段报价" xfId="2396"/>
    <cellStyle name="好_3.21波浪渠现状及改造表" xfId="2397"/>
    <cellStyle name="好_3.21波浪渠现状及改造表_2013年平罗小农水工程概算核2013.3.2" xfId="2398"/>
    <cellStyle name="好_3.21波浪渠现状及改造表_2013年平罗小农水工程概算核2013.3.2_孙家滩高效节水概算朱清核（加30万最终批复f）2015.1.8" xfId="2399"/>
    <cellStyle name="好_3.21波浪渠现状及改造表_2014年小农水工程高效片区概算核2014.6.5" xfId="2400"/>
    <cellStyle name="好_3.21波浪渠现状及改造表_2015年小农水新增资金项目永宁县泵站翻建改造工程" xfId="2401"/>
    <cellStyle name="好_3.21波浪渠现状及改造表_孙家滩高效节水概算朱清核（加30万最终批复f）2015.1.8" xfId="2402"/>
    <cellStyle name="好_3.21波浪渠现状及改造表_吴忠市国家农业科技园区供水工程最终" xfId="2403"/>
    <cellStyle name="好_3.21江淑萍新表_（10.17）庄立明2014年中央统筹资金永宁县第一排水沟、永清沟治理及泵站改造工程" xfId="2404"/>
    <cellStyle name="好_3.21江淑萍新表_2013年平罗小农水工程概算核2013.3.2" xfId="2405"/>
    <cellStyle name="好_阿克苏地区节水规划估算(内审修改)_（10.17）庄立明2014年中央统筹资金永宁县第一排水沟、永清沟治理及泵站改造工程" xfId="2406"/>
    <cellStyle name="好_3.21江淑萍新表_2013年平罗小农水工程概算核2013.3.2_孙家滩高效节水概算朱清核（加30万最终批复f）2015.1.8" xfId="2407"/>
    <cellStyle name="好_3.21江淑萍新表_孙家滩高效节水概算朱清核（加30万最终批复f）2015.1.8" xfId="2408"/>
    <cellStyle name="好_3.30日2010年马莲渠灌域小型农田水利工程_（10.17）庄立明2014年中央统筹资金永宁县第一排水沟、永清沟治理及泵站改造工程" xfId="2409"/>
    <cellStyle name="好_3.30日2010年马莲渠灌域小型农田水利工程_2013年平罗小农水工程概算核2013.3.2" xfId="2410"/>
    <cellStyle name="好_3.30日2010年马莲渠灌域小型农田水利工程_2014年小农水工程高效片区概算核2014.6.5" xfId="2411"/>
    <cellStyle name="好_北庙灌水率及渠道流量计算" xfId="2412"/>
    <cellStyle name="好_3.30日2010年马莲渠灌域小型农田水利工程_2015年小农水新增资金项目永宁县泵站翻建改造工程" xfId="2413"/>
    <cellStyle name="好_3.30日2010年马莲渠灌域小型农田水利工程_吴忠市国家农业科技园区供水工程最终" xfId="2414"/>
    <cellStyle name="好_4.6马波二渠轮灌组划分_（10.17）庄立明2014年中央统筹资金永宁县第一排水沟、永清沟治理及泵站改造工程" xfId="2415"/>
    <cellStyle name="好_4.6马波二渠轮灌组划分_2013年平罗小农水工程概算核2013.3.2_孙家滩高效节水概算朱清核（加30万最终批复f）2015.1.8" xfId="2416"/>
    <cellStyle name="好_4.6马波二渠轮灌组划分_2014年小农水工程高效片区概算核2014.6.5" xfId="2417"/>
    <cellStyle name="好_4.6马波二渠轮灌组划分_2015年小农水新增资金项目永宁县泵站翻建改造工程" xfId="2418"/>
    <cellStyle name="好_4.6马波二渠轮灌组划分_吴忠市国家农业科技园区供水工程最终" xfId="2419"/>
    <cellStyle name="好_9.15二支渠工程(核实后概算)" xfId="2420"/>
    <cellStyle name="好_9.15二支渠工程(核实后概算)_（10.17）庄立明2014年中央统筹资金永宁县第一排水沟、永清沟治理及泵站改造工程" xfId="2421"/>
    <cellStyle name="好_9.15二支渠工程(核实后概算)_2013年平罗小农水工程概算核2013.3.2" xfId="2422"/>
    <cellStyle name="好_9.15二支渠工程(核实后概算)_2013年平罗小农水工程概算核2013.3.2_孙家滩高效节水概算朱清核（加30万最终批复f）2015.1.8" xfId="2423"/>
    <cellStyle name="好_9.15二支渠工程(核实后概算)_清水沟投标报价_2013年平罗小农水工程概算核2013.3.2_孙家滩高效节水概算朱清核（加30万最终批复f）2015.1.8" xfId="2424"/>
    <cellStyle name="好_9.15二支渠工程(核实后概算)_清水沟投标报价_2014年小农水工程高效片区概算核2014.6.5" xfId="2425"/>
    <cellStyle name="好_吴忠城南防洪排涝工程附属工程预算_2014年小农水工程高效片区概算核2014.6.5" xfId="2426"/>
    <cellStyle name="好_9.15二支渠工程(核实后概算)_清水沟投标报价_吴忠市国家农业科技园区供水工程最终" xfId="2427"/>
    <cellStyle name="好_9.15二支渠工程(核实后概算)_三标段报价1" xfId="2428"/>
    <cellStyle name="好_9.15二支渠工程(核实后概算)_三标段报价1_2014年小农水工程高效片区概算核2014.6.5" xfId="2429"/>
    <cellStyle name="好_9.15二支渠工程(核实后概算)_孙家滩高效节水概算朱清核（加30万最终批复f）2015.1.8" xfId="2430"/>
    <cellStyle name="好_9.15二支渠工程(核实后概算)_吴忠市国家农业科技园区供水工程最终" xfId="2431"/>
    <cellStyle name="好_Book1" xfId="2432"/>
    <cellStyle name="好_Book1_（苏）宁夏中宁红梧山预算概算0407_孙家滩高效节水概算朱清核（加30万最终批复f）2015.1.8" xfId="2433"/>
    <cellStyle name="好_Book1_1" xfId="2434"/>
    <cellStyle name="好_Book1_1_（苏）宁夏中宁红梧山预算概算0407" xfId="2435"/>
    <cellStyle name="好_Book1_1_（苏）宁夏中宁红梧山预算概算0407_孙家滩高效节水概算朱清核（加30万最终批复f）2015.1.8" xfId="2436"/>
    <cellStyle name="好_Book1_1_Book1" xfId="2437"/>
    <cellStyle name="好_Book1_1_Book1_孙家滩高效节水概算朱清核（加30万最终批复f）2015.1.8" xfId="2438"/>
    <cellStyle name="好_策勒县108号文概算实施方案8000亩2011.10_2015年小农水新增资金项目永宁县泵站翻建改造工程" xfId="2439"/>
    <cellStyle name="好_Book1_1_北庙灌水率及渠道流量计算" xfId="2440"/>
    <cellStyle name="好_Book1_1_北庙灌水率及渠道流量计算9-6" xfId="2441"/>
    <cellStyle name="检查单元格 2 4" xfId="2442"/>
    <cellStyle name="好_Book1_1_灌水率及渠道流量计算" xfId="2443"/>
    <cellStyle name="好_Book1_1_喊叫水概算汇总表【批复】" xfId="2444"/>
    <cellStyle name="好_Book1_1_贺兰县以色列贷款项目建设内容估算表" xfId="2445"/>
    <cellStyle name="好_Book1_1_机电 " xfId="2446"/>
    <cellStyle name="好_扁担沟扬水站统计表（改）" xfId="2447"/>
    <cellStyle name="好_Book1_1_例：土地开发整理预算定额" xfId="2448"/>
    <cellStyle name="好_Book1_1_孙家滩高效节水概算朱清核（加30万最终批复f）2015.1.8" xfId="2449"/>
    <cellStyle name="好_Book1_1_盐池2014年度高效节水灌溉概算核2014.6.27" xfId="2450"/>
    <cellStyle name="好_Book1_1_永宁闽宁葡萄滴管工程（三期）概算核2014.10.12" xfId="2451"/>
    <cellStyle name="好_Book1_1_原州区姚磨喷灌概算核2014.1.6" xfId="2452"/>
    <cellStyle name="好_Book1_1_原州区姚磨喷灌概算核2014.1.6_孙家滩高效节水概算朱清核（加30万最终批复f）2015.1.8" xfId="2453"/>
    <cellStyle name="好_Book1_2" xfId="2454"/>
    <cellStyle name="好_Book1_2_贺兰北庙9-8" xfId="2455"/>
    <cellStyle name="好_Book1_2_孙家滩高效节水概算朱清核（加30万最终批复f）2015.1.8" xfId="2456"/>
    <cellStyle name="好_Book1_2015年小农水新增资金项目永宁县泵站翻建改造工程" xfId="2457"/>
    <cellStyle name="好_Book1_3" xfId="2458"/>
    <cellStyle name="好_Book1_Book1" xfId="2459"/>
    <cellStyle name="好_Book1_北庙灌水率及渠道流量计算" xfId="2460"/>
    <cellStyle name="好_Book1_北庙灌水率及渠道流量计算9-6" xfId="2461"/>
    <cellStyle name="好_Book1_丁家儿沟工程量表_（10.17）庄立明2014年中央统筹资金永宁县第一排水沟、永清沟治理及泵站改造工程" xfId="2462"/>
    <cellStyle name="好_Book1_丁家儿沟工程量表_吴忠市国家农业科技园区供水工程最终" xfId="2463"/>
    <cellStyle name="好_Book1_灌水率及渠道流量计算" xfId="2464"/>
    <cellStyle name="好_Book1_喊叫水概算汇总表【批复】" xfId="2465"/>
    <cellStyle name="好_晒场_喊叫水概算汇总表【批复】" xfId="2466"/>
    <cellStyle name="好_Book1_机电 " xfId="2467"/>
    <cellStyle name="强调文字颜色 3 2" xfId="2468"/>
    <cellStyle name="好_Book1_宁夏深沟村1万亩概算核2013.2.4" xfId="2469"/>
    <cellStyle name="好_Book1_吴忠市国家农业科技园区供水工程最终" xfId="2470"/>
    <cellStyle name="好_Book1_盐池小农概算核2012.9.12" xfId="2471"/>
    <cellStyle name="好_Book1_盐池小农概算核2012.9.12_2015年小农水新增资金项目永宁县泵站翻建改造工程" xfId="2472"/>
    <cellStyle name="好_Book1_盐池小农概算核2012.9.12_孙家滩高效节水概算朱清核（加30万最终批复f）2015.1.8" xfId="2473"/>
    <cellStyle name="好_扁担沟扬水站统计表（改）_3.13工程量清单_3.21波浪渠现状及改造表" xfId="2474"/>
    <cellStyle name="好_Book1_盐池小农概算核2012.9.12_吴忠市国家农业科技园区供水工程最终" xfId="2475"/>
    <cellStyle name="好_Book1_于祥灌水率及渠道流量计算1" xfId="2476"/>
    <cellStyle name="好_Book1_渝河下游沟道治理工程概算核2012.6.19" xfId="2477"/>
    <cellStyle name="好_Book1_渝河下游沟道治理工程概算核2012.6.19_2015年小农水新增资金项目永宁县泵站翻建改造工程" xfId="2478"/>
    <cellStyle name="好_Book1_渝河下游沟道治理工程概算核2012.6.19_孙家滩高效节水概算朱清核（加30万最终批复f）2015.1.8" xfId="2479"/>
    <cellStyle name="好_Sheet1_2015年小农水新增资金项目永宁县泵站翻建改造工程" xfId="2480"/>
    <cellStyle name="好_Book1_原州区姚磨喷灌概算核2014.1.6" xfId="2481"/>
    <cellStyle name="好_Book1_原州区姚磨喷灌概算核2014.1.6_孙家滩高效节水概算朱清核（加30万最终批复f）2015.1.8" xfId="2482"/>
    <cellStyle name="好_PVC管材_喊叫水概算汇总表【批复】" xfId="2483"/>
    <cellStyle name="好_PVC管材_盐池2014年度高效节水灌溉概算核2014.6.27" xfId="2484"/>
    <cellStyle name="好_PVC管材_永宁闽宁葡萄滴管工程（三期）概算核2014.10.12" xfId="2485"/>
    <cellStyle name="好_西吉县葫芦河治理工程概算表（116号）-核_灵武2014高效节水工程概算核2014.6.27" xfId="2486"/>
    <cellStyle name="好_PVC管材_原州区姚磨喷灌概算核2014.1.6" xfId="2487"/>
    <cellStyle name="好_Sheet1_吴忠市国家农业科技园区供水工程最终" xfId="2488"/>
    <cellStyle name="好_Sheet2" xfId="2489"/>
    <cellStyle name="好_阿克苏地区节水规划估算(内审修改)" xfId="2490"/>
    <cellStyle name="好_阿克苏地区节水规划估算(内审修改)_2015年小农水新增资金项目永宁县泵站翻建改造工程" xfId="2491"/>
    <cellStyle name="好_灌水率及渠道流量计算" xfId="2492"/>
    <cellStyle name="好_阿克苏地区节水规划估算(内审修改)_孙家滩高效节水概算朱清核（加30万最终批复f）2015.1.8" xfId="2493"/>
    <cellStyle name="好_阿克苏地区节水规划估算(内审修改)_吴忠市国家农业科技园区供水工程最终" xfId="2494"/>
    <cellStyle name="好_白芨滩大泉、临河红墩子农水处核出文版20140304_孙家滩高效节水概算朱清核（加30万最终批复f）2015.1.8" xfId="2495"/>
    <cellStyle name="好_利通区二支渠工程概算（周工核定）20100914_利水公司二标段报价_2013年平罗小农水工程概算核2013.3.2" xfId="2496"/>
    <cellStyle name="好_报价" xfId="2497"/>
    <cellStyle name="好_北庙灌水率及渠道流量计算9-6" xfId="2498"/>
    <cellStyle name="好_利通区东塔寺乡白寺滩村优质葡萄高效节水灌溉工程概算_利水公司二标段报价_孙家滩高效节水概算朱清核（加30万最终批复f）2015.1.8" xfId="2499"/>
    <cellStyle name="好_扁担沟初步概算2013.12.01" xfId="2500"/>
    <cellStyle name="好_小洪沟（新定额）2010.7.10改估算改_2013年平罗小农水工程概算核2013.3.2_孙家滩高效节水概算朱清核（加30万最终批复f）2015.1.8" xfId="2501"/>
    <cellStyle name="好_扁担沟扬水站统计表（改） 2" xfId="2502"/>
    <cellStyle name="好_扁担沟扬水站统计表（改） 3" xfId="2503"/>
    <cellStyle name="好_扁担沟扬水站统计表（改）_129绿化供水0312" xfId="2504"/>
    <cellStyle name="好_扁担沟扬水站统计表（改）_3.13工程量清单" xfId="2505"/>
    <cellStyle name="好_扁担沟扬水站统计表（改）_3.21江淑萍新表" xfId="2506"/>
    <cellStyle name="好_扁担沟扬水站统计表（改）_生态移民农业开发土壤改良及治沙工程控制价工程修改" xfId="2507"/>
    <cellStyle name="好_扁担沟扬水站统计表（改）_招投标工程量" xfId="2508"/>
    <cellStyle name="好_扁担沟扬水站统计表（改）_招投标工程量_管材招标控制价" xfId="2509"/>
    <cellStyle name="好_扁担沟扬水站统计表（改）_招投标工程量_生态移民农业开发土壤改良及治沙工程控制价工程修改" xfId="2510"/>
    <cellStyle name="好_策勒县108号文概算实施方案8000亩2011.10" xfId="2511"/>
    <cellStyle name="好_策勒县108号文概算实施方案8000亩2011.10_2013年度青铜峡小农水概算核2013.3.4" xfId="2512"/>
    <cellStyle name="好_策勒县108号文概算实施方案8000亩2011.10_2013年平罗小农水工程概算核2013.3.2_孙家滩高效节水概算朱清核（加30万最终批复f）2015.1.8" xfId="2513"/>
    <cellStyle name="好_策勒县108号文概算实施方案8000亩2011.10_孙家滩高效节水概算朱清核（加30万最终批复f）2015.1.8" xfId="2514"/>
    <cellStyle name="好_大鸭子渠自动水位计概算（宁夏新定额最终）" xfId="2515"/>
    <cellStyle name="好_单价" xfId="2516"/>
    <cellStyle name="好_单价 2" xfId="2517"/>
    <cellStyle name="好_单价 3" xfId="2518"/>
    <cellStyle name="好_贺兰县兰光村、金鑫村高效节水核2012.9.13_孙家滩高效节水概算朱清核（加30万最终批复f）2015.1.8" xfId="2519"/>
    <cellStyle name="好_单价 5" xfId="2520"/>
    <cellStyle name="好_单价_11.24盐池高效节水" xfId="2521"/>
    <cellStyle name="好_单价_2012.5.15修改 五里坡配套控制价_2014年小农水工程高效片区概算核2014.6.5" xfId="2522"/>
    <cellStyle name="强调文字颜色 5 5" xfId="2523"/>
    <cellStyle name="好_单价_2012.5.15修改 五里坡配套控制价_孙家滩高效节水概算朱清核（加30万最终批复f）2015.1.8" xfId="2524"/>
    <cellStyle name="好_单价_2013.10.11（最终）吴忠市金积造123纸工业园区速生林_1" xfId="2525"/>
    <cellStyle name="好_单价_Sheet1" xfId="2526"/>
    <cellStyle name="好_利通区东塔寺乡白寺滩村优质葡萄高效节水灌溉工程概算_利水公司二标段报价_吴忠市国家农业科技园区供水工程最终" xfId="2527"/>
    <cellStyle name="好_单价_滨河连接线招标控制价_2014年小农水工程高效片区概算核2014.6.5" xfId="2528"/>
    <cellStyle name="好_单价_滨河连接线招标控制价_孙家滩高效节水概算朱清核（加30万最终批复f）2015.1.8" xfId="2529"/>
    <cellStyle name="好_单价_反帝沟上段2012.12.25" xfId="2530"/>
    <cellStyle name="好_单价_喊叫水概算汇总表【批复】" xfId="2531"/>
    <cellStyle name="好_单价_贺兰县兰光村、金鑫村高效节水核2012.9.13_孙家滩高效节水概算朱清核（加30万最终批复f）2015.1.8" xfId="2532"/>
    <cellStyle name="好_菊花台节灌工程预算滴灌2010114_孙家滩高效节水概算朱清核（加30万最终批复f）2015.1.8" xfId="2533"/>
    <cellStyle name="好_单价_贺兰县兰光村、金鑫村高效节水核2012.9.13_吴忠市国家农业科技园区供水工程最终" xfId="2534"/>
    <cellStyle name="强调文字颜色 6 3" xfId="2535"/>
    <cellStyle name="好_单价_灵武2014高效节水工程概算核2014.6.27_孙家滩高效节水概算朱清核（加30万最终批复f）2015.1.8" xfId="2536"/>
    <cellStyle name="好_单价_宁夏中宁县出口枸杞生产示范基地节水滴灌项目" xfId="2537"/>
    <cellStyle name="好_单价_吴忠市金积造纸工业园区 速生林（余工）基地工程【2009)13号" xfId="2538"/>
    <cellStyle name="好_单价_小人饮工程工程量" xfId="2539"/>
    <cellStyle name="好_单价_永宁闽宁葡萄滴管工程（三期）概算核2014.10.12" xfId="2540"/>
    <cellStyle name="好_德隆116号文概算2012.11.21_喊叫水概算汇总表【批复】" xfId="2541"/>
    <cellStyle name="好_第二次上报129绿化供水0312" xfId="2542"/>
    <cellStyle name="好_第二次上报129绿化供水0312_2014年小农水工程高效片区概算核2014.6.5" xfId="2543"/>
    <cellStyle name="好_丁家儿沟工程量表" xfId="2544"/>
    <cellStyle name="好_丁家儿沟工程量表_孙家滩高效节水概算朱清核（加30万最终批复f）2015.1.8" xfId="2545"/>
    <cellStyle name="好_丁家儿沟工程量表_吴忠市国家农业科技园区供水工程最终" xfId="2546"/>
    <cellStyle name="好_复件 2010年马莲渠灌域小型农田水利工程" xfId="2547"/>
    <cellStyle name="好_复件 2010年马莲渠灌域小型农田水利工程_（10.17）庄立明2014年中央统筹资金永宁县第一排水沟、永清沟治理及泵站改造工程" xfId="2548"/>
    <cellStyle name="好_复件 2010年马莲渠灌域小型农田水利工程_2013年平罗小农水工程概算核2013.3.2" xfId="2549"/>
    <cellStyle name="好_复件 2010年马莲渠灌域小型农田水利工程_2013年平罗小农水工程概算核2013.3.2_孙家滩高效节水概算朱清核（加30万最终批复f）2015.1.8" xfId="2550"/>
    <cellStyle name="好_复件 2010年马莲渠灌域小型农田水利工程_2014年小农水工程高效片区概算核2014.6.5" xfId="2551"/>
    <cellStyle name="好_复件 2010年马莲渠灌域小型农田水利工程_2015年小农水新增资金项目永宁县泵站翻建改造工程" xfId="2552"/>
    <cellStyle name="好_复件 2010年马莲渠灌域小型农田水利工程_吴忠市国家农业科技园区供水工程最终" xfId="2553"/>
    <cellStyle name="好_复件 4月15日2010年马莲渠灌域小型农田水利工程概算11" xfId="2554"/>
    <cellStyle name="好_复件 4月15日2010年马莲渠灌域小型农田水利工程概算11_2013年平罗小农水工程概算核2013.3.2" xfId="2555"/>
    <cellStyle name="好_复件 4月15日2010年马莲渠灌域小型农田水利工程概算11_2013年平罗小农水工程概算核2013.3.2_孙家滩高效节水概算朱清核（加30万最终批复f）2015.1.8" xfId="2556"/>
    <cellStyle name="好_复件 4月15日2010年马莲渠灌域小型农田水利工程概算11_2015年小农水新增资金项目永宁县泵站翻建改造工程" xfId="2557"/>
    <cellStyle name="好_复件 4月15日2010年马莲渠灌域小型农田水利工程概算11_孙家滩高效节水概算朱清核（加30万最终批复f）2015.1.8" xfId="2558"/>
    <cellStyle name="好_复件 4月15日2010年马莲渠灌域小型农田水利工程概算11_吴忠市国家农业科技园区供水工程最终" xfId="2559"/>
    <cellStyle name="好_副本3.29马波二渠所需表3.30" xfId="2560"/>
    <cellStyle name="好_副本3.29马波二渠所需表3.30_（10.17）庄立明2014年中央统筹资金永宁县第一排水沟、永清沟治理及泵站改造工程" xfId="2561"/>
    <cellStyle name="好_副本3.29马波二渠所需表3.30_2013年平罗小农水工程概算核2013.3.2" xfId="2562"/>
    <cellStyle name="好_宁夏农垦农业综合开发十二五规划3.15_灌水率及渠道流量计算" xfId="2563"/>
    <cellStyle name="好_副本3.29马波二渠所需表3.30_2014年小农水工程高效片区概算核2014.6.5" xfId="2564"/>
    <cellStyle name="好_贺兰县2万亩概算核2013.3.7" xfId="2565"/>
    <cellStyle name="好_概算（世行）" xfId="2566"/>
    <cellStyle name="好_概算（世行）_三三支沟上段总概算" xfId="2567"/>
    <cellStyle name="好_概算表" xfId="2568"/>
    <cellStyle name="好_概算表4.19" xfId="2569"/>
    <cellStyle name="好_高家闸 概算宁夏13号文新定额-2010.12.21核_（10.17）庄立明2014年中央统筹资金永宁县第一排水沟、永清沟治理及泵站改造工程" xfId="2570"/>
    <cellStyle name="好_高家闸 概算宁夏13号文新定额-2010.12.21核_2015年小农水新增资金项目永宁县泵站翻建改造工程" xfId="2571"/>
    <cellStyle name="好_高效节水单价-2期_孙家滩高效节水概算朱清核（加30万最终批复f）2015.1.8" xfId="2572"/>
    <cellStyle name="好_管材招标控制价" xfId="2573"/>
    <cellStyle name="好_管材招标控制价_2014年小农水工程高效片区概算核2014.6.5" xfId="2574"/>
    <cellStyle name="好_管网水力" xfId="2575"/>
    <cellStyle name="好_国土新定额 吴忠高闸（玲姐） 2013.5.8" xfId="2576"/>
    <cellStyle name="好_贺兰金贵镇2013年高标准估算表8.2 79-8" xfId="2577"/>
    <cellStyle name="好_贺兰县兰光村、金鑫村高效节水核2012.9.13_（10.17）庄立明2014年中央统筹资金永宁县第一排水沟、永清沟治理及泵站改造工程" xfId="2578"/>
    <cellStyle name="好_贺兰县以色列贷款项目建设内容估算表" xfId="2579"/>
    <cellStyle name="好_黄土梁灌区 4" xfId="2580"/>
    <cellStyle name="好_黄土梁灌区 5" xfId="2581"/>
    <cellStyle name="好_黄土梁灌区_11.24盐池高效节水" xfId="2582"/>
    <cellStyle name="好_黄土梁灌区_2012.5.15修改 五里坡配套控制价" xfId="2583"/>
    <cellStyle name="好_黄土梁灌区_2012.5.15修改 五里坡配套控制价_2014年小农水工程高效片区概算核2014.6.5" xfId="2584"/>
    <cellStyle name="好_黄土梁灌区_2012.5.15修改 五里坡配套控制价_孙家滩高效节水概算朱清核（加30万最终批复f）2015.1.8" xfId="2585"/>
    <cellStyle name="好_黄土梁灌区_2013.10.11（最终）吴忠市金积造123纸工业园区速生林" xfId="2586"/>
    <cellStyle name="好_黄土梁灌区_Sheet1" xfId="2587"/>
    <cellStyle name="商品名称" xfId="2588"/>
    <cellStyle name="好_黄土梁灌区_滨河连接线招标控制价" xfId="2589"/>
    <cellStyle name="好_黄土梁灌区_反帝沟上段2012.12.25" xfId="2590"/>
    <cellStyle name="好_黄土梁灌区_喊叫水概算汇总表【批复】" xfId="2591"/>
    <cellStyle name="好_黄土梁灌区_贺兰县兰光村、金鑫村高效节水核2012.9.13_（10.17）庄立明2014年中央统筹资金永宁县第一排水沟、永清沟治理及泵站改造工程" xfId="2592"/>
    <cellStyle name="好_黄土梁灌区_贺兰县兰光村、金鑫村高效节水核2012.9.13_孙家滩高效节水概算朱清核（加30万最终批复f）2015.1.8" xfId="2593"/>
    <cellStyle name="好_黄土梁灌区_贺兰县兰光村、金鑫村高效节水核2012.9.13_吴忠市国家农业科技园区供水工程最终" xfId="2594"/>
    <cellStyle name="警告文本 5" xfId="2595"/>
    <cellStyle name="好_黄土梁灌区_灵武2014高效节水工程概算核2014.6.27_孙家滩高效节水概算朱清核（加30万最终批复f）2015.1.8" xfId="2596"/>
    <cellStyle name="好_黄土梁灌区_宁夏中宁县出口枸杞生产示范基地节水滴灌项目" xfId="2597"/>
    <cellStyle name="好_黄土梁灌区_吴忠市金积造纸工业园区 速生林（余工）基地工程【2009)13号" xfId="2598"/>
    <cellStyle name="输出 2" xfId="2599"/>
    <cellStyle name="好_黄土梁灌区_吴忠市利通区扁担沟镇五里坡片区综合开发工程" xfId="2600"/>
    <cellStyle name="好_黄土梁灌区_五里坡2014年度小农水概算核2014.6.8" xfId="2601"/>
    <cellStyle name="好_黄土梁灌区_小人饮工程工程量" xfId="2602"/>
    <cellStyle name="好_黄土梁灌区_盐池2014年度高效节水灌溉概算核2014.6.27" xfId="2603"/>
    <cellStyle name="好_黄土梁灌区_永宁闽宁葡萄滴管工程（三期）概算核2014.10.12" xfId="2604"/>
    <cellStyle name="好_利通区二支渠工程概算（周工核定）20100914_利水公司二标段报价_孙家滩高效节水概算朱清核（加30万最终批复f）2015.1.8" xfId="2605"/>
    <cellStyle name="好_黄土梁灌区_中宁红柳沟概算最终2013.4.17" xfId="2606"/>
    <cellStyle name="好_黄羊滩（116）预算定额（最终）2010.03.28 5" xfId="2607"/>
    <cellStyle name="好_黄羊滩（116）预算定额（最终）2010.03.28_2012.5.15修改 五里坡配套控制价" xfId="2608"/>
    <cellStyle name="好_黄羊滩（116）预算定额（最终）2010.03.28_2012.5.15修改 五里坡配套控制价_孙家滩高效节水概算朱清核（加30万最终批复f）2015.1.8" xfId="2609"/>
    <cellStyle name="好_黄羊滩（116）预算定额（最终）2010.03.28_2013.10.11（最终）吴忠市金积造123纸工业园区速生林" xfId="2610"/>
    <cellStyle name="建筑工程单价表" xfId="2611"/>
    <cellStyle name="好_黄羊滩（116）预算定额（最终）2010.03.28_2013.10.11（最终）吴忠市金积造123纸工业园区速生林_1" xfId="2612"/>
    <cellStyle name="好_黄羊滩（116）预算定额（最终）2010.03.28_Sheet1" xfId="2613"/>
    <cellStyle name="强调文字颜色 4 4" xfId="2614"/>
    <cellStyle name="好_黄羊滩（116）预算定额（最终）2010.03.28_滨河连接线招标控制价" xfId="2615"/>
    <cellStyle name="好_中小河流-桑园沟治理工程预算-桑园沟2010.12.22核" xfId="2616"/>
    <cellStyle name="好_宁夏农垦农业综合开发十二五规划3.15_Book1" xfId="2617"/>
    <cellStyle name="好_黄羊滩（116）预算定额（最终）2010.03.28_滨河连接线招标控制价_2014年小农水工程高效片区概算核2014.6.5" xfId="2618"/>
    <cellStyle name="好_黄羊滩（116）预算定额（最终）2010.03.28_滨河连接线招标控制价_孙家滩高效节水概算朱清核（加30万最终批复f）2015.1.8" xfId="2619"/>
    <cellStyle name="好_批复黄羊滩（116）预算定额（最终）2010.9.3_天元水泥厂工程概算表2014.4.21" xfId="2620"/>
    <cellStyle name="好_黄羊滩（116）预算定额（最终）2010.03.28_陈木闸硬化路破损恢复概算表2014.2.28" xfId="2621"/>
    <cellStyle name="好_黄羊滩（116）预算定额（最终）2010.03.28_反帝沟上段2012.12.25" xfId="2622"/>
    <cellStyle name="好_黄羊滩（116）预算定额（最终）2010.03.28_贺兰县兰光村、金鑫村高效节水核2012.9.13" xfId="2623"/>
    <cellStyle name="好_黄羊滩（116）预算定额（最终）2010.03.28_贺兰县兰光村、金鑫村高效节水核2012.9.13_孙家滩高效节水概算朱清核（加30万最终批复f）2015.1.8" xfId="2624"/>
    <cellStyle name="好_青铜峡反帝沟概算核2013.11.20朱清核价马微核量 (20130103设计调整20140110申总和马微)(1)" xfId="2625"/>
    <cellStyle name="好_黄羊滩（116）预算定额（最终）2010.03.28_灵武2014高效节水工程概算核2014.6.27" xfId="2626"/>
    <cellStyle name="好_黄羊滩（116）预算定额（最终）2010.03.28_灵武2014高效节水工程概算核2014.6.27_孙家滩高效节水概算朱清核（加30万最终批复f）2015.1.8" xfId="2627"/>
    <cellStyle name="好_黄羊滩（116）预算定额（最终）2010.03.28_天元水泥厂工程概算表2014.4.21" xfId="2628"/>
    <cellStyle name="好_黄羊滩（116）预算定额（最终）2010.03.28_吴忠利通区五里坡ff" xfId="2629"/>
    <cellStyle name="好_西吉县葫芦河治理工程概算表（116号）-核_陈木闸硬化路破损恢复概算表2014.2.28" xfId="2630"/>
    <cellStyle name="好_黄羊滩（116）预算定额（最终）2010.03.28_吴忠市利通区扁担沟镇五里坡片区综合开发工程" xfId="2631"/>
    <cellStyle name="普通_ 县城" xfId="2632"/>
    <cellStyle name="好_黄羊滩（116）预算定额（最终）2010.03.28_吴忠市孙家滩土地占补二期预算（马建涛2014.7.6终）" xfId="2633"/>
    <cellStyle name="好_黄羊滩（116）预算定额（最终）2010.03.28_小人饮工程工程量" xfId="2634"/>
    <cellStyle name="好_黄羊滩（116）预算定额（最终）2010.03.28_永宁闽宁葡萄滴管工程（三期）概算核2014.10.12" xfId="2635"/>
    <cellStyle name="好_建筑物" xfId="2636"/>
    <cellStyle name="好_泾源县党史研究室主任汇总表" xfId="2637"/>
    <cellStyle name="好_菊花台节灌工程预算滴灌2010114_（10.17）庄立明2014年中央统筹资金永宁县第一排水沟、永清沟治理及泵站改造工程" xfId="2638"/>
    <cellStyle name="好_菊花台节灌工程预算滴灌2010114_贺兰县以色列贷款项目建设内容估算表" xfId="2639"/>
    <cellStyle name="好_菊花台节灌工程预算滴灌2010114_吴忠市国家农业科技园区供水工程最终" xfId="2640"/>
    <cellStyle name="好_李庄饮水工程概算核2012.5.16" xfId="2641"/>
    <cellStyle name="好_李庄饮水工程概算核2012.5.16_孙家滩高效节水概算朱清核（加30万最终批复f）2015.1.8" xfId="2642"/>
    <cellStyle name="好_立岗镇建筑物统计表" xfId="2643"/>
    <cellStyle name="好_立岗镇建筑物统计表_Book1" xfId="2644"/>
    <cellStyle name="好_立岗镇建筑物统计表_贺兰北庙9-8" xfId="2645"/>
    <cellStyle name="好_利水公司二标段报价_2013年平罗小农水工程概算核2013.3.2" xfId="2646"/>
    <cellStyle name="好_利水公司二标段报价_2013年平罗小农水工程概算核2013.3.2_孙家滩高效节水概算朱清核（加30万最终批复f）2015.1.8" xfId="2647"/>
    <cellStyle name="好_五里坡生态移民农业开发土壤改良及治沙工程控制价工程_2014年小农水工程高效片区概算核2014.6.5" xfId="2648"/>
    <cellStyle name="好_利水公司二标段报价_2014年小农水工程高效片区概算核2014.6.5" xfId="2649"/>
    <cellStyle name="千位_ 方正PC" xfId="2650"/>
    <cellStyle name="好_利水公司二标段报价_吴忠市国家农业科技园区供水工程最终" xfId="2651"/>
    <cellStyle name="好_利通区2012年小农水重点县概算核2012.9.18_孙家滩高效节水概算朱清核（加30万最终批复f）2015.1.8" xfId="2652"/>
    <cellStyle name="好_利通区东塔寺乡白寺滩村优质葡萄高效节水灌溉工程概算_2013年平罗小农水工程概算核2013.3.2" xfId="2653"/>
    <cellStyle name="好_利通区东塔寺乡白寺滩村优质葡萄高效节水灌溉工程概算_2014年小农水工程高效片区概算核2014.6.5" xfId="2654"/>
    <cellStyle name="好_利通区东塔寺乡白寺滩村优质葡萄高效节水灌溉工程概算_利水公司二标段报价_（10.17）庄立明2014年中央统筹资金永宁县第一排水沟、永清沟治理及泵站改造工程" xfId="2655"/>
    <cellStyle name="输出 7" xfId="2656"/>
    <cellStyle name="好_利通区东塔寺乡白寺滩村优质葡萄高效节水灌溉工程概算_利水公司二标段报价_2013年平罗小农水工程概算核2013.3.2" xfId="2657"/>
    <cellStyle name="好_利通区东塔寺乡白寺滩村优质葡萄高效节水灌溉工程概算_孙家滩高效节水概算朱清核（加30万最终批复f）2015.1.8" xfId="2658"/>
    <cellStyle name="好_利通区东塔寺乡白寺滩村优质葡萄高效节水灌溉工程概算_吴忠市国家农业科技园区供水工程最终" xfId="2659"/>
    <cellStyle name="好_利通区二支渠工程概算（周工核定）20100914" xfId="2660"/>
    <cellStyle name="好_利通区二支渠工程概算（周工核定）20100914_（10.17）庄立明2014年中央统筹资金永宁县第一排水沟、永清沟治理及泵站改造工程" xfId="2661"/>
    <cellStyle name="好_利通区二支渠工程概算（周工核定）20100914_2013年平罗小农水工程概算核2013.3.2" xfId="2662"/>
    <cellStyle name="好_利通区二支渠工程概算（周工核定）20100914_2014年小农水工程高效片区概算核2014.6.5" xfId="2663"/>
    <cellStyle name="好_利通区二支渠工程概算（周工核定）20100914_利水公司二标段报价" xfId="2664"/>
    <cellStyle name="好_利通区二支渠工程概算（周工核定）20100914_利水公司二标段报价_（10.17）庄立明2014年中央统筹资金永宁县第一排水沟、永清沟治理及泵站改造工程" xfId="2665"/>
    <cellStyle name="好_利通区二支渠工程概算（周工核定）20100914_利水公司二标段报价_2013年平罗小农水工程概算核2013.3.2_孙家滩高效节水概算朱清核（加30万最终批复f）2015.1.8" xfId="2666"/>
    <cellStyle name="好_利通区二支渠工程概算（周工核定）20100914_利水公司二标段报价_吴忠市国家农业科技园区供水工程最终" xfId="2667"/>
    <cellStyle name="好_利通区二支渠工程概算（周工核定）20100914_清水沟投标报价" xfId="2668"/>
    <cellStyle name="好_利通区二支渠工程概算（周工核定）20100914_清水沟投标报价_2013年平罗小农水工程概算核2013.3.2_孙家滩高效节水概算朱清核（加30万最终批复f）2015.1.8" xfId="2669"/>
    <cellStyle name="好_利通区二支渠工程概算（周工核定）20100914_清水沟投标报价_吴忠市国家农业科技园区供水工程最终" xfId="2670"/>
    <cellStyle name="好_利通区二支渠工程概算（周工核定）20100914_三标段报价1" xfId="2671"/>
    <cellStyle name="好_利通区二支渠工程概算（周工核定）20100914_三标段报价1_孙家滩高效节水概算朱清核（加30万最终批复f）2015.1.8" xfId="2672"/>
    <cellStyle name="好_利通区二支渠工程概算（周工核定）20100914_孙家滩高效节水概算朱清核（加30万最终批复f）2015.1.8" xfId="2673"/>
    <cellStyle name="好_利通区二支渠工程概算（周工核定）20100914_兴水公司二支渠报价" xfId="2674"/>
    <cellStyle name="好_利通区二支渠工程概算（周工核定）20100914_兴水公司二支渠报价_（10.17）庄立明2014年中央统筹资金永宁县第一排水沟、永清沟治理及泵站改造工程" xfId="2675"/>
    <cellStyle name="好_利通区二支渠工程概算（周工核定）20100914_兴水公司二支渠报价_2013年平罗小农水工程概算核2013.3.2" xfId="2676"/>
    <cellStyle name="好_利通区二支渠工程概算（周工核定）20100914_兴水公司二支渠报价_孙家滩高效节水概算朱清核（加30万最终批复f）2015.1.8" xfId="2677"/>
    <cellStyle name="好_利通区二支渠工程概算（周工核定）20100914_兴水公司二支渠报价_吴忠市国家农业科技园区供水工程最终" xfId="2678"/>
    <cellStyle name="好_利通区马波二渠及四支渠断面_（10.17）庄立明2014年中央统筹资金永宁县第一排水沟、永清沟治理及泵站改造工程" xfId="2679"/>
    <cellStyle name="好_利通区马波二渠及四支渠断面_2013年平罗小农水工程概算核2013.3.2_孙家滩高效节水概算朱清核（加30万最终批复f）2015.1.8" xfId="2680"/>
    <cellStyle name="好_利通区马波二渠及四支渠断面_2014年小农水工程高效片区概算核2014.6.5" xfId="2681"/>
    <cellStyle name="好_利通区马波二渠及四支渠断面_孙家滩高效节水概算朱清核（加30万最终批复f）2015.1.8" xfId="2682"/>
    <cellStyle name="好_中小河流-桑园沟治理工程预算-桑园沟2010.12.22核_盐池2014年度高效节水灌溉概算核2014.6.27" xfId="2683"/>
    <cellStyle name="好_南梁农场建设内容" xfId="2684"/>
    <cellStyle name="好_宁夏农垦农业综合开发十二五规划3.15_北庙灌水率及渠道流量计算" xfId="2685"/>
    <cellStyle name="好_宁夏农垦农业综合开发十二五规划3.15_北庙灌水率及渠道流量计算9-6" xfId="2686"/>
    <cellStyle name="好_宁夏农垦农业综合开发十二五规划3.15_贺兰北庙9-8" xfId="2687"/>
    <cellStyle name="好_宁夏小农水重点县项目取费标准参照表2012-10-21" xfId="2688"/>
    <cellStyle name="好_宁夏易捷枸杞庄园科技有限公司恩和枸杞示范基地滴灌项目2012.3.23（1f）_2013.10.11（最终）吴忠市金积造123纸工业园区速生林" xfId="2689"/>
    <cellStyle name="好_宁夏易捷枸杞庄园科技有限公司恩和枸杞示范基地滴灌项目2012.3.23（1f）_孙家滩高效节水概算朱清核（加30万最终批复f）2015.1.8" xfId="2690"/>
    <cellStyle name="好_农发仪器设备1_Book1" xfId="2691"/>
    <cellStyle name="好_农发仪器设备1_Book1_贺兰北庙9-8" xfId="2692"/>
    <cellStyle name="好_农发仪器设备1_北庙灌水率及渠道流量计算" xfId="2693"/>
    <cellStyle name="好_农发仪器设备1_灌水率及渠道流量计算" xfId="2694"/>
    <cellStyle name="好_农发仪器设备1_贺兰北庙9-8" xfId="2695"/>
    <cellStyle name="好_农垦局2011年政策性贷款土地项目计划投资明细表" xfId="2696"/>
    <cellStyle name="好_农业汇总2" xfId="2697"/>
    <cellStyle name="好_农业汇总2_三三支沟上段总概算" xfId="2698"/>
    <cellStyle name="好_农业水价改革示范项目（中卫）" xfId="2699"/>
    <cellStyle name="好_彭阳县工程概算表2012-10-21-核" xfId="2700"/>
    <cellStyle name="好_批复黄羊滩（116）预算定额（最终）2010.9.3 2" xfId="2701"/>
    <cellStyle name="好_批复黄羊滩（116）预算定额（最终）2010.9.3 4" xfId="2702"/>
    <cellStyle name="好_批复黄羊滩（116）预算定额（最终）2010.9.3 5" xfId="2703"/>
    <cellStyle name="好_批复黄羊滩（116）预算定额（最终）2010.9.3_Sheet1" xfId="2704"/>
    <cellStyle name="好_批复黄羊滩（116）预算定额（最终）2010.9.3_第五批小农水重点县中宁县舟塔乡铁渠枸杞滴灌工程2014.4.9" xfId="2705"/>
    <cellStyle name="好_批复黄羊滩（116）预算定额（最终）2010.9.3_惠农渠永宁县李俊镇新老出水渠取水工程2013-05-14" xfId="2706"/>
    <cellStyle name="好_批复黄羊滩（116）预算定额（最终）2010.9.3_利通区抗旱规划报告（修编）暨2012-2016年实施方案" xfId="2707"/>
    <cellStyle name="好_批复黄羊滩（116）预算定额（最终）2010.9.3_吴忠利通区五里坡ff" xfId="2708"/>
    <cellStyle name="好_批复黄羊滩（116）预算定额（最终）2010.9.3_吴忠市金积造纸工业园区 速生林（余工）基地工程【2009)13号" xfId="2709"/>
    <cellStyle name="好_批复黄羊滩（116）预算定额（最终）2010.9.3_吴忠市孙家滩土地占补二期预算（马建涛2014.7.6终）" xfId="2710"/>
    <cellStyle name="好_批复黄羊滩（116）预算定额（最终）2010.9.3_五里坡2014年度小农水概算核2014.6.8" xfId="2711"/>
    <cellStyle name="好_批复黄羊滩（116）预算定额（最终）2010.9.3_小人饮工程工程量" xfId="2712"/>
    <cellStyle name="好_批复黄羊滩（116）预算定额（最终）2010.9.3_原州区姚磨喷灌概算核2014.1.6_孙家滩高效节水概算朱清核（加30万最终批复f）2015.1.8" xfId="2713"/>
    <cellStyle name="好_平罗高仁节水灌溉概算表5.20（总价核定）" xfId="2714"/>
    <cellStyle name="好_秦家沟水库工程可研估算审核2011.5.12核" xfId="2715"/>
    <cellStyle name="好_秦家沟水库工程可研估算审核2011.5.12核_喊叫水概算汇总表【批复】" xfId="2716"/>
    <cellStyle name="好_秦家沟水库工程可研估算审核2011.5.12核_小人饮工程工程量" xfId="2717"/>
    <cellStyle name="好_秦家沟水库工程可研估算审核2011.5.12核_盐池2014年度高效节水灌溉概算核2014.6.27" xfId="2718"/>
    <cellStyle name="好_秦家沟水库工程可研估算审核2011.5.12核_永宁闽宁葡萄滴管工程（三期）概算核2014.10.12" xfId="2719"/>
    <cellStyle name="好_秦家沟水库工程可研估算审核2011.5.12核_原州区姚磨喷灌概算核2014.1.6" xfId="2720"/>
    <cellStyle name="好_秦家沟水库工程可研估算审核2011.5.12核_原州区姚磨喷灌概算核2014.1.6_孙家滩高效节水概算朱清核（加30万最终批复f）2015.1.8" xfId="2721"/>
    <cellStyle name="好_青铜峡鸽子山概算核2014.6.12" xfId="2722"/>
    <cellStyle name="好_青铜峡市2万亩葡萄滴灌概算" xfId="2723"/>
    <cellStyle name="好_青铜峡市未入户工程工程量" xfId="2724"/>
    <cellStyle name="好_清水沟投标报价" xfId="2725"/>
    <cellStyle name="好_清水沟投标报价_（10.17）庄立明2014年中央统筹资金永宁县第一排水沟、永清沟治理及泵站改造工程" xfId="2726"/>
    <cellStyle name="好_清水沟投标报价_2013年平罗小农水工程概算核2013.3.2" xfId="2727"/>
    <cellStyle name="计算 2" xfId="2728"/>
    <cellStyle name="好_清水沟投标报价_2013年平罗小农水工程概算核2013.3.2_孙家滩高效节水概算朱清核（加30万最终批复f）2015.1.8" xfId="2729"/>
    <cellStyle name="好_清水沟投标报价_吴忠市国家农业科技园区供水工程最终" xfId="2730"/>
    <cellStyle name="好_庆华水厂设计费监理费计算表" xfId="2731"/>
    <cellStyle name="好_庆华水厂设计费监理费计算表_（10.17）庄立明2014年中央统筹资金永宁县第一排水沟、永清沟治理及泵站改造工程" xfId="2732"/>
    <cellStyle name="好_庆华水厂设计费监理费计算表_2013年度青铜峡小农水概算核2013.3.4" xfId="2733"/>
    <cellStyle name="好_庆华水厂设计费监理费计算表_2013年平罗小农水工程概算核2013.3.2" xfId="2734"/>
    <cellStyle name="好_庆华水厂设计费监理费计算表_孙家滩高效节水概算朱清核（加30万最终批复f）2015.1.8" xfId="2735"/>
    <cellStyle name="好_庆华水厂设计费监理费计算表_吴忠市国家农业科技园区供水工程最终" xfId="2736"/>
    <cellStyle name="好_人工湖工程预算2011.3.25(存）" xfId="2737"/>
    <cellStyle name="好_人工湖工程预算2011.3.25(存） 2" xfId="2738"/>
    <cellStyle name="好_天宇奶牛概算（张伟峰）" xfId="2739"/>
    <cellStyle name="好_人工湖工程预算2011.3.25(存） 3" xfId="2740"/>
    <cellStyle name="好_三三支沟上段总概算" xfId="2741"/>
    <cellStyle name="好_桑园沟新定额概算表(0713收)(审)" xfId="2742"/>
    <cellStyle name="好_桑园沟新定额概算表(0713收)(审)_喊叫水概算汇总表【批复】" xfId="2743"/>
    <cellStyle name="好_桑园沟新定额概算表(0713收)(审)_原州区姚磨喷灌概算核2014.1.6" xfId="2744"/>
    <cellStyle name="好_桑园沟新定额概算表(0713收)(审)_原州区姚磨喷灌概算核2014.1.6_孙家滩高效节水概算朱清核（加30万最终批复f）2015.1.8" xfId="2745"/>
    <cellStyle name="好_晒场" xfId="2746"/>
    <cellStyle name="好_晒场_小人饮工程工程量" xfId="2747"/>
    <cellStyle name="好_中卫市南山台泵站1" xfId="2748"/>
    <cellStyle name="好_晒场_永宁闽宁葡萄滴管工程（三期）概算核2014.10.12" xfId="2749"/>
    <cellStyle name="好_晒场_原州区姚磨喷灌概算核2014.1.6" xfId="2750"/>
    <cellStyle name="好_晒场_原州区姚磨喷灌概算核2014.1.6_孙家滩高效节水概算朱清核（加30万最终批复f）2015.1.8" xfId="2751"/>
    <cellStyle name="好_生态移民农业开发土壤改良及治沙工程控制价工程修改" xfId="2752"/>
    <cellStyle name="好_石头河概算" xfId="2753"/>
    <cellStyle name="好_台时、单价汇总" xfId="2754"/>
    <cellStyle name="好_台时计算表" xfId="2755"/>
    <cellStyle name="好_台时计算表_孙家滩高效节水概算朱清核（加30万最终批复f）2015.1.8" xfId="2756"/>
    <cellStyle name="好_天宁牧业公司万头奶牛基地供水工程投资概算总表2012.6.27（马玲） 2" xfId="2757"/>
    <cellStyle name="好_天宁牧业公司万头奶牛基地供水工程投资概算总表2012.6.27（马玲） 3" xfId="2758"/>
    <cellStyle name="好_同心人饮估算（修改方案8" xfId="2759"/>
    <cellStyle name="好_王乐井乡王吾岔高效节水灌溉工程预算" xfId="2760"/>
    <cellStyle name="好_吴忠城南防洪排涝工程附属工程预算_孙家滩高效节水概算朱清核（加30万最终批复f）2015.1.8" xfId="2761"/>
    <cellStyle name="好_吴忠市双吉沟概算核2012.12.7" xfId="2762"/>
    <cellStyle name="好_吴忠市孙家牧草高效节水灌溉工程总概算表2012.12.7（马玲）" xfId="2763"/>
    <cellStyle name="好_吴忠市孙家滩项目2011.12.16（马玲）【2009】13号文概算标准" xfId="2764"/>
    <cellStyle name="好_吴忠市孙家滩项目2011.12.16（马玲）【2009】13号文概算标准 3" xfId="2765"/>
    <cellStyle name="好_吴忠市孙家滩项目2011.12.16（马玲）【2009】13号文概算标准_（2014.9.5）温棚滴灌工程" xfId="2766"/>
    <cellStyle name="好_吴忠市孙家滩项目2011.12.16（马玲）【2009】13号文概算标准_2013.10.11（最终）吴忠市金积造123纸工业园区速生林" xfId="2767"/>
    <cellStyle name="好_吴忠市孙家滩项目2011.12.16（马玲）【2009】13号文概算标准_小人饮工程工程量" xfId="2768"/>
    <cellStyle name="好_吴忠市孙家滩项目2011.12.16（马玲）【2009】13号文概算标准_永宁闽宁葡萄滴管工程（三期）概算核2014.10.12" xfId="2769"/>
    <cellStyle name="好_吴忠市孙家滩项目2011.12.16-批复概算" xfId="2770"/>
    <cellStyle name="好_吴忠市孙家滩项目2011.12.16-批复概算 3" xfId="2771"/>
    <cellStyle name="好_吴忠市孙家滩项目2011.12.16-批复概算_Book1" xfId="2772"/>
    <cellStyle name="计算 4" xfId="2773"/>
    <cellStyle name="好_吴忠市孙家滩项目2011.12.16-批复概算_盐池县高效节水概算" xfId="2774"/>
    <cellStyle name="好_吴忠市孙家滩项目2011.12.16-批复概算_永宁闽宁葡萄滴管工程（三期）概算核2014.10.12" xfId="2775"/>
    <cellStyle name="适中 9" xfId="2776"/>
    <cellStyle name="好_吴忠市孙家滩项目2011.12.16-批复概算_永宁闽宁葡萄滴管工程（三期）概算核2014.10.12_孙家滩高效节水概算朱清核（加30万最终批复f）2015.1.8" xfId="2777"/>
    <cellStyle name="好_吴忠市孙家滩优质苹果高效节水灌溉工程总概算表2012.10.21（马玲）-核" xfId="2778"/>
    <cellStyle name="好_五里坡2014年度小农水概算核2014.6.8" xfId="2779"/>
    <cellStyle name="好_西吉县葫芦河治理工程概算表（116号）-核 3" xfId="2780"/>
    <cellStyle name="好_西吉县葫芦河治理工程概算表（116号）-核 5" xfId="2781"/>
    <cellStyle name="好_西吉县葫芦河治理工程概算表（116号）-核_2012.5.15修改 五里坡配套控制价" xfId="2782"/>
    <cellStyle name="好_西吉县葫芦河治理工程概算表（116号）-核_2012.5.15修改 五里坡配套控制价_2014年小农水工程高效片区概算核2014.6.5" xfId="2783"/>
    <cellStyle name="好_西吉县葫芦河治理工程概算表（116号）-核_2012.5.15修改 五里坡配套控制价_孙家滩高效节水概算朱清核（加30万最终批复f）2015.1.8" xfId="2784"/>
    <cellStyle name="好_西吉县葫芦河治理工程概算表（116号）-核_Sheet1" xfId="2785"/>
    <cellStyle name="链接单元格 5" xfId="2786"/>
    <cellStyle name="好_西吉县葫芦河治理工程概算表（116号）-核_滨河连接线招标控制价" xfId="2787"/>
    <cellStyle name="好_西吉县葫芦河治理工程概算表（116号）-核_滨河连接线招标控制价_孙家滩高效节水概算朱清核（加30万最终批复f）2015.1.8" xfId="2788"/>
    <cellStyle name="好_西吉县葫芦河治理工程概算表（116号）-核_第五批小农水重点县中宁县舟塔乡铁渠枸杞滴灌工程2014.4.9" xfId="2789"/>
    <cellStyle name="好_西吉县葫芦河治理工程概算表（116号）-核_贺兰县兰光村、金鑫村高效节水核2012.9.13" xfId="2790"/>
    <cellStyle name="好_西吉县葫芦河治理工程概算表（116号）-核_贺兰县兰光村、金鑫村高效节水核2012.9.13_（10.17）庄立明2014年中央统筹资金永宁县第一排水沟、永清沟治理及泵站改造工程" xfId="2791"/>
    <cellStyle name="好_西吉县葫芦河治理工程概算表（116号）-核_贺兰县兰光村、金鑫村高效节水核2012.9.13_孙家滩高效节水概算朱清核（加30万最终批复f）2015.1.8" xfId="2792"/>
    <cellStyle name="强调文字颜色 6 4" xfId="2793"/>
    <cellStyle name="好_西吉县葫芦河治理工程概算表（116号）-核_惠农渠永宁县李俊镇新老出水渠取水工程2013-05-14" xfId="2794"/>
    <cellStyle name="好_西吉县葫芦河治理工程概算表（116号）-核_宁夏中宁县出口枸杞生产示范基地节水滴灌项目" xfId="2795"/>
    <cellStyle name="好_西吉县葫芦河治理工程概算表（116号）-核_天元水泥厂工程概算表2014.4.21" xfId="2796"/>
    <cellStyle name="好_西吉县葫芦河治理工程概算表（116号）-核_吴忠利通区五里坡ff" xfId="2797"/>
    <cellStyle name="好_西吉县葫芦河治理工程概算表（116号）-核_吴忠市金积造纸工业园区 速生林（余工）基地工程【2009)13号" xfId="2798"/>
    <cellStyle name="好_西吉县葫芦河治理工程概算表（116号）-核_吴忠市利通区扁担沟镇五里坡片区综合开发工程" xfId="2799"/>
    <cellStyle name="好_西吉县葫芦河治理工程概算表（116号）-核_五里坡2014年度小农水概算核2014.6.8" xfId="2800"/>
    <cellStyle name="好_西吉县葫芦河治理工程概算表（116号）-核_盐池2014年度高效节水灌溉概算核2014.6.27" xfId="2801"/>
    <cellStyle name="好_西吉县葫芦河治理工程概算表（116号）-核_永宁闽宁葡萄滴管工程（三期）概算核2014.10.12" xfId="2802"/>
    <cellStyle name="好_西吉县葫芦河治理工程概算表（116号）-核_中宁红柳沟概算最终2013.4.17" xfId="2803"/>
    <cellStyle name="好_小洪沟（新定额）2010.7.10改估算改_2013年平罗小农水工程概算核2013.3.2" xfId="2804"/>
    <cellStyle name="好_小洪沟（新定额）2010.7.10改估算改_2014年小农水工程高效片区概算核2014.6.5" xfId="2805"/>
    <cellStyle name="好_小洪沟（新定额）2010.7.10改估算改_喊叫水概算汇总表【批复】" xfId="2806"/>
    <cellStyle name="好_小洪沟（新定额）2010.7.10改估算改_原州区姚磨喷灌概算核2014.1.6" xfId="2807"/>
    <cellStyle name="好_小洪沟（新定额）2010.7.10改估算改_原州区姚磨喷灌概算核2014.1.6_孙家滩高效节水概算朱清核（加30万最终批复f）2015.1.8" xfId="2808"/>
    <cellStyle name="好_小农水单价" xfId="2809"/>
    <cellStyle name="好_兴水公司二支渠报价" xfId="2810"/>
    <cellStyle name="好_兴水公司二支渠报价_（10.17）庄立明2014年中央统筹资金永宁县第一排水沟、永清沟治理及泵站改造工程" xfId="2811"/>
    <cellStyle name="好_兴水公司二支渠报价_2014年小农水工程高效片区概算核2014.6.5" xfId="2812"/>
    <cellStyle name="好_兴水公司二支渠报价_吴忠市国家农业科技园区供水工程最终" xfId="2813"/>
    <cellStyle name="好_盐池高效节水概算核2014.1.7" xfId="2814"/>
    <cellStyle name="好_盐池县红山沟河道整治概算核2011.4.19" xfId="2815"/>
    <cellStyle name="好_盐池县红山沟河道整治工程110303 3" xfId="2816"/>
    <cellStyle name="好_盐池县麻黄山净水厂概算表2013.7.10" xfId="2817"/>
    <cellStyle name="好_盐池县平阳沟小型农田水利节水灌溉工程概算" xfId="2818"/>
    <cellStyle name="强调文字颜色 2 6" xfId="2819"/>
    <cellStyle name="好_盐池小农概算核2012.9.12" xfId="2820"/>
    <cellStyle name="好_窑山人饮概算核2012.4.27" xfId="2821"/>
    <cellStyle name="好_永宁县胜利乡金沙葡萄滴灌项目116号文概算2012.11.21_喊叫水概算汇总表【批复】" xfId="2822"/>
    <cellStyle name="好_永宁县胜利乡金沙葡萄滴灌项目116号文概算2012.11.21_盐池2014年度高效节水灌溉概算核2014.6.27" xfId="2823"/>
    <cellStyle name="好_永宁县胜利乡金沙葡萄滴灌项目116号文概算2012.11.21_永宁闽宁葡萄滴管工程（三期）概算核2014.10.12" xfId="2824"/>
    <cellStyle name="好_永宁县西部水资源综合利用工程（银子湖）概算2012.12.13" xfId="2825"/>
    <cellStyle name="好_永宁县西部水资源综合利用工程（银子湖）概算2012.12.13 2" xfId="2826"/>
    <cellStyle name="好_永宁县中干沟沟道砌护工程（一期工程）马玲2012.3.19 2" xfId="2827"/>
    <cellStyle name="好_渝河下游沟道治理工程概算核2012.6.19" xfId="2828"/>
    <cellStyle name="好_渝河下游沟道治理工程概算核2012.6.19_（10.17）庄立明2014年中央统筹资金永宁县第一排水沟、永清沟治理及泵站改造工程" xfId="2829"/>
    <cellStyle name="好_渝河下游沟道治理工程概算核2012.6.19_孙家滩高效节水概算朱清核（加30万最终批复f）2015.1.8" xfId="2830"/>
    <cellStyle name="好_原州区姚磨喷灌概算核2014.1.6" xfId="2831"/>
    <cellStyle name="链接单元格 4" xfId="2832"/>
    <cellStyle name="好_原州区姚磨喷灌概算核2014.1.6_孙家滩高效节水概算朱清核（加30万最终批复f）2015.1.8" xfId="2833"/>
    <cellStyle name="好_中宁红柳沟概算20110530再核(常规)" xfId="2834"/>
    <cellStyle name="好_中宁县小农水投资概算核2014.6.21" xfId="2835"/>
    <cellStyle name="好_中石化效益费用计算1008" xfId="2836"/>
    <cellStyle name="好_中石化效益费用计算1008_孙家滩高效节水概算朱清核（加30万最终批复f）2015.1.8" xfId="2837"/>
    <cellStyle name="好_中小河流单价" xfId="2838"/>
    <cellStyle name="好_中小河流单价_改(8.6)宁夏弘德慈善产业园区防洪工程" xfId="2839"/>
    <cellStyle name="解释性文本 10" xfId="2840"/>
    <cellStyle name="好_中小河流单价_贺兰县兰光村、金鑫村高效节水核2012.9.13" xfId="2841"/>
    <cellStyle name="好_中小河流单价_贺兰县兰光村、金鑫村高效节水核2012.9.13_吴忠市国家农业科技园区供水工程最终" xfId="2842"/>
    <cellStyle name="好_中小河流单价_孙家滩高效节水概算朱清核（加30万最终批复f）2015.1.8" xfId="2843"/>
    <cellStyle name="好_中小河流单价_吴忠市国家农业科技园区供水工程最终" xfId="2844"/>
    <cellStyle name="好_中小河流单价3" xfId="2845"/>
    <cellStyle name="好_中小河流-桑园沟治理工程预算-桑园沟2010.12.22核_喊叫水概算汇总表【批复】" xfId="2846"/>
    <cellStyle name="好_中小河流-桑园沟治理工程预算-桑园沟2010.12.22核_贺兰县兰光村、金鑫村高效节水核2012.9.13" xfId="2847"/>
    <cellStyle name="好_中小河流-桑园沟治理工程预算-桑园沟2010.12.22核_贺兰县兰光村、金鑫村高效节水核2012.9.13_（10.17）庄立明2014年中央统筹资金永宁县第一排水沟、永清沟治理及泵站改造工程" xfId="2848"/>
    <cellStyle name="好_中小河流-桑园沟治理工程预算-桑园沟2010.12.22核_贺兰县兰光村、金鑫村高效节水核2012.9.13_孙家滩高效节水概算朱清核（加30万最终批复f）2015.1.8" xfId="2849"/>
    <cellStyle name="好_中小河流-桑园沟治理工程预算-桑园沟2010.12.22核_宁夏小农水重点县项目取费标准参照表2012-10-21（审）" xfId="2850"/>
    <cellStyle name="好_中小河流-桑园沟治理工程预算-桑园沟2010.12.22核_宁夏小农水重点县项目取费标准参照表2012-10-21（审）_孙家滩高效节水概算朱清核（加30万最终批复f）2015.1.8" xfId="2851"/>
    <cellStyle name="好_中小河流-桑园沟治理工程预算-桑园沟2010.12.22核_其他费用" xfId="2852"/>
    <cellStyle name="汇总 5" xfId="2853"/>
    <cellStyle name="货币 2" xfId="2854"/>
    <cellStyle name="计算 10" xfId="2855"/>
    <cellStyle name="计算 3" xfId="2856"/>
    <cellStyle name="计算 5" xfId="2857"/>
    <cellStyle name="计算 7" xfId="2858"/>
    <cellStyle name="计算 8" xfId="2859"/>
    <cellStyle name="检查单元格 10" xfId="2860"/>
    <cellStyle name="检查单元格 2 2" xfId="2861"/>
    <cellStyle name="检查单元格 2_Sheet1" xfId="2862"/>
    <cellStyle name="检查单元格 4" xfId="2863"/>
    <cellStyle name="检查单元格 5" xfId="2864"/>
    <cellStyle name="检查单元格 8" xfId="2865"/>
    <cellStyle name="检查单元格 9" xfId="2866"/>
    <cellStyle name="解释性文本 3" xfId="2867"/>
    <cellStyle name="警告文本 10" xfId="2868"/>
    <cellStyle name="警告文本 4" xfId="2869"/>
    <cellStyle name="警告文本 6" xfId="2870"/>
    <cellStyle name="警告文本 7" xfId="2871"/>
    <cellStyle name="警告文本 8" xfId="2872"/>
    <cellStyle name="链接单元格 10" xfId="2873"/>
    <cellStyle name="链接单元格 3" xfId="2874"/>
    <cellStyle name="链接单元格 6" xfId="2875"/>
    <cellStyle name="千分位[0?_fb-2-3(4)" xfId="2876"/>
    <cellStyle name="千分位[0]_ 电器仪表" xfId="2877"/>
    <cellStyle name="千分位[а]_fb-2/б(2)?中低产田" xfId="2878"/>
    <cellStyle name="千分位_ 电器仪表" xfId="2879"/>
    <cellStyle name="千位[0]_ 方正PC" xfId="2880"/>
    <cellStyle name="千位分隔 2 3" xfId="2881"/>
    <cellStyle name="样式 1 2 3" xfId="2882"/>
    <cellStyle name="千位分隔[0] 2" xfId="2883"/>
    <cellStyle name="强调 3" xfId="2884"/>
    <cellStyle name="强调文字颜色 1 10" xfId="2885"/>
    <cellStyle name="强调文字颜色 1 2" xfId="2886"/>
    <cellStyle name="强调文字颜色 1 4" xfId="2887"/>
    <cellStyle name="强调文字颜色 1 5" xfId="2888"/>
    <cellStyle name="强调文字颜色 1 6" xfId="2889"/>
    <cellStyle name="强调文字颜色 1 7" xfId="2890"/>
    <cellStyle name="强调文字颜色 1 9" xfId="2891"/>
    <cellStyle name="强调文字颜色 2 3" xfId="2892"/>
    <cellStyle name="强调文字颜色 2 5" xfId="2893"/>
    <cellStyle name="强调文字颜色 2 7" xfId="2894"/>
    <cellStyle name="强调文字颜色 2 8" xfId="2895"/>
    <cellStyle name="强调文字颜色 3 10" xfId="2896"/>
    <cellStyle name="强调文字颜色 3 7" xfId="2897"/>
    <cellStyle name="强调文字颜色 3 8" xfId="2898"/>
    <cellStyle name="强调文字颜色 4 5" xfId="2899"/>
    <cellStyle name="强调文字颜色 4 6" xfId="2900"/>
    <cellStyle name="强调文字颜色 4 7" xfId="2901"/>
    <cellStyle name="强调文字颜色 5 10" xfId="2902"/>
    <cellStyle name="强调文字颜色 5 2" xfId="2903"/>
    <cellStyle name="强调文字颜色 5 3" xfId="2904"/>
    <cellStyle name="强调文字颜色 5 4" xfId="2905"/>
    <cellStyle name="强调文字颜色 5 7" xfId="2906"/>
    <cellStyle name="强调文字颜色 6 2" xfId="2907"/>
    <cellStyle name="强调文字颜色 6 5" xfId="2908"/>
    <cellStyle name="强调文字颜色 6 6" xfId="2909"/>
    <cellStyle name="强调文字颜色 6 7" xfId="2910"/>
    <cellStyle name="强调文字颜色 6 8" xfId="2911"/>
    <cellStyle name="强调文字颜色 6 9" xfId="2912"/>
    <cellStyle name="日期" xfId="2913"/>
    <cellStyle name="适中 10" xfId="2914"/>
    <cellStyle name="适中 2" xfId="2915"/>
    <cellStyle name="适中 3" xfId="2916"/>
    <cellStyle name="适中 5" xfId="2917"/>
    <cellStyle name="适中 7" xfId="2918"/>
    <cellStyle name="适中 8" xfId="2919"/>
    <cellStyle name="输出 3" xfId="2920"/>
    <cellStyle name="输出 4" xfId="2921"/>
    <cellStyle name="输出 5" xfId="2922"/>
    <cellStyle name="输出 6" xfId="2923"/>
    <cellStyle name="输出 8" xfId="2924"/>
    <cellStyle name="输出 9" xfId="2925"/>
    <cellStyle name="输入 4" xfId="2926"/>
    <cellStyle name="输入 5" xfId="2927"/>
    <cellStyle name="输入 6" xfId="2928"/>
    <cellStyle name="输入 7" xfId="2929"/>
    <cellStyle name="输入 8" xfId="2930"/>
    <cellStyle name="输入 9" xfId="2931"/>
    <cellStyle name="数量" xfId="2932"/>
    <cellStyle name="㼿㼿㼿㼿㼿㼿㼿" xfId="2933"/>
    <cellStyle name="样式 1 2" xfId="2934"/>
    <cellStyle name="样式 1 2 4" xfId="2935"/>
    <cellStyle name="样式 1 3" xfId="2936"/>
    <cellStyle name="昗弨_Pacific Region P&amp;L" xfId="2937"/>
    <cellStyle name="寘嬫愗傝 [0.00]_Region Orders (2)" xfId="2938"/>
    <cellStyle name="注释 2" xfId="2939"/>
    <cellStyle name="注释 2_（10.17）庄立明2014年中央统筹资金永宁县第一排水沟、永清沟治理及泵站改造工程" xfId="2940"/>
    <cellStyle name="注释 3" xfId="2941"/>
    <cellStyle name="注释 4" xfId="2942"/>
    <cellStyle name="注释 5" xfId="2943"/>
    <cellStyle name="注释 6" xfId="2944"/>
    <cellStyle name="注释 9" xfId="2945"/>
  </cellStyles>
  <tableStyles count="0" defaultTableStyle="TableStyleMedium9" defaultPivotStyle="PivotStyleLight16"/>
  <colors>
    <mruColors>
      <color rgb="0000CC99"/>
      <color rgb="0066FF99"/>
      <color rgb="0062C677"/>
      <color rgb="003EA85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78.xml"/><Relationship Id="rId98" Type="http://schemas.openxmlformats.org/officeDocument/2006/relationships/externalLink" Target="externalLinks/externalLink77.xml"/><Relationship Id="rId97" Type="http://schemas.openxmlformats.org/officeDocument/2006/relationships/externalLink" Target="externalLinks/externalLink76.xml"/><Relationship Id="rId96" Type="http://schemas.openxmlformats.org/officeDocument/2006/relationships/externalLink" Target="externalLinks/externalLink75.xml"/><Relationship Id="rId95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73.xml"/><Relationship Id="rId93" Type="http://schemas.openxmlformats.org/officeDocument/2006/relationships/externalLink" Target="externalLinks/externalLink72.xml"/><Relationship Id="rId92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70.xml"/><Relationship Id="rId90" Type="http://schemas.openxmlformats.org/officeDocument/2006/relationships/externalLink" Target="externalLinks/externalLink69.xml"/><Relationship Id="rId9" Type="http://schemas.openxmlformats.org/officeDocument/2006/relationships/worksheet" Target="worksheets/sheet9.xml"/><Relationship Id="rId89" Type="http://schemas.openxmlformats.org/officeDocument/2006/relationships/externalLink" Target="externalLinks/externalLink68.xml"/><Relationship Id="rId88" Type="http://schemas.openxmlformats.org/officeDocument/2006/relationships/externalLink" Target="externalLinks/externalLink67.xml"/><Relationship Id="rId87" Type="http://schemas.openxmlformats.org/officeDocument/2006/relationships/externalLink" Target="externalLinks/externalLink66.xml"/><Relationship Id="rId86" Type="http://schemas.openxmlformats.org/officeDocument/2006/relationships/externalLink" Target="externalLinks/externalLink65.xml"/><Relationship Id="rId85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63.xml"/><Relationship Id="rId83" Type="http://schemas.openxmlformats.org/officeDocument/2006/relationships/externalLink" Target="externalLinks/externalLink62.xml"/><Relationship Id="rId82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60.xml"/><Relationship Id="rId80" Type="http://schemas.openxmlformats.org/officeDocument/2006/relationships/externalLink" Target="externalLinks/externalLink59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58.xml"/><Relationship Id="rId78" Type="http://schemas.openxmlformats.org/officeDocument/2006/relationships/externalLink" Target="externalLinks/externalLink57.xml"/><Relationship Id="rId77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55.xml"/><Relationship Id="rId75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52.xml"/><Relationship Id="rId72" Type="http://schemas.openxmlformats.org/officeDocument/2006/relationships/externalLink" Target="externalLinks/externalLink51.xml"/><Relationship Id="rId71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49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48.xml"/><Relationship Id="rId68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45.xml"/><Relationship Id="rId65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41.xml"/><Relationship Id="rId61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39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31.xml"/><Relationship Id="rId51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29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2" Type="http://schemas.openxmlformats.org/officeDocument/2006/relationships/sharedStrings" Target="sharedStrings.xml"/><Relationship Id="rId111" Type="http://schemas.openxmlformats.org/officeDocument/2006/relationships/styles" Target="styles.xml"/><Relationship Id="rId110" Type="http://schemas.openxmlformats.org/officeDocument/2006/relationships/theme" Target="theme/theme1.xml"/><Relationship Id="rId11" Type="http://schemas.openxmlformats.org/officeDocument/2006/relationships/worksheet" Target="worksheets/sheet11.xml"/><Relationship Id="rId109" Type="http://schemas.openxmlformats.org/officeDocument/2006/relationships/externalLink" Target="externalLinks/externalLink88.xml"/><Relationship Id="rId108" Type="http://schemas.openxmlformats.org/officeDocument/2006/relationships/externalLink" Target="externalLinks/externalLink87.xml"/><Relationship Id="rId107" Type="http://schemas.openxmlformats.org/officeDocument/2006/relationships/externalLink" Target="externalLinks/externalLink86.xml"/><Relationship Id="rId106" Type="http://schemas.openxmlformats.org/officeDocument/2006/relationships/externalLink" Target="externalLinks/externalLink85.xml"/><Relationship Id="rId105" Type="http://schemas.openxmlformats.org/officeDocument/2006/relationships/externalLink" Target="externalLinks/externalLink84.xml"/><Relationship Id="rId104" Type="http://schemas.openxmlformats.org/officeDocument/2006/relationships/externalLink" Target="externalLinks/externalLink83.xml"/><Relationship Id="rId103" Type="http://schemas.openxmlformats.org/officeDocument/2006/relationships/externalLink" Target="externalLinks/externalLink82.xml"/><Relationship Id="rId102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0.xml"/><Relationship Id="rId100" Type="http://schemas.openxmlformats.org/officeDocument/2006/relationships/externalLink" Target="externalLinks/externalLink79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4191;&#35199;&#24179;&#26524;&#39033;&#30446;&#39044;&#31639;11-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8&#24180;&#24037;&#20316;\&#26607;&#22378;&#39033;&#30446;\2&#24178;&#31649;&#25237;&#36164;&#21644;&#32463;&#27982;&#35780;&#20215;\Szy5\&#38463;&#21345;&#23572;dj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24314;&#25991;&#20214;&#22841;%20(4)\&#26032;&#24314;&#25991;&#20214;&#22841;\&#26032;&#24314;&#25991;&#20214;&#22841;\&#25991;\m\&#21556;&#24544;\&#26032;&#24314;&#25991;&#20214;&#22841;\&#39044;&#31639;&#65288;&#20013;&#23425;&#20462;&#25913;&#65289;9.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YS\&#24800;&#24217;&#32447;\&#24800;&#24217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9.10\&#22806;&#21150;&#26032;&#22686;4&#65288;&#39532;&#65289;&#65288;42&#20154;\&#24037;&#20316;&#35777;(42&#20154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&#39532;&#26032;&#26757;1\9.10\&#22806;&#21150;&#26032;&#22686;4&#65288;&#39532;&#65289;&#65288;42&#20154;\&#24037;&#20316;&#35777;(42&#20154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&#39532;&#26032;&#26757;1\&#26446;&#24069;\&#26446;&#24069;2&#65288;88&#20154;&#65289;\&#20154;&#31038;&#21381;&#65288;73&#20154;&#65289;\&#24037;&#20316;&#35777;&#65288;66&#20154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9&#26376;4&#26085;\&#23425;&#22799;&#39547;&#20140;&#21150;2&#20154;\&#23425;&#22799;&#39547;&#20140;&#21150;&#24037;&#20316;&#35777;2&#2015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&#39532;&#26032;&#26757;1\9&#26376;4&#26085;\&#23425;&#22799;&#39547;&#20140;&#21150;2&#20154;\&#23425;&#22799;&#39547;&#20140;&#21150;&#24037;&#20316;&#35777;2&#201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1407;&#21439;&#22303;&#22320;&#24179;&#25972;&#39044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023;&#21407;&#21439;&#22303;&#22320;&#24179;&#25972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20399;&#32768;&#26149;\My%20Documents\&#37995;&#36798;&#38209;&#19994;&#27010;&#31639;&#20070;X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20399;&#32768;&#26149;\My%20Documents\&#37995;&#36798;&#38209;&#19994;&#27010;&#31639;&#20070;X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6164;&#26009;\&#27743;&#28304;&#30005;&#31449;&#26426;&#30005;&#26631;&#24213;\&#26426;&#26800;&#21488;&#296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POWER%20ASSUMPTION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16&#24180;\3&#26376;-&#36154;&#20848;&#21439;2016-2020&#24180;&#30416;&#30897;&#22320;&#25913;&#33391;&#39033;&#30446;\&#21487;&#30740;\&#35828;&#26126;&#12289;&#20272;&#31639;\&#20272;&#31639;&#34920;&#65288;&#21487;&#3074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4081;&#21033;&#25991;&#26412;&#30424;&#19979;&#20840;&#37096;&#25991;&#20214;\&#34081;&#21033;&#25991;\&#39044;&#31639;\&#30005;&#27668;&#39044;&#31639;\&#30333;&#33448;&#28393;&#30005;&#27668;\&#30333;&#33448;&#28393;&#25193;&#24314;\&#30333;&#33448;&#28393;&#20027;&#21464;&#25193;&#24314;&#24037;&#31243;&#39044;&#31639;\01-&#30333;&#33448;&#28393;1#&#20027;&#21464;110KV&#27010;&#31639;(&#22303;&#24314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164;&#26009;\&#20020;&#26102;&#25991;&#20214;\&#38271;&#23665;&#22836;&#20020;&#26102;\&#26032;&#24314;&#25991;&#20214;&#22841;\&#39044;&#31639;&#65288;&#20013;&#23425;&#20462;&#25913;&#65289;9.2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Documents%20and%20Settings\Administrator\My%20Documents\&#26032;&#24314;&#25991;&#20214;&#22841;\&#39044;&#31639;&#65288;&#20013;&#23425;&#20462;&#25913;&#65289;9.2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579;&#24037;2009.12.25\13&#26631;&#39044;&#3163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Documents%20and%20Settings\Administrator\My%20Documents\&#22303;&#22320;&#24320;&#21457;&#25972;&#29702;\2014.5.10\2014.1.6&#65288;&#26368;&#32456;&#36865;&#23457;&#65289;&#21033;&#36890;&#21306;2013&#24180;&#22303;&#22320;&#25972;&#29702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4037;2009.12.25\13&#26631;&#39044;&#3163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Documents%20and%20Settings\Administrator\My%20Documents\&#22303;&#22320;&#24320;&#21457;&#25972;&#29702;\2014.5.10\Users\Administrator\Desktop\2012.2.15&#22823;&#25112;&#22330;&#39044;&#31639;&#34920;&#26684;(&#21439;&#32423;&#35780;&#23457;&#31295;)%2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1407;&#22303;&#22320;\&#28023;&#21407;&#21439;&#22303;&#22320;&#24179;&#25972;&#39044;&#3163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023;&#21407;&#22303;&#22320;\&#28023;&#21407;&#21439;&#22303;&#22320;&#24179;&#25972;&#39044;&#3163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zy5\&#38463;&#21345;&#23572;dj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5237;&#36164;&#23457;&#26680;\&#40644;&#27827;&#39033;&#30446;\2017&#20013;&#23567;&#27827;&#27969;\&#24110;\&#19969;&#24037;\103&#26045;&#24037;&#36153;&#39044;&#31639;&#34920;&#26684;2.2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dministrator\&#26700;&#38754;\&#23567;&#20892;&#27700;&#34917;&#20805;&#39033;&#30446;2012-10-21\&#21556;&#24544;&#24066;\&#21556;&#24544;&#24066;&#23385;&#23478;&#28393;&#20248;&#36136;&#33529;&#26524;&#39640;&#25928;&#33410;&#27700;&#28748;&#28297;&#24037;&#31243;&#24635;&#27010;&#31639;&#34920;2012.10.21&#65288;&#39532;&#29618;&#65289;-&#2668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45;&#21010;&#22788;\2011&#24180;&#39033;&#30446;\&#21516;&#24515;&#35199;&#37096;&#20154;&#39278;&#20272;&#31639;&#26680;2001-6-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84&#22242;&#39033;&#30446;&#39044;&#31639;&#35797;&#31639;\&#39033;&#30446;&#24211;\&#39033;&#30446;&#35268;&#21010;&#35774;&#35745;&#19982;&#39044;&#31639;\&#22235;&#24029;&#12289;&#37325;&#24198;&#39033;&#30446;\&#37325;&#24198;&#29863;&#23665;&#39033;&#30446;\412&#25104;&#26524;\&#39044;&#31639;&#34920;2004&#12290;04&#12290;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9&#24180;&#25991;&#20214;\09&#24180;&#35199;&#22799;&#21306;&#20892;&#21457;\&#35199;&#22799;&#21306;&#20892;&#21457;&#39033;&#30446;&#27010;&#31639;&#34920;.xls(&#23457;&#26597;&#21518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4CFD6C9\2012&#24180;&#19971;&#33829;&#39044;&#31639;&#21381;&#32423;&#35780;&#23457;&#20462;&#25913;&#65288;0220&#32456;&#29256;&#65289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45;&#21010;&#22788;&#39033;&#30446;\2009&#24180;1236&#25307;&#26631;&#65288;&#24352;&#65289;\&#21313;&#19968;&#27893;&#31449;\Documents%20and%20Settings\qq\Local%20Settings\Temporary%20Internet%20Files\Content.IE5\QF0XINAT\&#25991;&#26723;\&#22303;&#22320;&#25972;&#29702;&#39033;&#30446;\&#38738;&#38108;&#23777;&#37045;&#23703;\Documents%20and%20Settings\xianlong\Local%20Settings\Temp\&#21315;&#38451;&#21439;&#21271;&#29255;&#32456;&#39044;&#31639;&#3492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41A2CAC\Local%20Setting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&#24180;\10&#26376;-&#36154;&#20848;2016&#24180;&#30416;&#30897;&#22320;&#21450;&#35268;&#21010;\&#36154;&#20848;&#21439;2016&#24180;&#30416;&#30897;&#22320;&#23454;&#26045;&#29255;&#21306;\&#36154;&#20848;&#21439;&#31435;&#23703;&#12289;&#27946;&#24191;&#29255;&#21306;\&#28192;&#36947;&#37096;&#20998;\&#25972;&#29702;&#34920;&#26684;&#65288;mkh&#65289;\&#39044;&#31639;&#34920;&#65288;&#31435;&#23703;&#12289;&#27946;&#24191;&#6528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037;&#31243;&#27719;&#24635;&#22270;\2008&#24180;&#24037;&#31243;\&#31995;&#32479;\B015S-&#30333;&#33448;&#28393;1#&#20027;&#21464;&#25193;&#24314;&#24037;&#31243;\B015C-A-&#21021;&#35774;\01-&#30333;&#33448;&#28393;1#&#20027;&#21464;110KV&#27010;&#31639;(&#22303;&#24314;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123\&#26700;&#38754;\&#21307;&#20445;\1\nxbatch\&#22823;&#23398;&#29983;&#21442;&#20445;&#30331;&#35760;&#25253;&#30424;&#27169;&#2649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23\&#26700;&#38754;\&#21307;&#20445;\1\nxbatch\&#22823;&#23398;&#29983;&#21442;&#20445;&#30331;&#35760;&#25253;&#30424;&#27169;&#2649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3450;&#39069;&#20869;&#23481;20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037;&#20316;&#22841;\&#22269;&#22320;&#38498;\&#35199;&#23665;&#26032;&#30086;\&#26032;&#30086;&#29579;&#35199;&#23665;\&#35199;&#23665;&#20892;&#22330;&#24037;&#31243;&#37327;&#39044;&#31639;\&#20044;&#33487;&#24066;&#22303;&#22320;&#25972;&#29702;\&#21442;&#32771;&#36164;&#26009;\&#39044;&#31639;&#65288;&#28023;&#38451;&#65289;\2003&#24180;&#39033;&#30446;\&#36797;&#23425;&#30465;&#26222;&#20848;&#24215;&#39033;&#30446;\&#36797;&#23425;&#30465;&#26222;&#20848;&#24215;&#39033;&#30446;&#39044;&#31639;11.2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2418;&#26791;&#23665;&#20892;&#28192;&#30732;&#25252;&#39044;&#3163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5237;&#36164;&#23457;&#26680;\&#40644;&#27827;&#39033;&#30446;\2017&#20013;&#23567;&#27827;&#27969;\2011&#24180;\7&#26376;\&#26376;&#29273;&#28246;&#20065;2010&#24180;&#36864;&#32789;&#36824;&#26519;&#22522;&#26412;&#21475;&#31918;&#27700;&#21033;&#24314;&#35774;&#39033;&#30446;\&#39044;&#31639;\&#26376;&#29273;&#28246;&#36864;&#32789;&#36824;&#26519;&#27010;&#3163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2418;&#26791;&#23665;&#20892;&#28192;&#30732;&#25252;&#39044;&#3163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&#39532;&#26032;&#26757;1\Documents%20and%20Settings\lenovo\&#26700;&#38754;\&#21103;&#26412;&#36710;&#36742;&#35777;&#20214;&#30003;&#39046;&#34920;(&#19978;&#28023;&#25152;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-45\&#38271;&#20914;&#27827;&#30005;&#31449;&#36164;&#26009;\&#20852;&#20161;&#39532;&#23478;&#23663;&#27700;&#24211;\&#21153;&#24029;&#24037;&#31243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1407;&#22303;&#22320;&#25972;&#29702;&#25253;&#20215;&#3492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39640;&#20161;&#12289;&#39640;&#24196;&#31561;&#20065;&#38215;&#39640;&#25928;&#33410;&#27700;&#28748;&#28297;&#24037;&#31243;\&#26368;&#32456;&#29256;&#39044;&#31639;\du464049\&#20010;&#20154;\&#22806;&#25509;&#35774;&#35745;\&#27704;&#23425;&#21439;\&#23500;&#23425;\&#23454;&#26045;&#26041;&#26696;2015.4.8\&#23425;&#22799;&#39547;&#20140;&#21150;&#24037;&#20316;&#35777;2&#20154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TENCENT\QQ\Users\529415398\FileRecv\d\&#25105;&#30340;&#25991;&#26723;\&#29983;&#24577;&#31227;&#27665;\&#22826;&#38451;&#26753;\&#22826;&#38451;&#26753;&#31227;&#27665;&#20108;&#26399;\&#26032;&#24314;&#25991;&#20214;&#22841;\&#22303;&#22320;&#25972;&#29702;\&#38271;&#23665;&#22836;&#22303;&#22320;&#25972;&#29702;2.23\&#39044;&#31639;\&#26032;&#24314;&#25991;&#20214;&#22841;\&#39044;&#31639;&#65288;&#20013;&#23425;&#20462;&#25913;&#65289;9.24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033;&#27700;&#20844;&#21496;\2012&#24180;&#23567;&#20892;&#27700;\Documents%20and%20Settings\LXP\Local%20Settings\Temporary%20Internet%20Files\Content.IE5\UP70P0ZU\&#38738;&#39044;&#3163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39640;&#20161;&#12289;&#39640;&#24196;&#31561;&#20065;&#38215;&#39640;&#25928;&#33410;&#27700;&#28748;&#28297;&#24037;&#31243;\&#26368;&#32456;&#29256;&#39044;&#31639;\du464049\&#20010;&#20154;\&#22806;&#25509;&#35774;&#35745;\&#27704;&#23425;&#21439;\&#23500;&#23425;\&#23454;&#26045;&#26041;&#26696;2015.4.8\Book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122;&#34892;&#39033;&#30446;&#39044;&#31639;&#21450;&#24037;&#31243;&#37327;411\&#20122;&#34892;&#39044;&#31639;&#34920;3.10\Documents%20and%20Settings\LXP\Local%20Settings\Temporary%20Internet%20Files\Content.IE5\UP70P0ZU\&#38738;&#39044;&#31639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023;&#21407;&#22303;&#22320;&#25972;&#29702;&#25253;&#20215;&#34920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52;&#26195;&#29141;\&#35199;&#22799;&#27700;&#24211;\2012.5\&#21516;&#24515;&#20154;&#39278;&#20272;&#31639;&#65288;&#20462;&#25913;&#26041;&#26696;8.15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\Desktop\&#30707;&#22068;&#23665;&#24066;&#39640;&#26631;&#20934;&#20892;&#30000;&#24314;&#35774;&#39033;&#30446;&#24037;&#31243;&#27010;&#31639;3.28&#65288;&#38518;&#20048;&#29255;&#21306;&#65289;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\&#32418;&#23546;&#22561;&#28023;&#23376;&#22616;&#33889;&#33796;&#28404;&#28748;\1\2008\&#27969;&#22495;&#32508;&#21512;&#35268;&#21010;\&#25237;&#36164;&#20272;&#31639;\&#28165;&#27700;&#27827;&#27969;&#22495;\&#22266;&#21407;&#19996;&#37096;&#39278;&#27700;(284&#21495;&#25991;&#26631;&#20934;&#65289;%20&#27010;&#31639;(&#21306;&#20869;&#20462;&#25913;&#32456;&#32467;&#29256;-&#23457;-&#27491;&#24335;-&#22303;&#65289;2008(1).2.24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31243;&#35774;&#35745;\&#35774;&#35745;&#25991;&#20214;\&#35774;&#35745;&#25991;&#20214;&#65288;2020&#24180;&#65289;\2020&#24180;&#30707;&#22068;&#23665;&#24066;&#24217;&#21488;&#20065;&#12289;&#23453;&#20016;&#38215;&#21644;&#38518;&#20048;&#38215;2.8&#19975;&#20137;&#30416;&#30897;&#22320;&#25913;&#33391;&#24314;&#35774;&#39033;&#30446;&#65288;&#31508;&#35760;&#26412;&#25335;&#65289;3.9\&#21021;&#35774;&#31532;&#19968;&#31295;\&#24037;&#31243;&#27010;&#31639;\&#30707;&#22068;&#23665;&#24066;&#39640;&#26631;&#20934;&#20892;&#30000;&#24314;&#35774;&#39033;&#30446;&#24037;&#31243;&#27010;&#31639;3.22&#65288;&#38518;&#20048;&#29255;&#21306;&#65289;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6&#24180;&#24037;&#31243;\1&#24066;&#20892;&#21457;&#38534;&#28246;&#39640;&#26631;&#20934;\&#25216;&#26045;&#31295;\&#27010;&#31639;1&#26376;11&#26085;&#65288;&#38142;&#25509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8&#24180;&#24037;&#20316;\&#26607;&#22378;&#39033;&#30446;\2&#24178;&#31649;&#25237;&#36164;&#21644;&#32463;&#27982;&#35780;&#20215;\Szy5\&#38463;&#21345;&#23572;dj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补充定额子目计算表"/>
      <sheetName val="附表7主要材料用量汇总表"/>
      <sheetName val="附8工程量表"/>
      <sheetName val="定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单位估价"/>
      <sheetName val="#REF!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5"/>
      <sheetName val="定额"/>
      <sheetName val="二级代码"/>
      <sheetName val="直接工程费"/>
      <sheetName val="eqpmad2"/>
      <sheetName val="附表4直接工程费单价表"/>
      <sheetName val="附表2材料价格计算表"/>
      <sheetName val="表3工程施工费用"/>
      <sheetName val="数据字典"/>
      <sheetName val="机械汇总"/>
      <sheetName val="材价汇"/>
      <sheetName val="表2预算汇总表"/>
      <sheetName val="表3-1直接费预算表达式1"/>
      <sheetName val="表3-8"/>
      <sheetName val="材料表"/>
      <sheetName val="附表2 材料价格表"/>
      <sheetName val="#REF"/>
      <sheetName val="附表2"/>
      <sheetName val="附表4单价"/>
      <sheetName val="Financ. Overview"/>
      <sheetName val="Toolbox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工程费单价表"/>
      <sheetName val="G.1R-Shou COP Gf"/>
      <sheetName val="新定额单价"/>
      <sheetName val="#REF!"/>
      <sheetName val="Open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5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取费"/>
      <sheetName val="附表2"/>
      <sheetName val="附表2 材料价格表"/>
      <sheetName val="附表4直接工程费单价表"/>
      <sheetName val="Main"/>
      <sheetName val="表5-2工程监理费南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5"/>
      <sheetName val="表5-2工程监理费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定额"/>
      <sheetName val="材料表"/>
      <sheetName val="砼、砂浆半成品预算表"/>
      <sheetName val="附表2"/>
      <sheetName val="附表4单价"/>
      <sheetName val="二级代码"/>
      <sheetName val="数据字典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直接工程费单价表"/>
      <sheetName val="附表2材料价格计算表"/>
      <sheetName val="表3工程施工费用"/>
      <sheetName val="5"/>
      <sheetName val="SW-TEO"/>
      <sheetName val="新定额单价"/>
      <sheetName val="单价计算"/>
      <sheetName val="表1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数据字典"/>
      <sheetName val="Main"/>
      <sheetName val="附表4直接工程费单价表"/>
      <sheetName val="附表2材料价格计算表"/>
      <sheetName val="表3工程施工费用"/>
      <sheetName val="单位估价"/>
      <sheetName val="设备"/>
      <sheetName val="DE"/>
      <sheetName val="表3工程施工费表"/>
      <sheetName val="POWER ASSUMPTIONS"/>
      <sheetName val="表5-2工程监理费南"/>
      <sheetName val="#REF"/>
      <sheetName val="Sheet2"/>
      <sheetName val="定额"/>
      <sheetName val="表6不可预见费南 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5"/>
      <sheetName val="附表4砼、沙浆费计算表"/>
      <sheetName val="材料调差"/>
      <sheetName val="人工单价"/>
      <sheetName val="Financ. Overview"/>
      <sheetName val="Toolbox"/>
      <sheetName val="二级代码"/>
      <sheetName val="SW-TEO"/>
      <sheetName val="附表2材料价格表"/>
      <sheetName val="附表3机械台班"/>
      <sheetName val="附表5直接工程费单价表"/>
      <sheetName val="表2总预算"/>
      <sheetName val="表4设备购置费"/>
      <sheetName val="附表4工程费单价表"/>
      <sheetName val="附表2 材料价格表"/>
      <sheetName val="附表6砼砂浆"/>
      <sheetName val="附表2-1次材"/>
      <sheetName val="材料表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费用总表"/>
      <sheetName val="新汇总表"/>
      <sheetName val="定额"/>
      <sheetName val="其他费"/>
      <sheetName val="材料表"/>
      <sheetName val="运输"/>
      <sheetName val="设计费"/>
      <sheetName val="勘测费"/>
      <sheetName val="编制说明"/>
      <sheetName val="基础挖方"/>
      <sheetName val="金具计算"/>
      <sheetName val="Open"/>
      <sheetName val="数据字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费用总表"/>
      <sheetName val="新汇总表"/>
      <sheetName val="定额"/>
      <sheetName val="其他费"/>
      <sheetName val="材料表"/>
      <sheetName val="运输"/>
      <sheetName val="设计费"/>
      <sheetName val="勘测费"/>
      <sheetName val="编制说明"/>
      <sheetName val="基础挖方"/>
      <sheetName val="金具计算"/>
      <sheetName val="数据字典"/>
      <sheetName val="Open"/>
      <sheetName val="附表4直接工程费单价表"/>
      <sheetName val="附表2材料价格计算表"/>
      <sheetName val="表3工程施工费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"/>
      <sheetName val="base"/>
      <sheetName val="js"/>
      <sheetName val="js-市价"/>
      <sheetName val="dai hao"/>
      <sheetName val="附表4直接工程费单价表"/>
      <sheetName val="附表2材料价格计算表"/>
      <sheetName val="表3工程施工费用"/>
      <sheetName val="定额"/>
      <sheetName val="材料表"/>
      <sheetName val="Open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直接工程费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数据字典"/>
      <sheetName val="定额"/>
      <sheetName val="材料表"/>
      <sheetName val="二级代码"/>
      <sheetName val="Open"/>
      <sheetName val="直接工程费"/>
      <sheetName val="附表4工程费单价表"/>
      <sheetName val="附表2 材料价格表"/>
      <sheetName val="材料费"/>
      <sheetName val="DE"/>
      <sheetName val="机械定额"/>
      <sheetName val="5"/>
      <sheetName val="附表2"/>
      <sheetName val="附表4单价"/>
      <sheetName val="单价表"/>
      <sheetName val="附表3机械"/>
      <sheetName val="附表2材料"/>
      <sheetName val="附表1人工"/>
      <sheetName val="附表6砼配"/>
      <sheetName val="附表4直接工程费单价表"/>
      <sheetName val="附表2材料价格计算表"/>
      <sheetName val="表3工程施工费用"/>
      <sheetName val="机械汇总"/>
      <sheetName val="材价汇"/>
      <sheetName val="表2预算汇总表"/>
      <sheetName val="表3-1直接费预算表达式1"/>
      <sheetName val="汇总"/>
      <sheetName val="表3-8"/>
      <sheetName val="配合比"/>
      <sheetName val="材料预算价"/>
      <sheetName val="台班单价"/>
      <sheetName val="附表2人工预算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设备"/>
      <sheetName val="POWER ASSUMPTIONS"/>
      <sheetName val="G.1R-Shou COP Gf"/>
      <sheetName val="Main"/>
      <sheetName val="SW-TEO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附表4直接工程费单价表"/>
      <sheetName val="附表2材料价格计算表"/>
      <sheetName val="表3工程施工费用"/>
      <sheetName val="Toolbox"/>
      <sheetName val="数据字典"/>
      <sheetName val="定额"/>
      <sheetName val="材料表"/>
      <sheetName val="前期"/>
      <sheetName val="业主"/>
      <sheetName val="DE"/>
      <sheetName val="附表4工程费单价表"/>
      <sheetName val="附表2 材料价格表"/>
      <sheetName val="#REF"/>
      <sheetName val="二级代码"/>
      <sheetName val="单价表"/>
      <sheetName val="附表4砼、沙浆费计算表"/>
      <sheetName val="5"/>
      <sheetName val="附表2"/>
      <sheetName val="附表4单价"/>
      <sheetName val="材料调差"/>
      <sheetName val="人工单价"/>
      <sheetName val="材料费"/>
      <sheetName val="附表3机械台班计算表"/>
      <sheetName val="附表7砂浆配比表"/>
      <sheetName val="附表6砼配比表"/>
      <sheetName val="Open"/>
      <sheetName val="设备"/>
      <sheetName val="投资和任务情况表"/>
      <sheetName val="砼、砂浆半成品预算表"/>
      <sheetName val="表5-2工程监理费南"/>
      <sheetName val="Financ. Overview"/>
      <sheetName val="SW-TEO"/>
      <sheetName val="附表2人工预算单价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定额"/>
      <sheetName val="材料表"/>
      <sheetName val="POWER ASSUMPTIONS"/>
      <sheetName val="附表4直接工程费单价表"/>
      <sheetName val="附表2材料价格计算表"/>
      <sheetName val="表3工程施工费用"/>
      <sheetName val="G.1R-Shou COP Gf"/>
      <sheetName val="砼、砂浆半成品预算表"/>
      <sheetName val="数据字典"/>
      <sheetName val="机械汇总"/>
      <sheetName val="材价汇"/>
      <sheetName val="表2预算汇总表"/>
      <sheetName val="表3-1直接费预算表达式1"/>
      <sheetName val="汇总"/>
      <sheetName val="表3-8"/>
      <sheetName val="材料费"/>
      <sheetName val="附表2人工预算单价"/>
      <sheetName val="直接工程费"/>
      <sheetName val="单价表"/>
      <sheetName val="DE"/>
      <sheetName val="附表4砼、沙浆费计算表"/>
      <sheetName val="表5-2监理费"/>
      <sheetName val="附表1人工单价表"/>
      <sheetName val="表5-3竣工"/>
      <sheetName val="表5-1前期工作费"/>
      <sheetName val="表5-5业主"/>
      <sheetName val="附表3机械台班计算表"/>
      <sheetName val="附表7砂浆配比表"/>
      <sheetName val="附表6砼配比表"/>
      <sheetName val="渠道断面设计"/>
      <sheetName val="表5-2工程监理费南"/>
      <sheetName val="人工工资"/>
      <sheetName val="#REF"/>
      <sheetName val="SW-TEO"/>
      <sheetName val="材料调差"/>
      <sheetName val="人工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机电及设备"/>
      <sheetName val="特性表"/>
      <sheetName val="估算总表"/>
      <sheetName val="总表"/>
      <sheetName val="估算表-干沟、支干沟"/>
      <sheetName val="估算表 -支沟治理"/>
      <sheetName val="估算表-田间排水工程"/>
      <sheetName val="估算表-征地工程"/>
      <sheetName val="概算表（立岗片区）"/>
      <sheetName val="概算表 (洪广片区)"/>
      <sheetName val="概算表（习岗片区）"/>
      <sheetName val="单价汇总"/>
      <sheetName val="单价分析表"/>
      <sheetName val="基础参数值"/>
      <sheetName val="人工工资"/>
      <sheetName val="材料预算价"/>
      <sheetName val="附表3次要材料"/>
      <sheetName val="配合比"/>
      <sheetName val="机械汇总 "/>
      <sheetName val="设计费"/>
      <sheetName val="监理费 "/>
      <sheetName val="建管 咨询 招标"/>
      <sheetName val="G.1R-Shou COP Gf"/>
      <sheetName val="Toolbox"/>
      <sheetName val="POWER ASSUMPTION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数据字典"/>
      <sheetName val="eqpmad2"/>
      <sheetName val="表5-2工程监理费南"/>
      <sheetName val="Main"/>
      <sheetName val="附表2材料价格表"/>
      <sheetName val="附表3机械台班"/>
      <sheetName val="附表5直接工程费单价表"/>
      <sheetName val="表3工程施工费表"/>
      <sheetName val="附表2"/>
      <sheetName val="附表4单价"/>
      <sheetName val="附表4工程费单价表"/>
      <sheetName val="附表2 材料价格表"/>
      <sheetName val="Open"/>
      <sheetName val="表2总预算"/>
      <sheetName val="表4设备购置费"/>
      <sheetName val="附表4直接工程费单价表"/>
      <sheetName val="附表2材料价格计算表"/>
      <sheetName val="表3工程施工费用"/>
      <sheetName val="#REF"/>
      <sheetName val="附表 3台班单价"/>
      <sheetName val="附表 2－1 材料价格"/>
      <sheetName val="附表 1 人工单价"/>
      <sheetName val="前期"/>
      <sheetName val="业主"/>
      <sheetName val="直接工程费"/>
      <sheetName val="Toolbox"/>
      <sheetName val="表1"/>
      <sheetName val="Financ. Overview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POWER ASSUMPTIONS"/>
      <sheetName val="Toolbox"/>
      <sheetName val="材料费"/>
      <sheetName val="材料调差"/>
      <sheetName val="前期"/>
      <sheetName val="人工单价"/>
      <sheetName val="业主"/>
      <sheetName val="附表4砼、沙浆费计算表"/>
      <sheetName val="估算表-干沟、支干沟"/>
      <sheetName val="估算表 -支沟治理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机械汇总"/>
      <sheetName val="材价汇"/>
      <sheetName val="表2预算汇总表"/>
      <sheetName val="表3-1直接费预算表达式1"/>
      <sheetName val="汇总"/>
      <sheetName val="表3-8"/>
      <sheetName val="估算表-干沟、支干沟"/>
      <sheetName val="估算表 -支沟治理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Open"/>
      <sheetName val="Toolbox"/>
      <sheetName val="材料调差"/>
      <sheetName val="前期"/>
      <sheetName val="人工单价"/>
      <sheetName val="业主"/>
      <sheetName val="表5-2监理费"/>
      <sheetName val="附表1人工单价表"/>
      <sheetName val="表5-3竣工"/>
      <sheetName val="附表4砼、沙浆费计算表"/>
      <sheetName val="#REF!"/>
      <sheetName val="#REF"/>
      <sheetName val="单位估价"/>
      <sheetName val="新定额单价"/>
      <sheetName val="POWER ASSUMPTIONS"/>
      <sheetName val="附表4直接工程费单价表"/>
      <sheetName val="附表2材料价格计算表"/>
      <sheetName val="表3工程施工费用"/>
      <sheetName val="数据字典"/>
      <sheetName val="表1"/>
      <sheetName val="Financ. Overview"/>
      <sheetName val="配合比"/>
      <sheetName val="材料预算价"/>
      <sheetName val="台班单价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工程分项投资"/>
      <sheetName val="Sheet1"/>
      <sheetName val="附表6主要材料用量汇总表"/>
      <sheetName val="附7工程量表"/>
      <sheetName val="定额"/>
      <sheetName val="附表3机械"/>
      <sheetName val="附表2材料"/>
      <sheetName val="附表1人工"/>
      <sheetName val="附表6砼配"/>
      <sheetName val="Toolbox"/>
      <sheetName val="#REF"/>
      <sheetName val="附表4工程费单价表"/>
      <sheetName val="附表2 材料价格表"/>
      <sheetName val="单价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表6不可预见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表6不可预见"/>
      <sheetName val="表3工程施工费表"/>
      <sheetName val="定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分年"/>
      <sheetName val="总预算表2"/>
      <sheetName val="施工费总表3"/>
      <sheetName val="设备分总表4"/>
      <sheetName val="其他费用总表5"/>
      <sheetName val="总5-1、5-5"/>
      <sheetName val="不可预见费总表6"/>
      <sheetName val="分月总表7"/>
      <sheetName val="分年度预算表1片区1"/>
      <sheetName val="预算表2片区1"/>
      <sheetName val="施工费表3片区1"/>
      <sheetName val="直接费3-1片区1"/>
      <sheetName val="直接工程费3-1-1片区1"/>
      <sheetName val="间接费3-2片区1"/>
      <sheetName val="设备费4片区1"/>
      <sheetName val="其他费用5片区1"/>
      <sheetName val="5-1、5-5片区1"/>
      <sheetName val="不可预见费6片区1"/>
      <sheetName val="分月预算表7片区1"/>
      <sheetName val="分年度预算表1片区2"/>
      <sheetName val="预算表2片区2"/>
      <sheetName val="施工费表3片区2"/>
      <sheetName val="直接费3-1片区2"/>
      <sheetName val="直接工程费3-1-1片区2"/>
      <sheetName val="间接费3-2片区2"/>
      <sheetName val="设备费4片区2"/>
      <sheetName val="其他费用5片区1 (2)"/>
      <sheetName val="5-1、5-5片区2"/>
      <sheetName val="不可预见费6片区2"/>
      <sheetName val="分月预算表7片区2"/>
      <sheetName val="人工预算"/>
      <sheetName val="主材价格"/>
      <sheetName val="主材运杂费"/>
      <sheetName val="次要材料"/>
      <sheetName val="砼单价"/>
      <sheetName val="风水电"/>
      <sheetName val="机械台班"/>
      <sheetName val="直接工程费"/>
      <sheetName val="工程量统计"/>
      <sheetName val="排水沟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分年"/>
      <sheetName val="总预算表2"/>
      <sheetName val="施工费总表3"/>
      <sheetName val="设备分总表4"/>
      <sheetName val="其他费用总表5"/>
      <sheetName val="总5-1、5-5"/>
      <sheetName val="不可预见费总表6"/>
      <sheetName val="分月总表7"/>
      <sheetName val="分年度预算表1片区1"/>
      <sheetName val="预算表2片区1"/>
      <sheetName val="施工费表3片区1"/>
      <sheetName val="直接费3-1片区1"/>
      <sheetName val="直接工程费3-1-1片区1"/>
      <sheetName val="间接费3-2片区1"/>
      <sheetName val="设备费4片区1"/>
      <sheetName val="其他费用5片区1"/>
      <sheetName val="5-1、5-5片区1"/>
      <sheetName val="不可预见费6片区1"/>
      <sheetName val="分月预算表7片区1"/>
      <sheetName val="分年度预算表1片区2"/>
      <sheetName val="预算表2片区2"/>
      <sheetName val="施工费表3片区2"/>
      <sheetName val="直接费3-1片区2"/>
      <sheetName val="直接工程费3-1-1片区2"/>
      <sheetName val="间接费3-2片区2"/>
      <sheetName val="设备费4片区2"/>
      <sheetName val="其他费用5片区1 (2)"/>
      <sheetName val="5-1、5-5片区2"/>
      <sheetName val="不可预见费6片区2"/>
      <sheetName val="分月预算表7片区2"/>
      <sheetName val="人工预算"/>
      <sheetName val="主材价格"/>
      <sheetName val="主材运杂费"/>
      <sheetName val="次要材料"/>
      <sheetName val="砼单价"/>
      <sheetName val="风水电"/>
      <sheetName val="机械台班"/>
      <sheetName val="直接工程费"/>
      <sheetName val="工程量统计"/>
      <sheetName val="排水沟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"/>
      <sheetName val="表2预算总表 "/>
      <sheetName val="13标施工费改"/>
      <sheetName val="表7分月用款计划 "/>
      <sheetName val="表4设备费 "/>
      <sheetName val="表5其他费用"/>
      <sheetName val="表5-1前期工作费"/>
      <sheetName val="表5-2工程监理费"/>
      <sheetName val="表5-3竣工验收费 "/>
      <sheetName val="表5-4业主管理费 "/>
      <sheetName val="表6不可预见费 "/>
      <sheetName val="附表1 人工单价表"/>
      <sheetName val="附表2 材料价格表"/>
      <sheetName val="附表2-1主要材料价格计算表"/>
      <sheetName val="附表2-2风、水、电计算表"/>
      <sheetName val="附表3机械台班使用费"/>
      <sheetName val="附表3-1补充机械定额"/>
      <sheetName val="附表4工程费单价表"/>
      <sheetName val="附表5主要材料汇总表"/>
      <sheetName val="附表6砼、沙浆费计算表"/>
      <sheetName val="工程量"/>
      <sheetName val="直接工程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附表4工程费单价表"/>
      <sheetName val="附表2 材料价格表"/>
      <sheetName val="表6不可预见"/>
      <sheetName val="表3工程施工费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定额"/>
      <sheetName val="直接工程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附表4单价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"/>
      <sheetName val="表2预算总表 "/>
      <sheetName val="13标施工费改"/>
      <sheetName val="表7分月用款计划 "/>
      <sheetName val="表4设备费 "/>
      <sheetName val="表5其他费用"/>
      <sheetName val="表5-1前期工作费"/>
      <sheetName val="表5-2工程监理费"/>
      <sheetName val="表5-3竣工验收费 "/>
      <sheetName val="表5-4业主管理费 "/>
      <sheetName val="表6不可预见费 "/>
      <sheetName val="附表1 人工单价表"/>
      <sheetName val="附表2 材料价格表"/>
      <sheetName val="附表2-1主要材料价格计算表"/>
      <sheetName val="附表2-2风、水、电计算表"/>
      <sheetName val="附表3机械台班使用费"/>
      <sheetName val="附表3-1补充机械定额"/>
      <sheetName val="附表4工程费单价表"/>
      <sheetName val="附表5主要材料汇总表"/>
      <sheetName val="附表6砼、沙浆费计算表"/>
      <sheetName val="工程量"/>
      <sheetName val="直接工程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设备"/>
      <sheetName val="附表4工程费单价表"/>
      <sheetName val="附表2 材料价格表"/>
      <sheetName val="直接工程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"/>
      <sheetName val="附表2材料"/>
      <sheetName val="附表1人工"/>
      <sheetName val="附表6砼配"/>
      <sheetName val="#REF"/>
      <sheetName val="表6不可预见费南 "/>
      <sheetName val="直接工程费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工程单价"/>
      <sheetName val="材价汇"/>
      <sheetName val="主材价表"/>
      <sheetName val="砼配比"/>
      <sheetName val="机械"/>
      <sheetName val="机械汇总"/>
      <sheetName val="人工单价"/>
      <sheetName val="报价汇总表"/>
      <sheetName val="分项工程量报价表"/>
      <sheetName val="机总"/>
      <sheetName val="主要材料用量表"/>
      <sheetName val="主要材料预算表"/>
      <sheetName val="单价汇总表"/>
      <sheetName val="附表3机械台班计算表"/>
      <sheetName val="表3-1直接费预算表达式1"/>
      <sheetName val="表3-6"/>
      <sheetName val="表2预算汇总表"/>
      <sheetName val="附表4直接工程费单价表"/>
      <sheetName val="单位工程量"/>
      <sheetName val="表3-3"/>
      <sheetName val="表3-2"/>
      <sheetName val="附表2-1主要材料价格计算表"/>
      <sheetName val="表3-5"/>
      <sheetName val="表3工程施工费用"/>
      <sheetName val="表1项目总预算及分年度预算表"/>
      <sheetName val="表3-1-1直接工程费预算表"/>
      <sheetName val="表3-7"/>
      <sheetName val="附表2材料价格计算表"/>
      <sheetName val="表3工程施工费预算表"/>
      <sheetName val="表3-4"/>
      <sheetName val="附表6砼配比表"/>
      <sheetName val="表3-1"/>
      <sheetName val="表3-8"/>
      <sheetName val="表3-9"/>
      <sheetName val="表3-10"/>
      <sheetName val="表4设备购置费"/>
      <sheetName val="表3-2间接费预算表"/>
      <sheetName val="附表3机械"/>
      <sheetName val="附表2材料"/>
      <sheetName val="附表1人工"/>
      <sheetName val="附表6砼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工程单价"/>
      <sheetName val="材价汇"/>
      <sheetName val="主材价表"/>
      <sheetName val="砼配比"/>
      <sheetName val="机械"/>
      <sheetName val="机械汇总"/>
      <sheetName val="人工单价"/>
      <sheetName val="报价汇总表"/>
      <sheetName val="分项工程量报价表"/>
      <sheetName val="机总"/>
      <sheetName val="主要材料用量表"/>
      <sheetName val="主要材料预算表"/>
      <sheetName val="单价汇总表"/>
      <sheetName val="附表3机械台班计算表"/>
      <sheetName val="表3-1直接费预算表达式1"/>
      <sheetName val="表3-6"/>
      <sheetName val="表2预算汇总表"/>
      <sheetName val="附表4直接工程费单价表"/>
      <sheetName val="单位工程量"/>
      <sheetName val="表3-3"/>
      <sheetName val="表3-2"/>
      <sheetName val="附表2-1主要材料价格计算表"/>
      <sheetName val="表3-5"/>
      <sheetName val="表3工程施工费用"/>
      <sheetName val="表1项目总预算及分年度预算表"/>
      <sheetName val="表3-1-1直接工程费预算表"/>
      <sheetName val="表3-7"/>
      <sheetName val="附表2材料价格计算表"/>
      <sheetName val="表3工程施工费预算表"/>
      <sheetName val="表3-4"/>
      <sheetName val="附表6砼配比表"/>
      <sheetName val="表3-1"/>
      <sheetName val="表3-8"/>
      <sheetName val="表3-9"/>
      <sheetName val="表3-10"/>
      <sheetName val="表4设备购置费"/>
      <sheetName val="表3-2间接费预算表"/>
      <sheetName val="附表3机械"/>
      <sheetName val="附表2材料"/>
      <sheetName val="附表1人工"/>
      <sheetName val="附表6砼配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机械汇总"/>
      <sheetName val="材价汇"/>
      <sheetName val="表2预算汇总表"/>
      <sheetName val="表3-1直接费预算表达式1"/>
      <sheetName val="表3-8"/>
      <sheetName val="附表4工程费单价表"/>
      <sheetName val="附表2 材料价格表"/>
      <sheetName val="#REF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工程分项投资"/>
      <sheetName val="Sheet1"/>
      <sheetName val="附表6主要材料用量汇总表"/>
      <sheetName val="附7工程量表"/>
      <sheetName val="二级代码"/>
      <sheetName val="5"/>
      <sheetName val="机械汇总"/>
      <sheetName val="材价汇"/>
      <sheetName val="表2预算汇总表"/>
      <sheetName val="表3-1直接费预算表达式1"/>
      <sheetName val="表3-8"/>
      <sheetName val="附表3机械"/>
      <sheetName val="附表2材料"/>
      <sheetName val="附表1人工"/>
      <sheetName val="附表6砼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表3工程施工费用"/>
      <sheetName val="表4设备购置费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表3工程施工费表"/>
      <sheetName val="5"/>
      <sheetName val="附表4工程费单价表"/>
      <sheetName val="#REF"/>
      <sheetName val="附表2 材料价格表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（核）"/>
      <sheetName val="概算表（核）"/>
      <sheetName val="机电设备(核)"/>
      <sheetName val="PVC管材价格"/>
      <sheetName val="吴忠监测采集系统"/>
      <sheetName val="单价汇总表"/>
      <sheetName val="材料预算价(核)"/>
      <sheetName val="配合比"/>
      <sheetName val="台时"/>
      <sheetName val="新定额单价"/>
      <sheetName val="技术咨询费"/>
      <sheetName val="取费参照表"/>
      <sheetName val="取费参照表 (简)"/>
      <sheetName val="项目划分示例"/>
      <sheetName val="取费标准"/>
      <sheetName val="基础材料表"/>
      <sheetName val="附表3机械台班计算表"/>
      <sheetName val="附表2材料价格计算表"/>
      <sheetName val="附表1人工单价计算表"/>
      <sheetName val="附表7砂浆配比表"/>
      <sheetName val="#REF"/>
      <sheetName val="表3工程施工费表"/>
      <sheetName val="机械汇总"/>
      <sheetName val="材价汇"/>
      <sheetName val="表2预算汇总表"/>
      <sheetName val="表3-1直接费预算表达式1"/>
      <sheetName val="表3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PVC管材价"/>
      <sheetName val="台时"/>
      <sheetName val="配合比"/>
      <sheetName val="材料分析"/>
      <sheetName val="基础材料表"/>
      <sheetName val="材料预算价"/>
      <sheetName val="工程量汇总表"/>
      <sheetName val="自筹"/>
      <sheetName val="总估算"/>
      <sheetName val="机电"/>
      <sheetName val="估算"/>
      <sheetName val="单座"/>
      <sheetName val="临时"/>
      <sheetName val="占地"/>
      <sheetName val="监理费用"/>
      <sheetName val="独立费用"/>
      <sheetName val="设计费"/>
      <sheetName val="单价汇总表"/>
      <sheetName val="新定额单价"/>
      <sheetName val="技术咨询费"/>
      <sheetName val="附表3机械台班计算表"/>
      <sheetName val="附表2材料价格计算表"/>
      <sheetName val="附表1人工单价计算表"/>
      <sheetName val="附表7砂浆配比表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附表2 材料价格表"/>
      <sheetName val="附表4直接工程费单价表"/>
      <sheetName val="附表2材料价格计算表"/>
      <sheetName val="表3工程施工费用"/>
      <sheetName val="eqpmad2"/>
      <sheetName val="机械汇总"/>
      <sheetName val="材价汇"/>
      <sheetName val="表2预算汇总表"/>
      <sheetName val="表3-1直接费预算表达式1"/>
      <sheetName val="汇总"/>
      <sheetName val="表3-8"/>
      <sheetName val="定额"/>
      <sheetName val="SW-TEO"/>
      <sheetName val="数据字典"/>
      <sheetName val="5"/>
      <sheetName val="#REF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Main"/>
      <sheetName val="附表2"/>
      <sheetName val="附表4单价"/>
      <sheetName val="附表4工程费单价表"/>
      <sheetName val="新定额单价"/>
      <sheetName val="综合单价分析"/>
      <sheetName val="附表3机械"/>
      <sheetName val="附表3机械台班计算表"/>
      <sheetName val="附表2材料"/>
      <sheetName val="附表1人工"/>
      <sheetName val="附表7砂浆配比表"/>
      <sheetName val="附表6砼配"/>
      <sheetName val="附表6砼配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及分年度预算表"/>
      <sheetName val="总预算"/>
      <sheetName val="工程施工费"/>
      <sheetName val="直接费"/>
      <sheetName val="其他直接费"/>
      <sheetName val="现场经费"/>
      <sheetName val="间接费"/>
      <sheetName val="设备购置"/>
      <sheetName val="前期"/>
      <sheetName val="竣工"/>
      <sheetName val="业主"/>
      <sheetName val="拆迁补偿费"/>
      <sheetName val="不可预见"/>
      <sheetName val="项目季度分月用款计划表"/>
      <sheetName val="材料价格表"/>
      <sheetName val="砼、沙浆费计算表"/>
      <sheetName val="机械台班"/>
      <sheetName val="单价表1"/>
      <sheetName val="工程量表"/>
      <sheetName val="人工单价"/>
      <sheetName val="单价表"/>
      <sheetName val="材料费"/>
      <sheetName val="数据字典"/>
      <sheetName val="新定额单价"/>
      <sheetName val="机械汇总"/>
      <sheetName val="5"/>
      <sheetName val="材价汇"/>
      <sheetName val="表2预算汇总表"/>
      <sheetName val="表3-1直接费预算表达式1"/>
      <sheetName val="表3-8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投资表"/>
      <sheetName val="工程概算"/>
      <sheetName val="米造价"/>
      <sheetName val="材料表"/>
      <sheetName val="灌水率"/>
      <sheetName val="总表"/>
      <sheetName val="沟道"/>
      <sheetName val="泵站"/>
      <sheetName val="农沟"/>
      <sheetName val="单价表"/>
      <sheetName val="配合比"/>
      <sheetName val="台班费"/>
      <sheetName val="台班汇总"/>
      <sheetName val="工资"/>
      <sheetName val="单价分析表"/>
      <sheetName val="渠道汇总"/>
      <sheetName val="北支渠"/>
      <sheetName val="迎丰渠"/>
      <sheetName val="民生渠"/>
      <sheetName val="8队1斗"/>
      <sheetName val="8队3斗"/>
      <sheetName val="同庄2队"/>
      <sheetName val="7队1斗"/>
      <sheetName val="3闸9队1斗"/>
      <sheetName val="3闸9队2斗"/>
      <sheetName val="5队1斗"/>
      <sheetName val="3队斗"/>
      <sheetName val="4队2斗"/>
      <sheetName val="砌护量"/>
      <sheetName val="渠道"/>
      <sheetName val="材料费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台班计算表"/>
      <sheetName val="附表7砂浆配比表"/>
      <sheetName val="附表6砼配比表"/>
      <sheetName val="单价表"/>
      <sheetName val="新定额单价"/>
      <sheetName val="附表2材料价格计算表"/>
      <sheetName val="附表1人工单价计算表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分年度预算"/>
      <sheetName val="总预算"/>
      <sheetName val="工程施工费"/>
      <sheetName val="直接费"/>
      <sheetName val="人工费"/>
      <sheetName val="材料费"/>
      <sheetName val="施工机械额"/>
      <sheetName val="其他直接费"/>
      <sheetName val="间接费"/>
      <sheetName val="设备购置"/>
      <sheetName val="前期"/>
      <sheetName val="竣工"/>
      <sheetName val="不可预见费"/>
      <sheetName val="业主"/>
      <sheetName val="季度分月用款表"/>
      <sheetName val="材料调差"/>
      <sheetName val="单位估价"/>
      <sheetName val="人工单价"/>
      <sheetName val="机械调差"/>
      <sheetName val="费率计算"/>
      <sheetName val="Sheet1"/>
      <sheetName val="安装工程调差"/>
      <sheetName val="附表3机械台班计算表"/>
      <sheetName val="附表7砂浆配比表"/>
      <sheetName val="附表6砼配比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分年度预算"/>
      <sheetName val="总预算"/>
      <sheetName val="工程施工费"/>
      <sheetName val="直接费"/>
      <sheetName val="人工费"/>
      <sheetName val="材料费"/>
      <sheetName val="施工机械额"/>
      <sheetName val="其他直接费"/>
      <sheetName val="间接费"/>
      <sheetName val="设备购置"/>
      <sheetName val="前期"/>
      <sheetName val="竣工"/>
      <sheetName val="不可预见费"/>
      <sheetName val="业主"/>
      <sheetName val="季度分月用款表"/>
      <sheetName val="材料调差"/>
      <sheetName val="单位估价"/>
      <sheetName val="人工单价"/>
      <sheetName val="机械调差"/>
      <sheetName val="费率计算"/>
      <sheetName val="Sheet1"/>
      <sheetName val="安装工程调差"/>
      <sheetName val="附表3机械台班计算表"/>
      <sheetName val="附表7砂浆配比表"/>
      <sheetName val="附表6砼配比表"/>
      <sheetName val="单价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材料调差"/>
      <sheetName val="人工单价"/>
      <sheetName val="新定额单价"/>
      <sheetName val="附表3机械台班计算表"/>
      <sheetName val="附表7砂浆配比表"/>
      <sheetName val="附表6砼配比表"/>
      <sheetName val="单价表"/>
      <sheetName val="单价分析表"/>
      <sheetName val="人工工资"/>
      <sheetName val="基础参数值"/>
      <sheetName val="单位估价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表5-2监理费"/>
      <sheetName val="附表1人工单价表"/>
      <sheetName val="表5-3竣工"/>
      <sheetName val="表5-1前期工作费"/>
      <sheetName val="表5-5业主"/>
      <sheetName val="材料调差"/>
      <sheetName val="单价表"/>
      <sheetName val="附表3机械台班计算表"/>
      <sheetName val="附表7砂浆配比表"/>
      <sheetName val="附表6砼配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机电及设备"/>
      <sheetName val="总表"/>
      <sheetName val="概算表（立岗片区）"/>
      <sheetName val="概算表 (洪广片区)"/>
      <sheetName val="单价汇总"/>
      <sheetName val="单价分析表"/>
      <sheetName val="基础参数值"/>
      <sheetName val="人工工资"/>
      <sheetName val="材料预算价"/>
      <sheetName val="附表3次要材料"/>
      <sheetName val="配合比"/>
      <sheetName val="机械汇总 "/>
      <sheetName val="设计费"/>
      <sheetName val="监理费 "/>
      <sheetName val="建管 咨询 招标"/>
      <sheetName val="单位估价"/>
      <sheetName val="材料费"/>
      <sheetName val="附表3机械台班计算表"/>
      <sheetName val="材料调差"/>
      <sheetName val="人工单价"/>
      <sheetName val="附表7砂浆配比表"/>
      <sheetName val="附表6砼配比表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表5-2监理费"/>
      <sheetName val="附表1人工单价表"/>
      <sheetName val="表5-3竣工"/>
      <sheetName val="表5-1前期工作费"/>
      <sheetName val="表5-5业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定额"/>
      <sheetName val="单价分析表"/>
      <sheetName val="人工工资"/>
      <sheetName val="基础参数值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Toolbox"/>
      <sheetName val="#REF"/>
      <sheetName val="附表4直接工程费单价表"/>
      <sheetName val="附表2材料价格计算表"/>
      <sheetName val="表3工程施工费用"/>
      <sheetName val="5"/>
      <sheetName val="二级代码"/>
      <sheetName val="G.1R-Shou COP Gf"/>
      <sheetName val="渠道断面设计"/>
      <sheetName val="附表1人工单价表"/>
      <sheetName val="表5-3竣工"/>
      <sheetName val="附表2"/>
      <sheetName val="附表4单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台时"/>
      <sheetName val="配合比"/>
      <sheetName val="工程量汇总表7"/>
      <sheetName val="材料分析"/>
      <sheetName val="材料预算价"/>
      <sheetName val="基础材料表"/>
      <sheetName val="总估算"/>
      <sheetName val="暖泉渠"/>
      <sheetName val="唐徕渠"/>
      <sheetName val="独立费用"/>
      <sheetName val="机电"/>
      <sheetName val="监理费用"/>
      <sheetName val="设计费"/>
      <sheetName val="单价汇总表"/>
      <sheetName val="新定额单价"/>
      <sheetName val="附表1人工单价表"/>
      <sheetName val="表5-3竣工"/>
      <sheetName val="单位估价"/>
      <sheetName val="人工工资"/>
      <sheetName val="基础参数值"/>
      <sheetName val="单价分析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大学生信息"/>
      <sheetName val="填报说明"/>
      <sheetName val="二级代码"/>
      <sheetName val="新定额单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台时"/>
      <sheetName val="配合比"/>
      <sheetName val="工程量汇总表7"/>
      <sheetName val="材料分析"/>
      <sheetName val="材料预算价"/>
      <sheetName val="基础材料表"/>
      <sheetName val="总估算"/>
      <sheetName val="暖泉渠"/>
      <sheetName val="唐徕渠"/>
      <sheetName val="独立费用"/>
      <sheetName val="机电"/>
      <sheetName val="监理费用"/>
      <sheetName val="设计费"/>
      <sheetName val="单价汇总表"/>
      <sheetName val="附表1人工单价表"/>
      <sheetName val="表5-3竣工"/>
      <sheetName val="单价分析表"/>
      <sheetName val="人工工资"/>
      <sheetName val="基础参数值"/>
      <sheetName val="材料费"/>
      <sheetName val="单位估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大学生信息"/>
      <sheetName val="填报说明"/>
      <sheetName val="二级代码"/>
      <sheetName val="单位估价"/>
      <sheetName val="机械汇总"/>
      <sheetName val="材价汇"/>
      <sheetName val="表2预算汇总表"/>
      <sheetName val="汇总"/>
      <sheetName val="表3-1直接费预算表达式1"/>
      <sheetName val="表3-8"/>
      <sheetName val="新定额单价"/>
      <sheetName val="附表2"/>
      <sheetName val="附表1人工单价表"/>
      <sheetName val="表5-3竣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条目"/>
      <sheetName val="定额"/>
      <sheetName val="项目"/>
      <sheetName val="机械定额"/>
      <sheetName val="材料项目对比"/>
      <sheetName val="机械项目对比"/>
      <sheetName val="模块1"/>
      <sheetName val="附表2人工预算单价"/>
      <sheetName val="二级代码"/>
      <sheetName val="单位估价"/>
      <sheetName val="单价分析表"/>
      <sheetName val="人工工资"/>
      <sheetName val="基础参数值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分年度预算"/>
      <sheetName val="总预算"/>
      <sheetName val="工程施工费"/>
      <sheetName val="直接费"/>
      <sheetName val="人工费 "/>
      <sheetName val="材料费"/>
      <sheetName val="机械费"/>
      <sheetName val="其他直接费"/>
      <sheetName val="现场经费"/>
      <sheetName val="间接费"/>
      <sheetName val="设备购置"/>
      <sheetName val="前期"/>
      <sheetName val="竣工"/>
      <sheetName val="业主"/>
      <sheetName val="不可预见费"/>
      <sheetName val="季度分月用款表"/>
      <sheetName val="Sheet1"/>
      <sheetName val="人工单价计算表"/>
      <sheetName val="单价分析表（1）"/>
      <sheetName val="单价分析表(2)"/>
      <sheetName val="单价分析表 (3)"/>
      <sheetName val="工程量表"/>
      <sheetName val="预算材料价格表"/>
      <sheetName val="工程施工费 "/>
      <sheetName val="材料价格表"/>
      <sheetName val="机械定额"/>
      <sheetName val="单位估价"/>
      <sheetName val="二级代码"/>
      <sheetName val="费率"/>
      <sheetName val="附表3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新定额单价"/>
      <sheetName val="二级代码"/>
      <sheetName val="机械定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概算总表"/>
      <sheetName val="Sheet3"/>
      <sheetName val="总表"/>
      <sheetName val="概算表"/>
      <sheetName val="单价表"/>
      <sheetName val="台班费"/>
      <sheetName val="主要台班"/>
      <sheetName val="台班汇总"/>
      <sheetName val="配合比"/>
      <sheetName val="单价分析表"/>
      <sheetName val="附表2人工预算单价"/>
      <sheetName val="人工工资"/>
      <sheetName val="基础参数值"/>
      <sheetName val="机械定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机械定额"/>
      <sheetName val="新定额单价"/>
      <sheetName val="二级代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Sheet1"/>
      <sheetName val="表3工程施工费表"/>
      <sheetName val="表3-1直接费"/>
      <sheetName val="表3-1-1直接工程费"/>
      <sheetName val="附8工程量表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主要材料用量汇总表"/>
      <sheetName val="单价表"/>
      <sheetName val="新定额单价"/>
      <sheetName val="二级代码"/>
      <sheetName val="单价分析表"/>
      <sheetName val="人工工资"/>
      <sheetName val="基础参数值"/>
      <sheetName val="附表2人工预算单价"/>
      <sheetName val="机械定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红色车辆通行证"/>
      <sheetName val="配置参数"/>
      <sheetName val="数据字典"/>
      <sheetName val="00000ppy"/>
    </sheetNames>
    <sheetDataSet>
      <sheetData sheetId="0"/>
      <sheetData sheetId="1"/>
      <sheetData sheetId="2"/>
      <sheetData sheetId="3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Sheet1"/>
      <sheetName val="表3工程施工费表"/>
      <sheetName val="表3-1直接费"/>
      <sheetName val="表3-1-1直接工程费"/>
      <sheetName val="附8工程量表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主要材料用量汇总表"/>
      <sheetName val="单价表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7季度分月用款计划表"/>
      <sheetName val="附表2材料价格表"/>
      <sheetName val="附表3机械台班"/>
      <sheetName val="表3-2间接费"/>
      <sheetName val="表3-1-1直接工程费"/>
      <sheetName val="附表5直接工程费单价表"/>
      <sheetName val="附8工程量表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附表1人工单价表"/>
      <sheetName val="附表4砼、沙浆费计算表"/>
      <sheetName val="附表7主要材料用量汇总表"/>
      <sheetName val="新定额单价"/>
      <sheetName val="机械定额"/>
      <sheetName val="二级代码"/>
      <sheetName val="单价表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7季度分月用款计划表"/>
      <sheetName val="附表2材料价格表"/>
      <sheetName val="附表3机械台班"/>
      <sheetName val="表3-2间接费"/>
      <sheetName val="表3-1-1直接工程费"/>
      <sheetName val="附表5直接工程费单价表"/>
      <sheetName val="附8工程量表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附表1人工单价表"/>
      <sheetName val="附表4砼、沙浆费计算表"/>
      <sheetName val="附表7主要材料用量汇总表"/>
      <sheetName val="单价表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4.2报价汇总表"/>
      <sheetName val="4.3工程量清单"/>
      <sheetName val="5.6单价分析表"/>
      <sheetName val="5.1人工费计算表"/>
      <sheetName val="5.2主要材料预算单价"/>
      <sheetName val="5.3砂浆配合比表"/>
      <sheetName val="5.4施工机械台班费"/>
      <sheetName val="砼、砂浆半成品预算表"/>
      <sheetName val="5.5单价汇总表"/>
      <sheetName val="5.7总价工程"/>
      <sheetName val="5.8分组工程组成表"/>
      <sheetName val="材料预算表"/>
      <sheetName val="机械台班费计算表"/>
      <sheetName val="5.13资金流"/>
      <sheetName val="降价系数"/>
      <sheetName val="工程量汇总"/>
      <sheetName val="王单价"/>
      <sheetName val="临时工程单价汇总表"/>
      <sheetName val="取费"/>
      <sheetName val="土建单价测试表"/>
      <sheetName val="综合单价测试表"/>
      <sheetName val="主材定价"/>
      <sheetName val="风水电价"/>
      <sheetName val="SW-TEO"/>
      <sheetName val="附表4直接工程费单价表"/>
      <sheetName val="附表2材料价格计算表"/>
      <sheetName val="表3工程施工费用"/>
      <sheetName val="附表2人工预算单价"/>
      <sheetName val="附表4砼、沙浆费计算表"/>
      <sheetName val="材料调差"/>
      <sheetName val="人工单价"/>
      <sheetName val="机械定额"/>
      <sheetName val="机械汇总"/>
      <sheetName val="材价汇"/>
      <sheetName val="表2预算汇总表"/>
      <sheetName val="表3-1直接费预算表达式1"/>
      <sheetName val="汇总"/>
      <sheetName val="表3-8"/>
      <sheetName val="设备"/>
      <sheetName val="数据字典"/>
      <sheetName val="eqpmad2"/>
      <sheetName val="单位估价"/>
      <sheetName val="前期"/>
      <sheetName val="业主"/>
      <sheetName val="附表4工程费单价表"/>
      <sheetName val="附表2 材料价格表"/>
      <sheetName val="定额"/>
      <sheetName val="直接工程费"/>
      <sheetName val="单价表"/>
      <sheetName val="材料费"/>
      <sheetName val="#REF"/>
      <sheetName val="5"/>
      <sheetName val="二级代码"/>
      <sheetName val="G.1R-Shou COP Gf"/>
      <sheetName val="Toolbox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 3台班单价"/>
      <sheetName val="附表 2－1 材料价格"/>
      <sheetName val="附表 1 人工单价"/>
      <sheetName val="新定额单价"/>
      <sheetName val="附表2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砼、砂浆半成品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设备"/>
      <sheetName val="机械定额"/>
      <sheetName val="Sheet1"/>
      <sheetName val="附表4砼、沙浆费计算表"/>
      <sheetName val="砼、砂浆半成品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数据字典"/>
      <sheetName val="Sheet1"/>
      <sheetName val="砼、砂浆半成品预算表"/>
      <sheetName val="附表4砼、沙浆费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4砼、沙浆费计算表"/>
      <sheetName val="附表3机械台班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表5-2工程监理费南"/>
      <sheetName val="附表2人工预算单价"/>
      <sheetName val="单价表"/>
      <sheetName val="设备"/>
      <sheetName val="数据字典"/>
      <sheetName val="砼、砂浆半成品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4砼、沙浆费计算表"/>
      <sheetName val="附表3机械台班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表5-2工程监理费南"/>
      <sheetName val="数据字典"/>
      <sheetName val="设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附表4砼、沙浆费计算表"/>
      <sheetName val="表5-2工程监理费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数据字典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3-1"/>
      <sheetName val="3-1-1"/>
      <sheetName val="3-2"/>
      <sheetName val="4"/>
      <sheetName val="5"/>
      <sheetName val="5-1"/>
      <sheetName val="5-2"/>
      <sheetName val="5-3"/>
      <sheetName val="5-4"/>
      <sheetName val="6"/>
      <sheetName val="7"/>
      <sheetName val="附表1"/>
      <sheetName val="附表2"/>
      <sheetName val="附表2-1"/>
      <sheetName val="附表3"/>
      <sheetName val="砼4"/>
      <sheetName val="附表5"/>
      <sheetName val="附表6"/>
      <sheetName val="附表7风水电"/>
      <sheetName val="单价合计"/>
      <sheetName val="附表8(工程量汇总)"/>
      <sheetName val="单位估价"/>
      <sheetName val="附表4砼、沙浆费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附表4砼、沙浆费计算表"/>
      <sheetName val="附表2人工预算单价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附表2"/>
      <sheetName val="单位估价"/>
      <sheetName val="砼、砂浆半成品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3-1"/>
      <sheetName val="3-1-1"/>
      <sheetName val="3-2"/>
      <sheetName val="4"/>
      <sheetName val="5"/>
      <sheetName val="5-1"/>
      <sheetName val="5-2"/>
      <sheetName val="5-3"/>
      <sheetName val="5-4"/>
      <sheetName val="6"/>
      <sheetName val="7"/>
      <sheetName val="附表1"/>
      <sheetName val="附表2"/>
      <sheetName val="附表2-1"/>
      <sheetName val="附表3"/>
      <sheetName val="砼4"/>
      <sheetName val="附表5"/>
      <sheetName val="附表6"/>
      <sheetName val="附表7风水电"/>
      <sheetName val="单价合计"/>
      <sheetName val="附表8(工程量汇总)"/>
      <sheetName val="单位估价"/>
      <sheetName val="附表4砼、沙浆费计算表"/>
      <sheetName val="表5-2工程监理费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台时"/>
      <sheetName val="配合比"/>
      <sheetName val="材料分析"/>
      <sheetName val="基础材料表"/>
      <sheetName val="材料预算价"/>
      <sheetName val="工程量汇总表"/>
      <sheetName val="自筹"/>
      <sheetName val="总估算"/>
      <sheetName val="机电"/>
      <sheetName val="估算"/>
      <sheetName val="单体建筑物工程量"/>
      <sheetName val="临时"/>
      <sheetName val="占地"/>
      <sheetName val="监理费用"/>
      <sheetName val="独立费用"/>
      <sheetName val="设计费"/>
      <sheetName val="单价汇总表"/>
      <sheetName val="新定额单价"/>
      <sheetName val="单位估价"/>
      <sheetName val="设备"/>
      <sheetName val="数据字典"/>
      <sheetName val="附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 "/>
      <sheetName val="土地平整工程"/>
      <sheetName val="平罗县陶乐镇水利措施"/>
      <sheetName val="金属"/>
      <sheetName val="单价汇总 "/>
      <sheetName val="主材"/>
      <sheetName val="混凝土单价"/>
      <sheetName val="机械"/>
      <sheetName val="费率"/>
      <sheetName val="人工"/>
      <sheetName val="管材价格"/>
      <sheetName val="土方"/>
      <sheetName val="堆砌石"/>
      <sheetName val="混凝土"/>
      <sheetName val="河道治理工程"/>
      <sheetName val="安装工程"/>
      <sheetName val="园林"/>
      <sheetName val="Sheet1"/>
      <sheetName val="JYVKNHAY"/>
      <sheetName val="新定额单价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台班表"/>
      <sheetName val="砼配合比"/>
      <sheetName val="材料汇总"/>
      <sheetName val="工程量汇总表"/>
      <sheetName val="材料预算价"/>
      <sheetName val="辅助1"/>
      <sheetName val="辅助2"/>
      <sheetName val="辅助3"/>
      <sheetName val="汇报单价"/>
      <sheetName val="PVC管价"/>
      <sheetName val="玻璃钢管价"/>
      <sheetName val="概算审定表"/>
      <sheetName val="总表(入户少)"/>
      <sheetName val="总表"/>
      <sheetName val="建筑工程表 "/>
      <sheetName val="安装工程表"/>
      <sheetName val="监理费用"/>
      <sheetName val="其他费用"/>
      <sheetName val="临时工程"/>
      <sheetName val="单价汇总"/>
      <sheetName val="单价"/>
      <sheetName val="基础价取费表"/>
      <sheetName val="工资及经常费"/>
      <sheetName val="新定额单价"/>
      <sheetName val="总概算 "/>
      <sheetName val="土地平整工程"/>
      <sheetName val="平罗县陶乐镇水利措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封皮 (4)"/>
      <sheetName val="总概算 "/>
      <sheetName val="平罗县陶乐镇水利措施"/>
      <sheetName val="农艺措施"/>
      <sheetName val="金属"/>
      <sheetName val="单价汇总 "/>
      <sheetName val="主材"/>
      <sheetName val="混凝土单价"/>
      <sheetName val="机械"/>
      <sheetName val="费率"/>
      <sheetName val="人工"/>
      <sheetName val="管材价格"/>
      <sheetName val="土方"/>
      <sheetName val="堆砌石"/>
      <sheetName val="混凝土"/>
      <sheetName val="河道治理工程"/>
      <sheetName val="安装工程"/>
      <sheetName val="园林"/>
      <sheetName val="Sheet1"/>
      <sheetName val="JYVKNHAY"/>
      <sheetName val="概算审定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表2"/>
      <sheetName val="表3"/>
      <sheetName val="表4"/>
      <sheetName val="表5"/>
      <sheetName val="表6"/>
      <sheetName val="表6-1水利措施"/>
      <sheetName val="表6-2单价汇总"/>
      <sheetName val="表6-3单价分析"/>
      <sheetName val="表6-4配合比"/>
      <sheetName val="表6-5费率"/>
      <sheetName val="表6-6人工"/>
      <sheetName val="表7"/>
      <sheetName val="表7-1农业措施"/>
      <sheetName val="表8"/>
      <sheetName val="表8-1林带单价分析"/>
      <sheetName val="表9"/>
      <sheetName val="表9-1"/>
      <sheetName val="表10"/>
      <sheetName val="表10-1道路工程"/>
      <sheetName val="管材价格"/>
      <sheetName val="台时"/>
      <sheetName val="土方"/>
      <sheetName val="浆砌石"/>
      <sheetName val="其它"/>
      <sheetName val="砼"/>
      <sheetName val="JYVKNHAY"/>
      <sheetName val="新定额单价"/>
      <sheetName val="单价分析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定额"/>
      <sheetName val="Financ. Overview"/>
      <sheetName val="Toolbox"/>
      <sheetName val="表6不可预见"/>
      <sheetName val="表3工程施工费表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5"/>
  <sheetViews>
    <sheetView view="pageBreakPreview" zoomScaleNormal="100" workbookViewId="0">
      <selection activeCell="E44" sqref="E44"/>
    </sheetView>
  </sheetViews>
  <sheetFormatPr defaultColWidth="9" defaultRowHeight="14.25"/>
  <cols>
    <col min="1" max="1" width="6.25" style="946" customWidth="1"/>
    <col min="2" max="2" width="32.25" style="946" customWidth="1"/>
    <col min="3" max="3" width="9.875" style="947" customWidth="1"/>
    <col min="4" max="4" width="9.25" style="947" customWidth="1"/>
    <col min="5" max="5" width="8.875" style="947" customWidth="1"/>
    <col min="6" max="6" width="10.875" style="947" customWidth="1"/>
    <col min="7" max="7" width="10.75" style="946" customWidth="1"/>
    <col min="8" max="8" width="15.625" style="946" customWidth="1"/>
    <col min="9" max="9" width="11.5" style="946" customWidth="1"/>
    <col min="10" max="10" width="9.125" style="946" customWidth="1"/>
    <col min="11" max="11" width="8.75" style="946"/>
    <col min="12" max="12" width="9.375" style="946" customWidth="1"/>
    <col min="13" max="13" width="8.75" style="946"/>
    <col min="14" max="14" width="15.25" style="946" customWidth="1"/>
    <col min="15" max="248" width="8.75" style="946"/>
    <col min="249" max="249" width="4.25" style="946" customWidth="1"/>
    <col min="250" max="250" width="27.5" style="946" customWidth="1"/>
    <col min="251" max="251" width="11.125" style="946" customWidth="1"/>
    <col min="252" max="252" width="8.5" style="946" customWidth="1"/>
    <col min="253" max="253" width="10.375" style="946" customWidth="1"/>
    <col min="254" max="254" width="10.5" style="946" customWidth="1"/>
    <col min="255" max="255" width="20.5" style="946" customWidth="1"/>
    <col min="256" max="504" width="8.75" style="946"/>
    <col min="505" max="505" width="4.25" style="946" customWidth="1"/>
    <col min="506" max="506" width="27.5" style="946" customWidth="1"/>
    <col min="507" max="507" width="11.125" style="946" customWidth="1"/>
    <col min="508" max="508" width="8.5" style="946" customWidth="1"/>
    <col min="509" max="509" width="10.375" style="946" customWidth="1"/>
    <col min="510" max="510" width="10.5" style="946" customWidth="1"/>
    <col min="511" max="511" width="20.5" style="946" customWidth="1"/>
    <col min="512" max="760" width="8.75" style="946"/>
    <col min="761" max="761" width="4.25" style="946" customWidth="1"/>
    <col min="762" max="762" width="27.5" style="946" customWidth="1"/>
    <col min="763" max="763" width="11.125" style="946" customWidth="1"/>
    <col min="764" max="764" width="8.5" style="946" customWidth="1"/>
    <col min="765" max="765" width="10.375" style="946" customWidth="1"/>
    <col min="766" max="766" width="10.5" style="946" customWidth="1"/>
    <col min="767" max="767" width="20.5" style="946" customWidth="1"/>
    <col min="768" max="1016" width="8.75" style="946"/>
    <col min="1017" max="1017" width="4.25" style="946" customWidth="1"/>
    <col min="1018" max="1018" width="27.5" style="946" customWidth="1"/>
    <col min="1019" max="1019" width="11.125" style="946" customWidth="1"/>
    <col min="1020" max="1020" width="8.5" style="946" customWidth="1"/>
    <col min="1021" max="1021" width="10.375" style="946" customWidth="1"/>
    <col min="1022" max="1022" width="10.5" style="946" customWidth="1"/>
    <col min="1023" max="1023" width="20.5" style="946" customWidth="1"/>
    <col min="1024" max="1272" width="8.75" style="946"/>
    <col min="1273" max="1273" width="4.25" style="946" customWidth="1"/>
    <col min="1274" max="1274" width="27.5" style="946" customWidth="1"/>
    <col min="1275" max="1275" width="11.125" style="946" customWidth="1"/>
    <col min="1276" max="1276" width="8.5" style="946" customWidth="1"/>
    <col min="1277" max="1277" width="10.375" style="946" customWidth="1"/>
    <col min="1278" max="1278" width="10.5" style="946" customWidth="1"/>
    <col min="1279" max="1279" width="20.5" style="946" customWidth="1"/>
    <col min="1280" max="1528" width="8.75" style="946"/>
    <col min="1529" max="1529" width="4.25" style="946" customWidth="1"/>
    <col min="1530" max="1530" width="27.5" style="946" customWidth="1"/>
    <col min="1531" max="1531" width="11.125" style="946" customWidth="1"/>
    <col min="1532" max="1532" width="8.5" style="946" customWidth="1"/>
    <col min="1533" max="1533" width="10.375" style="946" customWidth="1"/>
    <col min="1534" max="1534" width="10.5" style="946" customWidth="1"/>
    <col min="1535" max="1535" width="20.5" style="946" customWidth="1"/>
    <col min="1536" max="1784" width="8.75" style="946"/>
    <col min="1785" max="1785" width="4.25" style="946" customWidth="1"/>
    <col min="1786" max="1786" width="27.5" style="946" customWidth="1"/>
    <col min="1787" max="1787" width="11.125" style="946" customWidth="1"/>
    <col min="1788" max="1788" width="8.5" style="946" customWidth="1"/>
    <col min="1789" max="1789" width="10.375" style="946" customWidth="1"/>
    <col min="1790" max="1790" width="10.5" style="946" customWidth="1"/>
    <col min="1791" max="1791" width="20.5" style="946" customWidth="1"/>
    <col min="1792" max="2040" width="8.75" style="946"/>
    <col min="2041" max="2041" width="4.25" style="946" customWidth="1"/>
    <col min="2042" max="2042" width="27.5" style="946" customWidth="1"/>
    <col min="2043" max="2043" width="11.125" style="946" customWidth="1"/>
    <col min="2044" max="2044" width="8.5" style="946" customWidth="1"/>
    <col min="2045" max="2045" width="10.375" style="946" customWidth="1"/>
    <col min="2046" max="2046" width="10.5" style="946" customWidth="1"/>
    <col min="2047" max="2047" width="20.5" style="946" customWidth="1"/>
    <col min="2048" max="2296" width="8.75" style="946"/>
    <col min="2297" max="2297" width="4.25" style="946" customWidth="1"/>
    <col min="2298" max="2298" width="27.5" style="946" customWidth="1"/>
    <col min="2299" max="2299" width="11.125" style="946" customWidth="1"/>
    <col min="2300" max="2300" width="8.5" style="946" customWidth="1"/>
    <col min="2301" max="2301" width="10.375" style="946" customWidth="1"/>
    <col min="2302" max="2302" width="10.5" style="946" customWidth="1"/>
    <col min="2303" max="2303" width="20.5" style="946" customWidth="1"/>
    <col min="2304" max="2552" width="8.75" style="946"/>
    <col min="2553" max="2553" width="4.25" style="946" customWidth="1"/>
    <col min="2554" max="2554" width="27.5" style="946" customWidth="1"/>
    <col min="2555" max="2555" width="11.125" style="946" customWidth="1"/>
    <col min="2556" max="2556" width="8.5" style="946" customWidth="1"/>
    <col min="2557" max="2557" width="10.375" style="946" customWidth="1"/>
    <col min="2558" max="2558" width="10.5" style="946" customWidth="1"/>
    <col min="2559" max="2559" width="20.5" style="946" customWidth="1"/>
    <col min="2560" max="2808" width="8.75" style="946"/>
    <col min="2809" max="2809" width="4.25" style="946" customWidth="1"/>
    <col min="2810" max="2810" width="27.5" style="946" customWidth="1"/>
    <col min="2811" max="2811" width="11.125" style="946" customWidth="1"/>
    <col min="2812" max="2812" width="8.5" style="946" customWidth="1"/>
    <col min="2813" max="2813" width="10.375" style="946" customWidth="1"/>
    <col min="2814" max="2814" width="10.5" style="946" customWidth="1"/>
    <col min="2815" max="2815" width="20.5" style="946" customWidth="1"/>
    <col min="2816" max="3064" width="8.75" style="946"/>
    <col min="3065" max="3065" width="4.25" style="946" customWidth="1"/>
    <col min="3066" max="3066" width="27.5" style="946" customWidth="1"/>
    <col min="3067" max="3067" width="11.125" style="946" customWidth="1"/>
    <col min="3068" max="3068" width="8.5" style="946" customWidth="1"/>
    <col min="3069" max="3069" width="10.375" style="946" customWidth="1"/>
    <col min="3070" max="3070" width="10.5" style="946" customWidth="1"/>
    <col min="3071" max="3071" width="20.5" style="946" customWidth="1"/>
    <col min="3072" max="3320" width="8.75" style="946"/>
    <col min="3321" max="3321" width="4.25" style="946" customWidth="1"/>
    <col min="3322" max="3322" width="27.5" style="946" customWidth="1"/>
    <col min="3323" max="3323" width="11.125" style="946" customWidth="1"/>
    <col min="3324" max="3324" width="8.5" style="946" customWidth="1"/>
    <col min="3325" max="3325" width="10.375" style="946" customWidth="1"/>
    <col min="3326" max="3326" width="10.5" style="946" customWidth="1"/>
    <col min="3327" max="3327" width="20.5" style="946" customWidth="1"/>
    <col min="3328" max="3576" width="8.75" style="946"/>
    <col min="3577" max="3577" width="4.25" style="946" customWidth="1"/>
    <col min="3578" max="3578" width="27.5" style="946" customWidth="1"/>
    <col min="3579" max="3579" width="11.125" style="946" customWidth="1"/>
    <col min="3580" max="3580" width="8.5" style="946" customWidth="1"/>
    <col min="3581" max="3581" width="10.375" style="946" customWidth="1"/>
    <col min="3582" max="3582" width="10.5" style="946" customWidth="1"/>
    <col min="3583" max="3583" width="20.5" style="946" customWidth="1"/>
    <col min="3584" max="3832" width="8.75" style="946"/>
    <col min="3833" max="3833" width="4.25" style="946" customWidth="1"/>
    <col min="3834" max="3834" width="27.5" style="946" customWidth="1"/>
    <col min="3835" max="3835" width="11.125" style="946" customWidth="1"/>
    <col min="3836" max="3836" width="8.5" style="946" customWidth="1"/>
    <col min="3837" max="3837" width="10.375" style="946" customWidth="1"/>
    <col min="3838" max="3838" width="10.5" style="946" customWidth="1"/>
    <col min="3839" max="3839" width="20.5" style="946" customWidth="1"/>
    <col min="3840" max="4088" width="8.75" style="946"/>
    <col min="4089" max="4089" width="4.25" style="946" customWidth="1"/>
    <col min="4090" max="4090" width="27.5" style="946" customWidth="1"/>
    <col min="4091" max="4091" width="11.125" style="946" customWidth="1"/>
    <col min="4092" max="4092" width="8.5" style="946" customWidth="1"/>
    <col min="4093" max="4093" width="10.375" style="946" customWidth="1"/>
    <col min="4094" max="4094" width="10.5" style="946" customWidth="1"/>
    <col min="4095" max="4095" width="20.5" style="946" customWidth="1"/>
    <col min="4096" max="4344" width="8.75" style="946"/>
    <col min="4345" max="4345" width="4.25" style="946" customWidth="1"/>
    <col min="4346" max="4346" width="27.5" style="946" customWidth="1"/>
    <col min="4347" max="4347" width="11.125" style="946" customWidth="1"/>
    <col min="4348" max="4348" width="8.5" style="946" customWidth="1"/>
    <col min="4349" max="4349" width="10.375" style="946" customWidth="1"/>
    <col min="4350" max="4350" width="10.5" style="946" customWidth="1"/>
    <col min="4351" max="4351" width="20.5" style="946" customWidth="1"/>
    <col min="4352" max="4600" width="8.75" style="946"/>
    <col min="4601" max="4601" width="4.25" style="946" customWidth="1"/>
    <col min="4602" max="4602" width="27.5" style="946" customWidth="1"/>
    <col min="4603" max="4603" width="11.125" style="946" customWidth="1"/>
    <col min="4604" max="4604" width="8.5" style="946" customWidth="1"/>
    <col min="4605" max="4605" width="10.375" style="946" customWidth="1"/>
    <col min="4606" max="4606" width="10.5" style="946" customWidth="1"/>
    <col min="4607" max="4607" width="20.5" style="946" customWidth="1"/>
    <col min="4608" max="4856" width="8.75" style="946"/>
    <col min="4857" max="4857" width="4.25" style="946" customWidth="1"/>
    <col min="4858" max="4858" width="27.5" style="946" customWidth="1"/>
    <col min="4859" max="4859" width="11.125" style="946" customWidth="1"/>
    <col min="4860" max="4860" width="8.5" style="946" customWidth="1"/>
    <col min="4861" max="4861" width="10.375" style="946" customWidth="1"/>
    <col min="4862" max="4862" width="10.5" style="946" customWidth="1"/>
    <col min="4863" max="4863" width="20.5" style="946" customWidth="1"/>
    <col min="4864" max="5112" width="8.75" style="946"/>
    <col min="5113" max="5113" width="4.25" style="946" customWidth="1"/>
    <col min="5114" max="5114" width="27.5" style="946" customWidth="1"/>
    <col min="5115" max="5115" width="11.125" style="946" customWidth="1"/>
    <col min="5116" max="5116" width="8.5" style="946" customWidth="1"/>
    <col min="5117" max="5117" width="10.375" style="946" customWidth="1"/>
    <col min="5118" max="5118" width="10.5" style="946" customWidth="1"/>
    <col min="5119" max="5119" width="20.5" style="946" customWidth="1"/>
    <col min="5120" max="5368" width="8.75" style="946"/>
    <col min="5369" max="5369" width="4.25" style="946" customWidth="1"/>
    <col min="5370" max="5370" width="27.5" style="946" customWidth="1"/>
    <col min="5371" max="5371" width="11.125" style="946" customWidth="1"/>
    <col min="5372" max="5372" width="8.5" style="946" customWidth="1"/>
    <col min="5373" max="5373" width="10.375" style="946" customWidth="1"/>
    <col min="5374" max="5374" width="10.5" style="946" customWidth="1"/>
    <col min="5375" max="5375" width="20.5" style="946" customWidth="1"/>
    <col min="5376" max="5624" width="8.75" style="946"/>
    <col min="5625" max="5625" width="4.25" style="946" customWidth="1"/>
    <col min="5626" max="5626" width="27.5" style="946" customWidth="1"/>
    <col min="5627" max="5627" width="11.125" style="946" customWidth="1"/>
    <col min="5628" max="5628" width="8.5" style="946" customWidth="1"/>
    <col min="5629" max="5629" width="10.375" style="946" customWidth="1"/>
    <col min="5630" max="5630" width="10.5" style="946" customWidth="1"/>
    <col min="5631" max="5631" width="20.5" style="946" customWidth="1"/>
    <col min="5632" max="5880" width="8.75" style="946"/>
    <col min="5881" max="5881" width="4.25" style="946" customWidth="1"/>
    <col min="5882" max="5882" width="27.5" style="946" customWidth="1"/>
    <col min="5883" max="5883" width="11.125" style="946" customWidth="1"/>
    <col min="5884" max="5884" width="8.5" style="946" customWidth="1"/>
    <col min="5885" max="5885" width="10.375" style="946" customWidth="1"/>
    <col min="5886" max="5886" width="10.5" style="946" customWidth="1"/>
    <col min="5887" max="5887" width="20.5" style="946" customWidth="1"/>
    <col min="5888" max="6136" width="8.75" style="946"/>
    <col min="6137" max="6137" width="4.25" style="946" customWidth="1"/>
    <col min="6138" max="6138" width="27.5" style="946" customWidth="1"/>
    <col min="6139" max="6139" width="11.125" style="946" customWidth="1"/>
    <col min="6140" max="6140" width="8.5" style="946" customWidth="1"/>
    <col min="6141" max="6141" width="10.375" style="946" customWidth="1"/>
    <col min="6142" max="6142" width="10.5" style="946" customWidth="1"/>
    <col min="6143" max="6143" width="20.5" style="946" customWidth="1"/>
    <col min="6144" max="6392" width="8.75" style="946"/>
    <col min="6393" max="6393" width="4.25" style="946" customWidth="1"/>
    <col min="6394" max="6394" width="27.5" style="946" customWidth="1"/>
    <col min="6395" max="6395" width="11.125" style="946" customWidth="1"/>
    <col min="6396" max="6396" width="8.5" style="946" customWidth="1"/>
    <col min="6397" max="6397" width="10.375" style="946" customWidth="1"/>
    <col min="6398" max="6398" width="10.5" style="946" customWidth="1"/>
    <col min="6399" max="6399" width="20.5" style="946" customWidth="1"/>
    <col min="6400" max="6648" width="8.75" style="946"/>
    <col min="6649" max="6649" width="4.25" style="946" customWidth="1"/>
    <col min="6650" max="6650" width="27.5" style="946" customWidth="1"/>
    <col min="6651" max="6651" width="11.125" style="946" customWidth="1"/>
    <col min="6652" max="6652" width="8.5" style="946" customWidth="1"/>
    <col min="6653" max="6653" width="10.375" style="946" customWidth="1"/>
    <col min="6654" max="6654" width="10.5" style="946" customWidth="1"/>
    <col min="6655" max="6655" width="20.5" style="946" customWidth="1"/>
    <col min="6656" max="6904" width="8.75" style="946"/>
    <col min="6905" max="6905" width="4.25" style="946" customWidth="1"/>
    <col min="6906" max="6906" width="27.5" style="946" customWidth="1"/>
    <col min="6907" max="6907" width="11.125" style="946" customWidth="1"/>
    <col min="6908" max="6908" width="8.5" style="946" customWidth="1"/>
    <col min="6909" max="6909" width="10.375" style="946" customWidth="1"/>
    <col min="6910" max="6910" width="10.5" style="946" customWidth="1"/>
    <col min="6911" max="6911" width="20.5" style="946" customWidth="1"/>
    <col min="6912" max="7160" width="8.75" style="946"/>
    <col min="7161" max="7161" width="4.25" style="946" customWidth="1"/>
    <col min="7162" max="7162" width="27.5" style="946" customWidth="1"/>
    <col min="7163" max="7163" width="11.125" style="946" customWidth="1"/>
    <col min="7164" max="7164" width="8.5" style="946" customWidth="1"/>
    <col min="7165" max="7165" width="10.375" style="946" customWidth="1"/>
    <col min="7166" max="7166" width="10.5" style="946" customWidth="1"/>
    <col min="7167" max="7167" width="20.5" style="946" customWidth="1"/>
    <col min="7168" max="7416" width="8.75" style="946"/>
    <col min="7417" max="7417" width="4.25" style="946" customWidth="1"/>
    <col min="7418" max="7418" width="27.5" style="946" customWidth="1"/>
    <col min="7419" max="7419" width="11.125" style="946" customWidth="1"/>
    <col min="7420" max="7420" width="8.5" style="946" customWidth="1"/>
    <col min="7421" max="7421" width="10.375" style="946" customWidth="1"/>
    <col min="7422" max="7422" width="10.5" style="946" customWidth="1"/>
    <col min="7423" max="7423" width="20.5" style="946" customWidth="1"/>
    <col min="7424" max="7672" width="8.75" style="946"/>
    <col min="7673" max="7673" width="4.25" style="946" customWidth="1"/>
    <col min="7674" max="7674" width="27.5" style="946" customWidth="1"/>
    <col min="7675" max="7675" width="11.125" style="946" customWidth="1"/>
    <col min="7676" max="7676" width="8.5" style="946" customWidth="1"/>
    <col min="7677" max="7677" width="10.375" style="946" customWidth="1"/>
    <col min="7678" max="7678" width="10.5" style="946" customWidth="1"/>
    <col min="7679" max="7679" width="20.5" style="946" customWidth="1"/>
    <col min="7680" max="7928" width="8.75" style="946"/>
    <col min="7929" max="7929" width="4.25" style="946" customWidth="1"/>
    <col min="7930" max="7930" width="27.5" style="946" customWidth="1"/>
    <col min="7931" max="7931" width="11.125" style="946" customWidth="1"/>
    <col min="7932" max="7932" width="8.5" style="946" customWidth="1"/>
    <col min="7933" max="7933" width="10.375" style="946" customWidth="1"/>
    <col min="7934" max="7934" width="10.5" style="946" customWidth="1"/>
    <col min="7935" max="7935" width="20.5" style="946" customWidth="1"/>
    <col min="7936" max="8184" width="8.75" style="946"/>
    <col min="8185" max="8185" width="4.25" style="946" customWidth="1"/>
    <col min="8186" max="8186" width="27.5" style="946" customWidth="1"/>
    <col min="8187" max="8187" width="11.125" style="946" customWidth="1"/>
    <col min="8188" max="8188" width="8.5" style="946" customWidth="1"/>
    <col min="8189" max="8189" width="10.375" style="946" customWidth="1"/>
    <col min="8190" max="8190" width="10.5" style="946" customWidth="1"/>
    <col min="8191" max="8191" width="20.5" style="946" customWidth="1"/>
    <col min="8192" max="8440" width="8.75" style="946"/>
    <col min="8441" max="8441" width="4.25" style="946" customWidth="1"/>
    <col min="8442" max="8442" width="27.5" style="946" customWidth="1"/>
    <col min="8443" max="8443" width="11.125" style="946" customWidth="1"/>
    <col min="8444" max="8444" width="8.5" style="946" customWidth="1"/>
    <col min="8445" max="8445" width="10.375" style="946" customWidth="1"/>
    <col min="8446" max="8446" width="10.5" style="946" customWidth="1"/>
    <col min="8447" max="8447" width="20.5" style="946" customWidth="1"/>
    <col min="8448" max="8696" width="8.75" style="946"/>
    <col min="8697" max="8697" width="4.25" style="946" customWidth="1"/>
    <col min="8698" max="8698" width="27.5" style="946" customWidth="1"/>
    <col min="8699" max="8699" width="11.125" style="946" customWidth="1"/>
    <col min="8700" max="8700" width="8.5" style="946" customWidth="1"/>
    <col min="8701" max="8701" width="10.375" style="946" customWidth="1"/>
    <col min="8702" max="8702" width="10.5" style="946" customWidth="1"/>
    <col min="8703" max="8703" width="20.5" style="946" customWidth="1"/>
    <col min="8704" max="8952" width="8.75" style="946"/>
    <col min="8953" max="8953" width="4.25" style="946" customWidth="1"/>
    <col min="8954" max="8954" width="27.5" style="946" customWidth="1"/>
    <col min="8955" max="8955" width="11.125" style="946" customWidth="1"/>
    <col min="8956" max="8956" width="8.5" style="946" customWidth="1"/>
    <col min="8957" max="8957" width="10.375" style="946" customWidth="1"/>
    <col min="8958" max="8958" width="10.5" style="946" customWidth="1"/>
    <col min="8959" max="8959" width="20.5" style="946" customWidth="1"/>
    <col min="8960" max="9208" width="8.75" style="946"/>
    <col min="9209" max="9209" width="4.25" style="946" customWidth="1"/>
    <col min="9210" max="9210" width="27.5" style="946" customWidth="1"/>
    <col min="9211" max="9211" width="11.125" style="946" customWidth="1"/>
    <col min="9212" max="9212" width="8.5" style="946" customWidth="1"/>
    <col min="9213" max="9213" width="10.375" style="946" customWidth="1"/>
    <col min="9214" max="9214" width="10.5" style="946" customWidth="1"/>
    <col min="9215" max="9215" width="20.5" style="946" customWidth="1"/>
    <col min="9216" max="9464" width="8.75" style="946"/>
    <col min="9465" max="9465" width="4.25" style="946" customWidth="1"/>
    <col min="9466" max="9466" width="27.5" style="946" customWidth="1"/>
    <col min="9467" max="9467" width="11.125" style="946" customWidth="1"/>
    <col min="9468" max="9468" width="8.5" style="946" customWidth="1"/>
    <col min="9469" max="9469" width="10.375" style="946" customWidth="1"/>
    <col min="9470" max="9470" width="10.5" style="946" customWidth="1"/>
    <col min="9471" max="9471" width="20.5" style="946" customWidth="1"/>
    <col min="9472" max="9720" width="8.75" style="946"/>
    <col min="9721" max="9721" width="4.25" style="946" customWidth="1"/>
    <col min="9722" max="9722" width="27.5" style="946" customWidth="1"/>
    <col min="9723" max="9723" width="11.125" style="946" customWidth="1"/>
    <col min="9724" max="9724" width="8.5" style="946" customWidth="1"/>
    <col min="9725" max="9725" width="10.375" style="946" customWidth="1"/>
    <col min="9726" max="9726" width="10.5" style="946" customWidth="1"/>
    <col min="9727" max="9727" width="20.5" style="946" customWidth="1"/>
    <col min="9728" max="9976" width="8.75" style="946"/>
    <col min="9977" max="9977" width="4.25" style="946" customWidth="1"/>
    <col min="9978" max="9978" width="27.5" style="946" customWidth="1"/>
    <col min="9979" max="9979" width="11.125" style="946" customWidth="1"/>
    <col min="9980" max="9980" width="8.5" style="946" customWidth="1"/>
    <col min="9981" max="9981" width="10.375" style="946" customWidth="1"/>
    <col min="9982" max="9982" width="10.5" style="946" customWidth="1"/>
    <col min="9983" max="9983" width="20.5" style="946" customWidth="1"/>
    <col min="9984" max="10232" width="8.75" style="946"/>
    <col min="10233" max="10233" width="4.25" style="946" customWidth="1"/>
    <col min="10234" max="10234" width="27.5" style="946" customWidth="1"/>
    <col min="10235" max="10235" width="11.125" style="946" customWidth="1"/>
    <col min="10236" max="10236" width="8.5" style="946" customWidth="1"/>
    <col min="10237" max="10237" width="10.375" style="946" customWidth="1"/>
    <col min="10238" max="10238" width="10.5" style="946" customWidth="1"/>
    <col min="10239" max="10239" width="20.5" style="946" customWidth="1"/>
    <col min="10240" max="10488" width="8.75" style="946"/>
    <col min="10489" max="10489" width="4.25" style="946" customWidth="1"/>
    <col min="10490" max="10490" width="27.5" style="946" customWidth="1"/>
    <col min="10491" max="10491" width="11.125" style="946" customWidth="1"/>
    <col min="10492" max="10492" width="8.5" style="946" customWidth="1"/>
    <col min="10493" max="10493" width="10.375" style="946" customWidth="1"/>
    <col min="10494" max="10494" width="10.5" style="946" customWidth="1"/>
    <col min="10495" max="10495" width="20.5" style="946" customWidth="1"/>
    <col min="10496" max="10744" width="8.75" style="946"/>
    <col min="10745" max="10745" width="4.25" style="946" customWidth="1"/>
    <col min="10746" max="10746" width="27.5" style="946" customWidth="1"/>
    <col min="10747" max="10747" width="11.125" style="946" customWidth="1"/>
    <col min="10748" max="10748" width="8.5" style="946" customWidth="1"/>
    <col min="10749" max="10749" width="10.375" style="946" customWidth="1"/>
    <col min="10750" max="10750" width="10.5" style="946" customWidth="1"/>
    <col min="10751" max="10751" width="20.5" style="946" customWidth="1"/>
    <col min="10752" max="11000" width="8.75" style="946"/>
    <col min="11001" max="11001" width="4.25" style="946" customWidth="1"/>
    <col min="11002" max="11002" width="27.5" style="946" customWidth="1"/>
    <col min="11003" max="11003" width="11.125" style="946" customWidth="1"/>
    <col min="11004" max="11004" width="8.5" style="946" customWidth="1"/>
    <col min="11005" max="11005" width="10.375" style="946" customWidth="1"/>
    <col min="11006" max="11006" width="10.5" style="946" customWidth="1"/>
    <col min="11007" max="11007" width="20.5" style="946" customWidth="1"/>
    <col min="11008" max="11256" width="8.75" style="946"/>
    <col min="11257" max="11257" width="4.25" style="946" customWidth="1"/>
    <col min="11258" max="11258" width="27.5" style="946" customWidth="1"/>
    <col min="11259" max="11259" width="11.125" style="946" customWidth="1"/>
    <col min="11260" max="11260" width="8.5" style="946" customWidth="1"/>
    <col min="11261" max="11261" width="10.375" style="946" customWidth="1"/>
    <col min="11262" max="11262" width="10.5" style="946" customWidth="1"/>
    <col min="11263" max="11263" width="20.5" style="946" customWidth="1"/>
    <col min="11264" max="11512" width="8.75" style="946"/>
    <col min="11513" max="11513" width="4.25" style="946" customWidth="1"/>
    <col min="11514" max="11514" width="27.5" style="946" customWidth="1"/>
    <col min="11515" max="11515" width="11.125" style="946" customWidth="1"/>
    <col min="11516" max="11516" width="8.5" style="946" customWidth="1"/>
    <col min="11517" max="11517" width="10.375" style="946" customWidth="1"/>
    <col min="11518" max="11518" width="10.5" style="946" customWidth="1"/>
    <col min="11519" max="11519" width="20.5" style="946" customWidth="1"/>
    <col min="11520" max="11768" width="8.75" style="946"/>
    <col min="11769" max="11769" width="4.25" style="946" customWidth="1"/>
    <col min="11770" max="11770" width="27.5" style="946" customWidth="1"/>
    <col min="11771" max="11771" width="11.125" style="946" customWidth="1"/>
    <col min="11772" max="11772" width="8.5" style="946" customWidth="1"/>
    <col min="11773" max="11773" width="10.375" style="946" customWidth="1"/>
    <col min="11774" max="11774" width="10.5" style="946" customWidth="1"/>
    <col min="11775" max="11775" width="20.5" style="946" customWidth="1"/>
    <col min="11776" max="12024" width="8.75" style="946"/>
    <col min="12025" max="12025" width="4.25" style="946" customWidth="1"/>
    <col min="12026" max="12026" width="27.5" style="946" customWidth="1"/>
    <col min="12027" max="12027" width="11.125" style="946" customWidth="1"/>
    <col min="12028" max="12028" width="8.5" style="946" customWidth="1"/>
    <col min="12029" max="12029" width="10.375" style="946" customWidth="1"/>
    <col min="12030" max="12030" width="10.5" style="946" customWidth="1"/>
    <col min="12031" max="12031" width="20.5" style="946" customWidth="1"/>
    <col min="12032" max="12280" width="8.75" style="946"/>
    <col min="12281" max="12281" width="4.25" style="946" customWidth="1"/>
    <col min="12282" max="12282" width="27.5" style="946" customWidth="1"/>
    <col min="12283" max="12283" width="11.125" style="946" customWidth="1"/>
    <col min="12284" max="12284" width="8.5" style="946" customWidth="1"/>
    <col min="12285" max="12285" width="10.375" style="946" customWidth="1"/>
    <col min="12286" max="12286" width="10.5" style="946" customWidth="1"/>
    <col min="12287" max="12287" width="20.5" style="946" customWidth="1"/>
    <col min="12288" max="12536" width="8.75" style="946"/>
    <col min="12537" max="12537" width="4.25" style="946" customWidth="1"/>
    <col min="12538" max="12538" width="27.5" style="946" customWidth="1"/>
    <col min="12539" max="12539" width="11.125" style="946" customWidth="1"/>
    <col min="12540" max="12540" width="8.5" style="946" customWidth="1"/>
    <col min="12541" max="12541" width="10.375" style="946" customWidth="1"/>
    <col min="12542" max="12542" width="10.5" style="946" customWidth="1"/>
    <col min="12543" max="12543" width="20.5" style="946" customWidth="1"/>
    <col min="12544" max="12792" width="8.75" style="946"/>
    <col min="12793" max="12793" width="4.25" style="946" customWidth="1"/>
    <col min="12794" max="12794" width="27.5" style="946" customWidth="1"/>
    <col min="12795" max="12795" width="11.125" style="946" customWidth="1"/>
    <col min="12796" max="12796" width="8.5" style="946" customWidth="1"/>
    <col min="12797" max="12797" width="10.375" style="946" customWidth="1"/>
    <col min="12798" max="12798" width="10.5" style="946" customWidth="1"/>
    <col min="12799" max="12799" width="20.5" style="946" customWidth="1"/>
    <col min="12800" max="13048" width="8.75" style="946"/>
    <col min="13049" max="13049" width="4.25" style="946" customWidth="1"/>
    <col min="13050" max="13050" width="27.5" style="946" customWidth="1"/>
    <col min="13051" max="13051" width="11.125" style="946" customWidth="1"/>
    <col min="13052" max="13052" width="8.5" style="946" customWidth="1"/>
    <col min="13053" max="13053" width="10.375" style="946" customWidth="1"/>
    <col min="13054" max="13054" width="10.5" style="946" customWidth="1"/>
    <col min="13055" max="13055" width="20.5" style="946" customWidth="1"/>
    <col min="13056" max="13304" width="8.75" style="946"/>
    <col min="13305" max="13305" width="4.25" style="946" customWidth="1"/>
    <col min="13306" max="13306" width="27.5" style="946" customWidth="1"/>
    <col min="13307" max="13307" width="11.125" style="946" customWidth="1"/>
    <col min="13308" max="13308" width="8.5" style="946" customWidth="1"/>
    <col min="13309" max="13309" width="10.375" style="946" customWidth="1"/>
    <col min="13310" max="13310" width="10.5" style="946" customWidth="1"/>
    <col min="13311" max="13311" width="20.5" style="946" customWidth="1"/>
    <col min="13312" max="13560" width="8.75" style="946"/>
    <col min="13561" max="13561" width="4.25" style="946" customWidth="1"/>
    <col min="13562" max="13562" width="27.5" style="946" customWidth="1"/>
    <col min="13563" max="13563" width="11.125" style="946" customWidth="1"/>
    <col min="13564" max="13564" width="8.5" style="946" customWidth="1"/>
    <col min="13565" max="13565" width="10.375" style="946" customWidth="1"/>
    <col min="13566" max="13566" width="10.5" style="946" customWidth="1"/>
    <col min="13567" max="13567" width="20.5" style="946" customWidth="1"/>
    <col min="13568" max="13816" width="8.75" style="946"/>
    <col min="13817" max="13817" width="4.25" style="946" customWidth="1"/>
    <col min="13818" max="13818" width="27.5" style="946" customWidth="1"/>
    <col min="13819" max="13819" width="11.125" style="946" customWidth="1"/>
    <col min="13820" max="13820" width="8.5" style="946" customWidth="1"/>
    <col min="13821" max="13821" width="10.375" style="946" customWidth="1"/>
    <col min="13822" max="13822" width="10.5" style="946" customWidth="1"/>
    <col min="13823" max="13823" width="20.5" style="946" customWidth="1"/>
    <col min="13824" max="14072" width="8.75" style="946"/>
    <col min="14073" max="14073" width="4.25" style="946" customWidth="1"/>
    <col min="14074" max="14074" width="27.5" style="946" customWidth="1"/>
    <col min="14075" max="14075" width="11.125" style="946" customWidth="1"/>
    <col min="14076" max="14076" width="8.5" style="946" customWidth="1"/>
    <col min="14077" max="14077" width="10.375" style="946" customWidth="1"/>
    <col min="14078" max="14078" width="10.5" style="946" customWidth="1"/>
    <col min="14079" max="14079" width="20.5" style="946" customWidth="1"/>
    <col min="14080" max="14328" width="8.75" style="946"/>
    <col min="14329" max="14329" width="4.25" style="946" customWidth="1"/>
    <col min="14330" max="14330" width="27.5" style="946" customWidth="1"/>
    <col min="14331" max="14331" width="11.125" style="946" customWidth="1"/>
    <col min="14332" max="14332" width="8.5" style="946" customWidth="1"/>
    <col min="14333" max="14333" width="10.375" style="946" customWidth="1"/>
    <col min="14334" max="14334" width="10.5" style="946" customWidth="1"/>
    <col min="14335" max="14335" width="20.5" style="946" customWidth="1"/>
    <col min="14336" max="14584" width="8.75" style="946"/>
    <col min="14585" max="14585" width="4.25" style="946" customWidth="1"/>
    <col min="14586" max="14586" width="27.5" style="946" customWidth="1"/>
    <col min="14587" max="14587" width="11.125" style="946" customWidth="1"/>
    <col min="14588" max="14588" width="8.5" style="946" customWidth="1"/>
    <col min="14589" max="14589" width="10.375" style="946" customWidth="1"/>
    <col min="14590" max="14590" width="10.5" style="946" customWidth="1"/>
    <col min="14591" max="14591" width="20.5" style="946" customWidth="1"/>
    <col min="14592" max="14840" width="8.75" style="946"/>
    <col min="14841" max="14841" width="4.25" style="946" customWidth="1"/>
    <col min="14842" max="14842" width="27.5" style="946" customWidth="1"/>
    <col min="14843" max="14843" width="11.125" style="946" customWidth="1"/>
    <col min="14844" max="14844" width="8.5" style="946" customWidth="1"/>
    <col min="14845" max="14845" width="10.375" style="946" customWidth="1"/>
    <col min="14846" max="14846" width="10.5" style="946" customWidth="1"/>
    <col min="14847" max="14847" width="20.5" style="946" customWidth="1"/>
    <col min="14848" max="15096" width="8.75" style="946"/>
    <col min="15097" max="15097" width="4.25" style="946" customWidth="1"/>
    <col min="15098" max="15098" width="27.5" style="946" customWidth="1"/>
    <col min="15099" max="15099" width="11.125" style="946" customWidth="1"/>
    <col min="15100" max="15100" width="8.5" style="946" customWidth="1"/>
    <col min="15101" max="15101" width="10.375" style="946" customWidth="1"/>
    <col min="15102" max="15102" width="10.5" style="946" customWidth="1"/>
    <col min="15103" max="15103" width="20.5" style="946" customWidth="1"/>
    <col min="15104" max="15352" width="8.75" style="946"/>
    <col min="15353" max="15353" width="4.25" style="946" customWidth="1"/>
    <col min="15354" max="15354" width="27.5" style="946" customWidth="1"/>
    <col min="15355" max="15355" width="11.125" style="946" customWidth="1"/>
    <col min="15356" max="15356" width="8.5" style="946" customWidth="1"/>
    <col min="15357" max="15357" width="10.375" style="946" customWidth="1"/>
    <col min="15358" max="15358" width="10.5" style="946" customWidth="1"/>
    <col min="15359" max="15359" width="20.5" style="946" customWidth="1"/>
    <col min="15360" max="15608" width="8.75" style="946"/>
    <col min="15609" max="15609" width="4.25" style="946" customWidth="1"/>
    <col min="15610" max="15610" width="27.5" style="946" customWidth="1"/>
    <col min="15611" max="15611" width="11.125" style="946" customWidth="1"/>
    <col min="15612" max="15612" width="8.5" style="946" customWidth="1"/>
    <col min="15613" max="15613" width="10.375" style="946" customWidth="1"/>
    <col min="15614" max="15614" width="10.5" style="946" customWidth="1"/>
    <col min="15615" max="15615" width="20.5" style="946" customWidth="1"/>
    <col min="15616" max="15864" width="8.75" style="946"/>
    <col min="15865" max="15865" width="4.25" style="946" customWidth="1"/>
    <col min="15866" max="15866" width="27.5" style="946" customWidth="1"/>
    <col min="15867" max="15867" width="11.125" style="946" customWidth="1"/>
    <col min="15868" max="15868" width="8.5" style="946" customWidth="1"/>
    <col min="15869" max="15869" width="10.375" style="946" customWidth="1"/>
    <col min="15870" max="15870" width="10.5" style="946" customWidth="1"/>
    <col min="15871" max="15871" width="20.5" style="946" customWidth="1"/>
    <col min="15872" max="16120" width="8.75" style="946"/>
    <col min="16121" max="16121" width="4.25" style="946" customWidth="1"/>
    <col min="16122" max="16122" width="27.5" style="946" customWidth="1"/>
    <col min="16123" max="16123" width="11.125" style="946" customWidth="1"/>
    <col min="16124" max="16124" width="8.5" style="946" customWidth="1"/>
    <col min="16125" max="16125" width="10.375" style="946" customWidth="1"/>
    <col min="16126" max="16126" width="10.5" style="946" customWidth="1"/>
    <col min="16127" max="16127" width="20.5" style="946" customWidth="1"/>
    <col min="16128" max="16383" width="8.75" style="946"/>
    <col min="16384" max="16384" width="8.75" style="946" customWidth="1"/>
  </cols>
  <sheetData>
    <row r="1" ht="17.45" customHeight="1" spans="1:6">
      <c r="A1" s="948" t="s">
        <v>0</v>
      </c>
      <c r="B1" s="948"/>
      <c r="C1" s="948"/>
      <c r="D1" s="948"/>
      <c r="E1" s="948"/>
      <c r="F1" s="948"/>
    </row>
    <row r="2" ht="12.6" customHeight="1" spans="1:6">
      <c r="A2" s="949"/>
      <c r="B2" s="949"/>
      <c r="C2" s="949"/>
      <c r="D2" s="949"/>
      <c r="E2" s="950" t="s">
        <v>1</v>
      </c>
      <c r="F2" s="950"/>
    </row>
    <row r="3" ht="24.6" customHeight="1" spans="1:6">
      <c r="A3" s="951" t="s">
        <v>2</v>
      </c>
      <c r="B3" s="952" t="s">
        <v>3</v>
      </c>
      <c r="C3" s="953" t="s">
        <v>4</v>
      </c>
      <c r="D3" s="954" t="s">
        <v>5</v>
      </c>
      <c r="E3" s="954" t="s">
        <v>6</v>
      </c>
      <c r="F3" s="955" t="s">
        <v>7</v>
      </c>
    </row>
    <row r="4" s="944" customFormat="1" ht="16.15" customHeight="1" spans="1:10">
      <c r="A4" s="956" t="s">
        <v>8</v>
      </c>
      <c r="B4" s="957"/>
      <c r="C4" s="958" t="e">
        <f>C10+C20+C9+C22+C14+C21+C17+C5</f>
        <v>#REF!</v>
      </c>
      <c r="D4" s="958"/>
      <c r="E4" s="958"/>
      <c r="F4" s="959" t="e">
        <f>SUM(C4:E4)</f>
        <v>#REF!</v>
      </c>
      <c r="H4" s="946"/>
      <c r="I4" s="1002"/>
      <c r="J4" s="967"/>
    </row>
    <row r="5" s="944" customFormat="1" ht="16.15" customHeight="1" spans="1:10">
      <c r="A5" s="960" t="s">
        <v>9</v>
      </c>
      <c r="B5" s="957" t="s">
        <v>10</v>
      </c>
      <c r="C5" s="958" t="e">
        <f>C6+C7+C8</f>
        <v>#REF!</v>
      </c>
      <c r="D5" s="958"/>
      <c r="E5" s="958"/>
      <c r="F5" s="959" t="e">
        <f t="shared" ref="F5:F7" si="0">SUM(C5:E5)</f>
        <v>#REF!</v>
      </c>
      <c r="H5" s="946"/>
      <c r="I5" s="1002"/>
      <c r="J5" s="967"/>
    </row>
    <row r="6" ht="16.15" customHeight="1" spans="1:10">
      <c r="A6" s="911">
        <v>1</v>
      </c>
      <c r="B6" s="961" t="s">
        <v>11</v>
      </c>
      <c r="C6" s="962" t="e">
        <f>#REF!/10000</f>
        <v>#REF!</v>
      </c>
      <c r="D6" s="962"/>
      <c r="E6" s="962"/>
      <c r="F6" s="963" t="e">
        <f t="shared" si="0"/>
        <v>#REF!</v>
      </c>
      <c r="G6" s="947"/>
      <c r="H6" s="964"/>
      <c r="I6" s="969"/>
      <c r="J6" s="964"/>
    </row>
    <row r="7" ht="16.15" customHeight="1" spans="1:9">
      <c r="A7" s="911">
        <v>2</v>
      </c>
      <c r="B7" s="961" t="s">
        <v>12</v>
      </c>
      <c r="C7" s="962" t="e">
        <f>#REF!/10000</f>
        <v>#REF!</v>
      </c>
      <c r="D7" s="962"/>
      <c r="E7" s="962"/>
      <c r="F7" s="963" t="e">
        <f t="shared" si="0"/>
        <v>#REF!</v>
      </c>
      <c r="G7" s="947"/>
      <c r="H7" s="964"/>
      <c r="I7" s="964"/>
    </row>
    <row r="8" ht="16.15" customHeight="1" spans="1:9">
      <c r="A8" s="911">
        <v>3</v>
      </c>
      <c r="B8" s="961" t="s">
        <v>13</v>
      </c>
      <c r="C8" s="962" t="e">
        <f>'[86]总概算 '!$C$5</f>
        <v>#REF!</v>
      </c>
      <c r="D8" s="962"/>
      <c r="E8" s="962"/>
      <c r="F8" s="963"/>
      <c r="G8" s="947"/>
      <c r="H8" s="964"/>
      <c r="I8" s="964"/>
    </row>
    <row r="9" s="944" customFormat="1" ht="16.15" customHeight="1" spans="1:9">
      <c r="A9" s="965" t="s">
        <v>14</v>
      </c>
      <c r="B9" s="966" t="s">
        <v>15</v>
      </c>
      <c r="C9" s="958" t="e">
        <f>#REF!/10000</f>
        <v>#REF!</v>
      </c>
      <c r="D9" s="958"/>
      <c r="E9" s="958"/>
      <c r="F9" s="959" t="e">
        <f>SUM(C9:E9)</f>
        <v>#REF!</v>
      </c>
      <c r="G9" s="967"/>
      <c r="I9" s="969"/>
    </row>
    <row r="10" s="944" customFormat="1" ht="16.15" customHeight="1" spans="1:9">
      <c r="A10" s="965" t="s">
        <v>16</v>
      </c>
      <c r="B10" s="968" t="s">
        <v>17</v>
      </c>
      <c r="C10" s="958" t="e">
        <f>C11+C12+C13</f>
        <v>#REF!</v>
      </c>
      <c r="D10" s="958"/>
      <c r="E10" s="958"/>
      <c r="F10" s="959" t="e">
        <f>SUM(C10:E10)</f>
        <v>#REF!</v>
      </c>
      <c r="I10" s="969"/>
    </row>
    <row r="11" ht="16.15" customHeight="1" spans="1:10">
      <c r="A11" s="911">
        <v>1</v>
      </c>
      <c r="B11" s="961" t="s">
        <v>11</v>
      </c>
      <c r="C11" s="962" t="e">
        <f>#REF!</f>
        <v>#REF!</v>
      </c>
      <c r="D11" s="962"/>
      <c r="E11" s="962"/>
      <c r="F11" s="963" t="e">
        <f t="shared" ref="F11:F22" si="1">SUM(C11:E11)</f>
        <v>#REF!</v>
      </c>
      <c r="G11" s="947"/>
      <c r="H11" s="964"/>
      <c r="I11" s="969"/>
      <c r="J11" s="964"/>
    </row>
    <row r="12" ht="16.15" customHeight="1" spans="1:9">
      <c r="A12" s="911">
        <v>2</v>
      </c>
      <c r="B12" s="961" t="s">
        <v>12</v>
      </c>
      <c r="C12" s="962" t="e">
        <f>#REF!</f>
        <v>#REF!</v>
      </c>
      <c r="D12" s="962"/>
      <c r="E12" s="962"/>
      <c r="F12" s="963" t="e">
        <f t="shared" si="1"/>
        <v>#REF!</v>
      </c>
      <c r="G12" s="947"/>
      <c r="H12" s="964"/>
      <c r="I12" s="964"/>
    </row>
    <row r="13" ht="16.15" customHeight="1" spans="1:9">
      <c r="A13" s="911">
        <v>3</v>
      </c>
      <c r="B13" s="961" t="s">
        <v>13</v>
      </c>
      <c r="C13" s="962" t="e">
        <f>'[86]总概算 '!$C$6</f>
        <v>#REF!</v>
      </c>
      <c r="D13" s="962"/>
      <c r="E13" s="962"/>
      <c r="F13" s="963" t="e">
        <f t="shared" si="1"/>
        <v>#REF!</v>
      </c>
      <c r="G13" s="947"/>
      <c r="H13" s="964"/>
      <c r="I13" s="964"/>
    </row>
    <row r="14" s="944" customFormat="1" ht="16.15" customHeight="1" spans="1:8">
      <c r="A14" s="965" t="s">
        <v>18</v>
      </c>
      <c r="B14" s="966" t="s">
        <v>19</v>
      </c>
      <c r="C14" s="958" t="e">
        <f>C15+C16</f>
        <v>#REF!</v>
      </c>
      <c r="D14" s="958"/>
      <c r="E14" s="958"/>
      <c r="F14" s="959" t="e">
        <f t="shared" ref="F14:F19" si="2">SUM(C14:E14)</f>
        <v>#REF!</v>
      </c>
      <c r="H14" s="969"/>
    </row>
    <row r="15" s="944" customFormat="1" ht="16.15" customHeight="1" spans="1:8">
      <c r="A15" s="911">
        <v>1</v>
      </c>
      <c r="B15" s="961" t="s">
        <v>11</v>
      </c>
      <c r="C15" s="962" t="e">
        <f>#REF!</f>
        <v>#REF!</v>
      </c>
      <c r="D15" s="962"/>
      <c r="E15" s="962"/>
      <c r="F15" s="963" t="e">
        <f t="shared" si="2"/>
        <v>#REF!</v>
      </c>
      <c r="H15" s="970"/>
    </row>
    <row r="16" s="945" customFormat="1" ht="16.15" customHeight="1" spans="1:6">
      <c r="A16" s="911">
        <v>2</v>
      </c>
      <c r="B16" s="961" t="s">
        <v>12</v>
      </c>
      <c r="C16" s="962" t="e">
        <f>#REF!</f>
        <v>#REF!</v>
      </c>
      <c r="D16" s="962"/>
      <c r="E16" s="962"/>
      <c r="F16" s="963" t="e">
        <f t="shared" si="2"/>
        <v>#REF!</v>
      </c>
    </row>
    <row r="17" s="944" customFormat="1" ht="16.15" customHeight="1" spans="1:10">
      <c r="A17" s="965" t="s">
        <v>20</v>
      </c>
      <c r="B17" s="966" t="s">
        <v>21</v>
      </c>
      <c r="C17" s="958" t="e">
        <f>C18+C19</f>
        <v>#REF!</v>
      </c>
      <c r="D17" s="958"/>
      <c r="E17" s="958"/>
      <c r="F17" s="959" t="e">
        <f t="shared" si="2"/>
        <v>#REF!</v>
      </c>
      <c r="H17" s="971"/>
      <c r="J17" s="971"/>
    </row>
    <row r="18" s="945" customFormat="1" ht="16.15" customHeight="1" spans="1:14">
      <c r="A18" s="911"/>
      <c r="B18" s="961" t="s">
        <v>21</v>
      </c>
      <c r="C18" s="962">
        <v>396.03</v>
      </c>
      <c r="D18" s="962"/>
      <c r="E18" s="962"/>
      <c r="F18" s="963">
        <f t="shared" si="2"/>
        <v>396.03</v>
      </c>
      <c r="H18" s="972"/>
      <c r="N18" s="1003"/>
    </row>
    <row r="19" s="945" customFormat="1" ht="16.15" customHeight="1" spans="1:14">
      <c r="A19" s="911"/>
      <c r="B19" s="961" t="s">
        <v>22</v>
      </c>
      <c r="C19" s="962" t="e">
        <f>#REF!/10000</f>
        <v>#REF!</v>
      </c>
      <c r="D19" s="962"/>
      <c r="E19" s="962"/>
      <c r="F19" s="963" t="e">
        <f t="shared" si="2"/>
        <v>#REF!</v>
      </c>
      <c r="H19" s="973"/>
      <c r="N19" s="1003"/>
    </row>
    <row r="20" s="944" customFormat="1" ht="16.15" customHeight="1" spans="1:9">
      <c r="A20" s="965" t="s">
        <v>23</v>
      </c>
      <c r="B20" s="968" t="s">
        <v>24</v>
      </c>
      <c r="C20" s="958" t="e">
        <f>#REF!/10000</f>
        <v>#REF!</v>
      </c>
      <c r="D20" s="958"/>
      <c r="E20" s="958"/>
      <c r="F20" s="959" t="e">
        <f t="shared" si="1"/>
        <v>#REF!</v>
      </c>
      <c r="I20" s="969"/>
    </row>
    <row r="21" s="945" customFormat="1" ht="16.15" customHeight="1" spans="1:6">
      <c r="A21" s="965" t="s">
        <v>25</v>
      </c>
      <c r="B21" s="966" t="s">
        <v>26</v>
      </c>
      <c r="C21" s="958" t="e">
        <f>#REF!/10000</f>
        <v>#REF!</v>
      </c>
      <c r="D21" s="958"/>
      <c r="E21" s="958"/>
      <c r="F21" s="959" t="e">
        <f t="shared" si="1"/>
        <v>#REF!</v>
      </c>
    </row>
    <row r="22" s="944" customFormat="1" ht="16.15" customHeight="1" spans="1:8">
      <c r="A22" s="965" t="s">
        <v>27</v>
      </c>
      <c r="B22" s="966" t="s">
        <v>28</v>
      </c>
      <c r="C22" s="958" t="e">
        <f>#REF!/10000</f>
        <v>#REF!</v>
      </c>
      <c r="D22" s="958"/>
      <c r="E22" s="958"/>
      <c r="F22" s="959" t="e">
        <f t="shared" si="1"/>
        <v>#REF!</v>
      </c>
      <c r="H22" s="969"/>
    </row>
    <row r="23" s="944" customFormat="1" ht="16.15" customHeight="1" spans="1:8">
      <c r="A23" s="974" t="s">
        <v>29</v>
      </c>
      <c r="B23" s="975"/>
      <c r="C23" s="958" t="e">
        <f>C24+C25</f>
        <v>#REF!</v>
      </c>
      <c r="D23" s="958" t="e">
        <f>D24+D25</f>
        <v>#REF!</v>
      </c>
      <c r="E23" s="958"/>
      <c r="F23" s="959" t="e">
        <f t="shared" ref="F23" si="3">SUM(C23:E23)</f>
        <v>#REF!</v>
      </c>
      <c r="G23" s="976"/>
      <c r="H23" s="977"/>
    </row>
    <row r="24" ht="16.15" customHeight="1" spans="1:10">
      <c r="A24" s="911">
        <v>1</v>
      </c>
      <c r="B24" s="961" t="s">
        <v>11</v>
      </c>
      <c r="C24" s="962" t="e">
        <f>#REF!</f>
        <v>#REF!</v>
      </c>
      <c r="D24" s="962" t="e">
        <f>#REF!</f>
        <v>#REF!</v>
      </c>
      <c r="E24" s="962"/>
      <c r="F24" s="963" t="e">
        <f t="shared" ref="F24:F27" si="4">SUM(C24:E24)</f>
        <v>#REF!</v>
      </c>
      <c r="G24" s="947"/>
      <c r="J24" s="977"/>
    </row>
    <row r="25" ht="16.15" customHeight="1" spans="1:11">
      <c r="A25" s="911">
        <v>2</v>
      </c>
      <c r="B25" s="961" t="s">
        <v>12</v>
      </c>
      <c r="C25" s="962" t="e">
        <f>#REF!</f>
        <v>#REF!</v>
      </c>
      <c r="D25" s="962" t="e">
        <f>#REF!</f>
        <v>#REF!</v>
      </c>
      <c r="E25" s="962"/>
      <c r="F25" s="963" t="e">
        <f t="shared" si="4"/>
        <v>#REF!</v>
      </c>
      <c r="G25" s="947"/>
      <c r="J25" s="977"/>
      <c r="K25" s="977"/>
    </row>
    <row r="26" s="944" customFormat="1" ht="16.15" customHeight="1" spans="1:9">
      <c r="A26" s="974" t="s">
        <v>30</v>
      </c>
      <c r="B26" s="975"/>
      <c r="C26" s="978" t="e">
        <f>C27+C28+C29</f>
        <v>#REF!</v>
      </c>
      <c r="D26" s="978" t="e">
        <f>D27+D28+D29</f>
        <v>#REF!</v>
      </c>
      <c r="E26" s="979"/>
      <c r="F26" s="959" t="e">
        <f t="shared" si="4"/>
        <v>#REF!</v>
      </c>
      <c r="H26" s="977"/>
      <c r="I26" s="971"/>
    </row>
    <row r="27" ht="16.15" customHeight="1" spans="1:9">
      <c r="A27" s="911">
        <v>1</v>
      </c>
      <c r="B27" s="961" t="s">
        <v>11</v>
      </c>
      <c r="C27" s="980" t="e">
        <f>#REF!</f>
        <v>#REF!</v>
      </c>
      <c r="D27" s="980" t="e">
        <f>#REF!</f>
        <v>#REF!</v>
      </c>
      <c r="E27" s="981"/>
      <c r="F27" s="963" t="e">
        <f t="shared" si="4"/>
        <v>#REF!</v>
      </c>
      <c r="I27" s="977"/>
    </row>
    <row r="28" ht="16.15" customHeight="1" spans="1:8">
      <c r="A28" s="911">
        <v>2</v>
      </c>
      <c r="B28" s="961" t="s">
        <v>12</v>
      </c>
      <c r="C28" s="980" t="e">
        <f>#REF!</f>
        <v>#REF!</v>
      </c>
      <c r="D28" s="980" t="e">
        <f>#REF!</f>
        <v>#REF!</v>
      </c>
      <c r="E28" s="981"/>
      <c r="F28" s="963" t="e">
        <f t="shared" ref="F28:F29" si="5">SUM(C28:E28)</f>
        <v>#REF!</v>
      </c>
      <c r="H28" s="982"/>
    </row>
    <row r="29" ht="16.15" customHeight="1" spans="1:8">
      <c r="A29" s="911">
        <v>3</v>
      </c>
      <c r="B29" s="961" t="s">
        <v>13</v>
      </c>
      <c r="C29" s="980" t="e">
        <f>'[86]总概算 '!$C$10</f>
        <v>#REF!</v>
      </c>
      <c r="D29" s="980" t="e">
        <f>'[86]总概算 '!$D$10</f>
        <v>#REF!</v>
      </c>
      <c r="E29" s="981"/>
      <c r="F29" s="963" t="e">
        <f t="shared" si="5"/>
        <v>#REF!</v>
      </c>
      <c r="H29" s="977"/>
    </row>
    <row r="30" ht="16.15" customHeight="1" spans="1:8">
      <c r="A30" s="983" t="s">
        <v>31</v>
      </c>
      <c r="B30" s="984"/>
      <c r="C30" s="978" t="e">
        <f>C4+C23+C26</f>
        <v>#REF!</v>
      </c>
      <c r="D30" s="978" t="e">
        <f>D4+D23+D26</f>
        <v>#REF!</v>
      </c>
      <c r="E30" s="979"/>
      <c r="F30" s="959" t="e">
        <f t="shared" ref="F30:F36" si="6">SUM(C30:E30)</f>
        <v>#REF!</v>
      </c>
      <c r="H30" s="977"/>
    </row>
    <row r="31" s="944" customFormat="1" ht="16.15" customHeight="1" spans="1:7">
      <c r="A31" s="985" t="s">
        <v>32</v>
      </c>
      <c r="B31" s="986"/>
      <c r="C31" s="978" t="e">
        <f>C32+C34+C33</f>
        <v>#REF!</v>
      </c>
      <c r="D31" s="978"/>
      <c r="E31" s="978"/>
      <c r="F31" s="959" t="e">
        <f t="shared" si="6"/>
        <v>#REF!</v>
      </c>
      <c r="G31" s="969" t="e">
        <f>C29+D29+C34+C13</f>
        <v>#REF!</v>
      </c>
    </row>
    <row r="32" s="944" customFormat="1" ht="16.15" customHeight="1" spans="1:6">
      <c r="A32" s="911">
        <v>1</v>
      </c>
      <c r="B32" s="961" t="s">
        <v>33</v>
      </c>
      <c r="C32" s="980" t="e">
        <f>#REF!</f>
        <v>#REF!</v>
      </c>
      <c r="D32" s="980"/>
      <c r="E32" s="980"/>
      <c r="F32" s="963" t="e">
        <f t="shared" si="6"/>
        <v>#REF!</v>
      </c>
    </row>
    <row r="33" s="944" customFormat="1" ht="16.15" customHeight="1" spans="1:6">
      <c r="A33" s="911">
        <v>2</v>
      </c>
      <c r="B33" s="961" t="s">
        <v>12</v>
      </c>
      <c r="C33" s="980" t="e">
        <f>#REF!</f>
        <v>#REF!</v>
      </c>
      <c r="D33" s="980"/>
      <c r="E33" s="980"/>
      <c r="F33" s="963" t="e">
        <f t="shared" si="6"/>
        <v>#REF!</v>
      </c>
    </row>
    <row r="34" s="944" customFormat="1" ht="16.15" customHeight="1" spans="1:6">
      <c r="A34" s="911">
        <v>3</v>
      </c>
      <c r="B34" s="961" t="s">
        <v>13</v>
      </c>
      <c r="C34" s="980" t="e">
        <f>'[86]总概算 '!$C$13</f>
        <v>#REF!</v>
      </c>
      <c r="D34" s="980"/>
      <c r="E34" s="980"/>
      <c r="F34" s="963" t="e">
        <f t="shared" si="6"/>
        <v>#REF!</v>
      </c>
    </row>
    <row r="35" s="944" customFormat="1" ht="16.15" customHeight="1" spans="1:7">
      <c r="A35" s="983" t="s">
        <v>34</v>
      </c>
      <c r="B35" s="984"/>
      <c r="C35" s="978" t="e">
        <f>C30+C31</f>
        <v>#REF!</v>
      </c>
      <c r="D35" s="978" t="e">
        <f>D30+D31</f>
        <v>#REF!</v>
      </c>
      <c r="E35" s="978"/>
      <c r="F35" s="959" t="e">
        <f t="shared" si="6"/>
        <v>#REF!</v>
      </c>
      <c r="G35" s="944">
        <v>100</v>
      </c>
    </row>
    <row r="36" s="944" customFormat="1" ht="16.15" customHeight="1" spans="1:6">
      <c r="A36" s="974" t="s">
        <v>35</v>
      </c>
      <c r="B36" s="975"/>
      <c r="C36" s="978"/>
      <c r="D36" s="978"/>
      <c r="E36" s="978" t="e">
        <f>E37+E38+E39+E42</f>
        <v>#REF!</v>
      </c>
      <c r="F36" s="959" t="e">
        <f t="shared" si="6"/>
        <v>#REF!</v>
      </c>
    </row>
    <row r="37" ht="16.15" customHeight="1" spans="1:6">
      <c r="A37" s="987" t="s">
        <v>9</v>
      </c>
      <c r="B37" s="988" t="s">
        <v>36</v>
      </c>
      <c r="C37" s="980"/>
      <c r="D37" s="980"/>
      <c r="E37" s="980" t="e">
        <f>C35*2.5%</f>
        <v>#REF!</v>
      </c>
      <c r="F37" s="963" t="e">
        <f t="shared" ref="F37:F46" si="7">SUM(C37:E37)</f>
        <v>#REF!</v>
      </c>
    </row>
    <row r="38" ht="16.15" customHeight="1" spans="1:6">
      <c r="A38" s="987" t="s">
        <v>14</v>
      </c>
      <c r="B38" s="988" t="s">
        <v>37</v>
      </c>
      <c r="C38" s="980"/>
      <c r="D38" s="980"/>
      <c r="E38" s="980" t="e">
        <f>((120.8+(C35-5000)*(181-120.8)/(8000-5000))*0.9*0.85*1)</f>
        <v>#REF!</v>
      </c>
      <c r="F38" s="963" t="e">
        <f t="shared" si="7"/>
        <v>#REF!</v>
      </c>
    </row>
    <row r="39" ht="16.15" customHeight="1" spans="1:8">
      <c r="A39" s="987" t="s">
        <v>16</v>
      </c>
      <c r="B39" s="988" t="s">
        <v>38</v>
      </c>
      <c r="C39" s="980"/>
      <c r="D39" s="980"/>
      <c r="E39" s="980" t="e">
        <f>E40+E41</f>
        <v>#REF!</v>
      </c>
      <c r="F39" s="963" t="e">
        <f t="shared" si="7"/>
        <v>#REF!</v>
      </c>
      <c r="H39" s="989"/>
    </row>
    <row r="40" ht="16.15" customHeight="1" spans="1:8">
      <c r="A40" s="987" t="s">
        <v>39</v>
      </c>
      <c r="B40" s="990" t="s">
        <v>40</v>
      </c>
      <c r="C40" s="980"/>
      <c r="D40" s="980"/>
      <c r="E40" s="991" t="e">
        <f>((163.9+(F35-5000)*(249.6-163.9)/(8000-5000))*0.8*0.85*0.85)*(1+10%)</f>
        <v>#REF!</v>
      </c>
      <c r="F40" s="963" t="e">
        <f t="shared" si="7"/>
        <v>#REF!</v>
      </c>
      <c r="H40" s="964"/>
    </row>
    <row r="41" ht="16.15" customHeight="1" spans="1:6">
      <c r="A41" s="987" t="s">
        <v>41</v>
      </c>
      <c r="B41" s="990" t="s">
        <v>42</v>
      </c>
      <c r="C41" s="980"/>
      <c r="D41" s="980"/>
      <c r="E41" s="991">
        <f>测量费!G16/10000</f>
        <v>66.5</v>
      </c>
      <c r="F41" s="963">
        <f t="shared" si="7"/>
        <v>66.5</v>
      </c>
    </row>
    <row r="42" ht="16.15" customHeight="1" spans="1:6">
      <c r="A42" s="987" t="s">
        <v>18</v>
      </c>
      <c r="B42" s="988" t="s">
        <v>43</v>
      </c>
      <c r="C42" s="980"/>
      <c r="D42" s="980"/>
      <c r="E42" s="980" t="e">
        <f>E43+E44+E45</f>
        <v>#REF!</v>
      </c>
      <c r="F42" s="963" t="e">
        <f t="shared" si="7"/>
        <v>#REF!</v>
      </c>
    </row>
    <row r="43" ht="16.15" customHeight="1" spans="1:10">
      <c r="A43" s="987" t="s">
        <v>39</v>
      </c>
      <c r="B43" s="988" t="s">
        <v>44</v>
      </c>
      <c r="C43" s="980"/>
      <c r="D43" s="980"/>
      <c r="E43" s="980" t="e">
        <f>C35*1.2%</f>
        <v>#REF!</v>
      </c>
      <c r="F43" s="963" t="e">
        <f t="shared" si="7"/>
        <v>#REF!</v>
      </c>
      <c r="J43" s="964"/>
    </row>
    <row r="44" ht="16.15" customHeight="1" spans="1:10">
      <c r="A44" s="987" t="s">
        <v>41</v>
      </c>
      <c r="B44" s="988" t="s">
        <v>45</v>
      </c>
      <c r="C44" s="980"/>
      <c r="D44" s="980"/>
      <c r="E44" s="980" t="e">
        <f>C35*0.3%</f>
        <v>#REF!</v>
      </c>
      <c r="F44" s="963" t="e">
        <f t="shared" si="7"/>
        <v>#REF!</v>
      </c>
      <c r="J44" s="964"/>
    </row>
    <row r="45" ht="16.15" customHeight="1" spans="1:8">
      <c r="A45" s="987" t="s">
        <v>46</v>
      </c>
      <c r="B45" s="988" t="s">
        <v>47</v>
      </c>
      <c r="C45" s="980"/>
      <c r="D45" s="980"/>
      <c r="E45" s="980" t="e">
        <f>F35*0.45%</f>
        <v>#REF!</v>
      </c>
      <c r="F45" s="963" t="e">
        <f>E45</f>
        <v>#REF!</v>
      </c>
      <c r="H45" s="946" t="e">
        <f>#REF!+#REF!</f>
        <v>#REF!</v>
      </c>
    </row>
    <row r="46" s="944" customFormat="1" ht="16.15" customHeight="1" spans="1:11">
      <c r="A46" s="983" t="s">
        <v>48</v>
      </c>
      <c r="B46" s="984"/>
      <c r="C46" s="978" t="e">
        <f>C35+C36</f>
        <v>#REF!</v>
      </c>
      <c r="D46" s="978" t="e">
        <f t="shared" ref="D46:E46" si="8">D35+D36</f>
        <v>#REF!</v>
      </c>
      <c r="E46" s="978" t="e">
        <f t="shared" si="8"/>
        <v>#REF!</v>
      </c>
      <c r="F46" s="959" t="e">
        <f t="shared" si="7"/>
        <v>#REF!</v>
      </c>
      <c r="H46" s="969" t="e">
        <f>H45+C9+C21+C17</f>
        <v>#REF!</v>
      </c>
      <c r="K46" s="971"/>
    </row>
    <row r="47" s="944" customFormat="1" ht="16.15" customHeight="1" spans="1:11">
      <c r="A47" s="974" t="s">
        <v>49</v>
      </c>
      <c r="B47" s="975"/>
      <c r="C47" s="978"/>
      <c r="D47" s="978"/>
      <c r="E47" s="978"/>
      <c r="F47" s="959" t="e">
        <f>F46*2%</f>
        <v>#REF!</v>
      </c>
      <c r="G47" s="969"/>
      <c r="H47" s="969" t="e">
        <f>H46+'[86]总概算 '!$F$16</f>
        <v>#REF!</v>
      </c>
      <c r="K47" s="971"/>
    </row>
    <row r="48" s="944" customFormat="1" ht="16.15" customHeight="1" spans="1:11">
      <c r="A48" s="992" t="s">
        <v>50</v>
      </c>
      <c r="B48" s="993"/>
      <c r="C48" s="994"/>
      <c r="D48" s="994"/>
      <c r="E48" s="994"/>
      <c r="F48" s="995" t="e">
        <f>F46+F47</f>
        <v>#REF!</v>
      </c>
      <c r="G48" s="969">
        <v>6265</v>
      </c>
      <c r="H48" s="996" t="e">
        <f>#REF!+#REF!</f>
        <v>#REF!</v>
      </c>
      <c r="I48" s="969" t="e">
        <f>H48+C9+C17+C20+C21+C22</f>
        <v>#REF!</v>
      </c>
      <c r="J48" s="969" t="e">
        <f>I48+'[86]总概算 '!$F$16</f>
        <v>#REF!</v>
      </c>
      <c r="K48" s="971"/>
    </row>
    <row r="49" spans="6:6">
      <c r="F49" s="947">
        <v>6649.67</v>
      </c>
    </row>
    <row r="50" spans="6:7">
      <c r="F50" s="997"/>
      <c r="G50" s="964"/>
    </row>
    <row r="51" spans="5:8">
      <c r="E51" s="997"/>
      <c r="F51" s="998" t="e">
        <f>F48-F49</f>
        <v>#REF!</v>
      </c>
      <c r="H51" s="946">
        <v>6179.6</v>
      </c>
    </row>
    <row r="52" spans="6:9">
      <c r="F52" s="997"/>
      <c r="H52" s="999">
        <v>6163</v>
      </c>
      <c r="I52" s="1004" t="e">
        <f>H52-F48</f>
        <v>#REF!</v>
      </c>
    </row>
    <row r="53" spans="8:9">
      <c r="H53" s="1000">
        <f>H51-H52</f>
        <v>16.6</v>
      </c>
      <c r="I53" s="946">
        <v>6135.17</v>
      </c>
    </row>
    <row r="54" spans="10:10">
      <c r="J54" s="1001"/>
    </row>
    <row r="55" spans="8:8">
      <c r="H55" s="1001"/>
    </row>
  </sheetData>
  <mergeCells count="12">
    <mergeCell ref="A1:F1"/>
    <mergeCell ref="E2:F2"/>
    <mergeCell ref="A4:B4"/>
    <mergeCell ref="A23:B23"/>
    <mergeCell ref="A26:B26"/>
    <mergeCell ref="A30:B30"/>
    <mergeCell ref="A31:B31"/>
    <mergeCell ref="A35:B35"/>
    <mergeCell ref="A36:B36"/>
    <mergeCell ref="A46:B46"/>
    <mergeCell ref="A47:B47"/>
    <mergeCell ref="A48:B48"/>
  </mergeCells>
  <printOptions horizontalCentered="1"/>
  <pageMargins left="0.78740157480315" right="0.78740157480315" top="0.78740157480315" bottom="0.78740157480315" header="0.511811023622047" footer="0.393700787401575"/>
  <pageSetup paperSize="9" orientation="portrait" useFirstPageNumber="1" horizontalDpi="180" verticalDpi="180"/>
  <headerFooter alignWithMargins="0">
    <oddFooter>&amp;C第 &amp;P 页</oddFooter>
  </headerFooter>
  <ignoredErrors>
    <ignoredError sqref="F45" evalError="1" formula="1"/>
    <ignoredError sqref="E43:E46 F42:F44 F37:F40 F46 F4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I503"/>
  <sheetViews>
    <sheetView view="pageBreakPreview" zoomScaleNormal="100" topLeftCell="A26" workbookViewId="0">
      <selection activeCell="K250" sqref="K250"/>
    </sheetView>
  </sheetViews>
  <sheetFormatPr defaultColWidth="9" defaultRowHeight="20.1" customHeight="1"/>
  <cols>
    <col min="1" max="1" width="6.875" style="127" customWidth="1"/>
    <col min="2" max="2" width="14.625" style="128" customWidth="1"/>
    <col min="3" max="3" width="8.25" style="127" customWidth="1"/>
    <col min="4" max="4" width="10" style="129" customWidth="1"/>
    <col min="5" max="5" width="9.5" style="127" customWidth="1"/>
    <col min="6" max="6" width="11.25" style="127" customWidth="1"/>
    <col min="7" max="7" width="11.5" style="128" customWidth="1"/>
    <col min="8" max="8" width="12" style="128" customWidth="1"/>
    <col min="9" max="9" width="11" style="128" customWidth="1"/>
    <col min="10" max="10" width="9" style="128"/>
    <col min="11" max="11" width="15.875" style="128" customWidth="1"/>
    <col min="12" max="12" width="11.375" style="128" customWidth="1"/>
    <col min="13" max="13" width="11.625" style="128" customWidth="1"/>
    <col min="14" max="14" width="13" style="128" customWidth="1"/>
    <col min="15" max="15" width="10.375" style="128" customWidth="1"/>
    <col min="16" max="16384" width="9" style="128"/>
  </cols>
  <sheetData>
    <row r="1" hidden="1" customHeight="1" spans="1:7">
      <c r="A1" s="79" t="s">
        <v>274</v>
      </c>
      <c r="B1" s="79"/>
      <c r="C1" s="79"/>
      <c r="D1" s="79"/>
      <c r="E1" s="79"/>
      <c r="F1" s="79"/>
      <c r="G1" s="79"/>
    </row>
    <row r="2" hidden="1" customHeight="1" spans="1:7">
      <c r="A2" s="102" t="s">
        <v>275</v>
      </c>
      <c r="B2" s="103"/>
      <c r="C2" s="103" t="s">
        <v>39</v>
      </c>
      <c r="D2" s="103" t="s">
        <v>276</v>
      </c>
      <c r="E2" s="709" t="s">
        <v>391</v>
      </c>
      <c r="F2" s="710"/>
      <c r="G2" s="711"/>
    </row>
    <row r="3" hidden="1" customHeight="1" spans="1:7">
      <c r="A3" s="106" t="s">
        <v>278</v>
      </c>
      <c r="B3" s="107"/>
      <c r="C3" s="108" t="s">
        <v>392</v>
      </c>
      <c r="D3" s="108"/>
      <c r="E3" s="108"/>
      <c r="F3" s="109" t="s">
        <v>280</v>
      </c>
      <c r="G3" s="110" t="s">
        <v>281</v>
      </c>
    </row>
    <row r="4" hidden="1" customHeight="1" spans="1:9">
      <c r="A4" s="712" t="s">
        <v>358</v>
      </c>
      <c r="B4" s="713"/>
      <c r="C4" s="713"/>
      <c r="D4" s="713"/>
      <c r="E4" s="713"/>
      <c r="F4" s="713"/>
      <c r="G4" s="714"/>
      <c r="I4" s="404"/>
    </row>
    <row r="5" hidden="1" customHeight="1" spans="1:7">
      <c r="A5" s="113" t="s">
        <v>393</v>
      </c>
      <c r="B5" s="114"/>
      <c r="C5" s="54"/>
      <c r="D5" s="54"/>
      <c r="E5" s="54"/>
      <c r="F5" s="54"/>
      <c r="G5" s="55"/>
    </row>
    <row r="6" hidden="1" customHeight="1" spans="1:7">
      <c r="A6" s="106" t="s">
        <v>284</v>
      </c>
      <c r="B6" s="109" t="s">
        <v>233</v>
      </c>
      <c r="C6" s="109"/>
      <c r="D6" s="109" t="s">
        <v>88</v>
      </c>
      <c r="E6" s="115" t="s">
        <v>130</v>
      </c>
      <c r="F6" s="109" t="s">
        <v>285</v>
      </c>
      <c r="G6" s="110" t="s">
        <v>286</v>
      </c>
    </row>
    <row r="7" hidden="1" customHeight="1" spans="1:7">
      <c r="A7" s="106" t="s">
        <v>9</v>
      </c>
      <c r="B7" s="715" t="s">
        <v>287</v>
      </c>
      <c r="C7" s="716"/>
      <c r="D7" s="109"/>
      <c r="E7" s="115"/>
      <c r="F7" s="115"/>
      <c r="G7" s="117">
        <f>G8+G16</f>
        <v>11380.68</v>
      </c>
    </row>
    <row r="8" hidden="1" customHeight="1" spans="1:7">
      <c r="A8" s="106" t="s">
        <v>132</v>
      </c>
      <c r="B8" s="715" t="s">
        <v>288</v>
      </c>
      <c r="C8" s="716"/>
      <c r="D8" s="109"/>
      <c r="E8" s="115"/>
      <c r="F8" s="115"/>
      <c r="G8" s="117">
        <f>G9+G12</f>
        <v>10859.43</v>
      </c>
    </row>
    <row r="9" hidden="1" customHeight="1" spans="1:7">
      <c r="A9" s="106" t="s">
        <v>39</v>
      </c>
      <c r="B9" s="715" t="s">
        <v>247</v>
      </c>
      <c r="C9" s="716"/>
      <c r="D9" s="109"/>
      <c r="E9" s="115"/>
      <c r="F9" s="115"/>
      <c r="G9" s="117">
        <f>SUM(G10:G11)</f>
        <v>2866.52</v>
      </c>
    </row>
    <row r="10" hidden="1" customHeight="1" spans="1:7">
      <c r="A10" s="106"/>
      <c r="B10" s="715" t="s">
        <v>289</v>
      </c>
      <c r="C10" s="716"/>
      <c r="D10" s="109" t="s">
        <v>290</v>
      </c>
      <c r="E10" s="115">
        <v>9.9</v>
      </c>
      <c r="F10" s="115">
        <f>主材!D21</f>
        <v>8.1</v>
      </c>
      <c r="G10" s="117">
        <f>E10*F10</f>
        <v>80.19</v>
      </c>
    </row>
    <row r="11" hidden="1" customHeight="1" spans="1:7">
      <c r="A11" s="106"/>
      <c r="B11" s="715" t="s">
        <v>291</v>
      </c>
      <c r="C11" s="716"/>
      <c r="D11" s="109" t="s">
        <v>290</v>
      </c>
      <c r="E11" s="115">
        <v>482.9</v>
      </c>
      <c r="F11" s="115">
        <f>主材!D22</f>
        <v>5.77</v>
      </c>
      <c r="G11" s="117">
        <f>E11*F11</f>
        <v>2786.33</v>
      </c>
    </row>
    <row r="12" hidden="1" customHeight="1" spans="1:7">
      <c r="A12" s="106" t="s">
        <v>41</v>
      </c>
      <c r="B12" s="715" t="s">
        <v>248</v>
      </c>
      <c r="C12" s="716"/>
      <c r="D12" s="109"/>
      <c r="E12" s="115"/>
      <c r="F12" s="115"/>
      <c r="G12" s="117">
        <f>SUM(G13:G15)</f>
        <v>7992.91</v>
      </c>
    </row>
    <row r="13" hidden="1" customHeight="1" spans="1:7">
      <c r="A13" s="106"/>
      <c r="B13" s="715" t="s">
        <v>394</v>
      </c>
      <c r="C13" s="716"/>
      <c r="D13" s="109" t="s">
        <v>395</v>
      </c>
      <c r="E13" s="115">
        <v>81.6</v>
      </c>
      <c r="F13" s="115">
        <f>主材!M10</f>
        <v>70</v>
      </c>
      <c r="G13" s="117">
        <f>E13*F13</f>
        <v>5712</v>
      </c>
    </row>
    <row r="14" hidden="1" customHeight="1" spans="1:7">
      <c r="A14" s="106"/>
      <c r="B14" s="715" t="s">
        <v>396</v>
      </c>
      <c r="C14" s="716"/>
      <c r="D14" s="109" t="s">
        <v>395</v>
      </c>
      <c r="E14" s="115">
        <v>20.4</v>
      </c>
      <c r="F14" s="115">
        <f>主材!L8</f>
        <v>107.93</v>
      </c>
      <c r="G14" s="117">
        <f>E14*F14</f>
        <v>2201.77</v>
      </c>
    </row>
    <row r="15" hidden="1" customHeight="1" spans="1:7">
      <c r="A15" s="106"/>
      <c r="B15" s="715" t="s">
        <v>397</v>
      </c>
      <c r="C15" s="716"/>
      <c r="D15" s="109" t="s">
        <v>293</v>
      </c>
      <c r="E15" s="115">
        <f>SUM(G13:G14)</f>
        <v>7913.77</v>
      </c>
      <c r="F15" s="115">
        <v>1</v>
      </c>
      <c r="G15" s="117">
        <f>E15*F15/100</f>
        <v>79.14</v>
      </c>
    </row>
    <row r="16" hidden="1" customHeight="1" spans="1:7">
      <c r="A16" s="106" t="s">
        <v>133</v>
      </c>
      <c r="B16" s="715" t="s">
        <v>294</v>
      </c>
      <c r="C16" s="716"/>
      <c r="D16" s="109"/>
      <c r="E16" s="717">
        <f>G8</f>
        <v>10859.43</v>
      </c>
      <c r="F16" s="120">
        <f>费率!E4</f>
        <v>0.048</v>
      </c>
      <c r="G16" s="117">
        <f>E16*F16</f>
        <v>521.25</v>
      </c>
    </row>
    <row r="17" hidden="1" customHeight="1" spans="1:7">
      <c r="A17" s="106" t="s">
        <v>14</v>
      </c>
      <c r="B17" s="715" t="s">
        <v>295</v>
      </c>
      <c r="C17" s="716"/>
      <c r="D17" s="109"/>
      <c r="E17" s="115">
        <f>G7</f>
        <v>11380.68</v>
      </c>
      <c r="F17" s="120">
        <f>费率!E5</f>
        <v>0.085</v>
      </c>
      <c r="G17" s="117">
        <f>E17*F17</f>
        <v>967.36</v>
      </c>
    </row>
    <row r="18" hidden="1" customHeight="1" spans="1:7">
      <c r="A18" s="106" t="s">
        <v>16</v>
      </c>
      <c r="B18" s="715" t="s">
        <v>296</v>
      </c>
      <c r="C18" s="716"/>
      <c r="D18" s="109"/>
      <c r="E18" s="115">
        <f>G7+G17</f>
        <v>12348.04</v>
      </c>
      <c r="F18" s="120">
        <f>费率!E6</f>
        <v>0.07</v>
      </c>
      <c r="G18" s="117">
        <f>E18*F18</f>
        <v>864.36</v>
      </c>
    </row>
    <row r="19" hidden="1" customHeight="1" spans="1:7">
      <c r="A19" s="106" t="s">
        <v>18</v>
      </c>
      <c r="B19" s="715" t="s">
        <v>254</v>
      </c>
      <c r="C19" s="716"/>
      <c r="D19" s="109"/>
      <c r="E19" s="115"/>
      <c r="F19" s="120"/>
      <c r="G19" s="117">
        <f>SUM(G20:G21)</f>
        <v>1347.42</v>
      </c>
    </row>
    <row r="20" hidden="1" customHeight="1" spans="1:7">
      <c r="A20" s="106"/>
      <c r="B20" s="715" t="s">
        <v>394</v>
      </c>
      <c r="C20" s="716"/>
      <c r="D20" s="109" t="s">
        <v>395</v>
      </c>
      <c r="E20" s="115">
        <f>E13</f>
        <v>81.6</v>
      </c>
      <c r="F20" s="137">
        <f>主材!N10</f>
        <v>7.03</v>
      </c>
      <c r="G20" s="117">
        <f>E20*F20</f>
        <v>573.65</v>
      </c>
    </row>
    <row r="21" hidden="1" customHeight="1" spans="1:7">
      <c r="A21" s="106"/>
      <c r="B21" s="715" t="s">
        <v>396</v>
      </c>
      <c r="C21" s="716"/>
      <c r="D21" s="109" t="s">
        <v>395</v>
      </c>
      <c r="E21" s="115">
        <f>E14</f>
        <v>20.4</v>
      </c>
      <c r="F21" s="137">
        <f>主材!N8</f>
        <v>37.93</v>
      </c>
      <c r="G21" s="117">
        <f>E21*F21</f>
        <v>773.77</v>
      </c>
    </row>
    <row r="22" hidden="1" customHeight="1" spans="1:7">
      <c r="A22" s="106" t="s">
        <v>20</v>
      </c>
      <c r="B22" s="715" t="s">
        <v>297</v>
      </c>
      <c r="C22" s="716"/>
      <c r="D22" s="109"/>
      <c r="E22" s="115">
        <f>G7+G17++G18+G19</f>
        <v>14559.82</v>
      </c>
      <c r="F22" s="122">
        <f>费率!E7</f>
        <v>0.09</v>
      </c>
      <c r="G22" s="117">
        <f>E22*F22</f>
        <v>1310.38</v>
      </c>
    </row>
    <row r="23" hidden="1" customHeight="1" spans="1:7">
      <c r="A23" s="106"/>
      <c r="B23" s="715" t="s">
        <v>298</v>
      </c>
      <c r="C23" s="716"/>
      <c r="D23" s="109"/>
      <c r="E23" s="115">
        <f>G7+G17+G18+G19+G22</f>
        <v>15870.2</v>
      </c>
      <c r="F23" s="122">
        <v>0.03</v>
      </c>
      <c r="G23" s="117">
        <f>E23*F23</f>
        <v>476.11</v>
      </c>
    </row>
    <row r="24" hidden="1" customHeight="1" spans="1:7">
      <c r="A24" s="123"/>
      <c r="B24" s="718" t="s">
        <v>121</v>
      </c>
      <c r="C24" s="719"/>
      <c r="D24" s="124"/>
      <c r="E24" s="125"/>
      <c r="F24" s="124"/>
      <c r="G24" s="126">
        <f>G7+G17+G18+G19+G22+G23</f>
        <v>16346.31</v>
      </c>
    </row>
    <row r="25" hidden="1" customHeight="1"/>
    <row r="26" customHeight="1" spans="1:7">
      <c r="A26" s="79" t="s">
        <v>274</v>
      </c>
      <c r="B26" s="79"/>
      <c r="C26" s="79"/>
      <c r="D26" s="79"/>
      <c r="E26" s="79"/>
      <c r="F26" s="79"/>
      <c r="G26" s="79"/>
    </row>
    <row r="27" customHeight="1" spans="1:7">
      <c r="A27" s="102" t="s">
        <v>275</v>
      </c>
      <c r="B27" s="103"/>
      <c r="C27" s="103" t="s">
        <v>351</v>
      </c>
      <c r="D27" s="103" t="s">
        <v>276</v>
      </c>
      <c r="E27" s="104" t="s">
        <v>398</v>
      </c>
      <c r="F27" s="104"/>
      <c r="G27" s="105"/>
    </row>
    <row r="28" customHeight="1" spans="1:7">
      <c r="A28" s="106" t="s">
        <v>278</v>
      </c>
      <c r="B28" s="107"/>
      <c r="C28" s="108" t="s">
        <v>399</v>
      </c>
      <c r="D28" s="108"/>
      <c r="E28" s="108"/>
      <c r="F28" s="109" t="s">
        <v>280</v>
      </c>
      <c r="G28" s="110" t="s">
        <v>281</v>
      </c>
    </row>
    <row r="29" customHeight="1" spans="1:7">
      <c r="A29" s="111" t="s">
        <v>358</v>
      </c>
      <c r="B29" s="108"/>
      <c r="C29" s="108"/>
      <c r="D29" s="108"/>
      <c r="E29" s="108"/>
      <c r="F29" s="108"/>
      <c r="G29" s="112"/>
    </row>
    <row r="30" customHeight="1" spans="1:7">
      <c r="A30" s="113" t="s">
        <v>400</v>
      </c>
      <c r="B30" s="114"/>
      <c r="C30" s="54"/>
      <c r="D30" s="54"/>
      <c r="E30" s="54"/>
      <c r="F30" s="54"/>
      <c r="G30" s="55"/>
    </row>
    <row r="31" customHeight="1" spans="1:7">
      <c r="A31" s="106" t="s">
        <v>284</v>
      </c>
      <c r="B31" s="109" t="s">
        <v>233</v>
      </c>
      <c r="C31" s="109"/>
      <c r="D31" s="109" t="s">
        <v>88</v>
      </c>
      <c r="E31" s="115" t="s">
        <v>130</v>
      </c>
      <c r="F31" s="109" t="s">
        <v>285</v>
      </c>
      <c r="G31" s="110" t="s">
        <v>286</v>
      </c>
    </row>
    <row r="32" customHeight="1" spans="1:7">
      <c r="A32" s="106" t="s">
        <v>9</v>
      </c>
      <c r="B32" s="116" t="s">
        <v>287</v>
      </c>
      <c r="C32" s="116"/>
      <c r="D32" s="109"/>
      <c r="E32" s="115"/>
      <c r="F32" s="115"/>
      <c r="G32" s="117">
        <f>G33+G44</f>
        <v>19621.45</v>
      </c>
    </row>
    <row r="33" customHeight="1" spans="1:7">
      <c r="A33" s="106" t="s">
        <v>132</v>
      </c>
      <c r="B33" s="116" t="s">
        <v>288</v>
      </c>
      <c r="C33" s="116"/>
      <c r="D33" s="109"/>
      <c r="E33" s="115"/>
      <c r="F33" s="115"/>
      <c r="G33" s="117">
        <f>G34+G37+G41</f>
        <v>18722.76</v>
      </c>
    </row>
    <row r="34" customHeight="1" spans="1:7">
      <c r="A34" s="106" t="s">
        <v>39</v>
      </c>
      <c r="B34" s="116" t="s">
        <v>247</v>
      </c>
      <c r="C34" s="116"/>
      <c r="D34" s="109"/>
      <c r="E34" s="115"/>
      <c r="F34" s="115"/>
      <c r="G34" s="117">
        <f>SUM(G35:G36)</f>
        <v>5684.86</v>
      </c>
    </row>
    <row r="35" customHeight="1" spans="1:7">
      <c r="A35" s="106"/>
      <c r="B35" s="116" t="s">
        <v>289</v>
      </c>
      <c r="C35" s="116"/>
      <c r="D35" s="109" t="s">
        <v>290</v>
      </c>
      <c r="E35" s="115">
        <v>362.9</v>
      </c>
      <c r="F35" s="115">
        <f>F10</f>
        <v>8.1</v>
      </c>
      <c r="G35" s="117">
        <f>E35*F35</f>
        <v>2939.49</v>
      </c>
    </row>
    <row r="36" customHeight="1" spans="1:7">
      <c r="A36" s="106"/>
      <c r="B36" s="116" t="s">
        <v>291</v>
      </c>
      <c r="C36" s="116"/>
      <c r="D36" s="109" t="s">
        <v>290</v>
      </c>
      <c r="E36" s="115">
        <v>475.8</v>
      </c>
      <c r="F36" s="115">
        <f>F11</f>
        <v>5.77</v>
      </c>
      <c r="G36" s="117">
        <f>E36*F36</f>
        <v>2745.37</v>
      </c>
    </row>
    <row r="37" customHeight="1" spans="1:7">
      <c r="A37" s="106" t="s">
        <v>41</v>
      </c>
      <c r="B37" s="116" t="s">
        <v>248</v>
      </c>
      <c r="C37" s="116"/>
      <c r="D37" s="109"/>
      <c r="E37" s="115"/>
      <c r="F37" s="115"/>
      <c r="G37" s="117">
        <f>SUM(G38:G40)</f>
        <v>12756.97</v>
      </c>
    </row>
    <row r="38" customHeight="1" spans="1:7">
      <c r="A38" s="106"/>
      <c r="B38" s="116" t="s">
        <v>401</v>
      </c>
      <c r="C38" s="116"/>
      <c r="D38" s="109" t="s">
        <v>395</v>
      </c>
      <c r="E38" s="115">
        <v>113</v>
      </c>
      <c r="F38" s="115">
        <f>主材!M11</f>
        <v>70</v>
      </c>
      <c r="G38" s="117">
        <f>E38*F38</f>
        <v>7910</v>
      </c>
    </row>
    <row r="39" customHeight="1" spans="1:7">
      <c r="A39" s="106"/>
      <c r="B39" s="116" t="s">
        <v>402</v>
      </c>
      <c r="C39" s="116"/>
      <c r="D39" s="109" t="s">
        <v>395</v>
      </c>
      <c r="E39" s="115">
        <v>35.3</v>
      </c>
      <c r="F39" s="115">
        <f>混凝土单价!M10</f>
        <v>135.51</v>
      </c>
      <c r="G39" s="117">
        <f>E39*F39</f>
        <v>4783.5</v>
      </c>
    </row>
    <row r="40" customHeight="1" spans="1:7">
      <c r="A40" s="106"/>
      <c r="B40" s="116" t="s">
        <v>397</v>
      </c>
      <c r="C40" s="116"/>
      <c r="D40" s="109" t="s">
        <v>293</v>
      </c>
      <c r="E40" s="115">
        <f>SUM(G38:G39)</f>
        <v>12693.5</v>
      </c>
      <c r="F40" s="115">
        <v>0.5</v>
      </c>
      <c r="G40" s="117">
        <f>E40*F40/100</f>
        <v>63.47</v>
      </c>
    </row>
    <row r="41" customHeight="1" spans="1:7">
      <c r="A41" s="106" t="s">
        <v>46</v>
      </c>
      <c r="B41" s="116" t="s">
        <v>314</v>
      </c>
      <c r="C41" s="116"/>
      <c r="D41" s="109"/>
      <c r="E41" s="115"/>
      <c r="F41" s="115"/>
      <c r="G41" s="117">
        <f>SUM(G42:G43)</f>
        <v>280.93</v>
      </c>
    </row>
    <row r="42" customHeight="1" spans="1:7">
      <c r="A42" s="106"/>
      <c r="B42" s="116" t="s">
        <v>403</v>
      </c>
      <c r="C42" s="116"/>
      <c r="D42" s="109" t="s">
        <v>316</v>
      </c>
      <c r="E42" s="115">
        <v>6.35</v>
      </c>
      <c r="F42" s="115">
        <f>机械!E16</f>
        <v>23.75</v>
      </c>
      <c r="G42" s="117">
        <f>E42*F42</f>
        <v>150.81</v>
      </c>
    </row>
    <row r="43" customHeight="1" spans="1:7">
      <c r="A43" s="106"/>
      <c r="B43" s="116" t="s">
        <v>404</v>
      </c>
      <c r="C43" s="116"/>
      <c r="D43" s="109" t="s">
        <v>316</v>
      </c>
      <c r="E43" s="115">
        <v>158.68</v>
      </c>
      <c r="F43" s="115">
        <f>机械!E29</f>
        <v>0.82</v>
      </c>
      <c r="G43" s="117">
        <f>E43*F43</f>
        <v>130.12</v>
      </c>
    </row>
    <row r="44" customHeight="1" spans="1:7">
      <c r="A44" s="106" t="s">
        <v>133</v>
      </c>
      <c r="B44" s="116" t="s">
        <v>294</v>
      </c>
      <c r="C44" s="116"/>
      <c r="D44" s="109"/>
      <c r="E44" s="717">
        <f>G33</f>
        <v>18722.76</v>
      </c>
      <c r="F44" s="120">
        <f>费率!E4</f>
        <v>0.048</v>
      </c>
      <c r="G44" s="117">
        <f>E44*F44</f>
        <v>898.69</v>
      </c>
    </row>
    <row r="45" customHeight="1" spans="1:7">
      <c r="A45" s="106" t="s">
        <v>14</v>
      </c>
      <c r="B45" s="116" t="s">
        <v>295</v>
      </c>
      <c r="C45" s="116"/>
      <c r="D45" s="109"/>
      <c r="E45" s="115">
        <f>G32</f>
        <v>19621.45</v>
      </c>
      <c r="F45" s="120">
        <f>费率!E5</f>
        <v>0.085</v>
      </c>
      <c r="G45" s="117">
        <f>E45*F45</f>
        <v>1667.82</v>
      </c>
    </row>
    <row r="46" customHeight="1" spans="1:7">
      <c r="A46" s="106" t="s">
        <v>16</v>
      </c>
      <c r="B46" s="116" t="s">
        <v>296</v>
      </c>
      <c r="C46" s="116"/>
      <c r="D46" s="109"/>
      <c r="E46" s="115">
        <f>G32+G45</f>
        <v>21289.27</v>
      </c>
      <c r="F46" s="120">
        <f>费率!E6</f>
        <v>0.07</v>
      </c>
      <c r="G46" s="117">
        <f>E46*F46</f>
        <v>1490.25</v>
      </c>
    </row>
    <row r="47" customHeight="1" spans="1:7">
      <c r="A47" s="106" t="s">
        <v>18</v>
      </c>
      <c r="B47" s="116" t="s">
        <v>254</v>
      </c>
      <c r="C47" s="116"/>
      <c r="D47" s="109"/>
      <c r="E47" s="115"/>
      <c r="F47" s="120"/>
      <c r="G47" s="117">
        <f>SUM(G48:G50)</f>
        <v>9090.57</v>
      </c>
    </row>
    <row r="48" customHeight="1" spans="1:7">
      <c r="A48" s="106"/>
      <c r="B48" s="116" t="s">
        <v>401</v>
      </c>
      <c r="C48" s="116"/>
      <c r="D48" s="109" t="s">
        <v>395</v>
      </c>
      <c r="E48" s="115">
        <f>E38</f>
        <v>113</v>
      </c>
      <c r="F48" s="137">
        <f>主材!N11</f>
        <v>57.8</v>
      </c>
      <c r="G48" s="117">
        <f>E48*F48</f>
        <v>6531.4</v>
      </c>
    </row>
    <row r="49" customHeight="1" spans="1:7">
      <c r="A49" s="106"/>
      <c r="B49" s="116" t="s">
        <v>405</v>
      </c>
      <c r="C49" s="116"/>
      <c r="D49" s="109" t="s">
        <v>158</v>
      </c>
      <c r="E49" s="115">
        <f>E39*混凝土单价!E10</f>
        <v>7.91</v>
      </c>
      <c r="F49" s="137">
        <f>主材!N6</f>
        <v>135.66</v>
      </c>
      <c r="G49" s="117">
        <f>E49*F49</f>
        <v>1073.07</v>
      </c>
    </row>
    <row r="50" customHeight="1" spans="1:7">
      <c r="A50" s="106"/>
      <c r="B50" s="116" t="s">
        <v>396</v>
      </c>
      <c r="C50" s="116"/>
      <c r="D50" s="109" t="s">
        <v>395</v>
      </c>
      <c r="E50" s="115">
        <f>E39*混凝土单价!G10</f>
        <v>39.18</v>
      </c>
      <c r="F50" s="137">
        <f>主材!N8</f>
        <v>37.93</v>
      </c>
      <c r="G50" s="117">
        <f>E50*F50</f>
        <v>1486.1</v>
      </c>
    </row>
    <row r="51" customHeight="1" spans="1:7">
      <c r="A51" s="106" t="s">
        <v>20</v>
      </c>
      <c r="B51" s="116" t="s">
        <v>297</v>
      </c>
      <c r="C51" s="116"/>
      <c r="D51" s="109"/>
      <c r="E51" s="115">
        <f>G32+G45++G46+G47</f>
        <v>31870.09</v>
      </c>
      <c r="F51" s="122">
        <f>费率!E7</f>
        <v>0.09</v>
      </c>
      <c r="G51" s="117">
        <f>E51*F51</f>
        <v>2868.31</v>
      </c>
    </row>
    <row r="52" customHeight="1" spans="1:7">
      <c r="A52" s="106"/>
      <c r="B52" s="116" t="s">
        <v>298</v>
      </c>
      <c r="C52" s="116"/>
      <c r="D52" s="109"/>
      <c r="E52" s="115">
        <f>G32+G45+G46+G47+G51</f>
        <v>34738.4</v>
      </c>
      <c r="F52" s="122">
        <v>0.03</v>
      </c>
      <c r="G52" s="117">
        <f>E52*F52</f>
        <v>1042.15</v>
      </c>
    </row>
    <row r="53" customHeight="1" spans="1:7">
      <c r="A53" s="123"/>
      <c r="B53" s="124" t="s">
        <v>121</v>
      </c>
      <c r="C53" s="124"/>
      <c r="D53" s="124"/>
      <c r="E53" s="125"/>
      <c r="F53" s="124"/>
      <c r="G53" s="126">
        <f>G32+G45+G46+G47+G51+G52</f>
        <v>35780.55</v>
      </c>
    </row>
    <row r="54" hidden="1" customHeight="1"/>
    <row r="55" hidden="1" customHeight="1" spans="1:7">
      <c r="A55" s="79" t="s">
        <v>274</v>
      </c>
      <c r="B55" s="79"/>
      <c r="C55" s="79"/>
      <c r="D55" s="79"/>
      <c r="E55" s="79"/>
      <c r="F55" s="79"/>
      <c r="G55" s="79"/>
    </row>
    <row r="56" hidden="1" customHeight="1" spans="1:7">
      <c r="A56" s="102" t="s">
        <v>275</v>
      </c>
      <c r="B56" s="103"/>
      <c r="C56" s="103" t="s">
        <v>46</v>
      </c>
      <c r="D56" s="103" t="s">
        <v>276</v>
      </c>
      <c r="E56" s="709" t="s">
        <v>406</v>
      </c>
      <c r="F56" s="710"/>
      <c r="G56" s="711"/>
    </row>
    <row r="57" hidden="1" customHeight="1" spans="1:7">
      <c r="A57" s="106" t="s">
        <v>278</v>
      </c>
      <c r="B57" s="107"/>
      <c r="C57" s="108" t="s">
        <v>407</v>
      </c>
      <c r="D57" s="108"/>
      <c r="E57" s="108"/>
      <c r="F57" s="109" t="s">
        <v>280</v>
      </c>
      <c r="G57" s="110" t="s">
        <v>281</v>
      </c>
    </row>
    <row r="58" hidden="1" customHeight="1" spans="1:7">
      <c r="A58" s="712" t="s">
        <v>358</v>
      </c>
      <c r="B58" s="713"/>
      <c r="C58" s="713"/>
      <c r="D58" s="713"/>
      <c r="E58" s="713"/>
      <c r="F58" s="713"/>
      <c r="G58" s="714"/>
    </row>
    <row r="59" hidden="1" customHeight="1" spans="1:7">
      <c r="A59" s="113" t="s">
        <v>400</v>
      </c>
      <c r="B59" s="114"/>
      <c r="C59" s="54"/>
      <c r="D59" s="54"/>
      <c r="E59" s="54"/>
      <c r="F59" s="54"/>
      <c r="G59" s="55"/>
    </row>
    <row r="60" hidden="1" customHeight="1" spans="1:7">
      <c r="A60" s="106" t="s">
        <v>284</v>
      </c>
      <c r="B60" s="109" t="s">
        <v>233</v>
      </c>
      <c r="C60" s="109"/>
      <c r="D60" s="109" t="s">
        <v>88</v>
      </c>
      <c r="E60" s="115" t="s">
        <v>130</v>
      </c>
      <c r="F60" s="109" t="s">
        <v>285</v>
      </c>
      <c r="G60" s="110" t="s">
        <v>286</v>
      </c>
    </row>
    <row r="61" hidden="1" customHeight="1" spans="1:7">
      <c r="A61" s="106" t="s">
        <v>9</v>
      </c>
      <c r="B61" s="715" t="s">
        <v>287</v>
      </c>
      <c r="C61" s="716"/>
      <c r="D61" s="109"/>
      <c r="E61" s="115"/>
      <c r="F61" s="115"/>
      <c r="G61" s="117">
        <f>G62+G73</f>
        <v>20540.13</v>
      </c>
    </row>
    <row r="62" hidden="1" customHeight="1" spans="1:7">
      <c r="A62" s="106" t="s">
        <v>132</v>
      </c>
      <c r="B62" s="715" t="s">
        <v>288</v>
      </c>
      <c r="C62" s="716"/>
      <c r="D62" s="109"/>
      <c r="E62" s="115"/>
      <c r="F62" s="115"/>
      <c r="G62" s="117">
        <f>G63+G66+G70</f>
        <v>19599.36</v>
      </c>
    </row>
    <row r="63" hidden="1" customHeight="1" spans="1:7">
      <c r="A63" s="106" t="s">
        <v>39</v>
      </c>
      <c r="B63" s="715" t="s">
        <v>247</v>
      </c>
      <c r="C63" s="716"/>
      <c r="D63" s="109"/>
      <c r="E63" s="115"/>
      <c r="F63" s="115"/>
      <c r="G63" s="117">
        <f>SUM(G64:G65)</f>
        <v>6561.46</v>
      </c>
    </row>
    <row r="64" hidden="1" customHeight="1" spans="1:7">
      <c r="A64" s="106"/>
      <c r="B64" s="715" t="s">
        <v>289</v>
      </c>
      <c r="C64" s="716"/>
      <c r="D64" s="109" t="s">
        <v>290</v>
      </c>
      <c r="E64" s="115">
        <v>442.7</v>
      </c>
      <c r="F64" s="115">
        <f>主材!D21</f>
        <v>8.1</v>
      </c>
      <c r="G64" s="117">
        <f>E64*F64</f>
        <v>3585.87</v>
      </c>
    </row>
    <row r="65" hidden="1" customHeight="1" spans="1:7">
      <c r="A65" s="106"/>
      <c r="B65" s="715" t="s">
        <v>291</v>
      </c>
      <c r="C65" s="716"/>
      <c r="D65" s="109" t="s">
        <v>290</v>
      </c>
      <c r="E65" s="115">
        <v>515.7</v>
      </c>
      <c r="F65" s="115">
        <f>主材!D22</f>
        <v>5.77</v>
      </c>
      <c r="G65" s="117">
        <f>E65*F65</f>
        <v>2975.59</v>
      </c>
    </row>
    <row r="66" hidden="1" customHeight="1" spans="1:7">
      <c r="A66" s="106" t="s">
        <v>41</v>
      </c>
      <c r="B66" s="715" t="s">
        <v>248</v>
      </c>
      <c r="C66" s="716"/>
      <c r="D66" s="109"/>
      <c r="E66" s="115"/>
      <c r="F66" s="115"/>
      <c r="G66" s="117">
        <f>SUM(G67:G69)</f>
        <v>12756.97</v>
      </c>
    </row>
    <row r="67" hidden="1" customHeight="1" spans="1:7">
      <c r="A67" s="106"/>
      <c r="B67" s="715" t="s">
        <v>401</v>
      </c>
      <c r="C67" s="716"/>
      <c r="D67" s="109" t="s">
        <v>395</v>
      </c>
      <c r="E67" s="115">
        <v>113</v>
      </c>
      <c r="F67" s="115">
        <f>主材!M11</f>
        <v>70</v>
      </c>
      <c r="G67" s="117">
        <f>E67*F67</f>
        <v>7910</v>
      </c>
    </row>
    <row r="68" hidden="1" customHeight="1" spans="1:7">
      <c r="A68" s="106"/>
      <c r="B68" s="715" t="s">
        <v>408</v>
      </c>
      <c r="C68" s="716"/>
      <c r="D68" s="109" t="s">
        <v>395</v>
      </c>
      <c r="E68" s="115">
        <v>35.3</v>
      </c>
      <c r="F68" s="115">
        <f>混凝土单价!M10</f>
        <v>135.51</v>
      </c>
      <c r="G68" s="117">
        <f>E68*F68</f>
        <v>4783.5</v>
      </c>
    </row>
    <row r="69" hidden="1" customHeight="1" spans="1:7">
      <c r="A69" s="106"/>
      <c r="B69" s="715" t="s">
        <v>397</v>
      </c>
      <c r="C69" s="716"/>
      <c r="D69" s="109" t="s">
        <v>293</v>
      </c>
      <c r="E69" s="115">
        <f>SUM(G67:G68)</f>
        <v>12693.5</v>
      </c>
      <c r="F69" s="115">
        <v>0.5</v>
      </c>
      <c r="G69" s="117">
        <f>E69*F69/100</f>
        <v>63.47</v>
      </c>
    </row>
    <row r="70" hidden="1" customHeight="1" spans="1:7">
      <c r="A70" s="106" t="s">
        <v>46</v>
      </c>
      <c r="B70" s="715" t="s">
        <v>314</v>
      </c>
      <c r="C70" s="716"/>
      <c r="D70" s="109"/>
      <c r="E70" s="115"/>
      <c r="F70" s="115"/>
      <c r="G70" s="117">
        <f>SUM(G71:G72)</f>
        <v>280.93</v>
      </c>
    </row>
    <row r="71" hidden="1" customHeight="1" spans="1:7">
      <c r="A71" s="106"/>
      <c r="B71" s="715" t="s">
        <v>403</v>
      </c>
      <c r="C71" s="716"/>
      <c r="D71" s="109" t="s">
        <v>316</v>
      </c>
      <c r="E71" s="115">
        <v>6.35</v>
      </c>
      <c r="F71" s="115">
        <f>机械!E16</f>
        <v>23.75</v>
      </c>
      <c r="G71" s="117">
        <f>E71*F71</f>
        <v>150.81</v>
      </c>
    </row>
    <row r="72" hidden="1" customHeight="1" spans="1:7">
      <c r="A72" s="106"/>
      <c r="B72" s="715" t="s">
        <v>404</v>
      </c>
      <c r="C72" s="716"/>
      <c r="D72" s="109" t="s">
        <v>316</v>
      </c>
      <c r="E72" s="115">
        <v>158.68</v>
      </c>
      <c r="F72" s="115">
        <f>机械!E29</f>
        <v>0.82</v>
      </c>
      <c r="G72" s="117">
        <f>E72*F72</f>
        <v>130.12</v>
      </c>
    </row>
    <row r="73" hidden="1" customHeight="1" spans="1:7">
      <c r="A73" s="106" t="s">
        <v>133</v>
      </c>
      <c r="B73" s="715" t="s">
        <v>294</v>
      </c>
      <c r="C73" s="716"/>
      <c r="D73" s="109"/>
      <c r="E73" s="717">
        <f>G62</f>
        <v>19599.36</v>
      </c>
      <c r="F73" s="120">
        <f>费率!E4</f>
        <v>0.048</v>
      </c>
      <c r="G73" s="117">
        <f>E73*F73</f>
        <v>940.77</v>
      </c>
    </row>
    <row r="74" hidden="1" customHeight="1" spans="1:7">
      <c r="A74" s="106" t="s">
        <v>14</v>
      </c>
      <c r="B74" s="715" t="s">
        <v>295</v>
      </c>
      <c r="C74" s="716"/>
      <c r="D74" s="109"/>
      <c r="E74" s="115">
        <f>G61</f>
        <v>20540.13</v>
      </c>
      <c r="F74" s="120">
        <f>费率!E5</f>
        <v>0.085</v>
      </c>
      <c r="G74" s="117">
        <f>E74*F74</f>
        <v>1745.91</v>
      </c>
    </row>
    <row r="75" hidden="1" customHeight="1" spans="1:7">
      <c r="A75" s="106" t="s">
        <v>16</v>
      </c>
      <c r="B75" s="715" t="s">
        <v>296</v>
      </c>
      <c r="C75" s="716"/>
      <c r="D75" s="109"/>
      <c r="E75" s="115">
        <f>G61+G74</f>
        <v>22286.04</v>
      </c>
      <c r="F75" s="120">
        <f>费率!E6</f>
        <v>0.07</v>
      </c>
      <c r="G75" s="117">
        <f>E75*F75</f>
        <v>1560.02</v>
      </c>
    </row>
    <row r="76" hidden="1" customHeight="1" spans="1:7">
      <c r="A76" s="106" t="s">
        <v>18</v>
      </c>
      <c r="B76" s="715" t="s">
        <v>254</v>
      </c>
      <c r="C76" s="716"/>
      <c r="D76" s="109"/>
      <c r="E76" s="115"/>
      <c r="F76" s="120"/>
      <c r="G76" s="117">
        <f>SUM(G77:G78)</f>
        <v>7604.47</v>
      </c>
    </row>
    <row r="77" hidden="1" customHeight="1" spans="1:7">
      <c r="A77" s="106"/>
      <c r="B77" s="715" t="s">
        <v>401</v>
      </c>
      <c r="C77" s="716"/>
      <c r="D77" s="109" t="s">
        <v>395</v>
      </c>
      <c r="E77" s="115">
        <f>E67</f>
        <v>113</v>
      </c>
      <c r="F77" s="137">
        <f>主材!N11</f>
        <v>57.8</v>
      </c>
      <c r="G77" s="117">
        <f>E77*F77</f>
        <v>6531.4</v>
      </c>
    </row>
    <row r="78" hidden="1" customHeight="1" spans="1:7">
      <c r="A78" s="106"/>
      <c r="B78" s="715" t="s">
        <v>405</v>
      </c>
      <c r="C78" s="716"/>
      <c r="D78" s="109" t="s">
        <v>158</v>
      </c>
      <c r="E78" s="115">
        <f>E68*混凝土单价!E10</f>
        <v>7.91</v>
      </c>
      <c r="F78" s="137">
        <f>主材!N6</f>
        <v>135.66</v>
      </c>
      <c r="G78" s="117">
        <f>E78*F78</f>
        <v>1073.07</v>
      </c>
    </row>
    <row r="79" hidden="1" customHeight="1" spans="1:7">
      <c r="A79" s="106"/>
      <c r="B79" s="715" t="s">
        <v>396</v>
      </c>
      <c r="C79" s="716"/>
      <c r="D79" s="109" t="s">
        <v>395</v>
      </c>
      <c r="E79" s="115"/>
      <c r="F79" s="120"/>
      <c r="G79" s="117"/>
    </row>
    <row r="80" hidden="1" customHeight="1" spans="1:7">
      <c r="A80" s="106" t="s">
        <v>20</v>
      </c>
      <c r="B80" s="715" t="s">
        <v>297</v>
      </c>
      <c r="C80" s="716"/>
      <c r="D80" s="109"/>
      <c r="E80" s="115">
        <f>G61+G74++G75+G76</f>
        <v>31450.53</v>
      </c>
      <c r="F80" s="122">
        <f>费率!E7</f>
        <v>0.09</v>
      </c>
      <c r="G80" s="117">
        <f>E80*F80</f>
        <v>2830.55</v>
      </c>
    </row>
    <row r="81" hidden="1" customHeight="1" spans="1:7">
      <c r="A81" s="106"/>
      <c r="B81" s="715" t="s">
        <v>298</v>
      </c>
      <c r="C81" s="716"/>
      <c r="D81" s="109"/>
      <c r="E81" s="115">
        <f>G61+G74+G75+G76+G80</f>
        <v>34281.08</v>
      </c>
      <c r="F81" s="122">
        <v>0.03</v>
      </c>
      <c r="G81" s="117">
        <f>E81*F81</f>
        <v>1028.43</v>
      </c>
    </row>
    <row r="82" hidden="1" customHeight="1" spans="1:7">
      <c r="A82" s="123"/>
      <c r="B82" s="718" t="s">
        <v>121</v>
      </c>
      <c r="C82" s="719"/>
      <c r="D82" s="124"/>
      <c r="E82" s="125"/>
      <c r="F82" s="124"/>
      <c r="G82" s="126">
        <f>G61+G74+G75+G76+G80+G81</f>
        <v>35309.51</v>
      </c>
    </row>
    <row r="83" ht="199.15" customHeight="1"/>
    <row r="84" customHeight="1" spans="1:7">
      <c r="A84" s="79" t="s">
        <v>274</v>
      </c>
      <c r="B84" s="79"/>
      <c r="C84" s="79"/>
      <c r="D84" s="79"/>
      <c r="E84" s="79"/>
      <c r="F84" s="79"/>
      <c r="G84" s="79"/>
    </row>
    <row r="85" customHeight="1" spans="1:7">
      <c r="A85" s="102" t="s">
        <v>275</v>
      </c>
      <c r="B85" s="103"/>
      <c r="C85" s="103" t="s">
        <v>354</v>
      </c>
      <c r="D85" s="103" t="s">
        <v>276</v>
      </c>
      <c r="E85" s="104" t="s">
        <v>409</v>
      </c>
      <c r="F85" s="104"/>
      <c r="G85" s="105"/>
    </row>
    <row r="86" customHeight="1" spans="1:7">
      <c r="A86" s="106" t="s">
        <v>278</v>
      </c>
      <c r="B86" s="107"/>
      <c r="C86" s="108" t="s">
        <v>410</v>
      </c>
      <c r="D86" s="108"/>
      <c r="E86" s="108"/>
      <c r="F86" s="109" t="s">
        <v>280</v>
      </c>
      <c r="G86" s="110" t="s">
        <v>281</v>
      </c>
    </row>
    <row r="87" customHeight="1" spans="1:7">
      <c r="A87" s="111" t="s">
        <v>358</v>
      </c>
      <c r="B87" s="108"/>
      <c r="C87" s="108"/>
      <c r="D87" s="108"/>
      <c r="E87" s="108"/>
      <c r="F87" s="108"/>
      <c r="G87" s="112"/>
    </row>
    <row r="88" customHeight="1" spans="1:7">
      <c r="A88" s="113" t="s">
        <v>400</v>
      </c>
      <c r="B88" s="114"/>
      <c r="C88" s="54"/>
      <c r="D88" s="54"/>
      <c r="E88" s="54"/>
      <c r="F88" s="54"/>
      <c r="G88" s="55"/>
    </row>
    <row r="89" customHeight="1" spans="1:7">
      <c r="A89" s="106" t="s">
        <v>284</v>
      </c>
      <c r="B89" s="109" t="s">
        <v>233</v>
      </c>
      <c r="C89" s="109"/>
      <c r="D89" s="109" t="s">
        <v>88</v>
      </c>
      <c r="E89" s="115" t="s">
        <v>130</v>
      </c>
      <c r="F89" s="109" t="s">
        <v>285</v>
      </c>
      <c r="G89" s="110" t="s">
        <v>286</v>
      </c>
    </row>
    <row r="90" customHeight="1" spans="1:7">
      <c r="A90" s="106" t="s">
        <v>9</v>
      </c>
      <c r="B90" s="116" t="s">
        <v>287</v>
      </c>
      <c r="C90" s="116"/>
      <c r="D90" s="109"/>
      <c r="E90" s="115"/>
      <c r="F90" s="115"/>
      <c r="G90" s="117">
        <f>G91+G102</f>
        <v>18886.11</v>
      </c>
    </row>
    <row r="91" customHeight="1" spans="1:7">
      <c r="A91" s="106" t="s">
        <v>132</v>
      </c>
      <c r="B91" s="116" t="s">
        <v>288</v>
      </c>
      <c r="C91" s="116"/>
      <c r="D91" s="109"/>
      <c r="E91" s="115"/>
      <c r="F91" s="115"/>
      <c r="G91" s="117">
        <f>G92+G95+G99</f>
        <v>18021.1</v>
      </c>
    </row>
    <row r="92" customHeight="1" spans="1:7">
      <c r="A92" s="106" t="s">
        <v>39</v>
      </c>
      <c r="B92" s="116" t="s">
        <v>247</v>
      </c>
      <c r="C92" s="116"/>
      <c r="D92" s="109"/>
      <c r="E92" s="115"/>
      <c r="F92" s="115"/>
      <c r="G92" s="117">
        <f>SUM(G93:G94)</f>
        <v>4983.2</v>
      </c>
    </row>
    <row r="93" customHeight="1" spans="1:7">
      <c r="A93" s="106"/>
      <c r="B93" s="116" t="s">
        <v>289</v>
      </c>
      <c r="C93" s="116"/>
      <c r="D93" s="109" t="s">
        <v>290</v>
      </c>
      <c r="E93" s="115">
        <v>299</v>
      </c>
      <c r="F93" s="115">
        <f>主材!D21</f>
        <v>8.1</v>
      </c>
      <c r="G93" s="117">
        <f>E93*F93</f>
        <v>2421.9</v>
      </c>
    </row>
    <row r="94" customHeight="1" spans="1:7">
      <c r="A94" s="106"/>
      <c r="B94" s="116" t="s">
        <v>291</v>
      </c>
      <c r="C94" s="116"/>
      <c r="D94" s="109" t="s">
        <v>290</v>
      </c>
      <c r="E94" s="115">
        <v>443.9</v>
      </c>
      <c r="F94" s="115">
        <f>主材!D22</f>
        <v>5.77</v>
      </c>
      <c r="G94" s="117">
        <f>E94*F94</f>
        <v>2561.3</v>
      </c>
    </row>
    <row r="95" customHeight="1" spans="1:7">
      <c r="A95" s="106" t="s">
        <v>41</v>
      </c>
      <c r="B95" s="116" t="s">
        <v>248</v>
      </c>
      <c r="C95" s="116"/>
      <c r="D95" s="109"/>
      <c r="E95" s="115"/>
      <c r="F95" s="115"/>
      <c r="G95" s="117">
        <f>SUM(G96:G98)</f>
        <v>12756.97</v>
      </c>
    </row>
    <row r="96" customHeight="1" spans="1:7">
      <c r="A96" s="106"/>
      <c r="B96" s="116" t="s">
        <v>401</v>
      </c>
      <c r="C96" s="116"/>
      <c r="D96" s="109" t="s">
        <v>395</v>
      </c>
      <c r="E96" s="115">
        <v>113</v>
      </c>
      <c r="F96" s="115">
        <f>主材!M11</f>
        <v>70</v>
      </c>
      <c r="G96" s="117">
        <f>E96*F96</f>
        <v>7910</v>
      </c>
    </row>
    <row r="97" customHeight="1" spans="1:7">
      <c r="A97" s="106"/>
      <c r="B97" s="116" t="s">
        <v>402</v>
      </c>
      <c r="C97" s="116"/>
      <c r="D97" s="109" t="s">
        <v>395</v>
      </c>
      <c r="E97" s="115">
        <v>35.3</v>
      </c>
      <c r="F97" s="115">
        <f>混凝土单价!M10</f>
        <v>135.51</v>
      </c>
      <c r="G97" s="117">
        <f>E97*F97</f>
        <v>4783.5</v>
      </c>
    </row>
    <row r="98" customHeight="1" spans="1:7">
      <c r="A98" s="106"/>
      <c r="B98" s="116" t="s">
        <v>397</v>
      </c>
      <c r="C98" s="116"/>
      <c r="D98" s="109" t="s">
        <v>293</v>
      </c>
      <c r="E98" s="115">
        <f>SUM(G96:G97)</f>
        <v>12693.5</v>
      </c>
      <c r="F98" s="115">
        <v>0.5</v>
      </c>
      <c r="G98" s="117">
        <f>E98*F98/100</f>
        <v>63.47</v>
      </c>
    </row>
    <row r="99" customHeight="1" spans="1:7">
      <c r="A99" s="106" t="s">
        <v>46</v>
      </c>
      <c r="B99" s="116" t="s">
        <v>314</v>
      </c>
      <c r="C99" s="116"/>
      <c r="D99" s="109"/>
      <c r="E99" s="115"/>
      <c r="F99" s="115"/>
      <c r="G99" s="117">
        <f>SUM(G100:G101)</f>
        <v>280.93</v>
      </c>
    </row>
    <row r="100" customHeight="1" spans="1:7">
      <c r="A100" s="106"/>
      <c r="B100" s="116" t="s">
        <v>403</v>
      </c>
      <c r="C100" s="116"/>
      <c r="D100" s="109" t="s">
        <v>316</v>
      </c>
      <c r="E100" s="115">
        <v>6.35</v>
      </c>
      <c r="F100" s="115">
        <f>机械!E16</f>
        <v>23.75</v>
      </c>
      <c r="G100" s="117">
        <f>E100*F100</f>
        <v>150.81</v>
      </c>
    </row>
    <row r="101" customHeight="1" spans="1:7">
      <c r="A101" s="106"/>
      <c r="B101" s="116" t="s">
        <v>404</v>
      </c>
      <c r="C101" s="116"/>
      <c r="D101" s="109" t="s">
        <v>316</v>
      </c>
      <c r="E101" s="115">
        <v>158.68</v>
      </c>
      <c r="F101" s="115">
        <f>机械!E29</f>
        <v>0.82</v>
      </c>
      <c r="G101" s="117">
        <f>E101*F101</f>
        <v>130.12</v>
      </c>
    </row>
    <row r="102" customHeight="1" spans="1:7">
      <c r="A102" s="106" t="s">
        <v>133</v>
      </c>
      <c r="B102" s="116" t="s">
        <v>294</v>
      </c>
      <c r="C102" s="116"/>
      <c r="D102" s="109"/>
      <c r="E102" s="717">
        <f>G91</f>
        <v>18021.1</v>
      </c>
      <c r="F102" s="120">
        <f>费率!E4</f>
        <v>0.048</v>
      </c>
      <c r="G102" s="117">
        <f>E102*F102</f>
        <v>865.01</v>
      </c>
    </row>
    <row r="103" customHeight="1" spans="1:7">
      <c r="A103" s="106" t="s">
        <v>14</v>
      </c>
      <c r="B103" s="116" t="s">
        <v>295</v>
      </c>
      <c r="C103" s="116"/>
      <c r="D103" s="109"/>
      <c r="E103" s="115">
        <f>G90</f>
        <v>18886.11</v>
      </c>
      <c r="F103" s="120">
        <f>费率!E5</f>
        <v>0.085</v>
      </c>
      <c r="G103" s="117">
        <f>E103*F103</f>
        <v>1605.32</v>
      </c>
    </row>
    <row r="104" customHeight="1" spans="1:7">
      <c r="A104" s="106" t="s">
        <v>16</v>
      </c>
      <c r="B104" s="116" t="s">
        <v>296</v>
      </c>
      <c r="C104" s="116"/>
      <c r="D104" s="109"/>
      <c r="E104" s="115">
        <f>G90+G103</f>
        <v>20491.43</v>
      </c>
      <c r="F104" s="120">
        <f>费率!E6</f>
        <v>0.07</v>
      </c>
      <c r="G104" s="117">
        <f>E104*F104</f>
        <v>1434.4</v>
      </c>
    </row>
    <row r="105" customHeight="1" spans="1:7">
      <c r="A105" s="106" t="s">
        <v>18</v>
      </c>
      <c r="B105" s="116" t="s">
        <v>254</v>
      </c>
      <c r="C105" s="116"/>
      <c r="D105" s="109"/>
      <c r="E105" s="115"/>
      <c r="F105" s="120"/>
      <c r="G105" s="117">
        <f>SUM(G106:G108)</f>
        <v>9090.57</v>
      </c>
    </row>
    <row r="106" customHeight="1" spans="1:7">
      <c r="A106" s="106"/>
      <c r="B106" s="116" t="s">
        <v>401</v>
      </c>
      <c r="C106" s="116"/>
      <c r="D106" s="109" t="s">
        <v>395</v>
      </c>
      <c r="E106" s="115">
        <f>E96</f>
        <v>113</v>
      </c>
      <c r="F106" s="137">
        <f>主材!N11</f>
        <v>57.8</v>
      </c>
      <c r="G106" s="117">
        <f>E106*F106</f>
        <v>6531.4</v>
      </c>
    </row>
    <row r="107" customHeight="1" spans="1:7">
      <c r="A107" s="106"/>
      <c r="B107" s="116" t="s">
        <v>405</v>
      </c>
      <c r="C107" s="116"/>
      <c r="D107" s="109" t="s">
        <v>158</v>
      </c>
      <c r="E107" s="115">
        <f>E97*混凝土单价!E10</f>
        <v>7.91</v>
      </c>
      <c r="F107" s="137">
        <f>主材!N6</f>
        <v>135.66</v>
      </c>
      <c r="G107" s="117">
        <f>E107*F107</f>
        <v>1073.07</v>
      </c>
    </row>
    <row r="108" customHeight="1" spans="1:7">
      <c r="A108" s="106"/>
      <c r="B108" s="116" t="s">
        <v>396</v>
      </c>
      <c r="C108" s="116"/>
      <c r="D108" s="109" t="s">
        <v>395</v>
      </c>
      <c r="E108" s="115">
        <f>E97*混凝土单价!G10</f>
        <v>39.18</v>
      </c>
      <c r="F108" s="137">
        <f>主材!$N$8</f>
        <v>37.93</v>
      </c>
      <c r="G108" s="117">
        <f>E108*F108</f>
        <v>1486.1</v>
      </c>
    </row>
    <row r="109" customHeight="1" spans="1:7">
      <c r="A109" s="106" t="s">
        <v>20</v>
      </c>
      <c r="B109" s="116" t="s">
        <v>297</v>
      </c>
      <c r="C109" s="116"/>
      <c r="D109" s="109"/>
      <c r="E109" s="115">
        <f>G90+G103++G104+G105</f>
        <v>31016.4</v>
      </c>
      <c r="F109" s="122">
        <f>费率!E7</f>
        <v>0.09</v>
      </c>
      <c r="G109" s="117">
        <f>E109*F109</f>
        <v>2791.48</v>
      </c>
    </row>
    <row r="110" customHeight="1" spans="1:7">
      <c r="A110" s="106"/>
      <c r="B110" s="116" t="s">
        <v>298</v>
      </c>
      <c r="C110" s="116"/>
      <c r="D110" s="109"/>
      <c r="E110" s="115">
        <f>G90+G103+G104+G105+G109</f>
        <v>33807.88</v>
      </c>
      <c r="F110" s="122">
        <v>0.03</v>
      </c>
      <c r="G110" s="117">
        <f>E110*F110</f>
        <v>1014.24</v>
      </c>
    </row>
    <row r="111" customHeight="1" spans="1:7">
      <c r="A111" s="123"/>
      <c r="B111" s="124" t="s">
        <v>121</v>
      </c>
      <c r="C111" s="124"/>
      <c r="D111" s="124"/>
      <c r="E111" s="125"/>
      <c r="F111" s="124"/>
      <c r="G111" s="126">
        <f>G90+G103+G104+G105+G109+G110</f>
        <v>34822.12</v>
      </c>
    </row>
    <row r="112" ht="200.45" customHeight="1"/>
    <row r="113" customHeight="1" spans="1:7">
      <c r="A113" s="79" t="s">
        <v>274</v>
      </c>
      <c r="B113" s="79"/>
      <c r="C113" s="79"/>
      <c r="D113" s="79"/>
      <c r="E113" s="79"/>
      <c r="F113" s="79"/>
      <c r="G113" s="79"/>
    </row>
    <row r="114" customHeight="1" spans="1:7">
      <c r="A114" s="102" t="s">
        <v>275</v>
      </c>
      <c r="B114" s="103"/>
      <c r="C114" s="103" t="s">
        <v>411</v>
      </c>
      <c r="D114" s="103" t="s">
        <v>276</v>
      </c>
      <c r="E114" s="104" t="s">
        <v>412</v>
      </c>
      <c r="F114" s="104"/>
      <c r="G114" s="105"/>
    </row>
    <row r="115" customHeight="1" spans="1:7">
      <c r="A115" s="106" t="s">
        <v>278</v>
      </c>
      <c r="B115" s="107"/>
      <c r="C115" s="108" t="s">
        <v>413</v>
      </c>
      <c r="D115" s="108"/>
      <c r="E115" s="108"/>
      <c r="F115" s="109" t="s">
        <v>280</v>
      </c>
      <c r="G115" s="110" t="s">
        <v>281</v>
      </c>
    </row>
    <row r="116" customHeight="1" spans="1:7">
      <c r="A116" s="111" t="s">
        <v>358</v>
      </c>
      <c r="B116" s="108"/>
      <c r="C116" s="108"/>
      <c r="D116" s="108"/>
      <c r="E116" s="108"/>
      <c r="F116" s="108"/>
      <c r="G116" s="112"/>
    </row>
    <row r="117" customHeight="1" spans="1:7">
      <c r="A117" s="113" t="s">
        <v>400</v>
      </c>
      <c r="B117" s="114"/>
      <c r="C117" s="54"/>
      <c r="D117" s="54"/>
      <c r="E117" s="54"/>
      <c r="F117" s="54"/>
      <c r="G117" s="55"/>
    </row>
    <row r="118" customHeight="1" spans="1:7">
      <c r="A118" s="106" t="s">
        <v>284</v>
      </c>
      <c r="B118" s="109" t="s">
        <v>233</v>
      </c>
      <c r="C118" s="109"/>
      <c r="D118" s="109" t="s">
        <v>88</v>
      </c>
      <c r="E118" s="115" t="s">
        <v>130</v>
      </c>
      <c r="F118" s="109" t="s">
        <v>285</v>
      </c>
      <c r="G118" s="110" t="s">
        <v>286</v>
      </c>
    </row>
    <row r="119" customHeight="1" spans="1:7">
      <c r="A119" s="106" t="s">
        <v>9</v>
      </c>
      <c r="B119" s="116" t="s">
        <v>287</v>
      </c>
      <c r="C119" s="116"/>
      <c r="D119" s="109"/>
      <c r="E119" s="115"/>
      <c r="F119" s="115"/>
      <c r="G119" s="117">
        <f>G120+G131</f>
        <v>18097.19</v>
      </c>
    </row>
    <row r="120" customHeight="1" spans="1:7">
      <c r="A120" s="106" t="s">
        <v>132</v>
      </c>
      <c r="B120" s="116" t="s">
        <v>288</v>
      </c>
      <c r="C120" s="116"/>
      <c r="D120" s="109"/>
      <c r="E120" s="115"/>
      <c r="F120" s="115"/>
      <c r="G120" s="117">
        <f>G121+G124+G128</f>
        <v>17268.31</v>
      </c>
    </row>
    <row r="121" customHeight="1" spans="1:7">
      <c r="A121" s="106" t="s">
        <v>39</v>
      </c>
      <c r="B121" s="116" t="s">
        <v>247</v>
      </c>
      <c r="C121" s="116"/>
      <c r="D121" s="109"/>
      <c r="E121" s="115"/>
      <c r="F121" s="115"/>
      <c r="G121" s="117">
        <f>SUM(G122:G123)</f>
        <v>4415.5</v>
      </c>
    </row>
    <row r="122" customHeight="1" spans="1:7">
      <c r="A122" s="106"/>
      <c r="B122" s="116" t="s">
        <v>289</v>
      </c>
      <c r="C122" s="116"/>
      <c r="D122" s="109" t="s">
        <v>290</v>
      </c>
      <c r="E122" s="115">
        <v>249.5</v>
      </c>
      <c r="F122" s="115">
        <f>主材!D21</f>
        <v>8.1</v>
      </c>
      <c r="G122" s="117">
        <f>E122*F122</f>
        <v>2020.95</v>
      </c>
    </row>
    <row r="123" customHeight="1" spans="1:7">
      <c r="A123" s="106"/>
      <c r="B123" s="116" t="s">
        <v>291</v>
      </c>
      <c r="C123" s="116"/>
      <c r="D123" s="109" t="s">
        <v>290</v>
      </c>
      <c r="E123" s="115">
        <v>415</v>
      </c>
      <c r="F123" s="115">
        <f>主材!D22</f>
        <v>5.77</v>
      </c>
      <c r="G123" s="117">
        <f>E123*F123</f>
        <v>2394.55</v>
      </c>
    </row>
    <row r="124" customHeight="1" spans="1:7">
      <c r="A124" s="106" t="s">
        <v>41</v>
      </c>
      <c r="B124" s="116" t="s">
        <v>248</v>
      </c>
      <c r="C124" s="116"/>
      <c r="D124" s="109"/>
      <c r="E124" s="115"/>
      <c r="F124" s="115"/>
      <c r="G124" s="117">
        <f>SUM(G125:G127)</f>
        <v>12579.93</v>
      </c>
    </row>
    <row r="125" customHeight="1" spans="1:7">
      <c r="A125" s="106"/>
      <c r="B125" s="116" t="s">
        <v>401</v>
      </c>
      <c r="C125" s="116"/>
      <c r="D125" s="109" t="s">
        <v>395</v>
      </c>
      <c r="E125" s="115">
        <v>113</v>
      </c>
      <c r="F125" s="115">
        <f>主材!M11</f>
        <v>70</v>
      </c>
      <c r="G125" s="117">
        <f>E125*F125</f>
        <v>7910</v>
      </c>
    </row>
    <row r="126" customHeight="1" spans="1:7">
      <c r="A126" s="106"/>
      <c r="B126" s="116" t="s">
        <v>408</v>
      </c>
      <c r="C126" s="116"/>
      <c r="D126" s="109" t="s">
        <v>395</v>
      </c>
      <c r="E126" s="115">
        <v>34</v>
      </c>
      <c r="F126" s="115">
        <f>混凝土单价!M10</f>
        <v>135.51</v>
      </c>
      <c r="G126" s="117">
        <f>E126*F126</f>
        <v>4607.34</v>
      </c>
    </row>
    <row r="127" customHeight="1" spans="1:7">
      <c r="A127" s="106"/>
      <c r="B127" s="116" t="s">
        <v>397</v>
      </c>
      <c r="C127" s="116"/>
      <c r="D127" s="109" t="s">
        <v>293</v>
      </c>
      <c r="E127" s="115">
        <f>SUM(G125:G126)</f>
        <v>12517.34</v>
      </c>
      <c r="F127" s="115">
        <v>0.5</v>
      </c>
      <c r="G127" s="117">
        <f>E127*F127/100</f>
        <v>62.59</v>
      </c>
    </row>
    <row r="128" customHeight="1" spans="1:7">
      <c r="A128" s="106" t="s">
        <v>46</v>
      </c>
      <c r="B128" s="116" t="s">
        <v>314</v>
      </c>
      <c r="C128" s="116"/>
      <c r="D128" s="109"/>
      <c r="E128" s="115"/>
      <c r="F128" s="115"/>
      <c r="G128" s="117">
        <f>SUM(G129:G130)</f>
        <v>272.88</v>
      </c>
    </row>
    <row r="129" customHeight="1" spans="1:7">
      <c r="A129" s="106"/>
      <c r="B129" s="116" t="s">
        <v>403</v>
      </c>
      <c r="C129" s="116"/>
      <c r="D129" s="109" t="s">
        <v>316</v>
      </c>
      <c r="E129" s="115">
        <v>6.12</v>
      </c>
      <c r="F129" s="115">
        <f>机械!E16</f>
        <v>23.75</v>
      </c>
      <c r="G129" s="117">
        <f>E129*F129</f>
        <v>145.35</v>
      </c>
    </row>
    <row r="130" customHeight="1" spans="1:7">
      <c r="A130" s="106"/>
      <c r="B130" s="116" t="s">
        <v>404</v>
      </c>
      <c r="C130" s="116"/>
      <c r="D130" s="109" t="s">
        <v>316</v>
      </c>
      <c r="E130" s="115">
        <v>155.52</v>
      </c>
      <c r="F130" s="115">
        <f>机械!E29</f>
        <v>0.82</v>
      </c>
      <c r="G130" s="117">
        <f>E130*F130</f>
        <v>127.53</v>
      </c>
    </row>
    <row r="131" customHeight="1" spans="1:7">
      <c r="A131" s="106" t="s">
        <v>133</v>
      </c>
      <c r="B131" s="116" t="s">
        <v>294</v>
      </c>
      <c r="C131" s="116"/>
      <c r="D131" s="109"/>
      <c r="E131" s="717">
        <f>G120</f>
        <v>17268.31</v>
      </c>
      <c r="F131" s="120">
        <f>费率!E4</f>
        <v>0.048</v>
      </c>
      <c r="G131" s="117">
        <f>E131*F131</f>
        <v>828.88</v>
      </c>
    </row>
    <row r="132" customHeight="1" spans="1:7">
      <c r="A132" s="106" t="s">
        <v>14</v>
      </c>
      <c r="B132" s="116" t="s">
        <v>295</v>
      </c>
      <c r="C132" s="116"/>
      <c r="D132" s="109"/>
      <c r="E132" s="115">
        <f>G119</f>
        <v>18097.19</v>
      </c>
      <c r="F132" s="120">
        <f>费率!E5</f>
        <v>0.085</v>
      </c>
      <c r="G132" s="117">
        <f>E132*F132</f>
        <v>1538.26</v>
      </c>
    </row>
    <row r="133" customHeight="1" spans="1:7">
      <c r="A133" s="106" t="s">
        <v>16</v>
      </c>
      <c r="B133" s="116" t="s">
        <v>296</v>
      </c>
      <c r="C133" s="116"/>
      <c r="D133" s="109"/>
      <c r="E133" s="115">
        <f>G119+G132</f>
        <v>19635.45</v>
      </c>
      <c r="F133" s="120">
        <f>费率!E6</f>
        <v>0.07</v>
      </c>
      <c r="G133" s="117">
        <f>E133*F133</f>
        <v>1374.48</v>
      </c>
    </row>
    <row r="134" customHeight="1" spans="1:7">
      <c r="A134" s="106" t="s">
        <v>18</v>
      </c>
      <c r="B134" s="116" t="s">
        <v>254</v>
      </c>
      <c r="C134" s="116"/>
      <c r="D134" s="109"/>
      <c r="E134" s="115"/>
      <c r="F134" s="120"/>
      <c r="G134" s="117">
        <f>SUM(G135:G137)</f>
        <v>8996.61</v>
      </c>
    </row>
    <row r="135" customHeight="1" spans="1:7">
      <c r="A135" s="106"/>
      <c r="B135" s="116" t="s">
        <v>401</v>
      </c>
      <c r="C135" s="116"/>
      <c r="D135" s="109" t="s">
        <v>395</v>
      </c>
      <c r="E135" s="115">
        <f>E125</f>
        <v>113</v>
      </c>
      <c r="F135" s="137">
        <f>主材!N11</f>
        <v>57.8</v>
      </c>
      <c r="G135" s="117">
        <f>E135*F135</f>
        <v>6531.4</v>
      </c>
    </row>
    <row r="136" customHeight="1" spans="1:7">
      <c r="A136" s="106"/>
      <c r="B136" s="116" t="s">
        <v>405</v>
      </c>
      <c r="C136" s="116"/>
      <c r="D136" s="109" t="s">
        <v>158</v>
      </c>
      <c r="E136" s="115">
        <f>E126*混凝土单价!E10</f>
        <v>7.62</v>
      </c>
      <c r="F136" s="137">
        <f>主材!N6</f>
        <v>135.66</v>
      </c>
      <c r="G136" s="117">
        <f>E136*F136</f>
        <v>1033.73</v>
      </c>
    </row>
    <row r="137" customHeight="1" spans="1:7">
      <c r="A137" s="106"/>
      <c r="B137" s="116" t="s">
        <v>396</v>
      </c>
      <c r="C137" s="116"/>
      <c r="D137" s="109" t="s">
        <v>395</v>
      </c>
      <c r="E137" s="115">
        <f>E126*混凝土单价!G10</f>
        <v>37.74</v>
      </c>
      <c r="F137" s="137">
        <f>主材!$N$8</f>
        <v>37.93</v>
      </c>
      <c r="G137" s="117">
        <f>E137*F137</f>
        <v>1431.48</v>
      </c>
    </row>
    <row r="138" customHeight="1" spans="1:7">
      <c r="A138" s="106" t="s">
        <v>20</v>
      </c>
      <c r="B138" s="116" t="s">
        <v>297</v>
      </c>
      <c r="C138" s="116"/>
      <c r="D138" s="109"/>
      <c r="E138" s="115">
        <f>G119+G132++G133+G134</f>
        <v>30006.54</v>
      </c>
      <c r="F138" s="122">
        <f>费率!E7</f>
        <v>0.09</v>
      </c>
      <c r="G138" s="117">
        <f>E138*F138</f>
        <v>2700.59</v>
      </c>
    </row>
    <row r="139" customHeight="1" spans="1:7">
      <c r="A139" s="106"/>
      <c r="B139" s="116" t="s">
        <v>298</v>
      </c>
      <c r="C139" s="116"/>
      <c r="D139" s="109"/>
      <c r="E139" s="115">
        <f>G119+G132+G133+G134+G138</f>
        <v>32707.13</v>
      </c>
      <c r="F139" s="122">
        <v>0.03</v>
      </c>
      <c r="G139" s="117">
        <f>E139*F139</f>
        <v>981.21</v>
      </c>
    </row>
    <row r="140" customHeight="1" spans="1:7">
      <c r="A140" s="123"/>
      <c r="B140" s="124" t="s">
        <v>121</v>
      </c>
      <c r="C140" s="124"/>
      <c r="D140" s="124"/>
      <c r="E140" s="125"/>
      <c r="F140" s="124"/>
      <c r="G140" s="126">
        <f>G119+G132+G133+G134+G138+G139</f>
        <v>33688.34</v>
      </c>
    </row>
    <row r="141" ht="202.9" customHeight="1"/>
    <row r="142" customHeight="1" spans="1:7">
      <c r="A142" s="79" t="s">
        <v>274</v>
      </c>
      <c r="B142" s="79"/>
      <c r="C142" s="79"/>
      <c r="D142" s="79"/>
      <c r="E142" s="79"/>
      <c r="F142" s="79"/>
      <c r="G142" s="79"/>
    </row>
    <row r="143" customHeight="1" spans="1:7">
      <c r="A143" s="102" t="s">
        <v>275</v>
      </c>
      <c r="B143" s="103"/>
      <c r="C143" s="103" t="s">
        <v>414</v>
      </c>
      <c r="D143" s="103" t="s">
        <v>276</v>
      </c>
      <c r="E143" s="104" t="s">
        <v>415</v>
      </c>
      <c r="F143" s="104"/>
      <c r="G143" s="105"/>
    </row>
    <row r="144" customHeight="1" spans="1:7">
      <c r="A144" s="106" t="s">
        <v>278</v>
      </c>
      <c r="B144" s="107"/>
      <c r="C144" s="108" t="s">
        <v>416</v>
      </c>
      <c r="D144" s="108"/>
      <c r="E144" s="108"/>
      <c r="F144" s="109" t="s">
        <v>280</v>
      </c>
      <c r="G144" s="110" t="s">
        <v>281</v>
      </c>
    </row>
    <row r="145" customHeight="1" spans="1:7">
      <c r="A145" s="111" t="s">
        <v>358</v>
      </c>
      <c r="B145" s="108"/>
      <c r="C145" s="108"/>
      <c r="D145" s="108"/>
      <c r="E145" s="108"/>
      <c r="F145" s="108"/>
      <c r="G145" s="112"/>
    </row>
    <row r="146" customHeight="1" spans="1:7">
      <c r="A146" s="113" t="s">
        <v>400</v>
      </c>
      <c r="B146" s="114"/>
      <c r="C146" s="54"/>
      <c r="D146" s="54"/>
      <c r="E146" s="54"/>
      <c r="F146" s="54"/>
      <c r="G146" s="55"/>
    </row>
    <row r="147" customHeight="1" spans="1:7">
      <c r="A147" s="106" t="s">
        <v>284</v>
      </c>
      <c r="B147" s="109" t="s">
        <v>233</v>
      </c>
      <c r="C147" s="109"/>
      <c r="D147" s="109" t="s">
        <v>88</v>
      </c>
      <c r="E147" s="115" t="s">
        <v>130</v>
      </c>
      <c r="F147" s="109" t="s">
        <v>285</v>
      </c>
      <c r="G147" s="110" t="s">
        <v>286</v>
      </c>
    </row>
    <row r="148" customHeight="1" spans="1:7">
      <c r="A148" s="106" t="s">
        <v>9</v>
      </c>
      <c r="B148" s="116" t="s">
        <v>287</v>
      </c>
      <c r="C148" s="116"/>
      <c r="D148" s="109"/>
      <c r="E148" s="115"/>
      <c r="F148" s="115"/>
      <c r="G148" s="117">
        <f>G149+G160</f>
        <v>19275.7</v>
      </c>
    </row>
    <row r="149" customHeight="1" spans="1:7">
      <c r="A149" s="106" t="s">
        <v>132</v>
      </c>
      <c r="B149" s="116" t="s">
        <v>288</v>
      </c>
      <c r="C149" s="116"/>
      <c r="D149" s="109"/>
      <c r="E149" s="115"/>
      <c r="F149" s="115"/>
      <c r="G149" s="117">
        <f>G150+G153+G157</f>
        <v>18392.84</v>
      </c>
    </row>
    <row r="150" customHeight="1" spans="1:7">
      <c r="A150" s="106" t="s">
        <v>39</v>
      </c>
      <c r="B150" s="116" t="s">
        <v>247</v>
      </c>
      <c r="C150" s="116"/>
      <c r="D150" s="109"/>
      <c r="E150" s="115"/>
      <c r="F150" s="115"/>
      <c r="G150" s="117">
        <f>SUM(G151:G152)</f>
        <v>5482.31</v>
      </c>
    </row>
    <row r="151" customHeight="1" spans="1:7">
      <c r="A151" s="106"/>
      <c r="B151" s="116" t="s">
        <v>289</v>
      </c>
      <c r="C151" s="116"/>
      <c r="D151" s="109" t="s">
        <v>290</v>
      </c>
      <c r="E151" s="115">
        <v>346.3</v>
      </c>
      <c r="F151" s="115">
        <f>主材!D21</f>
        <v>8.1</v>
      </c>
      <c r="G151" s="117">
        <f>E151*F151</f>
        <v>2805.03</v>
      </c>
    </row>
    <row r="152" customHeight="1" spans="1:7">
      <c r="A152" s="106"/>
      <c r="B152" s="116" t="s">
        <v>291</v>
      </c>
      <c r="C152" s="116"/>
      <c r="D152" s="109" t="s">
        <v>290</v>
      </c>
      <c r="E152" s="115">
        <v>464</v>
      </c>
      <c r="F152" s="115">
        <f>主材!D22</f>
        <v>5.77</v>
      </c>
      <c r="G152" s="117">
        <f>E152*F152</f>
        <v>2677.28</v>
      </c>
    </row>
    <row r="153" customHeight="1" spans="1:7">
      <c r="A153" s="106" t="s">
        <v>41</v>
      </c>
      <c r="B153" s="116" t="s">
        <v>248</v>
      </c>
      <c r="C153" s="116"/>
      <c r="D153" s="109"/>
      <c r="E153" s="115"/>
      <c r="F153" s="115"/>
      <c r="G153" s="117">
        <f>SUM(G154:G156)</f>
        <v>12634.4</v>
      </c>
    </row>
    <row r="154" customHeight="1" spans="1:7">
      <c r="A154" s="106"/>
      <c r="B154" s="116" t="s">
        <v>401</v>
      </c>
      <c r="C154" s="116"/>
      <c r="D154" s="109" t="s">
        <v>395</v>
      </c>
      <c r="E154" s="115">
        <v>113</v>
      </c>
      <c r="F154" s="115">
        <f>主材!M11</f>
        <v>70</v>
      </c>
      <c r="G154" s="117">
        <f>E154*F154</f>
        <v>7910</v>
      </c>
    </row>
    <row r="155" customHeight="1" spans="1:7">
      <c r="A155" s="106"/>
      <c r="B155" s="116" t="s">
        <v>417</v>
      </c>
      <c r="C155" s="116"/>
      <c r="D155" s="109" t="s">
        <v>395</v>
      </c>
      <c r="E155" s="115">
        <v>34.4</v>
      </c>
      <c r="F155" s="115">
        <f>混凝土单价!M10</f>
        <v>135.51</v>
      </c>
      <c r="G155" s="117">
        <f>E155*F155</f>
        <v>4661.54</v>
      </c>
    </row>
    <row r="156" customHeight="1" spans="1:7">
      <c r="A156" s="106"/>
      <c r="B156" s="116" t="s">
        <v>397</v>
      </c>
      <c r="C156" s="116"/>
      <c r="D156" s="109" t="s">
        <v>293</v>
      </c>
      <c r="E156" s="115">
        <f>SUM(G154:G155)</f>
        <v>12571.54</v>
      </c>
      <c r="F156" s="115">
        <v>0.5</v>
      </c>
      <c r="G156" s="117">
        <f>E156*F156/100</f>
        <v>62.86</v>
      </c>
    </row>
    <row r="157" customHeight="1" spans="1:7">
      <c r="A157" s="106" t="s">
        <v>46</v>
      </c>
      <c r="B157" s="116" t="s">
        <v>314</v>
      </c>
      <c r="C157" s="116"/>
      <c r="D157" s="109"/>
      <c r="E157" s="115"/>
      <c r="F157" s="115"/>
      <c r="G157" s="117">
        <f>SUM(G158:G159)</f>
        <v>276.13</v>
      </c>
    </row>
    <row r="158" customHeight="1" spans="1:7">
      <c r="A158" s="106"/>
      <c r="B158" s="116" t="s">
        <v>403</v>
      </c>
      <c r="C158" s="116"/>
      <c r="D158" s="109" t="s">
        <v>316</v>
      </c>
      <c r="E158" s="115">
        <v>6.19</v>
      </c>
      <c r="F158" s="115">
        <f>机械!E16</f>
        <v>23.75</v>
      </c>
      <c r="G158" s="117">
        <f>E158*F158</f>
        <v>147.01</v>
      </c>
    </row>
    <row r="159" customHeight="1" spans="1:7">
      <c r="A159" s="106"/>
      <c r="B159" s="116" t="s">
        <v>404</v>
      </c>
      <c r="C159" s="116"/>
      <c r="D159" s="109" t="s">
        <v>316</v>
      </c>
      <c r="E159" s="115">
        <v>157.46</v>
      </c>
      <c r="F159" s="115">
        <f>机械!E29</f>
        <v>0.82</v>
      </c>
      <c r="G159" s="117">
        <f>E159*F159</f>
        <v>129.12</v>
      </c>
    </row>
    <row r="160" customHeight="1" spans="1:7">
      <c r="A160" s="106" t="s">
        <v>133</v>
      </c>
      <c r="B160" s="116" t="s">
        <v>294</v>
      </c>
      <c r="C160" s="116"/>
      <c r="D160" s="109"/>
      <c r="E160" s="717">
        <f>G149</f>
        <v>18392.84</v>
      </c>
      <c r="F160" s="120">
        <f>费率!E4</f>
        <v>0.048</v>
      </c>
      <c r="G160" s="117">
        <f>E160*F160</f>
        <v>882.86</v>
      </c>
    </row>
    <row r="161" customHeight="1" spans="1:7">
      <c r="A161" s="106" t="s">
        <v>14</v>
      </c>
      <c r="B161" s="116" t="s">
        <v>295</v>
      </c>
      <c r="C161" s="116"/>
      <c r="D161" s="109"/>
      <c r="E161" s="115">
        <f>G148</f>
        <v>19275.7</v>
      </c>
      <c r="F161" s="120">
        <f>费率!E5</f>
        <v>0.085</v>
      </c>
      <c r="G161" s="117">
        <f>E161*F161</f>
        <v>1638.43</v>
      </c>
    </row>
    <row r="162" customHeight="1" spans="1:7">
      <c r="A162" s="106" t="s">
        <v>16</v>
      </c>
      <c r="B162" s="116" t="s">
        <v>296</v>
      </c>
      <c r="C162" s="116"/>
      <c r="D162" s="109"/>
      <c r="E162" s="115">
        <f>G148+G161</f>
        <v>20914.13</v>
      </c>
      <c r="F162" s="120">
        <f>费率!E6</f>
        <v>0.07</v>
      </c>
      <c r="G162" s="117">
        <f>E162*F162</f>
        <v>1463.99</v>
      </c>
    </row>
    <row r="163" customHeight="1" spans="1:7">
      <c r="A163" s="106" t="s">
        <v>18</v>
      </c>
      <c r="B163" s="116" t="s">
        <v>254</v>
      </c>
      <c r="C163" s="116"/>
      <c r="D163" s="109"/>
      <c r="E163" s="115"/>
      <c r="F163" s="120"/>
      <c r="G163" s="117">
        <f>SUM(G164:G166)</f>
        <v>9025.51</v>
      </c>
    </row>
    <row r="164" customHeight="1" spans="1:7">
      <c r="A164" s="106"/>
      <c r="B164" s="116" t="s">
        <v>401</v>
      </c>
      <c r="C164" s="116"/>
      <c r="D164" s="109" t="s">
        <v>395</v>
      </c>
      <c r="E164" s="115">
        <f>E154</f>
        <v>113</v>
      </c>
      <c r="F164" s="137">
        <f>主材!N11</f>
        <v>57.8</v>
      </c>
      <c r="G164" s="117">
        <f>E164*F164</f>
        <v>6531.4</v>
      </c>
    </row>
    <row r="165" customHeight="1" spans="1:7">
      <c r="A165" s="106"/>
      <c r="B165" s="116" t="s">
        <v>405</v>
      </c>
      <c r="C165" s="116"/>
      <c r="D165" s="109" t="s">
        <v>158</v>
      </c>
      <c r="E165" s="115">
        <f>E155*混凝土单价!E10</f>
        <v>7.71</v>
      </c>
      <c r="F165" s="137">
        <f>主材!N6</f>
        <v>135.66</v>
      </c>
      <c r="G165" s="117">
        <f>E165*F165</f>
        <v>1045.94</v>
      </c>
    </row>
    <row r="166" customHeight="1" spans="1:7">
      <c r="A166" s="106"/>
      <c r="B166" s="116" t="s">
        <v>396</v>
      </c>
      <c r="C166" s="116"/>
      <c r="D166" s="109" t="s">
        <v>395</v>
      </c>
      <c r="E166" s="115">
        <f>E155*混凝土单价!G10</f>
        <v>38.18</v>
      </c>
      <c r="F166" s="137">
        <f>主材!$N$8</f>
        <v>37.93</v>
      </c>
      <c r="G166" s="117">
        <f>E166*F166</f>
        <v>1448.17</v>
      </c>
    </row>
    <row r="167" customHeight="1" spans="1:7">
      <c r="A167" s="106" t="s">
        <v>20</v>
      </c>
      <c r="B167" s="116" t="s">
        <v>297</v>
      </c>
      <c r="C167" s="116"/>
      <c r="D167" s="109"/>
      <c r="E167" s="115">
        <f>G148+G161++G162+G163</f>
        <v>31403.63</v>
      </c>
      <c r="F167" s="122">
        <f>费率!E7</f>
        <v>0.09</v>
      </c>
      <c r="G167" s="117">
        <f>E167*F167</f>
        <v>2826.33</v>
      </c>
    </row>
    <row r="168" customHeight="1" spans="1:7">
      <c r="A168" s="106"/>
      <c r="B168" s="116" t="s">
        <v>298</v>
      </c>
      <c r="C168" s="116"/>
      <c r="D168" s="109"/>
      <c r="E168" s="115">
        <f>G148+G161+G162+G163+G167</f>
        <v>34229.96</v>
      </c>
      <c r="F168" s="122">
        <v>0.03</v>
      </c>
      <c r="G168" s="117">
        <f>E168*F168</f>
        <v>1026.9</v>
      </c>
    </row>
    <row r="169" ht="23.25" customHeight="1" spans="1:7">
      <c r="A169" s="123"/>
      <c r="B169" s="124" t="s">
        <v>121</v>
      </c>
      <c r="C169" s="124"/>
      <c r="D169" s="124"/>
      <c r="E169" s="125"/>
      <c r="F169" s="124"/>
      <c r="G169" s="126">
        <f>G148+G161+G162+G163+G167+G168</f>
        <v>35256.86</v>
      </c>
    </row>
    <row r="170" hidden="1" customHeight="1"/>
    <row r="171" hidden="1" customHeight="1" spans="1:7">
      <c r="A171" s="79" t="s">
        <v>274</v>
      </c>
      <c r="B171" s="79"/>
      <c r="C171" s="79"/>
      <c r="D171" s="79"/>
      <c r="E171" s="79"/>
      <c r="F171" s="79"/>
      <c r="G171" s="79"/>
    </row>
    <row r="172" hidden="1" customHeight="1" spans="1:7">
      <c r="A172" s="102" t="s">
        <v>275</v>
      </c>
      <c r="B172" s="103"/>
      <c r="C172" s="103" t="s">
        <v>334</v>
      </c>
      <c r="D172" s="103" t="s">
        <v>276</v>
      </c>
      <c r="E172" s="709" t="s">
        <v>418</v>
      </c>
      <c r="F172" s="710"/>
      <c r="G172" s="711"/>
    </row>
    <row r="173" hidden="1" customHeight="1" spans="1:7">
      <c r="A173" s="106" t="s">
        <v>278</v>
      </c>
      <c r="B173" s="107"/>
      <c r="C173" s="108" t="s">
        <v>419</v>
      </c>
      <c r="D173" s="108"/>
      <c r="E173" s="108"/>
      <c r="F173" s="109" t="s">
        <v>280</v>
      </c>
      <c r="G173" s="110" t="s">
        <v>281</v>
      </c>
    </row>
    <row r="174" hidden="1" customHeight="1" spans="1:7">
      <c r="A174" s="712" t="s">
        <v>420</v>
      </c>
      <c r="B174" s="713"/>
      <c r="C174" s="713"/>
      <c r="D174" s="713"/>
      <c r="E174" s="713"/>
      <c r="F174" s="713"/>
      <c r="G174" s="714"/>
    </row>
    <row r="175" hidden="1" customHeight="1" spans="1:7">
      <c r="A175" s="113" t="s">
        <v>421</v>
      </c>
      <c r="B175" s="114"/>
      <c r="C175" s="54"/>
      <c r="D175" s="54"/>
      <c r="E175" s="54"/>
      <c r="F175" s="54"/>
      <c r="G175" s="55"/>
    </row>
    <row r="176" hidden="1" customHeight="1" spans="1:7">
      <c r="A176" s="106" t="s">
        <v>284</v>
      </c>
      <c r="B176" s="109" t="s">
        <v>233</v>
      </c>
      <c r="C176" s="109"/>
      <c r="D176" s="109" t="s">
        <v>88</v>
      </c>
      <c r="E176" s="115" t="s">
        <v>130</v>
      </c>
      <c r="F176" s="109" t="s">
        <v>285</v>
      </c>
      <c r="G176" s="110" t="s">
        <v>286</v>
      </c>
    </row>
    <row r="177" hidden="1" customHeight="1" spans="1:7">
      <c r="A177" s="106" t="s">
        <v>9</v>
      </c>
      <c r="B177" s="715" t="s">
        <v>287</v>
      </c>
      <c r="C177" s="716"/>
      <c r="D177" s="109"/>
      <c r="E177" s="115"/>
      <c r="F177" s="115"/>
      <c r="G177" s="117">
        <f>G178+G188</f>
        <v>17694.41</v>
      </c>
    </row>
    <row r="178" hidden="1" customHeight="1" spans="1:7">
      <c r="A178" s="106" t="s">
        <v>132</v>
      </c>
      <c r="B178" s="715" t="s">
        <v>288</v>
      </c>
      <c r="C178" s="716"/>
      <c r="D178" s="109"/>
      <c r="E178" s="115"/>
      <c r="F178" s="115"/>
      <c r="G178" s="117">
        <f>G179+G182+G186</f>
        <v>16883.98</v>
      </c>
    </row>
    <row r="179" hidden="1" customHeight="1" spans="1:7">
      <c r="A179" s="106" t="s">
        <v>39</v>
      </c>
      <c r="B179" s="715" t="s">
        <v>247</v>
      </c>
      <c r="C179" s="716"/>
      <c r="D179" s="109"/>
      <c r="E179" s="115"/>
      <c r="F179" s="115"/>
      <c r="G179" s="117">
        <f>SUM(G180:G181)</f>
        <v>3799.49</v>
      </c>
    </row>
    <row r="180" hidden="1" customHeight="1" spans="1:7">
      <c r="A180" s="106"/>
      <c r="B180" s="715" t="s">
        <v>289</v>
      </c>
      <c r="C180" s="716"/>
      <c r="D180" s="109" t="s">
        <v>290</v>
      </c>
      <c r="E180" s="115">
        <v>196.6</v>
      </c>
      <c r="F180" s="115">
        <f>主材!D21</f>
        <v>8.1</v>
      </c>
      <c r="G180" s="117">
        <f>E180*F180</f>
        <v>1592.46</v>
      </c>
    </row>
    <row r="181" hidden="1" customHeight="1" spans="1:7">
      <c r="A181" s="106"/>
      <c r="B181" s="715" t="s">
        <v>291</v>
      </c>
      <c r="C181" s="716"/>
      <c r="D181" s="109" t="s">
        <v>290</v>
      </c>
      <c r="E181" s="115">
        <v>382.5</v>
      </c>
      <c r="F181" s="115">
        <f>主材!D22</f>
        <v>5.77</v>
      </c>
      <c r="G181" s="117">
        <f>E181*F181</f>
        <v>2207.03</v>
      </c>
    </row>
    <row r="182" hidden="1" customHeight="1" spans="1:7">
      <c r="A182" s="106" t="s">
        <v>41</v>
      </c>
      <c r="B182" s="715" t="s">
        <v>248</v>
      </c>
      <c r="C182" s="716"/>
      <c r="D182" s="109"/>
      <c r="E182" s="115"/>
      <c r="F182" s="115"/>
      <c r="G182" s="117">
        <f>SUM(G183:G185)</f>
        <v>13020.28</v>
      </c>
    </row>
    <row r="183" hidden="1" customHeight="1" spans="1:7">
      <c r="A183" s="106"/>
      <c r="B183" s="715" t="s">
        <v>422</v>
      </c>
      <c r="C183" s="716"/>
      <c r="D183" s="109" t="s">
        <v>423</v>
      </c>
      <c r="E183" s="115">
        <v>950</v>
      </c>
      <c r="F183" s="115">
        <f>5.95/1.17</f>
        <v>5.09</v>
      </c>
      <c r="G183" s="117">
        <f>E183*F183</f>
        <v>4835.5</v>
      </c>
    </row>
    <row r="184" hidden="1" customHeight="1" spans="1:7">
      <c r="A184" s="106"/>
      <c r="B184" s="715" t="s">
        <v>401</v>
      </c>
      <c r="C184" s="716"/>
      <c r="D184" s="109" t="s">
        <v>395</v>
      </c>
      <c r="E184" s="115">
        <v>116</v>
      </c>
      <c r="F184" s="115">
        <f>主材!M11</f>
        <v>70</v>
      </c>
      <c r="G184" s="117">
        <f>E184*F184</f>
        <v>8120</v>
      </c>
    </row>
    <row r="185" hidden="1" customHeight="1" spans="1:7">
      <c r="A185" s="106"/>
      <c r="B185" s="715" t="s">
        <v>397</v>
      </c>
      <c r="C185" s="716"/>
      <c r="D185" s="109" t="s">
        <v>293</v>
      </c>
      <c r="E185" s="115">
        <f>SUM(G183:G184)</f>
        <v>12955.5</v>
      </c>
      <c r="F185" s="115">
        <v>0.5</v>
      </c>
      <c r="G185" s="117">
        <f>E185*F185/100</f>
        <v>64.78</v>
      </c>
    </row>
    <row r="186" hidden="1" customHeight="1" spans="1:7">
      <c r="A186" s="106" t="s">
        <v>46</v>
      </c>
      <c r="B186" s="715" t="s">
        <v>314</v>
      </c>
      <c r="C186" s="716"/>
      <c r="D186" s="109"/>
      <c r="E186" s="115"/>
      <c r="F186" s="115"/>
      <c r="G186" s="117">
        <f>SUM(G187:G187)</f>
        <v>64.21</v>
      </c>
    </row>
    <row r="187" hidden="1" customHeight="1" spans="1:7">
      <c r="A187" s="106"/>
      <c r="B187" s="715" t="s">
        <v>404</v>
      </c>
      <c r="C187" s="716"/>
      <c r="D187" s="109" t="s">
        <v>316</v>
      </c>
      <c r="E187" s="115">
        <v>78.3</v>
      </c>
      <c r="F187" s="115">
        <f>机械!E29</f>
        <v>0.82</v>
      </c>
      <c r="G187" s="117">
        <f>E187*F187</f>
        <v>64.21</v>
      </c>
    </row>
    <row r="188" hidden="1" customHeight="1" spans="1:7">
      <c r="A188" s="106" t="s">
        <v>133</v>
      </c>
      <c r="B188" s="715" t="s">
        <v>294</v>
      </c>
      <c r="C188" s="716"/>
      <c r="D188" s="109"/>
      <c r="E188" s="717">
        <f>G178</f>
        <v>16883.98</v>
      </c>
      <c r="F188" s="120">
        <f>费率!E4</f>
        <v>0.048</v>
      </c>
      <c r="G188" s="117">
        <f>E188*F188</f>
        <v>810.43</v>
      </c>
    </row>
    <row r="189" hidden="1" customHeight="1" spans="1:7">
      <c r="A189" s="106" t="s">
        <v>14</v>
      </c>
      <c r="B189" s="715" t="s">
        <v>295</v>
      </c>
      <c r="C189" s="716"/>
      <c r="D189" s="109"/>
      <c r="E189" s="115">
        <f>G177</f>
        <v>17694.41</v>
      </c>
      <c r="F189" s="120">
        <f>费率!E5</f>
        <v>0.085</v>
      </c>
      <c r="G189" s="117">
        <f>E189*F189</f>
        <v>1504.02</v>
      </c>
    </row>
    <row r="190" hidden="1" customHeight="1" spans="1:7">
      <c r="A190" s="106" t="s">
        <v>16</v>
      </c>
      <c r="B190" s="715" t="s">
        <v>296</v>
      </c>
      <c r="C190" s="716"/>
      <c r="D190" s="109"/>
      <c r="E190" s="115">
        <f>G177+G189</f>
        <v>19198.43</v>
      </c>
      <c r="F190" s="120">
        <f>费率!E6</f>
        <v>0.07</v>
      </c>
      <c r="G190" s="117">
        <f>E190*F190</f>
        <v>1343.89</v>
      </c>
    </row>
    <row r="191" hidden="1" customHeight="1" spans="1:7">
      <c r="A191" s="106" t="s">
        <v>18</v>
      </c>
      <c r="B191" s="715" t="s">
        <v>254</v>
      </c>
      <c r="C191" s="716"/>
      <c r="D191" s="109"/>
      <c r="E191" s="115"/>
      <c r="F191" s="120"/>
      <c r="G191" s="117">
        <f>SUM(G192:G193)</f>
        <v>16081.3</v>
      </c>
    </row>
    <row r="192" hidden="1" customHeight="1" spans="1:7">
      <c r="A192" s="106"/>
      <c r="B192" s="715" t="s">
        <v>401</v>
      </c>
      <c r="C192" s="716"/>
      <c r="D192" s="109" t="s">
        <v>395</v>
      </c>
      <c r="E192" s="115">
        <f>E184</f>
        <v>116</v>
      </c>
      <c r="F192" s="137">
        <f>主材!N11</f>
        <v>57.8</v>
      </c>
      <c r="G192" s="117">
        <f>E192*F192</f>
        <v>6704.8</v>
      </c>
    </row>
    <row r="193" hidden="1" customHeight="1" spans="1:7">
      <c r="A193" s="106"/>
      <c r="B193" s="715" t="s">
        <v>422</v>
      </c>
      <c r="C193" s="716"/>
      <c r="D193" s="109" t="s">
        <v>423</v>
      </c>
      <c r="E193" s="115">
        <f>E183</f>
        <v>950</v>
      </c>
      <c r="F193" s="137">
        <f>17.5/1.17-F183</f>
        <v>9.87</v>
      </c>
      <c r="G193" s="117">
        <f>E193*F193</f>
        <v>9376.5</v>
      </c>
    </row>
    <row r="194" hidden="1" customHeight="1" spans="1:7">
      <c r="A194" s="106" t="s">
        <v>20</v>
      </c>
      <c r="B194" s="715" t="s">
        <v>297</v>
      </c>
      <c r="C194" s="716"/>
      <c r="D194" s="109"/>
      <c r="E194" s="115">
        <f>G177+G189++G190+G191</f>
        <v>36623.62</v>
      </c>
      <c r="F194" s="122">
        <f>费率!E7</f>
        <v>0.09</v>
      </c>
      <c r="G194" s="117">
        <f>E194*F194</f>
        <v>3296.13</v>
      </c>
    </row>
    <row r="195" hidden="1" customHeight="1" spans="1:7">
      <c r="A195" s="106"/>
      <c r="B195" s="715" t="s">
        <v>298</v>
      </c>
      <c r="C195" s="716"/>
      <c r="D195" s="109"/>
      <c r="E195" s="115">
        <f>G177+G189+G190+G191+G194</f>
        <v>39919.75</v>
      </c>
      <c r="F195" s="122">
        <v>0.03</v>
      </c>
      <c r="G195" s="117">
        <f>E195*F195</f>
        <v>1197.59</v>
      </c>
    </row>
    <row r="196" hidden="1" customHeight="1" spans="1:7">
      <c r="A196" s="123"/>
      <c r="B196" s="718" t="s">
        <v>121</v>
      </c>
      <c r="C196" s="719"/>
      <c r="D196" s="124"/>
      <c r="E196" s="125"/>
      <c r="F196" s="124"/>
      <c r="G196" s="126">
        <f>G177+G189+G190+G191+G194+G195</f>
        <v>41117.34</v>
      </c>
    </row>
    <row r="197" hidden="1" customHeight="1"/>
    <row r="198" hidden="1" customHeight="1" spans="1:7">
      <c r="A198" s="79" t="s">
        <v>274</v>
      </c>
      <c r="B198" s="79"/>
      <c r="C198" s="79"/>
      <c r="D198" s="79"/>
      <c r="E198" s="79"/>
      <c r="F198" s="79"/>
      <c r="G198" s="79"/>
    </row>
    <row r="199" hidden="1" customHeight="1" spans="1:7">
      <c r="A199" s="102" t="s">
        <v>275</v>
      </c>
      <c r="B199" s="103"/>
      <c r="C199" s="103" t="s">
        <v>361</v>
      </c>
      <c r="D199" s="103" t="s">
        <v>276</v>
      </c>
      <c r="E199" s="709" t="s">
        <v>424</v>
      </c>
      <c r="F199" s="710"/>
      <c r="G199" s="711"/>
    </row>
    <row r="200" hidden="1" customHeight="1" spans="1:7">
      <c r="A200" s="106" t="s">
        <v>278</v>
      </c>
      <c r="B200" s="107"/>
      <c r="C200" s="108" t="s">
        <v>425</v>
      </c>
      <c r="D200" s="108"/>
      <c r="E200" s="108"/>
      <c r="F200" s="109" t="s">
        <v>280</v>
      </c>
      <c r="G200" s="110" t="s">
        <v>281</v>
      </c>
    </row>
    <row r="201" hidden="1" customHeight="1" spans="1:7">
      <c r="A201" s="712" t="s">
        <v>426</v>
      </c>
      <c r="B201" s="713"/>
      <c r="C201" s="713"/>
      <c r="D201" s="713"/>
      <c r="E201" s="713"/>
      <c r="F201" s="713"/>
      <c r="G201" s="714"/>
    </row>
    <row r="202" hidden="1" customHeight="1" spans="1:7">
      <c r="A202" s="113" t="s">
        <v>427</v>
      </c>
      <c r="B202" s="114"/>
      <c r="C202" s="54"/>
      <c r="D202" s="54"/>
      <c r="E202" s="54"/>
      <c r="F202" s="54"/>
      <c r="G202" s="55"/>
    </row>
    <row r="203" hidden="1" customHeight="1" spans="1:7">
      <c r="A203" s="106" t="s">
        <v>284</v>
      </c>
      <c r="B203" s="109" t="s">
        <v>233</v>
      </c>
      <c r="C203" s="109"/>
      <c r="D203" s="109" t="s">
        <v>88</v>
      </c>
      <c r="E203" s="115" t="s">
        <v>130</v>
      </c>
      <c r="F203" s="109" t="s">
        <v>285</v>
      </c>
      <c r="G203" s="110" t="s">
        <v>286</v>
      </c>
    </row>
    <row r="204" hidden="1" customHeight="1" spans="1:7">
      <c r="A204" s="106" t="s">
        <v>9</v>
      </c>
      <c r="B204" s="715" t="s">
        <v>287</v>
      </c>
      <c r="C204" s="716"/>
      <c r="D204" s="109"/>
      <c r="E204" s="115"/>
      <c r="F204" s="115"/>
      <c r="G204" s="117">
        <f>G205+G215</f>
        <v>13513.59</v>
      </c>
    </row>
    <row r="205" hidden="1" customHeight="1" spans="1:7">
      <c r="A205" s="106" t="s">
        <v>132</v>
      </c>
      <c r="B205" s="715" t="s">
        <v>288</v>
      </c>
      <c r="C205" s="716"/>
      <c r="D205" s="109"/>
      <c r="E205" s="115"/>
      <c r="F205" s="115"/>
      <c r="G205" s="117">
        <f>G206+G209+G213</f>
        <v>12894.65</v>
      </c>
    </row>
    <row r="206" hidden="1" customHeight="1" spans="1:7">
      <c r="A206" s="106" t="s">
        <v>39</v>
      </c>
      <c r="B206" s="715" t="s">
        <v>247</v>
      </c>
      <c r="C206" s="716"/>
      <c r="D206" s="109"/>
      <c r="E206" s="115"/>
      <c r="F206" s="115"/>
      <c r="G206" s="117">
        <f>SUM(G207:G208)</f>
        <v>1754.66</v>
      </c>
    </row>
    <row r="207" hidden="1" customHeight="1" spans="1:7">
      <c r="A207" s="106"/>
      <c r="B207" s="715" t="s">
        <v>289</v>
      </c>
      <c r="C207" s="716"/>
      <c r="D207" s="109" t="s">
        <v>290</v>
      </c>
      <c r="E207" s="115"/>
      <c r="F207" s="115"/>
      <c r="G207" s="117"/>
    </row>
    <row r="208" hidden="1" customHeight="1" spans="1:7">
      <c r="A208" s="106"/>
      <c r="B208" s="715" t="s">
        <v>291</v>
      </c>
      <c r="C208" s="716"/>
      <c r="D208" s="109" t="s">
        <v>290</v>
      </c>
      <c r="E208" s="115">
        <v>304.1</v>
      </c>
      <c r="F208" s="115">
        <f>主材!D22</f>
        <v>5.77</v>
      </c>
      <c r="G208" s="117">
        <f>E208*F208</f>
        <v>1754.66</v>
      </c>
    </row>
    <row r="209" hidden="1" customHeight="1" spans="1:7">
      <c r="A209" s="106" t="s">
        <v>41</v>
      </c>
      <c r="B209" s="715" t="s">
        <v>248</v>
      </c>
      <c r="C209" s="716"/>
      <c r="D209" s="109"/>
      <c r="E209" s="115"/>
      <c r="F209" s="115"/>
      <c r="G209" s="117">
        <f>SUM(G210:G212)</f>
        <v>11088.58</v>
      </c>
    </row>
    <row r="210" hidden="1" customHeight="1" spans="1:7">
      <c r="A210" s="106"/>
      <c r="B210" s="715" t="s">
        <v>422</v>
      </c>
      <c r="C210" s="716"/>
      <c r="D210" s="109" t="s">
        <v>423</v>
      </c>
      <c r="E210" s="115">
        <v>650</v>
      </c>
      <c r="F210" s="115">
        <v>5.95</v>
      </c>
      <c r="G210" s="117">
        <f>E210*F210</f>
        <v>3867.5</v>
      </c>
    </row>
    <row r="211" hidden="1" customHeight="1" spans="1:7">
      <c r="A211" s="106"/>
      <c r="B211" s="715" t="s">
        <v>401</v>
      </c>
      <c r="C211" s="716"/>
      <c r="D211" s="109" t="s">
        <v>395</v>
      </c>
      <c r="E211" s="115">
        <v>103</v>
      </c>
      <c r="F211" s="115">
        <f>主材!M11</f>
        <v>70</v>
      </c>
      <c r="G211" s="117">
        <f>E211*F211</f>
        <v>7210</v>
      </c>
    </row>
    <row r="212" hidden="1" customHeight="1" spans="1:7">
      <c r="A212" s="106"/>
      <c r="B212" s="715" t="s">
        <v>397</v>
      </c>
      <c r="C212" s="716"/>
      <c r="D212" s="109" t="s">
        <v>293</v>
      </c>
      <c r="E212" s="115">
        <f>SUM(G210:G211)</f>
        <v>11077.5</v>
      </c>
      <c r="F212" s="115">
        <v>0.1</v>
      </c>
      <c r="G212" s="117">
        <f>E212*F212/100</f>
        <v>11.08</v>
      </c>
    </row>
    <row r="213" hidden="1" customHeight="1" spans="1:7">
      <c r="A213" s="106" t="s">
        <v>46</v>
      </c>
      <c r="B213" s="715" t="s">
        <v>314</v>
      </c>
      <c r="C213" s="716"/>
      <c r="D213" s="109"/>
      <c r="E213" s="115"/>
      <c r="F213" s="115"/>
      <c r="G213" s="117">
        <f>SUM(G214:G214)</f>
        <v>51.41</v>
      </c>
    </row>
    <row r="214" hidden="1" customHeight="1" spans="1:7">
      <c r="A214" s="106"/>
      <c r="B214" s="715" t="s">
        <v>404</v>
      </c>
      <c r="C214" s="716"/>
      <c r="D214" s="109" t="s">
        <v>316</v>
      </c>
      <c r="E214" s="115">
        <v>62.7</v>
      </c>
      <c r="F214" s="115">
        <f>机械!E29</f>
        <v>0.82</v>
      </c>
      <c r="G214" s="117">
        <f>E214*F214</f>
        <v>51.41</v>
      </c>
    </row>
    <row r="215" hidden="1" customHeight="1" spans="1:7">
      <c r="A215" s="106" t="s">
        <v>133</v>
      </c>
      <c r="B215" s="715" t="s">
        <v>294</v>
      </c>
      <c r="C215" s="716"/>
      <c r="D215" s="109"/>
      <c r="E215" s="717">
        <f>G205</f>
        <v>12894.65</v>
      </c>
      <c r="F215" s="120">
        <f>费率!J4</f>
        <v>0.048</v>
      </c>
      <c r="G215" s="117">
        <f>E215*F215</f>
        <v>618.94</v>
      </c>
    </row>
    <row r="216" hidden="1" customHeight="1" spans="1:7">
      <c r="A216" s="106" t="s">
        <v>14</v>
      </c>
      <c r="B216" s="715" t="s">
        <v>295</v>
      </c>
      <c r="C216" s="716"/>
      <c r="D216" s="109"/>
      <c r="E216" s="115">
        <f>G204</f>
        <v>13513.59</v>
      </c>
      <c r="F216" s="120">
        <f>费率!E5</f>
        <v>0.085</v>
      </c>
      <c r="G216" s="117">
        <f>E216*F216</f>
        <v>1148.66</v>
      </c>
    </row>
    <row r="217" hidden="1" customHeight="1" spans="1:7">
      <c r="A217" s="106" t="s">
        <v>16</v>
      </c>
      <c r="B217" s="715" t="s">
        <v>296</v>
      </c>
      <c r="C217" s="716"/>
      <c r="D217" s="109"/>
      <c r="E217" s="115">
        <f>G204+G216</f>
        <v>14662.25</v>
      </c>
      <c r="F217" s="120">
        <f>费率!E6</f>
        <v>0.07</v>
      </c>
      <c r="G217" s="117">
        <f>E217*F217</f>
        <v>1026.36</v>
      </c>
    </row>
    <row r="218" hidden="1" customHeight="1" spans="1:7">
      <c r="A218" s="106" t="s">
        <v>18</v>
      </c>
      <c r="B218" s="715" t="s">
        <v>254</v>
      </c>
      <c r="C218" s="716"/>
      <c r="D218" s="109"/>
      <c r="E218" s="115"/>
      <c r="F218" s="120"/>
      <c r="G218" s="117">
        <f>SUM(G219:G220)</f>
        <v>14078.4</v>
      </c>
    </row>
    <row r="219" hidden="1" customHeight="1" spans="1:7">
      <c r="A219" s="106"/>
      <c r="B219" s="715" t="s">
        <v>401</v>
      </c>
      <c r="C219" s="716"/>
      <c r="D219" s="109" t="s">
        <v>395</v>
      </c>
      <c r="E219" s="115">
        <f>E211</f>
        <v>103</v>
      </c>
      <c r="F219" s="137">
        <f>主材!N11</f>
        <v>57.8</v>
      </c>
      <c r="G219" s="117">
        <f>E219*F219</f>
        <v>5953.4</v>
      </c>
    </row>
    <row r="220" hidden="1" customHeight="1" spans="1:7">
      <c r="A220" s="106"/>
      <c r="B220" s="715" t="s">
        <v>422</v>
      </c>
      <c r="C220" s="716"/>
      <c r="D220" s="109" t="s">
        <v>423</v>
      </c>
      <c r="E220" s="115">
        <f>E210</f>
        <v>650</v>
      </c>
      <c r="F220" s="137">
        <v>12.5</v>
      </c>
      <c r="G220" s="117">
        <f>E220*F220</f>
        <v>8125</v>
      </c>
    </row>
    <row r="221" hidden="1" customHeight="1" spans="1:7">
      <c r="A221" s="106" t="s">
        <v>20</v>
      </c>
      <c r="B221" s="715" t="s">
        <v>297</v>
      </c>
      <c r="C221" s="716"/>
      <c r="D221" s="109"/>
      <c r="E221" s="115">
        <f>G204+G216++G217+G218</f>
        <v>29767.01</v>
      </c>
      <c r="F221" s="122">
        <f>费率!E7</f>
        <v>0.09</v>
      </c>
      <c r="G221" s="117">
        <f>E221*F221</f>
        <v>2679.03</v>
      </c>
    </row>
    <row r="222" hidden="1" customHeight="1" spans="1:7">
      <c r="A222" s="106"/>
      <c r="B222" s="715" t="s">
        <v>298</v>
      </c>
      <c r="C222" s="716"/>
      <c r="D222" s="109"/>
      <c r="E222" s="115">
        <f>G204+G216+G217+G218+G221</f>
        <v>32446.04</v>
      </c>
      <c r="F222" s="122">
        <v>0.03</v>
      </c>
      <c r="G222" s="117">
        <f>E222*F222</f>
        <v>973.38</v>
      </c>
    </row>
    <row r="223" hidden="1" customHeight="1" spans="1:7">
      <c r="A223" s="123"/>
      <c r="B223" s="718" t="s">
        <v>121</v>
      </c>
      <c r="C223" s="719"/>
      <c r="D223" s="124"/>
      <c r="E223" s="125"/>
      <c r="F223" s="124"/>
      <c r="G223" s="126">
        <f>G204+G216+G217+G218+G221+G222</f>
        <v>33419.42</v>
      </c>
    </row>
    <row r="224" ht="21.75" customHeight="1"/>
    <row r="225" ht="21.75" customHeight="1" spans="1:7">
      <c r="A225" s="79" t="s">
        <v>274</v>
      </c>
      <c r="B225" s="79"/>
      <c r="C225" s="79"/>
      <c r="D225" s="79"/>
      <c r="E225" s="79"/>
      <c r="F225" s="79"/>
      <c r="G225" s="79"/>
    </row>
    <row r="226" ht="24.75" customHeight="1" spans="1:7">
      <c r="A226" s="13" t="s">
        <v>275</v>
      </c>
      <c r="B226" s="14"/>
      <c r="C226" s="14" t="s">
        <v>371</v>
      </c>
      <c r="D226" s="14" t="s">
        <v>276</v>
      </c>
      <c r="E226" s="15" t="s">
        <v>428</v>
      </c>
      <c r="F226" s="16"/>
      <c r="G226" s="17"/>
    </row>
    <row r="227" ht="27" customHeight="1" spans="1:7">
      <c r="A227" s="18" t="s">
        <v>278</v>
      </c>
      <c r="B227" s="19"/>
      <c r="C227" s="20" t="s">
        <v>429</v>
      </c>
      <c r="D227" s="20"/>
      <c r="E227" s="20"/>
      <c r="F227" s="21" t="s">
        <v>280</v>
      </c>
      <c r="G227" s="22" t="s">
        <v>430</v>
      </c>
    </row>
    <row r="228" ht="24" customHeight="1" spans="1:7">
      <c r="A228" s="720" t="s">
        <v>358</v>
      </c>
      <c r="B228" s="721"/>
      <c r="C228" s="721"/>
      <c r="D228" s="721"/>
      <c r="E228" s="721"/>
      <c r="F228" s="721"/>
      <c r="G228" s="722"/>
    </row>
    <row r="229" ht="28.5" customHeight="1" spans="1:7">
      <c r="A229" s="113" t="s">
        <v>431</v>
      </c>
      <c r="B229" s="114"/>
      <c r="C229" s="54"/>
      <c r="D229" s="54"/>
      <c r="E229" s="54"/>
      <c r="F229" s="54"/>
      <c r="G229" s="55"/>
    </row>
    <row r="230" ht="24" customHeight="1" spans="1:7">
      <c r="A230" s="106" t="s">
        <v>284</v>
      </c>
      <c r="B230" s="109" t="s">
        <v>233</v>
      </c>
      <c r="C230" s="109"/>
      <c r="D230" s="109" t="s">
        <v>88</v>
      </c>
      <c r="E230" s="115" t="s">
        <v>130</v>
      </c>
      <c r="F230" s="109" t="s">
        <v>285</v>
      </c>
      <c r="G230" s="110" t="s">
        <v>286</v>
      </c>
    </row>
    <row r="231" ht="31.5" customHeight="1" spans="1:7">
      <c r="A231" s="106" t="s">
        <v>9</v>
      </c>
      <c r="B231" s="715" t="s">
        <v>287</v>
      </c>
      <c r="C231" s="716"/>
      <c r="D231" s="109"/>
      <c r="E231" s="115"/>
      <c r="F231" s="115"/>
      <c r="G231" s="117">
        <f>G232+G240</f>
        <v>4587.88</v>
      </c>
    </row>
    <row r="232" ht="22.5" customHeight="1" spans="1:7">
      <c r="A232" s="106" t="s">
        <v>132</v>
      </c>
      <c r="B232" s="715" t="s">
        <v>288</v>
      </c>
      <c r="C232" s="716"/>
      <c r="D232" s="109"/>
      <c r="E232" s="115"/>
      <c r="F232" s="115"/>
      <c r="G232" s="117">
        <f>G233+G236+G238</f>
        <v>4377.75</v>
      </c>
    </row>
    <row r="233" ht="23.25" customHeight="1" spans="1:7">
      <c r="A233" s="106" t="s">
        <v>39</v>
      </c>
      <c r="B233" s="715" t="s">
        <v>247</v>
      </c>
      <c r="C233" s="716"/>
      <c r="D233" s="109"/>
      <c r="E233" s="115"/>
      <c r="F233" s="115"/>
      <c r="G233" s="117">
        <f>SUM(G234:G235)</f>
        <v>69.24</v>
      </c>
    </row>
    <row r="234" ht="29.25" customHeight="1" spans="1:7">
      <c r="A234" s="106"/>
      <c r="B234" s="715" t="s">
        <v>289</v>
      </c>
      <c r="C234" s="716"/>
      <c r="D234" s="109" t="s">
        <v>290</v>
      </c>
      <c r="E234" s="115"/>
      <c r="F234" s="115"/>
      <c r="G234" s="117"/>
    </row>
    <row r="235" ht="18.75" customHeight="1" spans="1:7">
      <c r="A235" s="106"/>
      <c r="B235" s="715" t="s">
        <v>291</v>
      </c>
      <c r="C235" s="716"/>
      <c r="D235" s="109" t="s">
        <v>290</v>
      </c>
      <c r="E235" s="115">
        <v>12</v>
      </c>
      <c r="F235" s="115">
        <f>主材!D22</f>
        <v>5.77</v>
      </c>
      <c r="G235" s="117">
        <f>E235*F235</f>
        <v>69.24</v>
      </c>
    </row>
    <row r="236" ht="17.25" customHeight="1" spans="1:7">
      <c r="A236" s="106" t="s">
        <v>41</v>
      </c>
      <c r="B236" s="715" t="s">
        <v>248</v>
      </c>
      <c r="C236" s="716"/>
      <c r="D236" s="109"/>
      <c r="E236" s="115"/>
      <c r="F236" s="115"/>
      <c r="G236" s="117">
        <f>SUM(G237:G237)</f>
        <v>208.46</v>
      </c>
    </row>
    <row r="237" ht="23.25" customHeight="1" spans="1:7">
      <c r="A237" s="106"/>
      <c r="B237" s="715" t="s">
        <v>292</v>
      </c>
      <c r="C237" s="716"/>
      <c r="D237" s="109" t="s">
        <v>293</v>
      </c>
      <c r="E237" s="115">
        <f>G233+G238</f>
        <v>4169.29</v>
      </c>
      <c r="F237" s="115">
        <v>5</v>
      </c>
      <c r="G237" s="117">
        <f>E237*F237/100</f>
        <v>208.46</v>
      </c>
    </row>
    <row r="238" ht="21.75" customHeight="1" spans="1:7">
      <c r="A238" s="106" t="s">
        <v>46</v>
      </c>
      <c r="B238" s="715" t="s">
        <v>314</v>
      </c>
      <c r="C238" s="716"/>
      <c r="D238" s="109"/>
      <c r="E238" s="115"/>
      <c r="F238" s="115"/>
      <c r="G238" s="117">
        <f>SUM(G239:G239)</f>
        <v>4100.05</v>
      </c>
    </row>
    <row r="239" ht="17.25" customHeight="1" spans="1:7">
      <c r="A239" s="106"/>
      <c r="B239" s="715" t="s">
        <v>432</v>
      </c>
      <c r="C239" s="716"/>
      <c r="D239" s="109" t="s">
        <v>316</v>
      </c>
      <c r="E239" s="115">
        <v>33.35</v>
      </c>
      <c r="F239" s="115">
        <f>机械!E4</f>
        <v>122.94</v>
      </c>
      <c r="G239" s="117">
        <f>E239*F239</f>
        <v>4100.05</v>
      </c>
    </row>
    <row r="240" ht="16.5" customHeight="1" spans="1:7">
      <c r="A240" s="106" t="s">
        <v>133</v>
      </c>
      <c r="B240" s="715" t="s">
        <v>294</v>
      </c>
      <c r="C240" s="716"/>
      <c r="D240" s="109"/>
      <c r="E240" s="717">
        <f>G232</f>
        <v>4377.75</v>
      </c>
      <c r="F240" s="120">
        <f>费率!J4</f>
        <v>0.048</v>
      </c>
      <c r="G240" s="117">
        <f>E240*F240</f>
        <v>210.13</v>
      </c>
    </row>
    <row r="241" ht="21" customHeight="1" spans="1:7">
      <c r="A241" s="106" t="s">
        <v>14</v>
      </c>
      <c r="B241" s="715" t="s">
        <v>295</v>
      </c>
      <c r="C241" s="716"/>
      <c r="D241" s="109"/>
      <c r="E241" s="115">
        <f>G231</f>
        <v>4587.88</v>
      </c>
      <c r="F241" s="120">
        <f>费率!J5</f>
        <v>0.0725</v>
      </c>
      <c r="G241" s="117">
        <f>E241*F241</f>
        <v>332.62</v>
      </c>
    </row>
    <row r="242" ht="11.25" customHeight="1" spans="1:7">
      <c r="A242" s="106" t="s">
        <v>16</v>
      </c>
      <c r="B242" s="715" t="s">
        <v>296</v>
      </c>
      <c r="C242" s="716"/>
      <c r="D242" s="109"/>
      <c r="E242" s="115">
        <f>G231+G241</f>
        <v>4920.5</v>
      </c>
      <c r="F242" s="120">
        <f>费率!J6</f>
        <v>0.07</v>
      </c>
      <c r="G242" s="117">
        <f>E242*F242</f>
        <v>344.44</v>
      </c>
    </row>
    <row r="243" customHeight="1" spans="1:7">
      <c r="A243" s="106" t="s">
        <v>18</v>
      </c>
      <c r="B243" s="715" t="s">
        <v>254</v>
      </c>
      <c r="C243" s="716"/>
      <c r="D243" s="109"/>
      <c r="E243" s="115"/>
      <c r="F243" s="120"/>
      <c r="G243" s="117">
        <f>SUM(G244:G244)</f>
        <v>2052.28</v>
      </c>
    </row>
    <row r="244" ht="52.5" customHeight="1" spans="1:7">
      <c r="A244" s="106"/>
      <c r="B244" s="715" t="s">
        <v>317</v>
      </c>
      <c r="C244" s="716"/>
      <c r="D244" s="109" t="s">
        <v>395</v>
      </c>
      <c r="E244" s="115">
        <f>E239*14.9</f>
        <v>496.92</v>
      </c>
      <c r="F244" s="137">
        <f>主材!N13</f>
        <v>4.13</v>
      </c>
      <c r="G244" s="117">
        <f>E244*F244</f>
        <v>2052.28</v>
      </c>
    </row>
    <row r="245" ht="60.75" customHeight="1" spans="1:7">
      <c r="A245" s="106" t="s">
        <v>20</v>
      </c>
      <c r="B245" s="715" t="s">
        <v>297</v>
      </c>
      <c r="C245" s="716"/>
      <c r="D245" s="109"/>
      <c r="E245" s="115">
        <f>G231+G241++G242+G243</f>
        <v>7317.22</v>
      </c>
      <c r="F245" s="122">
        <f>费率!J7</f>
        <v>0.09</v>
      </c>
      <c r="G245" s="117">
        <f>E245*F245</f>
        <v>658.55</v>
      </c>
    </row>
    <row r="246" ht="27.75" customHeight="1" spans="1:7">
      <c r="A246" s="106"/>
      <c r="B246" s="715" t="s">
        <v>298</v>
      </c>
      <c r="C246" s="716"/>
      <c r="D246" s="109"/>
      <c r="E246" s="115">
        <f>G231+G241+G242+G243+G245</f>
        <v>7975.77</v>
      </c>
      <c r="F246" s="122">
        <v>0.03</v>
      </c>
      <c r="G246" s="117">
        <f>E246*F246</f>
        <v>239.27</v>
      </c>
    </row>
    <row r="247" ht="6.75" customHeight="1" spans="1:7">
      <c r="A247" s="123"/>
      <c r="B247" s="718" t="s">
        <v>121</v>
      </c>
      <c r="C247" s="719"/>
      <c r="D247" s="124"/>
      <c r="E247" s="125"/>
      <c r="F247" s="124"/>
      <c r="G247" s="126">
        <f>G231+G241+G242+G243+G245+G246</f>
        <v>8215.04</v>
      </c>
    </row>
    <row r="248" ht="198" customHeight="1"/>
    <row r="249" customHeight="1" spans="1:7">
      <c r="A249" s="79" t="s">
        <v>274</v>
      </c>
      <c r="B249" s="79"/>
      <c r="C249" s="79"/>
      <c r="D249" s="79"/>
      <c r="E249" s="79"/>
      <c r="F249" s="79"/>
      <c r="G249" s="79"/>
    </row>
    <row r="250" ht="16.9" customHeight="1" spans="1:7">
      <c r="A250" s="13" t="s">
        <v>275</v>
      </c>
      <c r="B250" s="14"/>
      <c r="C250" s="14" t="s">
        <v>376</v>
      </c>
      <c r="D250" s="14" t="s">
        <v>276</v>
      </c>
      <c r="E250" s="39" t="s">
        <v>433</v>
      </c>
      <c r="F250" s="39"/>
      <c r="G250" s="40"/>
    </row>
    <row r="251" ht="16.9" customHeight="1" spans="1:7">
      <c r="A251" s="18" t="s">
        <v>278</v>
      </c>
      <c r="B251" s="19"/>
      <c r="C251" s="20" t="s">
        <v>434</v>
      </c>
      <c r="D251" s="20"/>
      <c r="E251" s="20"/>
      <c r="F251" s="21" t="s">
        <v>280</v>
      </c>
      <c r="G251" s="22" t="s">
        <v>430</v>
      </c>
    </row>
    <row r="252" ht="16.9" customHeight="1" spans="1:7">
      <c r="A252" s="723" t="s">
        <v>358</v>
      </c>
      <c r="B252" s="20"/>
      <c r="C252" s="20"/>
      <c r="D252" s="20"/>
      <c r="E252" s="20"/>
      <c r="F252" s="20"/>
      <c r="G252" s="724"/>
    </row>
    <row r="253" ht="16.9" customHeight="1" spans="1:7">
      <c r="A253" s="113" t="s">
        <v>435</v>
      </c>
      <c r="B253" s="114"/>
      <c r="C253" s="54"/>
      <c r="D253" s="54"/>
      <c r="E253" s="54"/>
      <c r="F253" s="54"/>
      <c r="G253" s="55"/>
    </row>
    <row r="254" ht="16.9" customHeight="1" spans="1:7">
      <c r="A254" s="106" t="s">
        <v>284</v>
      </c>
      <c r="B254" s="109" t="s">
        <v>233</v>
      </c>
      <c r="C254" s="109"/>
      <c r="D254" s="109" t="s">
        <v>88</v>
      </c>
      <c r="E254" s="115" t="s">
        <v>130</v>
      </c>
      <c r="F254" s="109" t="s">
        <v>285</v>
      </c>
      <c r="G254" s="110" t="s">
        <v>286</v>
      </c>
    </row>
    <row r="255" ht="16.9" customHeight="1" spans="1:7">
      <c r="A255" s="106" t="s">
        <v>9</v>
      </c>
      <c r="B255" s="116" t="s">
        <v>287</v>
      </c>
      <c r="C255" s="116"/>
      <c r="D255" s="109"/>
      <c r="E255" s="115"/>
      <c r="F255" s="115"/>
      <c r="G255" s="117">
        <f>G256+G264</f>
        <v>1190.22</v>
      </c>
    </row>
    <row r="256" ht="16.9" customHeight="1" spans="1:7">
      <c r="A256" s="106" t="s">
        <v>132</v>
      </c>
      <c r="B256" s="116" t="s">
        <v>288</v>
      </c>
      <c r="C256" s="116"/>
      <c r="D256" s="109"/>
      <c r="E256" s="115"/>
      <c r="F256" s="115"/>
      <c r="G256" s="117">
        <f>G257+G260+G262</f>
        <v>1135.71</v>
      </c>
    </row>
    <row r="257" ht="16.9" customHeight="1" spans="1:7">
      <c r="A257" s="106" t="s">
        <v>39</v>
      </c>
      <c r="B257" s="116" t="s">
        <v>247</v>
      </c>
      <c r="C257" s="116"/>
      <c r="D257" s="109"/>
      <c r="E257" s="115"/>
      <c r="F257" s="115"/>
      <c r="G257" s="117">
        <f>SUM(G258:G259)</f>
        <v>623.16</v>
      </c>
    </row>
    <row r="258" ht="16.9" customHeight="1" spans="1:7">
      <c r="A258" s="106"/>
      <c r="B258" s="116" t="s">
        <v>289</v>
      </c>
      <c r="C258" s="116"/>
      <c r="D258" s="109" t="s">
        <v>290</v>
      </c>
      <c r="E258" s="115"/>
      <c r="F258" s="115"/>
      <c r="G258" s="117"/>
    </row>
    <row r="259" ht="16.9" customHeight="1" spans="1:7">
      <c r="A259" s="106"/>
      <c r="B259" s="116" t="s">
        <v>291</v>
      </c>
      <c r="C259" s="116"/>
      <c r="D259" s="109" t="s">
        <v>290</v>
      </c>
      <c r="E259" s="115">
        <v>108</v>
      </c>
      <c r="F259" s="115">
        <f>主材!D22</f>
        <v>5.77</v>
      </c>
      <c r="G259" s="117">
        <f>E259*F259</f>
        <v>623.16</v>
      </c>
    </row>
    <row r="260" ht="16.9" customHeight="1" spans="1:7">
      <c r="A260" s="106" t="s">
        <v>41</v>
      </c>
      <c r="B260" s="116" t="s">
        <v>248</v>
      </c>
      <c r="C260" s="116"/>
      <c r="D260" s="109"/>
      <c r="E260" s="115"/>
      <c r="F260" s="115"/>
      <c r="G260" s="117">
        <f>SUM(G261:G261)</f>
        <v>33.08</v>
      </c>
    </row>
    <row r="261" ht="16.9" customHeight="1" spans="1:7">
      <c r="A261" s="106"/>
      <c r="B261" s="116" t="s">
        <v>292</v>
      </c>
      <c r="C261" s="116"/>
      <c r="D261" s="109" t="s">
        <v>293</v>
      </c>
      <c r="E261" s="115">
        <f>G257+G262</f>
        <v>1102.63</v>
      </c>
      <c r="F261" s="115">
        <v>3</v>
      </c>
      <c r="G261" s="117">
        <f>E261*F261/100</f>
        <v>33.08</v>
      </c>
    </row>
    <row r="262" ht="16.9" customHeight="1" spans="1:7">
      <c r="A262" s="106" t="s">
        <v>46</v>
      </c>
      <c r="B262" s="116" t="s">
        <v>314</v>
      </c>
      <c r="C262" s="116"/>
      <c r="D262" s="109"/>
      <c r="E262" s="115"/>
      <c r="F262" s="115"/>
      <c r="G262" s="117">
        <f>SUM(G263:G263)</f>
        <v>479.47</v>
      </c>
    </row>
    <row r="263" ht="16.9" customHeight="1" spans="1:7">
      <c r="A263" s="106"/>
      <c r="B263" s="116" t="s">
        <v>432</v>
      </c>
      <c r="C263" s="116"/>
      <c r="D263" s="109" t="s">
        <v>316</v>
      </c>
      <c r="E263" s="115">
        <v>3.9</v>
      </c>
      <c r="F263" s="115">
        <f>机械!E4</f>
        <v>122.94</v>
      </c>
      <c r="G263" s="117">
        <f>E263*F263</f>
        <v>479.47</v>
      </c>
    </row>
    <row r="264" ht="16.9" customHeight="1" spans="1:7">
      <c r="A264" s="106" t="s">
        <v>133</v>
      </c>
      <c r="B264" s="116" t="s">
        <v>294</v>
      </c>
      <c r="C264" s="116"/>
      <c r="D264" s="109"/>
      <c r="E264" s="717">
        <f>G256</f>
        <v>1135.71</v>
      </c>
      <c r="F264" s="120">
        <f>费率!J4</f>
        <v>0.048</v>
      </c>
      <c r="G264" s="117">
        <f>E264*F264</f>
        <v>54.51</v>
      </c>
    </row>
    <row r="265" ht="16.9" customHeight="1" spans="1:7">
      <c r="A265" s="106" t="s">
        <v>14</v>
      </c>
      <c r="B265" s="116" t="s">
        <v>295</v>
      </c>
      <c r="C265" s="116"/>
      <c r="D265" s="109"/>
      <c r="E265" s="115">
        <f>G255</f>
        <v>1190.22</v>
      </c>
      <c r="F265" s="120">
        <f>费率!J5</f>
        <v>0.0725</v>
      </c>
      <c r="G265" s="117">
        <f>E265*F265</f>
        <v>86.29</v>
      </c>
    </row>
    <row r="266" ht="16.9" customHeight="1" spans="1:7">
      <c r="A266" s="106" t="s">
        <v>16</v>
      </c>
      <c r="B266" s="116" t="s">
        <v>296</v>
      </c>
      <c r="C266" s="116"/>
      <c r="D266" s="109"/>
      <c r="E266" s="115">
        <f>G255+G265</f>
        <v>1276.51</v>
      </c>
      <c r="F266" s="120">
        <f>费率!J6</f>
        <v>0.07</v>
      </c>
      <c r="G266" s="117">
        <f>E266*F266</f>
        <v>89.36</v>
      </c>
    </row>
    <row r="267" ht="16.9" customHeight="1" spans="1:7">
      <c r="A267" s="106" t="s">
        <v>18</v>
      </c>
      <c r="B267" s="116" t="s">
        <v>254</v>
      </c>
      <c r="C267" s="116"/>
      <c r="D267" s="109"/>
      <c r="E267" s="115"/>
      <c r="F267" s="120"/>
      <c r="G267" s="117">
        <f>SUM(G268:G268)</f>
        <v>239.99</v>
      </c>
    </row>
    <row r="268" ht="16.9" customHeight="1" spans="1:7">
      <c r="A268" s="106"/>
      <c r="B268" s="116" t="s">
        <v>317</v>
      </c>
      <c r="C268" s="116"/>
      <c r="D268" s="109" t="s">
        <v>395</v>
      </c>
      <c r="E268" s="115">
        <f>E263*14.9</f>
        <v>58.11</v>
      </c>
      <c r="F268" s="137">
        <f>主材!N13</f>
        <v>4.13</v>
      </c>
      <c r="G268" s="117">
        <f>E268*F268</f>
        <v>239.99</v>
      </c>
    </row>
    <row r="269" ht="16.9" customHeight="1" spans="1:7">
      <c r="A269" s="106" t="s">
        <v>20</v>
      </c>
      <c r="B269" s="116" t="s">
        <v>297</v>
      </c>
      <c r="C269" s="116"/>
      <c r="D269" s="109"/>
      <c r="E269" s="115">
        <f>G255+G265++G266+G267</f>
        <v>1605.86</v>
      </c>
      <c r="F269" s="122">
        <f>费率!J7</f>
        <v>0.09</v>
      </c>
      <c r="G269" s="117">
        <f>E269*F269</f>
        <v>144.53</v>
      </c>
    </row>
    <row r="270" ht="16.9" customHeight="1" spans="1:7">
      <c r="A270" s="106"/>
      <c r="B270" s="116" t="s">
        <v>298</v>
      </c>
      <c r="C270" s="116"/>
      <c r="D270" s="109"/>
      <c r="E270" s="115">
        <f>G255+G265+G266+G267+G269</f>
        <v>1750.39</v>
      </c>
      <c r="F270" s="122">
        <v>0.03</v>
      </c>
      <c r="G270" s="117">
        <f>E270*F270</f>
        <v>52.51</v>
      </c>
    </row>
    <row r="271" ht="16.9" customHeight="1" spans="1:7">
      <c r="A271" s="123"/>
      <c r="B271" s="124" t="s">
        <v>121</v>
      </c>
      <c r="C271" s="124"/>
      <c r="D271" s="124"/>
      <c r="E271" s="125"/>
      <c r="F271" s="124"/>
      <c r="G271" s="126">
        <f>G255+G265+G266+G267+G269+G270</f>
        <v>1802.9</v>
      </c>
    </row>
    <row r="272" ht="16.9" customHeight="1"/>
    <row r="273" customHeight="1" spans="1:7">
      <c r="A273" s="79" t="s">
        <v>274</v>
      </c>
      <c r="B273" s="79"/>
      <c r="C273" s="79"/>
      <c r="D273" s="79"/>
      <c r="E273" s="79"/>
      <c r="F273" s="79"/>
      <c r="G273" s="79"/>
    </row>
    <row r="274" ht="16.9" customHeight="1" spans="1:7">
      <c r="A274" s="13" t="s">
        <v>275</v>
      </c>
      <c r="B274" s="14"/>
      <c r="C274" s="14" t="s">
        <v>436</v>
      </c>
      <c r="D274" s="14" t="s">
        <v>276</v>
      </c>
      <c r="E274" s="39" t="s">
        <v>437</v>
      </c>
      <c r="F274" s="39"/>
      <c r="G274" s="40"/>
    </row>
    <row r="275" ht="16.9" customHeight="1" spans="1:7">
      <c r="A275" s="18" t="s">
        <v>278</v>
      </c>
      <c r="B275" s="19"/>
      <c r="C275" s="20" t="s">
        <v>438</v>
      </c>
      <c r="D275" s="20"/>
      <c r="E275" s="20"/>
      <c r="F275" s="21" t="s">
        <v>280</v>
      </c>
      <c r="G275" s="22" t="s">
        <v>430</v>
      </c>
    </row>
    <row r="276" ht="16.9" customHeight="1" spans="1:7">
      <c r="A276" s="723" t="s">
        <v>358</v>
      </c>
      <c r="B276" s="20"/>
      <c r="C276" s="20"/>
      <c r="D276" s="20"/>
      <c r="E276" s="20"/>
      <c r="F276" s="20"/>
      <c r="G276" s="724"/>
    </row>
    <row r="277" ht="16.9" customHeight="1" spans="1:7">
      <c r="A277" s="113" t="s">
        <v>435</v>
      </c>
      <c r="B277" s="114"/>
      <c r="C277" s="54"/>
      <c r="D277" s="54"/>
      <c r="E277" s="54"/>
      <c r="F277" s="54"/>
      <c r="G277" s="55"/>
    </row>
    <row r="278" ht="16.9" customHeight="1" spans="1:7">
      <c r="A278" s="106" t="s">
        <v>284</v>
      </c>
      <c r="B278" s="109" t="s">
        <v>233</v>
      </c>
      <c r="C278" s="109"/>
      <c r="D278" s="109" t="s">
        <v>88</v>
      </c>
      <c r="E278" s="115" t="s">
        <v>130</v>
      </c>
      <c r="F278" s="109" t="s">
        <v>285</v>
      </c>
      <c r="G278" s="110" t="s">
        <v>286</v>
      </c>
    </row>
    <row r="279" ht="16.9" customHeight="1" spans="1:7">
      <c r="A279" s="106" t="s">
        <v>9</v>
      </c>
      <c r="B279" s="116" t="s">
        <v>287</v>
      </c>
      <c r="C279" s="116"/>
      <c r="D279" s="109"/>
      <c r="E279" s="115"/>
      <c r="F279" s="115"/>
      <c r="G279" s="117">
        <f>G280+G286</f>
        <v>5404.26</v>
      </c>
    </row>
    <row r="280" ht="16.9" customHeight="1" spans="1:7">
      <c r="A280" s="106" t="s">
        <v>132</v>
      </c>
      <c r="B280" s="116" t="s">
        <v>288</v>
      </c>
      <c r="C280" s="116"/>
      <c r="D280" s="109"/>
      <c r="E280" s="115"/>
      <c r="F280" s="115"/>
      <c r="G280" s="117">
        <f>G281+G284</f>
        <v>5156.74</v>
      </c>
    </row>
    <row r="281" ht="16.9" customHeight="1" spans="1:7">
      <c r="A281" s="106" t="s">
        <v>39</v>
      </c>
      <c r="B281" s="116" t="s">
        <v>247</v>
      </c>
      <c r="C281" s="116"/>
      <c r="D281" s="109"/>
      <c r="E281" s="115"/>
      <c r="F281" s="115"/>
      <c r="G281" s="117">
        <f>SUM(G282:G283)</f>
        <v>5131.08</v>
      </c>
    </row>
    <row r="282" ht="16.9" customHeight="1" spans="1:7">
      <c r="A282" s="106"/>
      <c r="B282" s="116" t="s">
        <v>289</v>
      </c>
      <c r="C282" s="116"/>
      <c r="D282" s="109" t="s">
        <v>290</v>
      </c>
      <c r="E282" s="115">
        <v>18</v>
      </c>
      <c r="F282" s="115">
        <f>主材!D21</f>
        <v>8.1</v>
      </c>
      <c r="G282" s="117">
        <f>E282*F282</f>
        <v>145.8</v>
      </c>
    </row>
    <row r="283" ht="16.9" customHeight="1" spans="1:7">
      <c r="A283" s="106"/>
      <c r="B283" s="116" t="s">
        <v>291</v>
      </c>
      <c r="C283" s="116"/>
      <c r="D283" s="109" t="s">
        <v>290</v>
      </c>
      <c r="E283" s="115">
        <v>864</v>
      </c>
      <c r="F283" s="115">
        <f>主材!D22</f>
        <v>5.77</v>
      </c>
      <c r="G283" s="117">
        <f>E283*F283</f>
        <v>4985.28</v>
      </c>
    </row>
    <row r="284" ht="16.9" customHeight="1" spans="1:7">
      <c r="A284" s="106" t="s">
        <v>41</v>
      </c>
      <c r="B284" s="116" t="s">
        <v>248</v>
      </c>
      <c r="C284" s="116"/>
      <c r="D284" s="109"/>
      <c r="E284" s="115"/>
      <c r="F284" s="115"/>
      <c r="G284" s="117">
        <f>SUM(G285:G285)</f>
        <v>25.66</v>
      </c>
    </row>
    <row r="285" ht="16.9" customHeight="1" spans="1:7">
      <c r="A285" s="106"/>
      <c r="B285" s="116" t="s">
        <v>292</v>
      </c>
      <c r="C285" s="116"/>
      <c r="D285" s="109" t="s">
        <v>293</v>
      </c>
      <c r="E285" s="115">
        <f>G281</f>
        <v>5131.08</v>
      </c>
      <c r="F285" s="115">
        <v>0.5</v>
      </c>
      <c r="G285" s="117">
        <f>E285*F285/100</f>
        <v>25.66</v>
      </c>
    </row>
    <row r="286" ht="16.9" customHeight="1" spans="1:7">
      <c r="A286" s="106" t="s">
        <v>133</v>
      </c>
      <c r="B286" s="116" t="s">
        <v>294</v>
      </c>
      <c r="C286" s="116"/>
      <c r="D286" s="109"/>
      <c r="E286" s="717">
        <f>G280</f>
        <v>5156.74</v>
      </c>
      <c r="F286" s="120">
        <f>费率!J4</f>
        <v>0.048</v>
      </c>
      <c r="G286" s="117">
        <f>E286*F286</f>
        <v>247.52</v>
      </c>
    </row>
    <row r="287" ht="16.9" customHeight="1" spans="1:7">
      <c r="A287" s="106" t="s">
        <v>14</v>
      </c>
      <c r="B287" s="116" t="s">
        <v>295</v>
      </c>
      <c r="C287" s="116"/>
      <c r="D287" s="109"/>
      <c r="E287" s="115">
        <f>G279</f>
        <v>5404.26</v>
      </c>
      <c r="F287" s="120">
        <f>费率!J5</f>
        <v>0.0725</v>
      </c>
      <c r="G287" s="117">
        <f>E287*F287</f>
        <v>391.81</v>
      </c>
    </row>
    <row r="288" ht="16.9" customHeight="1" spans="1:7">
      <c r="A288" s="106" t="s">
        <v>16</v>
      </c>
      <c r="B288" s="116" t="s">
        <v>296</v>
      </c>
      <c r="C288" s="116"/>
      <c r="D288" s="109"/>
      <c r="E288" s="115">
        <f>G279+G287</f>
        <v>5796.07</v>
      </c>
      <c r="F288" s="120">
        <f>费率!J6</f>
        <v>0.07</v>
      </c>
      <c r="G288" s="117">
        <f>E288*F288</f>
        <v>405.72</v>
      </c>
    </row>
    <row r="289" ht="16.9" customHeight="1" spans="1:7">
      <c r="A289" s="106" t="s">
        <v>18</v>
      </c>
      <c r="B289" s="116" t="s">
        <v>297</v>
      </c>
      <c r="C289" s="116"/>
      <c r="D289" s="109"/>
      <c r="E289" s="115">
        <f>G279+G287++G288</f>
        <v>6201.79</v>
      </c>
      <c r="F289" s="122">
        <f>费率!J7</f>
        <v>0.09</v>
      </c>
      <c r="G289" s="117">
        <f>E289*F289</f>
        <v>558.16</v>
      </c>
    </row>
    <row r="290" ht="16.9" customHeight="1" spans="1:7">
      <c r="A290" s="106"/>
      <c r="B290" s="116" t="s">
        <v>298</v>
      </c>
      <c r="C290" s="116"/>
      <c r="D290" s="109"/>
      <c r="E290" s="115">
        <f>G279+G287+G288+G289</f>
        <v>6759.95</v>
      </c>
      <c r="F290" s="122">
        <v>0.03</v>
      </c>
      <c r="G290" s="117">
        <f>E290*F290</f>
        <v>202.8</v>
      </c>
    </row>
    <row r="291" ht="16.9" customHeight="1" spans="1:7">
      <c r="A291" s="123"/>
      <c r="B291" s="124" t="s">
        <v>121</v>
      </c>
      <c r="C291" s="124"/>
      <c r="D291" s="124"/>
      <c r="E291" s="125"/>
      <c r="F291" s="124"/>
      <c r="G291" s="126">
        <f>G279+G287+G288+G289+G290</f>
        <v>6962.75</v>
      </c>
    </row>
    <row r="292" hidden="1" customHeight="1"/>
    <row r="293" hidden="1" customHeight="1" spans="1:7">
      <c r="A293" s="79" t="s">
        <v>274</v>
      </c>
      <c r="B293" s="79"/>
      <c r="C293" s="79"/>
      <c r="D293" s="79"/>
      <c r="E293" s="79"/>
      <c r="F293" s="79"/>
      <c r="G293" s="79"/>
    </row>
    <row r="294" hidden="1" customHeight="1" spans="1:7">
      <c r="A294" s="102" t="s">
        <v>275</v>
      </c>
      <c r="B294" s="103"/>
      <c r="C294" s="103" t="s">
        <v>345</v>
      </c>
      <c r="D294" s="103" t="s">
        <v>276</v>
      </c>
      <c r="E294" s="709" t="s">
        <v>439</v>
      </c>
      <c r="F294" s="710"/>
      <c r="G294" s="711"/>
    </row>
    <row r="295" hidden="1" customHeight="1" spans="1:7">
      <c r="A295" s="106" t="s">
        <v>278</v>
      </c>
      <c r="B295" s="107"/>
      <c r="C295" s="108" t="s">
        <v>440</v>
      </c>
      <c r="D295" s="108"/>
      <c r="E295" s="108"/>
      <c r="F295" s="109" t="s">
        <v>280</v>
      </c>
      <c r="G295" s="110" t="s">
        <v>357</v>
      </c>
    </row>
    <row r="296" hidden="1" customHeight="1" spans="1:7">
      <c r="A296" s="712" t="s">
        <v>441</v>
      </c>
      <c r="B296" s="713"/>
      <c r="C296" s="713"/>
      <c r="D296" s="713"/>
      <c r="E296" s="713"/>
      <c r="F296" s="713"/>
      <c r="G296" s="714"/>
    </row>
    <row r="297" hidden="1" customHeight="1" spans="1:7">
      <c r="A297" s="113" t="s">
        <v>442</v>
      </c>
      <c r="B297" s="114"/>
      <c r="C297" s="54"/>
      <c r="D297" s="54"/>
      <c r="E297" s="54"/>
      <c r="F297" s="54"/>
      <c r="G297" s="55"/>
    </row>
    <row r="298" hidden="1" customHeight="1" spans="1:7">
      <c r="A298" s="106" t="s">
        <v>284</v>
      </c>
      <c r="B298" s="109" t="s">
        <v>233</v>
      </c>
      <c r="C298" s="109"/>
      <c r="D298" s="109" t="s">
        <v>88</v>
      </c>
      <c r="E298" s="115" t="s">
        <v>130</v>
      </c>
      <c r="F298" s="109" t="s">
        <v>285</v>
      </c>
      <c r="G298" s="110" t="s">
        <v>286</v>
      </c>
    </row>
    <row r="299" hidden="1" customHeight="1" spans="1:7">
      <c r="A299" s="106" t="s">
        <v>9</v>
      </c>
      <c r="B299" s="715" t="s">
        <v>287</v>
      </c>
      <c r="C299" s="716"/>
      <c r="D299" s="109"/>
      <c r="E299" s="115"/>
      <c r="F299" s="115"/>
      <c r="G299" s="117">
        <f>G300+G307</f>
        <v>664.54</v>
      </c>
    </row>
    <row r="300" hidden="1" customHeight="1" spans="1:7">
      <c r="A300" s="106" t="s">
        <v>132</v>
      </c>
      <c r="B300" s="715" t="s">
        <v>288</v>
      </c>
      <c r="C300" s="716"/>
      <c r="D300" s="109"/>
      <c r="E300" s="115"/>
      <c r="F300" s="115"/>
      <c r="G300" s="117">
        <f>G301+G304</f>
        <v>634.1</v>
      </c>
    </row>
    <row r="301" hidden="1" customHeight="1" spans="1:7">
      <c r="A301" s="106" t="s">
        <v>39</v>
      </c>
      <c r="B301" s="715" t="s">
        <v>247</v>
      </c>
      <c r="C301" s="716"/>
      <c r="D301" s="109"/>
      <c r="E301" s="115"/>
      <c r="F301" s="115"/>
      <c r="G301" s="117">
        <f>SUM(G302:G303)</f>
        <v>50.82</v>
      </c>
    </row>
    <row r="302" hidden="1" customHeight="1" spans="1:7">
      <c r="A302" s="106"/>
      <c r="B302" s="715" t="s">
        <v>289</v>
      </c>
      <c r="C302" s="716"/>
      <c r="D302" s="109" t="s">
        <v>290</v>
      </c>
      <c r="E302" s="115">
        <v>2</v>
      </c>
      <c r="F302" s="115">
        <f>主材!D21</f>
        <v>8.1</v>
      </c>
      <c r="G302" s="117">
        <f>E302*F302</f>
        <v>16.2</v>
      </c>
    </row>
    <row r="303" hidden="1" customHeight="1" spans="1:7">
      <c r="A303" s="106"/>
      <c r="B303" s="715" t="s">
        <v>291</v>
      </c>
      <c r="C303" s="716"/>
      <c r="D303" s="109" t="s">
        <v>290</v>
      </c>
      <c r="E303" s="115">
        <v>6</v>
      </c>
      <c r="F303" s="115">
        <f>主材!D22</f>
        <v>5.77</v>
      </c>
      <c r="G303" s="117">
        <f>E303*F303</f>
        <v>34.62</v>
      </c>
    </row>
    <row r="304" hidden="1" customHeight="1" spans="1:7">
      <c r="A304" s="106" t="s">
        <v>41</v>
      </c>
      <c r="B304" s="715" t="s">
        <v>248</v>
      </c>
      <c r="C304" s="716"/>
      <c r="D304" s="109"/>
      <c r="E304" s="115"/>
      <c r="F304" s="115"/>
      <c r="G304" s="117">
        <f>SUM(G305:G306)</f>
        <v>583.28</v>
      </c>
    </row>
    <row r="305" hidden="1" customHeight="1" spans="1:7">
      <c r="A305" s="106"/>
      <c r="B305" s="715" t="s">
        <v>443</v>
      </c>
      <c r="C305" s="716"/>
      <c r="D305" s="109" t="s">
        <v>423</v>
      </c>
      <c r="E305" s="115">
        <v>105</v>
      </c>
      <c r="F305" s="115">
        <v>5.5</v>
      </c>
      <c r="G305" s="117">
        <f>E305*F305</f>
        <v>577.5</v>
      </c>
    </row>
    <row r="306" hidden="1" customHeight="1" spans="1:7">
      <c r="A306" s="106"/>
      <c r="B306" s="715" t="s">
        <v>397</v>
      </c>
      <c r="C306" s="716"/>
      <c r="D306" s="109" t="s">
        <v>293</v>
      </c>
      <c r="E306" s="115">
        <f>G305</f>
        <v>577.5</v>
      </c>
      <c r="F306" s="115">
        <v>1</v>
      </c>
      <c r="G306" s="117">
        <f>E306*F306/100</f>
        <v>5.78</v>
      </c>
    </row>
    <row r="307" hidden="1" customHeight="1" spans="1:7">
      <c r="A307" s="106" t="s">
        <v>133</v>
      </c>
      <c r="B307" s="715" t="s">
        <v>294</v>
      </c>
      <c r="C307" s="716"/>
      <c r="D307" s="109"/>
      <c r="E307" s="717">
        <f>G300</f>
        <v>634.1</v>
      </c>
      <c r="F307" s="120">
        <f>费率!J4</f>
        <v>0.048</v>
      </c>
      <c r="G307" s="117">
        <f>E307*F307</f>
        <v>30.44</v>
      </c>
    </row>
    <row r="308" hidden="1" customHeight="1" spans="1:7">
      <c r="A308" s="106" t="s">
        <v>14</v>
      </c>
      <c r="B308" s="715" t="s">
        <v>295</v>
      </c>
      <c r="C308" s="716"/>
      <c r="D308" s="109"/>
      <c r="E308" s="115">
        <f>G299</f>
        <v>664.54</v>
      </c>
      <c r="F308" s="120">
        <f>费率!J5</f>
        <v>0.0725</v>
      </c>
      <c r="G308" s="117">
        <f>E308*F308</f>
        <v>48.18</v>
      </c>
    </row>
    <row r="309" hidden="1" customHeight="1" spans="1:7">
      <c r="A309" s="106" t="s">
        <v>16</v>
      </c>
      <c r="B309" s="715" t="s">
        <v>296</v>
      </c>
      <c r="C309" s="716"/>
      <c r="D309" s="109"/>
      <c r="E309" s="115">
        <f>G299+G308</f>
        <v>712.72</v>
      </c>
      <c r="F309" s="120">
        <f>费率!J6</f>
        <v>0.07</v>
      </c>
      <c r="G309" s="117">
        <f>E309*F309</f>
        <v>49.89</v>
      </c>
    </row>
    <row r="310" hidden="1" customHeight="1" spans="1:7">
      <c r="A310" s="106" t="s">
        <v>18</v>
      </c>
      <c r="B310" s="715" t="s">
        <v>297</v>
      </c>
      <c r="C310" s="716"/>
      <c r="D310" s="109"/>
      <c r="E310" s="115">
        <f>G299+G308++G309</f>
        <v>762.61</v>
      </c>
      <c r="F310" s="122">
        <f>费率!J7</f>
        <v>0.09</v>
      </c>
      <c r="G310" s="117">
        <f>E310*F310</f>
        <v>68.63</v>
      </c>
    </row>
    <row r="311" hidden="1" customHeight="1" spans="1:7">
      <c r="A311" s="106"/>
      <c r="B311" s="715" t="s">
        <v>298</v>
      </c>
      <c r="C311" s="716"/>
      <c r="D311" s="109"/>
      <c r="E311" s="115">
        <f>G299+G308+G309+G310</f>
        <v>831.24</v>
      </c>
      <c r="F311" s="122">
        <v>0.03</v>
      </c>
      <c r="G311" s="117">
        <f>E311*F311</f>
        <v>24.94</v>
      </c>
    </row>
    <row r="312" hidden="1" customHeight="1" spans="1:7">
      <c r="A312" s="123"/>
      <c r="B312" s="718" t="s">
        <v>121</v>
      </c>
      <c r="C312" s="719"/>
      <c r="D312" s="124"/>
      <c r="E312" s="125"/>
      <c r="F312" s="124"/>
      <c r="G312" s="126">
        <f>G299+G308+G309+G310+G311</f>
        <v>856.18</v>
      </c>
    </row>
    <row r="313" hidden="1" customHeight="1" spans="1:6">
      <c r="A313" s="128"/>
      <c r="C313" s="128"/>
      <c r="D313" s="128"/>
      <c r="E313" s="128"/>
      <c r="F313" s="128"/>
    </row>
    <row r="314" hidden="1" customHeight="1" spans="1:7">
      <c r="A314" s="79" t="s">
        <v>274</v>
      </c>
      <c r="B314" s="79"/>
      <c r="C314" s="79"/>
      <c r="D314" s="79"/>
      <c r="E314" s="79"/>
      <c r="F314" s="79"/>
      <c r="G314" s="79"/>
    </row>
    <row r="315" hidden="1" customHeight="1" spans="1:7">
      <c r="A315" s="102" t="s">
        <v>275</v>
      </c>
      <c r="B315" s="103"/>
      <c r="C315" s="103" t="s">
        <v>348</v>
      </c>
      <c r="D315" s="103" t="s">
        <v>276</v>
      </c>
      <c r="E315" s="709" t="s">
        <v>444</v>
      </c>
      <c r="F315" s="710"/>
      <c r="G315" s="711"/>
    </row>
    <row r="316" hidden="1" customHeight="1" spans="1:7">
      <c r="A316" s="106" t="s">
        <v>278</v>
      </c>
      <c r="B316" s="107"/>
      <c r="C316" s="108" t="s">
        <v>445</v>
      </c>
      <c r="D316" s="108"/>
      <c r="E316" s="108"/>
      <c r="F316" s="109" t="s">
        <v>280</v>
      </c>
      <c r="G316" s="110" t="s">
        <v>357</v>
      </c>
    </row>
    <row r="317" hidden="1" customHeight="1" spans="1:7">
      <c r="A317" s="712" t="s">
        <v>446</v>
      </c>
      <c r="B317" s="713"/>
      <c r="C317" s="713"/>
      <c r="D317" s="713"/>
      <c r="E317" s="713"/>
      <c r="F317" s="713"/>
      <c r="G317" s="714"/>
    </row>
    <row r="318" hidden="1" customHeight="1" spans="1:7">
      <c r="A318" s="113" t="s">
        <v>442</v>
      </c>
      <c r="B318" s="114"/>
      <c r="C318" s="54"/>
      <c r="D318" s="54"/>
      <c r="E318" s="54"/>
      <c r="F318" s="54"/>
      <c r="G318" s="55"/>
    </row>
    <row r="319" hidden="1" customHeight="1" spans="1:7">
      <c r="A319" s="106" t="s">
        <v>284</v>
      </c>
      <c r="B319" s="109" t="s">
        <v>233</v>
      </c>
      <c r="C319" s="109"/>
      <c r="D319" s="109" t="s">
        <v>88</v>
      </c>
      <c r="E319" s="115" t="s">
        <v>130</v>
      </c>
      <c r="F319" s="109" t="s">
        <v>285</v>
      </c>
      <c r="G319" s="110" t="s">
        <v>286</v>
      </c>
    </row>
    <row r="320" hidden="1" customHeight="1" spans="1:7">
      <c r="A320" s="106" t="s">
        <v>9</v>
      </c>
      <c r="B320" s="715" t="s">
        <v>287</v>
      </c>
      <c r="C320" s="716"/>
      <c r="D320" s="109"/>
      <c r="E320" s="115"/>
      <c r="F320" s="115"/>
      <c r="G320" s="117">
        <f>G321+G328</f>
        <v>670.58</v>
      </c>
    </row>
    <row r="321" hidden="1" customHeight="1" spans="1:7">
      <c r="A321" s="106" t="s">
        <v>132</v>
      </c>
      <c r="B321" s="715" t="s">
        <v>288</v>
      </c>
      <c r="C321" s="716"/>
      <c r="D321" s="109"/>
      <c r="E321" s="115"/>
      <c r="F321" s="115"/>
      <c r="G321" s="117">
        <f>G322+G325</f>
        <v>639.87</v>
      </c>
    </row>
    <row r="322" hidden="1" customHeight="1" spans="1:7">
      <c r="A322" s="106" t="s">
        <v>39</v>
      </c>
      <c r="B322" s="715" t="s">
        <v>247</v>
      </c>
      <c r="C322" s="716"/>
      <c r="D322" s="109"/>
      <c r="E322" s="115"/>
      <c r="F322" s="115"/>
      <c r="G322" s="117">
        <f>SUM(G323:G324)</f>
        <v>56.59</v>
      </c>
    </row>
    <row r="323" hidden="1" customHeight="1" spans="1:7">
      <c r="A323" s="106"/>
      <c r="B323" s="715" t="s">
        <v>289</v>
      </c>
      <c r="C323" s="716"/>
      <c r="D323" s="109" t="s">
        <v>290</v>
      </c>
      <c r="E323" s="115">
        <v>2</v>
      </c>
      <c r="F323" s="115">
        <f>主材!D21</f>
        <v>8.1</v>
      </c>
      <c r="G323" s="117">
        <f>E323*F323</f>
        <v>16.2</v>
      </c>
    </row>
    <row r="324" hidden="1" customHeight="1" spans="1:7">
      <c r="A324" s="106"/>
      <c r="B324" s="715" t="s">
        <v>291</v>
      </c>
      <c r="C324" s="716"/>
      <c r="D324" s="109" t="s">
        <v>290</v>
      </c>
      <c r="E324" s="115">
        <v>7</v>
      </c>
      <c r="F324" s="115">
        <f>主材!D22</f>
        <v>5.77</v>
      </c>
      <c r="G324" s="117">
        <f>E324*F324</f>
        <v>40.39</v>
      </c>
    </row>
    <row r="325" hidden="1" customHeight="1" spans="1:7">
      <c r="A325" s="106" t="s">
        <v>41</v>
      </c>
      <c r="B325" s="715" t="s">
        <v>248</v>
      </c>
      <c r="C325" s="716"/>
      <c r="D325" s="109"/>
      <c r="E325" s="115"/>
      <c r="F325" s="115"/>
      <c r="G325" s="117">
        <f>SUM(G326:G327)</f>
        <v>583.28</v>
      </c>
    </row>
    <row r="326" hidden="1" customHeight="1" spans="1:7">
      <c r="A326" s="106"/>
      <c r="B326" s="715" t="s">
        <v>443</v>
      </c>
      <c r="C326" s="716"/>
      <c r="D326" s="109" t="s">
        <v>423</v>
      </c>
      <c r="E326" s="115">
        <v>105</v>
      </c>
      <c r="F326" s="115">
        <v>5.5</v>
      </c>
      <c r="G326" s="117">
        <f>E326*F326</f>
        <v>577.5</v>
      </c>
    </row>
    <row r="327" hidden="1" customHeight="1" spans="1:7">
      <c r="A327" s="106"/>
      <c r="B327" s="715" t="s">
        <v>397</v>
      </c>
      <c r="C327" s="716"/>
      <c r="D327" s="109" t="s">
        <v>293</v>
      </c>
      <c r="E327" s="115">
        <f>G326</f>
        <v>577.5</v>
      </c>
      <c r="F327" s="115">
        <v>1</v>
      </c>
      <c r="G327" s="117">
        <f>E327*F327/100</f>
        <v>5.78</v>
      </c>
    </row>
    <row r="328" hidden="1" customHeight="1" spans="1:7">
      <c r="A328" s="106" t="s">
        <v>133</v>
      </c>
      <c r="B328" s="715" t="s">
        <v>294</v>
      </c>
      <c r="C328" s="716"/>
      <c r="D328" s="109"/>
      <c r="E328" s="717">
        <f>G321</f>
        <v>639.87</v>
      </c>
      <c r="F328" s="120">
        <f>费率!J4</f>
        <v>0.048</v>
      </c>
      <c r="G328" s="117">
        <f>E328*F328</f>
        <v>30.71</v>
      </c>
    </row>
    <row r="329" hidden="1" customHeight="1" spans="1:7">
      <c r="A329" s="106" t="s">
        <v>14</v>
      </c>
      <c r="B329" s="715" t="s">
        <v>295</v>
      </c>
      <c r="C329" s="716"/>
      <c r="D329" s="109"/>
      <c r="E329" s="115">
        <f>G320</f>
        <v>670.58</v>
      </c>
      <c r="F329" s="120">
        <f>费率!J5</f>
        <v>0.0725</v>
      </c>
      <c r="G329" s="117">
        <f>E329*F329</f>
        <v>48.62</v>
      </c>
    </row>
    <row r="330" hidden="1" customHeight="1" spans="1:7">
      <c r="A330" s="106" t="s">
        <v>16</v>
      </c>
      <c r="B330" s="715" t="s">
        <v>296</v>
      </c>
      <c r="C330" s="716"/>
      <c r="D330" s="109"/>
      <c r="E330" s="115">
        <f>G320+G329</f>
        <v>719.2</v>
      </c>
      <c r="F330" s="120">
        <f>费率!J6</f>
        <v>0.07</v>
      </c>
      <c r="G330" s="117">
        <f>E330*F330</f>
        <v>50.34</v>
      </c>
    </row>
    <row r="331" hidden="1" customHeight="1" spans="1:7">
      <c r="A331" s="106" t="s">
        <v>18</v>
      </c>
      <c r="B331" s="715" t="s">
        <v>297</v>
      </c>
      <c r="C331" s="716"/>
      <c r="D331" s="109"/>
      <c r="E331" s="115">
        <f>G320+G329++G330</f>
        <v>769.54</v>
      </c>
      <c r="F331" s="122">
        <f>费率!J7</f>
        <v>0.09</v>
      </c>
      <c r="G331" s="117">
        <f>E331*F331</f>
        <v>69.26</v>
      </c>
    </row>
    <row r="332" hidden="1" customHeight="1" spans="1:7">
      <c r="A332" s="106"/>
      <c r="B332" s="715" t="s">
        <v>298</v>
      </c>
      <c r="C332" s="716"/>
      <c r="D332" s="109"/>
      <c r="E332" s="115">
        <f>G320+G329+G330+G331</f>
        <v>838.8</v>
      </c>
      <c r="F332" s="122">
        <v>0.03</v>
      </c>
      <c r="G332" s="117">
        <f>E332*F332</f>
        <v>25.16</v>
      </c>
    </row>
    <row r="333" hidden="1" customHeight="1" spans="1:7">
      <c r="A333" s="123"/>
      <c r="B333" s="718" t="s">
        <v>121</v>
      </c>
      <c r="C333" s="719"/>
      <c r="D333" s="124"/>
      <c r="E333" s="125"/>
      <c r="F333" s="124"/>
      <c r="G333" s="126">
        <f>G320+G329+G330+G331+G332</f>
        <v>863.96</v>
      </c>
    </row>
    <row r="334" hidden="1" customHeight="1" spans="1:7">
      <c r="A334" s="138"/>
      <c r="B334" s="138"/>
      <c r="C334" s="138"/>
      <c r="D334" s="138"/>
      <c r="E334" s="139"/>
      <c r="F334" s="138"/>
      <c r="G334" s="139"/>
    </row>
    <row r="335" hidden="1" customHeight="1" spans="1:7">
      <c r="A335" s="79" t="s">
        <v>274</v>
      </c>
      <c r="B335" s="79"/>
      <c r="C335" s="79"/>
      <c r="D335" s="79"/>
      <c r="E335" s="79"/>
      <c r="F335" s="79"/>
      <c r="G335" s="79"/>
    </row>
    <row r="336" hidden="1" customHeight="1" spans="1:7">
      <c r="A336" s="102" t="s">
        <v>275</v>
      </c>
      <c r="B336" s="103"/>
      <c r="C336" s="103" t="s">
        <v>351</v>
      </c>
      <c r="D336" s="103" t="s">
        <v>276</v>
      </c>
      <c r="E336" s="709" t="s">
        <v>447</v>
      </c>
      <c r="F336" s="710"/>
      <c r="G336" s="711"/>
    </row>
    <row r="337" hidden="1" customHeight="1" spans="1:7">
      <c r="A337" s="106" t="s">
        <v>278</v>
      </c>
      <c r="B337" s="107"/>
      <c r="C337" s="108" t="s">
        <v>448</v>
      </c>
      <c r="D337" s="108"/>
      <c r="E337" s="108"/>
      <c r="F337" s="109" t="s">
        <v>280</v>
      </c>
      <c r="G337" s="110" t="s">
        <v>449</v>
      </c>
    </row>
    <row r="338" hidden="1" customHeight="1" spans="1:7">
      <c r="A338" s="712" t="s">
        <v>450</v>
      </c>
      <c r="B338" s="713"/>
      <c r="C338" s="713"/>
      <c r="D338" s="713"/>
      <c r="E338" s="713"/>
      <c r="F338" s="713"/>
      <c r="G338" s="714"/>
    </row>
    <row r="339" hidden="1" customHeight="1" spans="1:7">
      <c r="A339" s="113" t="s">
        <v>451</v>
      </c>
      <c r="B339" s="114"/>
      <c r="C339" s="54"/>
      <c r="D339" s="54"/>
      <c r="E339" s="54"/>
      <c r="F339" s="54"/>
      <c r="G339" s="55"/>
    </row>
    <row r="340" hidden="1" customHeight="1" spans="1:7">
      <c r="A340" s="106" t="s">
        <v>284</v>
      </c>
      <c r="B340" s="109" t="s">
        <v>233</v>
      </c>
      <c r="C340" s="109"/>
      <c r="D340" s="109" t="s">
        <v>88</v>
      </c>
      <c r="E340" s="115" t="s">
        <v>130</v>
      </c>
      <c r="F340" s="109" t="s">
        <v>285</v>
      </c>
      <c r="G340" s="110" t="s">
        <v>286</v>
      </c>
    </row>
    <row r="341" hidden="1" customHeight="1" spans="1:7">
      <c r="A341" s="106" t="s">
        <v>9</v>
      </c>
      <c r="B341" s="715" t="s">
        <v>287</v>
      </c>
      <c r="C341" s="716"/>
      <c r="D341" s="109"/>
      <c r="E341" s="115"/>
      <c r="F341" s="115"/>
      <c r="G341" s="117">
        <f>G342+G349</f>
        <v>4597.54</v>
      </c>
    </row>
    <row r="342" hidden="1" customHeight="1" spans="1:7">
      <c r="A342" s="106" t="s">
        <v>132</v>
      </c>
      <c r="B342" s="715" t="s">
        <v>288</v>
      </c>
      <c r="C342" s="716"/>
      <c r="D342" s="109"/>
      <c r="E342" s="115"/>
      <c r="F342" s="115"/>
      <c r="G342" s="117">
        <f>G343+G346</f>
        <v>4386.97</v>
      </c>
    </row>
    <row r="343" hidden="1" customHeight="1" spans="1:7">
      <c r="A343" s="106" t="s">
        <v>39</v>
      </c>
      <c r="B343" s="715" t="s">
        <v>247</v>
      </c>
      <c r="C343" s="716"/>
      <c r="D343" s="109"/>
      <c r="E343" s="115"/>
      <c r="F343" s="115"/>
      <c r="G343" s="117">
        <f>SUM(G344:G345)</f>
        <v>635.21</v>
      </c>
    </row>
    <row r="344" hidden="1" customHeight="1" spans="1:7">
      <c r="A344" s="106"/>
      <c r="B344" s="715" t="s">
        <v>289</v>
      </c>
      <c r="C344" s="716"/>
      <c r="D344" s="109" t="s">
        <v>290</v>
      </c>
      <c r="E344" s="115">
        <v>2.2</v>
      </c>
      <c r="F344" s="115">
        <f>主材!D21</f>
        <v>8.1</v>
      </c>
      <c r="G344" s="117">
        <f>E344*F344</f>
        <v>17.82</v>
      </c>
    </row>
    <row r="345" hidden="1" customHeight="1" spans="1:7">
      <c r="A345" s="106"/>
      <c r="B345" s="715" t="s">
        <v>291</v>
      </c>
      <c r="C345" s="716"/>
      <c r="D345" s="109" t="s">
        <v>290</v>
      </c>
      <c r="E345" s="115">
        <v>107</v>
      </c>
      <c r="F345" s="115">
        <f>主材!D22</f>
        <v>5.77</v>
      </c>
      <c r="G345" s="117">
        <f>E345*F345</f>
        <v>617.39</v>
      </c>
    </row>
    <row r="346" hidden="1" customHeight="1" spans="1:7">
      <c r="A346" s="106" t="s">
        <v>41</v>
      </c>
      <c r="B346" s="715" t="s">
        <v>248</v>
      </c>
      <c r="C346" s="716"/>
      <c r="D346" s="109"/>
      <c r="E346" s="115"/>
      <c r="F346" s="115"/>
      <c r="G346" s="117">
        <f>SUM(G347:G348)</f>
        <v>3751.76</v>
      </c>
    </row>
    <row r="347" hidden="1" customHeight="1" spans="1:7">
      <c r="A347" s="106"/>
      <c r="B347" s="715" t="s">
        <v>452</v>
      </c>
      <c r="C347" s="716"/>
      <c r="D347" s="109" t="s">
        <v>395</v>
      </c>
      <c r="E347" s="115">
        <v>124</v>
      </c>
      <c r="F347" s="115">
        <v>30</v>
      </c>
      <c r="G347" s="117">
        <f>E347*F347</f>
        <v>3720</v>
      </c>
    </row>
    <row r="348" hidden="1" customHeight="1" spans="1:7">
      <c r="A348" s="106"/>
      <c r="B348" s="715" t="s">
        <v>292</v>
      </c>
      <c r="C348" s="716"/>
      <c r="D348" s="109" t="s">
        <v>293</v>
      </c>
      <c r="E348" s="115">
        <f>G343</f>
        <v>635.21</v>
      </c>
      <c r="F348" s="115">
        <v>5</v>
      </c>
      <c r="G348" s="117">
        <f>E348*F348/100</f>
        <v>31.76</v>
      </c>
    </row>
    <row r="349" hidden="1" customHeight="1" spans="1:7">
      <c r="A349" s="106" t="s">
        <v>133</v>
      </c>
      <c r="B349" s="715" t="s">
        <v>294</v>
      </c>
      <c r="C349" s="716"/>
      <c r="D349" s="109"/>
      <c r="E349" s="717">
        <f>G342</f>
        <v>4386.97</v>
      </c>
      <c r="F349" s="120">
        <f>费率!J4</f>
        <v>0.048</v>
      </c>
      <c r="G349" s="117">
        <f>E349*F349</f>
        <v>210.57</v>
      </c>
    </row>
    <row r="350" hidden="1" customHeight="1" spans="1:7">
      <c r="A350" s="106" t="s">
        <v>14</v>
      </c>
      <c r="B350" s="715" t="s">
        <v>295</v>
      </c>
      <c r="C350" s="716"/>
      <c r="D350" s="109"/>
      <c r="E350" s="115">
        <f>G341</f>
        <v>4597.54</v>
      </c>
      <c r="F350" s="120">
        <f>费率!J5</f>
        <v>0.0725</v>
      </c>
      <c r="G350" s="117">
        <f>E350*F350</f>
        <v>333.32</v>
      </c>
    </row>
    <row r="351" hidden="1" customHeight="1" spans="1:7">
      <c r="A351" s="106" t="s">
        <v>16</v>
      </c>
      <c r="B351" s="715" t="s">
        <v>296</v>
      </c>
      <c r="C351" s="716"/>
      <c r="D351" s="109"/>
      <c r="E351" s="115">
        <f>G341+G350</f>
        <v>4930.86</v>
      </c>
      <c r="F351" s="120">
        <f>费率!J6</f>
        <v>0.07</v>
      </c>
      <c r="G351" s="117">
        <f>E351*F351</f>
        <v>345.16</v>
      </c>
    </row>
    <row r="352" hidden="1" customHeight="1" spans="1:7">
      <c r="A352" s="106" t="s">
        <v>18</v>
      </c>
      <c r="B352" s="715" t="s">
        <v>297</v>
      </c>
      <c r="C352" s="716"/>
      <c r="D352" s="109"/>
      <c r="E352" s="115">
        <f>G341+G350++G351</f>
        <v>5276.02</v>
      </c>
      <c r="F352" s="122">
        <f>费率!J7</f>
        <v>0.09</v>
      </c>
      <c r="G352" s="117">
        <f>E352*F352</f>
        <v>474.84</v>
      </c>
    </row>
    <row r="353" hidden="1" customHeight="1" spans="1:7">
      <c r="A353" s="106"/>
      <c r="B353" s="715" t="s">
        <v>298</v>
      </c>
      <c r="C353" s="716"/>
      <c r="D353" s="109"/>
      <c r="E353" s="115">
        <f>G341+G350+G351+G352</f>
        <v>5750.86</v>
      </c>
      <c r="F353" s="122">
        <v>0.03</v>
      </c>
      <c r="G353" s="117">
        <f>E353*F353</f>
        <v>172.53</v>
      </c>
    </row>
    <row r="354" hidden="1" customHeight="1" spans="1:7">
      <c r="A354" s="123"/>
      <c r="B354" s="718" t="s">
        <v>121</v>
      </c>
      <c r="C354" s="719"/>
      <c r="D354" s="124"/>
      <c r="E354" s="125"/>
      <c r="F354" s="124"/>
      <c r="G354" s="126">
        <f>G341+G350+G351+G352+G353</f>
        <v>5923.39</v>
      </c>
    </row>
    <row r="355" ht="33" customHeight="1"/>
    <row r="356" ht="18" customHeight="1" spans="1:7">
      <c r="A356" s="38" t="s">
        <v>274</v>
      </c>
      <c r="B356" s="38"/>
      <c r="C356" s="38"/>
      <c r="D356" s="38"/>
      <c r="E356" s="38"/>
      <c r="F356" s="38"/>
      <c r="G356" s="38"/>
    </row>
    <row r="357" ht="15.4" customHeight="1" spans="1:7">
      <c r="A357" s="13" t="s">
        <v>275</v>
      </c>
      <c r="B357" s="14"/>
      <c r="C357" s="14" t="s">
        <v>453</v>
      </c>
      <c r="D357" s="14" t="s">
        <v>276</v>
      </c>
      <c r="E357" s="39" t="s">
        <v>454</v>
      </c>
      <c r="F357" s="39"/>
      <c r="G357" s="40"/>
    </row>
    <row r="358" ht="15.4" customHeight="1" spans="1:7">
      <c r="A358" s="18" t="s">
        <v>278</v>
      </c>
      <c r="B358" s="19"/>
      <c r="C358" s="20" t="s">
        <v>455</v>
      </c>
      <c r="D358" s="20"/>
      <c r="E358" s="20"/>
      <c r="F358" s="21" t="s">
        <v>280</v>
      </c>
      <c r="G358" s="22" t="s">
        <v>430</v>
      </c>
    </row>
    <row r="359" ht="15.4" customHeight="1" spans="1:7">
      <c r="A359" s="23" t="s">
        <v>456</v>
      </c>
      <c r="B359" s="28" t="s">
        <v>457</v>
      </c>
      <c r="C359" s="28"/>
      <c r="D359" s="28"/>
      <c r="E359" s="28"/>
      <c r="F359" s="28"/>
      <c r="G359" s="29"/>
    </row>
    <row r="360" ht="15.4" customHeight="1" spans="1:7">
      <c r="A360" s="23" t="s">
        <v>284</v>
      </c>
      <c r="B360" s="28" t="s">
        <v>458</v>
      </c>
      <c r="C360" s="28"/>
      <c r="D360" s="28" t="s">
        <v>88</v>
      </c>
      <c r="E360" s="28" t="s">
        <v>130</v>
      </c>
      <c r="F360" s="28" t="s">
        <v>144</v>
      </c>
      <c r="G360" s="29" t="s">
        <v>234</v>
      </c>
    </row>
    <row r="361" ht="15.4" customHeight="1" spans="1:7">
      <c r="A361" s="23" t="s">
        <v>9</v>
      </c>
      <c r="B361" s="28" t="s">
        <v>459</v>
      </c>
      <c r="C361" s="28"/>
      <c r="D361" s="28"/>
      <c r="E361" s="28"/>
      <c r="F361" s="28"/>
      <c r="G361" s="29">
        <f>G362+G371</f>
        <v>10561.66</v>
      </c>
    </row>
    <row r="362" ht="15.4" customHeight="1" spans="1:7">
      <c r="A362" s="23">
        <v>1</v>
      </c>
      <c r="B362" s="28" t="s">
        <v>287</v>
      </c>
      <c r="C362" s="28"/>
      <c r="D362" s="28"/>
      <c r="E362" s="28"/>
      <c r="F362" s="28"/>
      <c r="G362" s="29">
        <f>G363+G370+G366</f>
        <v>10077.92</v>
      </c>
    </row>
    <row r="363" ht="15.4" customHeight="1" spans="1:7">
      <c r="A363" s="23" t="s">
        <v>460</v>
      </c>
      <c r="B363" s="28" t="s">
        <v>247</v>
      </c>
      <c r="C363" s="28"/>
      <c r="D363" s="28" t="s">
        <v>290</v>
      </c>
      <c r="E363" s="28">
        <f>SUM(E364:E365)</f>
        <v>492.8</v>
      </c>
      <c r="F363" s="28"/>
      <c r="G363" s="29">
        <f>SUM(G364:G365)</f>
        <v>2866.52</v>
      </c>
    </row>
    <row r="364" ht="15.4" customHeight="1" spans="1:7">
      <c r="A364" s="23"/>
      <c r="B364" s="28" t="s">
        <v>289</v>
      </c>
      <c r="C364" s="28"/>
      <c r="D364" s="28" t="s">
        <v>290</v>
      </c>
      <c r="E364" s="28">
        <v>9.9</v>
      </c>
      <c r="F364" s="28">
        <f>人工!D4</f>
        <v>8.1</v>
      </c>
      <c r="G364" s="29">
        <f>E364*F364</f>
        <v>80.19</v>
      </c>
    </row>
    <row r="365" ht="15.4" customHeight="1" spans="1:7">
      <c r="A365" s="23"/>
      <c r="B365" s="28" t="s">
        <v>291</v>
      </c>
      <c r="C365" s="28"/>
      <c r="D365" s="28" t="s">
        <v>290</v>
      </c>
      <c r="E365" s="28">
        <v>482.9</v>
      </c>
      <c r="F365" s="28">
        <f>人工!D5</f>
        <v>5.77</v>
      </c>
      <c r="G365" s="29">
        <f>E365*F365</f>
        <v>2786.33</v>
      </c>
    </row>
    <row r="366" ht="15.4" customHeight="1" spans="1:7">
      <c r="A366" s="23" t="s">
        <v>461</v>
      </c>
      <c r="B366" s="28" t="s">
        <v>248</v>
      </c>
      <c r="C366" s="28"/>
      <c r="D366" s="28"/>
      <c r="E366" s="28"/>
      <c r="F366" s="28"/>
      <c r="G366" s="29">
        <f>SUM(G367:G369)</f>
        <v>7211.4</v>
      </c>
    </row>
    <row r="367" ht="15.4" customHeight="1" spans="1:7">
      <c r="A367" s="23"/>
      <c r="B367" s="28" t="s">
        <v>394</v>
      </c>
      <c r="C367" s="28"/>
      <c r="D367" s="28" t="s">
        <v>395</v>
      </c>
      <c r="E367" s="28">
        <v>81.6</v>
      </c>
      <c r="F367" s="28">
        <f>主材!M10</f>
        <v>70</v>
      </c>
      <c r="G367" s="29">
        <f>E367*F367</f>
        <v>5712</v>
      </c>
    </row>
    <row r="368" ht="15.4" customHeight="1" spans="1:7">
      <c r="A368" s="23"/>
      <c r="B368" s="28" t="s">
        <v>462</v>
      </c>
      <c r="C368" s="28"/>
      <c r="D368" s="28" t="s">
        <v>395</v>
      </c>
      <c r="E368" s="28">
        <v>20.4</v>
      </c>
      <c r="F368" s="28">
        <f>主材!M8</f>
        <v>70</v>
      </c>
      <c r="G368" s="29">
        <f>E368*F368</f>
        <v>1428</v>
      </c>
    </row>
    <row r="369" ht="15.4" customHeight="1" spans="1:7">
      <c r="A369" s="23"/>
      <c r="B369" s="28" t="s">
        <v>397</v>
      </c>
      <c r="C369" s="28"/>
      <c r="D369" s="28"/>
      <c r="E369" s="30">
        <v>0.01</v>
      </c>
      <c r="F369" s="28">
        <f>SUM(G367:G368)</f>
        <v>7140</v>
      </c>
      <c r="G369" s="29">
        <f>E369*F369</f>
        <v>71.4</v>
      </c>
    </row>
    <row r="370" ht="15.4" customHeight="1" spans="1:7">
      <c r="A370" s="23" t="s">
        <v>463</v>
      </c>
      <c r="B370" s="28" t="s">
        <v>464</v>
      </c>
      <c r="C370" s="28"/>
      <c r="D370" s="28"/>
      <c r="E370" s="28"/>
      <c r="F370" s="28"/>
      <c r="G370" s="29">
        <v>0</v>
      </c>
    </row>
    <row r="371" ht="15.4" customHeight="1" spans="1:7">
      <c r="A371" s="23">
        <v>2</v>
      </c>
      <c r="B371" s="28" t="s">
        <v>294</v>
      </c>
      <c r="C371" s="28"/>
      <c r="D371" s="28"/>
      <c r="E371" s="30">
        <f>费率!E4</f>
        <v>0.048</v>
      </c>
      <c r="F371" s="28">
        <f>G362</f>
        <v>10077.92</v>
      </c>
      <c r="G371" s="29">
        <f>E371*F371</f>
        <v>483.74</v>
      </c>
    </row>
    <row r="372" ht="15.4" customHeight="1" spans="1:7">
      <c r="A372" s="23" t="s">
        <v>14</v>
      </c>
      <c r="B372" s="28" t="s">
        <v>295</v>
      </c>
      <c r="C372" s="28"/>
      <c r="D372" s="28"/>
      <c r="E372" s="30">
        <f>费率!E5</f>
        <v>0.085</v>
      </c>
      <c r="F372" s="28">
        <f>G361</f>
        <v>10561.66</v>
      </c>
      <c r="G372" s="29">
        <f>E372*F372</f>
        <v>897.74</v>
      </c>
    </row>
    <row r="373" ht="15.4" customHeight="1" spans="1:7">
      <c r="A373" s="23" t="s">
        <v>16</v>
      </c>
      <c r="B373" s="28" t="s">
        <v>296</v>
      </c>
      <c r="C373" s="28"/>
      <c r="D373" s="28"/>
      <c r="E373" s="30">
        <f>费率!E6</f>
        <v>0.07</v>
      </c>
      <c r="F373" s="28">
        <f>SUM(F372:G372)</f>
        <v>11459.4</v>
      </c>
      <c r="G373" s="29">
        <f>E373*F373</f>
        <v>802.16</v>
      </c>
    </row>
    <row r="374" ht="15.4" customHeight="1" spans="1:7">
      <c r="A374" s="23"/>
      <c r="B374" s="28" t="s">
        <v>465</v>
      </c>
      <c r="C374" s="28"/>
      <c r="D374" s="28"/>
      <c r="E374" s="28"/>
      <c r="F374" s="28"/>
      <c r="G374" s="29">
        <f>SUM(F373:G373)</f>
        <v>12261.56</v>
      </c>
    </row>
    <row r="375" ht="15.4" customHeight="1" spans="1:7">
      <c r="A375" s="23" t="s">
        <v>18</v>
      </c>
      <c r="B375" s="28" t="s">
        <v>466</v>
      </c>
      <c r="C375" s="28"/>
      <c r="D375" s="28"/>
      <c r="E375" s="28"/>
      <c r="F375" s="28"/>
      <c r="G375" s="29">
        <f>SUM(G376:G377)</f>
        <v>1347.42</v>
      </c>
    </row>
    <row r="376" ht="15.4" customHeight="1" spans="1:7">
      <c r="A376" s="23"/>
      <c r="B376" s="28" t="s">
        <v>467</v>
      </c>
      <c r="C376" s="28"/>
      <c r="D376" s="28" t="s">
        <v>395</v>
      </c>
      <c r="E376" s="28">
        <f>E367</f>
        <v>81.6</v>
      </c>
      <c r="F376" s="28">
        <f>主材!N10</f>
        <v>7.03</v>
      </c>
      <c r="G376" s="29">
        <f>E376*F376</f>
        <v>573.65</v>
      </c>
    </row>
    <row r="377" ht="15.4" customHeight="1" spans="1:7">
      <c r="A377" s="23"/>
      <c r="B377" s="28" t="s">
        <v>462</v>
      </c>
      <c r="C377" s="28"/>
      <c r="D377" s="28" t="s">
        <v>395</v>
      </c>
      <c r="E377" s="28">
        <f>E368</f>
        <v>20.4</v>
      </c>
      <c r="F377" s="28">
        <f>主材!N8</f>
        <v>37.93</v>
      </c>
      <c r="G377" s="29">
        <f>E377*F377</f>
        <v>773.77</v>
      </c>
    </row>
    <row r="378" ht="15.4" customHeight="1" spans="1:7">
      <c r="A378" s="23" t="s">
        <v>20</v>
      </c>
      <c r="B378" s="28" t="s">
        <v>297</v>
      </c>
      <c r="C378" s="28"/>
      <c r="D378" s="28"/>
      <c r="E378" s="30">
        <f>费率!E7</f>
        <v>0.09</v>
      </c>
      <c r="F378" s="28">
        <f>G374+G375</f>
        <v>13608.98</v>
      </c>
      <c r="G378" s="29">
        <f>F378*E378</f>
        <v>1224.81</v>
      </c>
    </row>
    <row r="379" ht="15.4" customHeight="1" spans="1:7">
      <c r="A379" s="23" t="s">
        <v>23</v>
      </c>
      <c r="B379" s="28" t="s">
        <v>298</v>
      </c>
      <c r="C379" s="28"/>
      <c r="D379" s="28"/>
      <c r="E379" s="30">
        <f>费率!E8</f>
        <v>0.03</v>
      </c>
      <c r="F379" s="28">
        <f>G374+G375+G378</f>
        <v>14833.79</v>
      </c>
      <c r="G379" s="29">
        <f>E379*F379</f>
        <v>445.01</v>
      </c>
    </row>
    <row r="380" ht="15.4" customHeight="1" spans="1:7">
      <c r="A380" s="34" t="s">
        <v>25</v>
      </c>
      <c r="B380" s="35" t="s">
        <v>121</v>
      </c>
      <c r="C380" s="35"/>
      <c r="D380" s="36"/>
      <c r="E380" s="36"/>
      <c r="F380" s="36"/>
      <c r="G380" s="37">
        <f>SUM(F379:G379)</f>
        <v>15278.8</v>
      </c>
    </row>
    <row r="381" ht="7.15" customHeight="1"/>
    <row r="382" ht="18" customHeight="1" spans="1:7">
      <c r="A382" s="38" t="s">
        <v>274</v>
      </c>
      <c r="B382" s="38"/>
      <c r="C382" s="38"/>
      <c r="D382" s="38"/>
      <c r="E382" s="38"/>
      <c r="F382" s="38"/>
      <c r="G382" s="38"/>
    </row>
    <row r="383" ht="15.4" customHeight="1" spans="1:7">
      <c r="A383" s="13" t="s">
        <v>275</v>
      </c>
      <c r="B383" s="14"/>
      <c r="C383" s="14" t="s">
        <v>468</v>
      </c>
      <c r="D383" s="14" t="s">
        <v>276</v>
      </c>
      <c r="E383" s="39" t="s">
        <v>469</v>
      </c>
      <c r="F383" s="39"/>
      <c r="G383" s="40"/>
    </row>
    <row r="384" ht="15.4" customHeight="1" spans="1:7">
      <c r="A384" s="18" t="s">
        <v>278</v>
      </c>
      <c r="B384" s="19"/>
      <c r="C384" s="20" t="s">
        <v>470</v>
      </c>
      <c r="D384" s="20"/>
      <c r="E384" s="20"/>
      <c r="F384" s="21" t="s">
        <v>280</v>
      </c>
      <c r="G384" s="22" t="s">
        <v>430</v>
      </c>
    </row>
    <row r="385" ht="15.4" customHeight="1" spans="1:7">
      <c r="A385" s="23" t="s">
        <v>456</v>
      </c>
      <c r="B385" s="28" t="s">
        <v>457</v>
      </c>
      <c r="C385" s="28"/>
      <c r="D385" s="28"/>
      <c r="E385" s="28"/>
      <c r="F385" s="28"/>
      <c r="G385" s="153"/>
    </row>
    <row r="386" ht="15.4" customHeight="1" spans="1:7">
      <c r="A386" s="23" t="s">
        <v>284</v>
      </c>
      <c r="B386" s="28" t="s">
        <v>458</v>
      </c>
      <c r="C386" s="28"/>
      <c r="D386" s="28" t="s">
        <v>88</v>
      </c>
      <c r="E386" s="28" t="s">
        <v>130</v>
      </c>
      <c r="F386" s="28" t="s">
        <v>144</v>
      </c>
      <c r="G386" s="29" t="s">
        <v>234</v>
      </c>
    </row>
    <row r="387" ht="15.4" customHeight="1" spans="1:7">
      <c r="A387" s="23" t="s">
        <v>9</v>
      </c>
      <c r="B387" s="28" t="s">
        <v>459</v>
      </c>
      <c r="C387" s="28"/>
      <c r="D387" s="28"/>
      <c r="E387" s="28"/>
      <c r="F387" s="28"/>
      <c r="G387" s="29">
        <f>G388+G397</f>
        <v>10293.16</v>
      </c>
    </row>
    <row r="388" ht="15.4" customHeight="1" spans="1:7">
      <c r="A388" s="23">
        <v>1</v>
      </c>
      <c r="B388" s="28" t="s">
        <v>287</v>
      </c>
      <c r="C388" s="28"/>
      <c r="D388" s="28"/>
      <c r="E388" s="28"/>
      <c r="F388" s="28"/>
      <c r="G388" s="29">
        <f>G389+G395+G392</f>
        <v>9821.72</v>
      </c>
    </row>
    <row r="389" ht="15.4" customHeight="1" spans="1:7">
      <c r="A389" s="23" t="s">
        <v>460</v>
      </c>
      <c r="B389" s="28" t="s">
        <v>247</v>
      </c>
      <c r="C389" s="28"/>
      <c r="D389" s="28" t="s">
        <v>290</v>
      </c>
      <c r="E389" s="28">
        <f>SUM(E390:E391)</f>
        <v>349.3</v>
      </c>
      <c r="F389" s="28"/>
      <c r="G389" s="29">
        <f>SUM(G390:G391)</f>
        <v>2031.77</v>
      </c>
    </row>
    <row r="390" ht="15.4" customHeight="1" spans="1:7">
      <c r="A390" s="23"/>
      <c r="B390" s="28" t="s">
        <v>289</v>
      </c>
      <c r="C390" s="28"/>
      <c r="D390" s="28" t="s">
        <v>290</v>
      </c>
      <c r="E390" s="28">
        <v>7</v>
      </c>
      <c r="F390" s="28">
        <f>人工!D4</f>
        <v>8.1</v>
      </c>
      <c r="G390" s="29">
        <f>E390*F390</f>
        <v>56.7</v>
      </c>
    </row>
    <row r="391" ht="15.4" customHeight="1" spans="1:7">
      <c r="A391" s="23"/>
      <c r="B391" s="28" t="s">
        <v>291</v>
      </c>
      <c r="C391" s="28"/>
      <c r="D391" s="28" t="s">
        <v>290</v>
      </c>
      <c r="E391" s="28">
        <v>342.3</v>
      </c>
      <c r="F391" s="28">
        <f>人工!D5</f>
        <v>5.77</v>
      </c>
      <c r="G391" s="29">
        <f>E391*F391</f>
        <v>1975.07</v>
      </c>
    </row>
    <row r="392" ht="15.4" customHeight="1" spans="1:7">
      <c r="A392" s="23" t="s">
        <v>461</v>
      </c>
      <c r="B392" s="28" t="s">
        <v>248</v>
      </c>
      <c r="C392" s="28"/>
      <c r="D392" s="28"/>
      <c r="E392" s="28"/>
      <c r="F392" s="28"/>
      <c r="G392" s="29">
        <f>SUM(G393:G394)</f>
        <v>7729.43</v>
      </c>
    </row>
    <row r="393" ht="15.4" customHeight="1" spans="1:7">
      <c r="A393" s="23"/>
      <c r="B393" s="28" t="s">
        <v>471</v>
      </c>
      <c r="C393" s="28"/>
      <c r="D393" s="28" t="s">
        <v>395</v>
      </c>
      <c r="E393" s="28">
        <v>110.2</v>
      </c>
      <c r="F393" s="28">
        <f>主材!M12</f>
        <v>70</v>
      </c>
      <c r="G393" s="29">
        <f>E393*F393</f>
        <v>7714</v>
      </c>
    </row>
    <row r="394" ht="15.4" customHeight="1" spans="1:7">
      <c r="A394" s="23"/>
      <c r="B394" s="28" t="s">
        <v>397</v>
      </c>
      <c r="C394" s="28"/>
      <c r="D394" s="28"/>
      <c r="E394" s="30">
        <v>0.002</v>
      </c>
      <c r="F394" s="28">
        <f>SUM(G393:G393)</f>
        <v>7714</v>
      </c>
      <c r="G394" s="29">
        <f>E394*F394</f>
        <v>15.43</v>
      </c>
    </row>
    <row r="395" ht="15.4" customHeight="1" spans="1:7">
      <c r="A395" s="23" t="s">
        <v>463</v>
      </c>
      <c r="B395" s="28" t="s">
        <v>464</v>
      </c>
      <c r="C395" s="28"/>
      <c r="D395" s="28"/>
      <c r="E395" s="28"/>
      <c r="F395" s="28"/>
      <c r="G395" s="29">
        <f>SUM(G396:G396)</f>
        <v>60.52</v>
      </c>
    </row>
    <row r="396" ht="15.4" customHeight="1" spans="1:7">
      <c r="A396" s="23"/>
      <c r="B396" s="28" t="s">
        <v>472</v>
      </c>
      <c r="C396" s="28"/>
      <c r="D396" s="28" t="s">
        <v>316</v>
      </c>
      <c r="E396" s="28">
        <v>73.8</v>
      </c>
      <c r="F396" s="28">
        <f>机械!E29</f>
        <v>0.82</v>
      </c>
      <c r="G396" s="29">
        <f>E396*F396</f>
        <v>60.52</v>
      </c>
    </row>
    <row r="397" ht="15.4" customHeight="1" spans="1:7">
      <c r="A397" s="23">
        <v>2</v>
      </c>
      <c r="B397" s="28" t="s">
        <v>294</v>
      </c>
      <c r="C397" s="28"/>
      <c r="D397" s="28"/>
      <c r="E397" s="30">
        <f>费率!E4</f>
        <v>0.048</v>
      </c>
      <c r="F397" s="28">
        <f>G388</f>
        <v>9821.72</v>
      </c>
      <c r="G397" s="29">
        <f>E397*F397</f>
        <v>471.44</v>
      </c>
    </row>
    <row r="398" ht="15.4" customHeight="1" spans="1:7">
      <c r="A398" s="23" t="s">
        <v>14</v>
      </c>
      <c r="B398" s="28" t="s">
        <v>295</v>
      </c>
      <c r="C398" s="28"/>
      <c r="D398" s="28"/>
      <c r="E398" s="30">
        <f>费率!E5</f>
        <v>0.085</v>
      </c>
      <c r="F398" s="28">
        <f>G387</f>
        <v>10293.16</v>
      </c>
      <c r="G398" s="29">
        <f>E398*F398</f>
        <v>874.92</v>
      </c>
    </row>
    <row r="399" ht="15.4" customHeight="1" spans="1:7">
      <c r="A399" s="23" t="s">
        <v>16</v>
      </c>
      <c r="B399" s="28" t="s">
        <v>296</v>
      </c>
      <c r="C399" s="28"/>
      <c r="D399" s="28"/>
      <c r="E399" s="30">
        <f>费率!E6</f>
        <v>0.07</v>
      </c>
      <c r="F399" s="28">
        <f>SUM(F398:G398)</f>
        <v>11168.08</v>
      </c>
      <c r="G399" s="29">
        <f>E399*F399</f>
        <v>781.77</v>
      </c>
    </row>
    <row r="400" ht="15.4" customHeight="1" spans="1:7">
      <c r="A400" s="23"/>
      <c r="B400" s="28" t="s">
        <v>465</v>
      </c>
      <c r="C400" s="28"/>
      <c r="D400" s="28"/>
      <c r="E400" s="28"/>
      <c r="F400" s="28"/>
      <c r="G400" s="29">
        <f>SUM(F399:G399)</f>
        <v>11949.85</v>
      </c>
    </row>
    <row r="401" ht="15.4" customHeight="1" spans="1:7">
      <c r="A401" s="23" t="s">
        <v>18</v>
      </c>
      <c r="B401" s="28" t="s">
        <v>466</v>
      </c>
      <c r="C401" s="28"/>
      <c r="D401" s="28"/>
      <c r="E401" s="28"/>
      <c r="F401" s="28"/>
      <c r="G401" s="29">
        <f>SUM(G402:G402)</f>
        <v>6335.4</v>
      </c>
    </row>
    <row r="402" ht="15.4" customHeight="1" spans="1:7">
      <c r="A402" s="23"/>
      <c r="B402" s="28" t="s">
        <v>471</v>
      </c>
      <c r="C402" s="28"/>
      <c r="D402" s="28" t="s">
        <v>395</v>
      </c>
      <c r="E402" s="28">
        <f>E393</f>
        <v>110.2</v>
      </c>
      <c r="F402" s="28">
        <f>主材!N12</f>
        <v>57.49</v>
      </c>
      <c r="G402" s="29">
        <f>E402*F402</f>
        <v>6335.4</v>
      </c>
    </row>
    <row r="403" ht="15.4" customHeight="1" spans="1:7">
      <c r="A403" s="23" t="s">
        <v>20</v>
      </c>
      <c r="B403" s="28" t="s">
        <v>297</v>
      </c>
      <c r="C403" s="28"/>
      <c r="D403" s="28"/>
      <c r="E403" s="30">
        <f>费率!E7</f>
        <v>0.09</v>
      </c>
      <c r="F403" s="28">
        <f>G400+G401</f>
        <v>18285.25</v>
      </c>
      <c r="G403" s="29">
        <f>F403*E403</f>
        <v>1645.67</v>
      </c>
    </row>
    <row r="404" ht="15.4" customHeight="1" spans="1:7">
      <c r="A404" s="23" t="s">
        <v>23</v>
      </c>
      <c r="B404" s="28" t="s">
        <v>473</v>
      </c>
      <c r="C404" s="28"/>
      <c r="D404" s="28"/>
      <c r="E404" s="30">
        <f>费率!E8</f>
        <v>0.03</v>
      </c>
      <c r="F404" s="28">
        <f>G400+G401+G403</f>
        <v>19930.92</v>
      </c>
      <c r="G404" s="29">
        <f>E404*F404</f>
        <v>597.93</v>
      </c>
    </row>
    <row r="405" ht="15.4" customHeight="1" spans="1:7">
      <c r="A405" s="34" t="s">
        <v>25</v>
      </c>
      <c r="B405" s="35" t="s">
        <v>121</v>
      </c>
      <c r="C405" s="35"/>
      <c r="D405" s="36"/>
      <c r="E405" s="36"/>
      <c r="F405" s="36"/>
      <c r="G405" s="37">
        <f>SUM(F404:G404)</f>
        <v>20528.85</v>
      </c>
    </row>
    <row r="406" ht="3" customHeight="1"/>
    <row r="407" customHeight="1" spans="1:7">
      <c r="A407" s="38" t="s">
        <v>274</v>
      </c>
      <c r="B407" s="38"/>
      <c r="C407" s="38"/>
      <c r="D407" s="38"/>
      <c r="E407" s="38"/>
      <c r="F407" s="38"/>
      <c r="G407" s="38"/>
    </row>
    <row r="408" ht="15.4" customHeight="1" spans="1:7">
      <c r="A408" s="13" t="s">
        <v>275</v>
      </c>
      <c r="B408" s="14"/>
      <c r="C408" s="14" t="s">
        <v>474</v>
      </c>
      <c r="D408" s="14" t="s">
        <v>276</v>
      </c>
      <c r="E408" s="39" t="s">
        <v>475</v>
      </c>
      <c r="F408" s="39"/>
      <c r="G408" s="40"/>
    </row>
    <row r="409" ht="15.4" customHeight="1" spans="1:7">
      <c r="A409" s="18" t="s">
        <v>278</v>
      </c>
      <c r="B409" s="19"/>
      <c r="C409" s="20" t="s">
        <v>476</v>
      </c>
      <c r="D409" s="20"/>
      <c r="E409" s="20"/>
      <c r="F409" s="21" t="s">
        <v>280</v>
      </c>
      <c r="G409" s="22" t="s">
        <v>430</v>
      </c>
    </row>
    <row r="410" ht="15.4" customHeight="1" spans="1:7">
      <c r="A410" s="23" t="s">
        <v>456</v>
      </c>
      <c r="B410" s="28" t="s">
        <v>457</v>
      </c>
      <c r="C410" s="28"/>
      <c r="D410" s="28"/>
      <c r="E410" s="28"/>
      <c r="F410" s="28"/>
      <c r="G410" s="153"/>
    </row>
    <row r="411" ht="15.4" customHeight="1" spans="1:7">
      <c r="A411" s="23" t="s">
        <v>284</v>
      </c>
      <c r="B411" s="28" t="s">
        <v>458</v>
      </c>
      <c r="C411" s="28"/>
      <c r="D411" s="28" t="s">
        <v>88</v>
      </c>
      <c r="E411" s="28" t="s">
        <v>130</v>
      </c>
      <c r="F411" s="28" t="s">
        <v>144</v>
      </c>
      <c r="G411" s="29" t="s">
        <v>234</v>
      </c>
    </row>
    <row r="412" ht="15.4" customHeight="1" spans="1:7">
      <c r="A412" s="23" t="s">
        <v>9</v>
      </c>
      <c r="B412" s="28" t="s">
        <v>459</v>
      </c>
      <c r="C412" s="28"/>
      <c r="D412" s="28"/>
      <c r="E412" s="28"/>
      <c r="F412" s="28"/>
      <c r="G412" s="29">
        <f>G413+G422</f>
        <v>12009.42</v>
      </c>
    </row>
    <row r="413" ht="15.4" customHeight="1" spans="1:7">
      <c r="A413" s="23">
        <v>1</v>
      </c>
      <c r="B413" s="28" t="s">
        <v>287</v>
      </c>
      <c r="C413" s="28"/>
      <c r="D413" s="28"/>
      <c r="E413" s="28"/>
      <c r="F413" s="28"/>
      <c r="G413" s="29">
        <f>G414+G420+G417</f>
        <v>11459.37</v>
      </c>
    </row>
    <row r="414" ht="15.4" customHeight="1" spans="1:7">
      <c r="A414" s="23" t="s">
        <v>460</v>
      </c>
      <c r="B414" s="28" t="s">
        <v>247</v>
      </c>
      <c r="C414" s="28"/>
      <c r="D414" s="28" t="s">
        <v>290</v>
      </c>
      <c r="E414" s="28">
        <f>SUM(E415:E416)</f>
        <v>493.7</v>
      </c>
      <c r="F414" s="28"/>
      <c r="G414" s="29">
        <f>SUM(G415:G416)</f>
        <v>3193.96</v>
      </c>
    </row>
    <row r="415" ht="15.4" customHeight="1" spans="1:7">
      <c r="A415" s="23"/>
      <c r="B415" s="28" t="s">
        <v>289</v>
      </c>
      <c r="C415" s="28"/>
      <c r="D415" s="28" t="s">
        <v>290</v>
      </c>
      <c r="E415" s="28">
        <v>148.2</v>
      </c>
      <c r="F415" s="28">
        <f>人工!D4</f>
        <v>8.1</v>
      </c>
      <c r="G415" s="29">
        <f>E415*F415</f>
        <v>1200.42</v>
      </c>
    </row>
    <row r="416" ht="15.4" customHeight="1" spans="1:7">
      <c r="A416" s="23"/>
      <c r="B416" s="28" t="s">
        <v>291</v>
      </c>
      <c r="C416" s="28"/>
      <c r="D416" s="28" t="s">
        <v>290</v>
      </c>
      <c r="E416" s="28">
        <v>345.5</v>
      </c>
      <c r="F416" s="28">
        <f>人工!D5</f>
        <v>5.77</v>
      </c>
      <c r="G416" s="29">
        <f>E416*F416</f>
        <v>1993.54</v>
      </c>
    </row>
    <row r="417" ht="15.4" customHeight="1" spans="1:7">
      <c r="A417" s="23" t="s">
        <v>461</v>
      </c>
      <c r="B417" s="28" t="s">
        <v>248</v>
      </c>
      <c r="C417" s="28"/>
      <c r="D417" s="28"/>
      <c r="E417" s="28"/>
      <c r="F417" s="28"/>
      <c r="G417" s="29">
        <f>SUM(G418:G419)</f>
        <v>8201.2</v>
      </c>
    </row>
    <row r="418" ht="15.4" customHeight="1" spans="1:7">
      <c r="A418" s="23"/>
      <c r="B418" s="28" t="s">
        <v>401</v>
      </c>
      <c r="C418" s="28"/>
      <c r="D418" s="28" t="s">
        <v>395</v>
      </c>
      <c r="E418" s="28">
        <v>116</v>
      </c>
      <c r="F418" s="28">
        <f>主材!M11</f>
        <v>70</v>
      </c>
      <c r="G418" s="29">
        <f>E418*F418</f>
        <v>8120</v>
      </c>
    </row>
    <row r="419" ht="15.4" customHeight="1" spans="1:7">
      <c r="A419" s="23"/>
      <c r="B419" s="28" t="s">
        <v>397</v>
      </c>
      <c r="C419" s="28"/>
      <c r="D419" s="28"/>
      <c r="E419" s="30">
        <v>0.01</v>
      </c>
      <c r="F419" s="28">
        <f>SUM(G418:G418)</f>
        <v>8120</v>
      </c>
      <c r="G419" s="29">
        <f>E419*F419</f>
        <v>81.2</v>
      </c>
    </row>
    <row r="420" ht="15.4" customHeight="1" spans="1:7">
      <c r="A420" s="23" t="s">
        <v>463</v>
      </c>
      <c r="B420" s="28" t="s">
        <v>464</v>
      </c>
      <c r="C420" s="28"/>
      <c r="D420" s="28"/>
      <c r="E420" s="28"/>
      <c r="F420" s="28"/>
      <c r="G420" s="29">
        <f>SUM(G421:G421)</f>
        <v>64.21</v>
      </c>
    </row>
    <row r="421" ht="15.4" customHeight="1" spans="1:7">
      <c r="A421" s="23"/>
      <c r="B421" s="28" t="s">
        <v>472</v>
      </c>
      <c r="C421" s="28"/>
      <c r="D421" s="28" t="s">
        <v>316</v>
      </c>
      <c r="E421" s="28">
        <v>78.3</v>
      </c>
      <c r="F421" s="28">
        <f>机械!E29</f>
        <v>0.82</v>
      </c>
      <c r="G421" s="29">
        <f>E421*F421</f>
        <v>64.21</v>
      </c>
    </row>
    <row r="422" ht="15.4" customHeight="1" spans="1:7">
      <c r="A422" s="23">
        <v>2</v>
      </c>
      <c r="B422" s="28" t="s">
        <v>294</v>
      </c>
      <c r="C422" s="28"/>
      <c r="D422" s="28"/>
      <c r="E422" s="30">
        <f>费率!E4</f>
        <v>0.048</v>
      </c>
      <c r="F422" s="28">
        <f>G413</f>
        <v>11459.37</v>
      </c>
      <c r="G422" s="29">
        <f>E422*F422</f>
        <v>550.05</v>
      </c>
    </row>
    <row r="423" ht="15.4" customHeight="1" spans="1:7">
      <c r="A423" s="23" t="s">
        <v>14</v>
      </c>
      <c r="B423" s="28" t="s">
        <v>295</v>
      </c>
      <c r="C423" s="28"/>
      <c r="D423" s="28"/>
      <c r="E423" s="30">
        <f>费率!E5</f>
        <v>0.085</v>
      </c>
      <c r="F423" s="28">
        <f>G412</f>
        <v>12009.42</v>
      </c>
      <c r="G423" s="29">
        <f>E423*F423</f>
        <v>1020.8</v>
      </c>
    </row>
    <row r="424" ht="15.4" customHeight="1" spans="1:7">
      <c r="A424" s="23" t="s">
        <v>16</v>
      </c>
      <c r="B424" s="28" t="s">
        <v>296</v>
      </c>
      <c r="C424" s="28"/>
      <c r="D424" s="28"/>
      <c r="E424" s="30">
        <f>费率!E6</f>
        <v>0.07</v>
      </c>
      <c r="F424" s="28">
        <f>SUM(F423:G423)</f>
        <v>13030.22</v>
      </c>
      <c r="G424" s="29">
        <f>E424*F424</f>
        <v>912.12</v>
      </c>
    </row>
    <row r="425" ht="15.4" customHeight="1" spans="1:7">
      <c r="A425" s="23"/>
      <c r="B425" s="28" t="s">
        <v>465</v>
      </c>
      <c r="C425" s="28"/>
      <c r="D425" s="28"/>
      <c r="E425" s="28"/>
      <c r="F425" s="28"/>
      <c r="G425" s="29">
        <f>SUM(F424:G424)</f>
        <v>13942.34</v>
      </c>
    </row>
    <row r="426" ht="15.4" customHeight="1" spans="1:7">
      <c r="A426" s="23" t="s">
        <v>18</v>
      </c>
      <c r="B426" s="28" t="s">
        <v>466</v>
      </c>
      <c r="C426" s="28"/>
      <c r="D426" s="28"/>
      <c r="E426" s="28"/>
      <c r="F426" s="28"/>
      <c r="G426" s="29">
        <f>SUM(G427:G427)</f>
        <v>6704.8</v>
      </c>
    </row>
    <row r="427" ht="15.4" customHeight="1" spans="1:7">
      <c r="A427" s="23"/>
      <c r="B427" s="28" t="s">
        <v>401</v>
      </c>
      <c r="C427" s="28"/>
      <c r="D427" s="28" t="s">
        <v>395</v>
      </c>
      <c r="E427" s="28">
        <f>E418</f>
        <v>116</v>
      </c>
      <c r="F427" s="28">
        <f>主材!N11</f>
        <v>57.8</v>
      </c>
      <c r="G427" s="29">
        <f>E427*F427</f>
        <v>6704.8</v>
      </c>
    </row>
    <row r="428" ht="15.4" customHeight="1" spans="1:7">
      <c r="A428" s="23" t="s">
        <v>20</v>
      </c>
      <c r="B428" s="28" t="s">
        <v>297</v>
      </c>
      <c r="C428" s="28"/>
      <c r="D428" s="28"/>
      <c r="E428" s="30">
        <f>费率!E7</f>
        <v>0.09</v>
      </c>
      <c r="F428" s="28">
        <f>G425+G426</f>
        <v>20647.14</v>
      </c>
      <c r="G428" s="29">
        <f>F428*E428</f>
        <v>1858.24</v>
      </c>
    </row>
    <row r="429" ht="15.4" customHeight="1" spans="1:7">
      <c r="A429" s="23" t="s">
        <v>23</v>
      </c>
      <c r="B429" s="28" t="s">
        <v>473</v>
      </c>
      <c r="C429" s="28"/>
      <c r="D429" s="28"/>
      <c r="E429" s="30">
        <f>费率!E8</f>
        <v>0.03</v>
      </c>
      <c r="F429" s="28">
        <f>G425+G426+G428</f>
        <v>22505.38</v>
      </c>
      <c r="G429" s="29">
        <f>E429*F429</f>
        <v>675.16</v>
      </c>
    </row>
    <row r="430" ht="15.4" customHeight="1" spans="1:7">
      <c r="A430" s="34" t="s">
        <v>25</v>
      </c>
      <c r="B430" s="35" t="s">
        <v>121</v>
      </c>
      <c r="C430" s="35"/>
      <c r="D430" s="36"/>
      <c r="E430" s="36"/>
      <c r="F430" s="36"/>
      <c r="G430" s="37">
        <f>SUM(F429:G429)</f>
        <v>23180.54</v>
      </c>
    </row>
    <row r="431" ht="15.4" customHeight="1"/>
    <row r="432" ht="15.4" customHeight="1" spans="1:7">
      <c r="A432" s="38" t="s">
        <v>274</v>
      </c>
      <c r="B432" s="38"/>
      <c r="C432" s="38"/>
      <c r="D432" s="38"/>
      <c r="E432" s="38"/>
      <c r="F432" s="38"/>
      <c r="G432" s="38"/>
    </row>
    <row r="433" ht="15.4" customHeight="1" spans="1:7">
      <c r="A433" s="13" t="s">
        <v>275</v>
      </c>
      <c r="B433" s="14"/>
      <c r="C433" s="14" t="s">
        <v>477</v>
      </c>
      <c r="D433" s="14" t="s">
        <v>276</v>
      </c>
      <c r="E433" s="39" t="s">
        <v>478</v>
      </c>
      <c r="F433" s="39"/>
      <c r="G433" s="40"/>
    </row>
    <row r="434" ht="15.4" customHeight="1" spans="1:7">
      <c r="A434" s="18" t="s">
        <v>278</v>
      </c>
      <c r="B434" s="19"/>
      <c r="C434" s="20" t="s">
        <v>479</v>
      </c>
      <c r="D434" s="20"/>
      <c r="E434" s="20"/>
      <c r="F434" s="21" t="s">
        <v>280</v>
      </c>
      <c r="G434" s="22" t="s">
        <v>430</v>
      </c>
    </row>
    <row r="435" ht="15.4" customHeight="1" spans="1:7">
      <c r="A435" s="23" t="s">
        <v>456</v>
      </c>
      <c r="B435" s="28" t="s">
        <v>457</v>
      </c>
      <c r="C435" s="28"/>
      <c r="D435" s="28"/>
      <c r="E435" s="28"/>
      <c r="F435" s="28"/>
      <c r="G435" s="153"/>
    </row>
    <row r="436" ht="15.4" customHeight="1" spans="1:7">
      <c r="A436" s="23" t="s">
        <v>284</v>
      </c>
      <c r="B436" s="28" t="s">
        <v>458</v>
      </c>
      <c r="C436" s="28"/>
      <c r="D436" s="28" t="s">
        <v>88</v>
      </c>
      <c r="E436" s="28" t="s">
        <v>130</v>
      </c>
      <c r="F436" s="28" t="s">
        <v>144</v>
      </c>
      <c r="G436" s="29" t="s">
        <v>234</v>
      </c>
    </row>
    <row r="437" ht="15.4" customHeight="1" spans="1:7">
      <c r="A437" s="23" t="s">
        <v>9</v>
      </c>
      <c r="B437" s="28" t="s">
        <v>459</v>
      </c>
      <c r="C437" s="28"/>
      <c r="D437" s="28"/>
      <c r="E437" s="28"/>
      <c r="F437" s="28"/>
      <c r="G437" s="29">
        <f>G438+G447</f>
        <v>12547.24</v>
      </c>
    </row>
    <row r="438" ht="15.4" customHeight="1" spans="1:7">
      <c r="A438" s="23">
        <v>1</v>
      </c>
      <c r="B438" s="28" t="s">
        <v>287</v>
      </c>
      <c r="C438" s="28"/>
      <c r="D438" s="28"/>
      <c r="E438" s="28"/>
      <c r="F438" s="28"/>
      <c r="G438" s="29">
        <f>G439+G445+G442</f>
        <v>11972.56</v>
      </c>
    </row>
    <row r="439" ht="15.4" customHeight="1" spans="1:7">
      <c r="A439" s="23" t="s">
        <v>460</v>
      </c>
      <c r="B439" s="28" t="s">
        <v>247</v>
      </c>
      <c r="C439" s="28"/>
      <c r="D439" s="28" t="s">
        <v>290</v>
      </c>
      <c r="E439" s="28">
        <f>SUM(E440:E441)</f>
        <v>567.7</v>
      </c>
      <c r="F439" s="28"/>
      <c r="G439" s="29">
        <f>SUM(G440:G441)</f>
        <v>3707.15</v>
      </c>
    </row>
    <row r="440" ht="15.4" customHeight="1" spans="1:7">
      <c r="A440" s="23"/>
      <c r="B440" s="28" t="s">
        <v>289</v>
      </c>
      <c r="C440" s="28"/>
      <c r="D440" s="28" t="s">
        <v>290</v>
      </c>
      <c r="E440" s="28">
        <v>185.2</v>
      </c>
      <c r="F440" s="28">
        <f>人工!D4</f>
        <v>8.1</v>
      </c>
      <c r="G440" s="29">
        <f>E440*F440</f>
        <v>1500.12</v>
      </c>
    </row>
    <row r="441" ht="15.4" customHeight="1" spans="1:7">
      <c r="A441" s="23"/>
      <c r="B441" s="28" t="s">
        <v>291</v>
      </c>
      <c r="C441" s="28"/>
      <c r="D441" s="28" t="s">
        <v>290</v>
      </c>
      <c r="E441" s="28">
        <v>382.5</v>
      </c>
      <c r="F441" s="28">
        <f>人工!D5</f>
        <v>5.77</v>
      </c>
      <c r="G441" s="29">
        <f>E441*F441</f>
        <v>2207.03</v>
      </c>
    </row>
    <row r="442" ht="15.4" customHeight="1" spans="1:7">
      <c r="A442" s="23" t="s">
        <v>461</v>
      </c>
      <c r="B442" s="28" t="s">
        <v>248</v>
      </c>
      <c r="C442" s="28"/>
      <c r="D442" s="28"/>
      <c r="E442" s="28"/>
      <c r="F442" s="28"/>
      <c r="G442" s="29">
        <f>SUM(G443:G444)</f>
        <v>8201.2</v>
      </c>
    </row>
    <row r="443" ht="15.4" customHeight="1" spans="1:7">
      <c r="A443" s="23"/>
      <c r="B443" s="28" t="s">
        <v>401</v>
      </c>
      <c r="C443" s="28"/>
      <c r="D443" s="28" t="s">
        <v>395</v>
      </c>
      <c r="E443" s="28">
        <v>116</v>
      </c>
      <c r="F443" s="28">
        <f>主材!M11</f>
        <v>70</v>
      </c>
      <c r="G443" s="29">
        <f>E443*F443</f>
        <v>8120</v>
      </c>
    </row>
    <row r="444" ht="15.4" customHeight="1" spans="1:7">
      <c r="A444" s="23"/>
      <c r="B444" s="28" t="s">
        <v>397</v>
      </c>
      <c r="C444" s="28"/>
      <c r="D444" s="28"/>
      <c r="E444" s="30">
        <v>0.01</v>
      </c>
      <c r="F444" s="28">
        <f>SUM(G443:G443)</f>
        <v>8120</v>
      </c>
      <c r="G444" s="29">
        <f>E444*F444</f>
        <v>81.2</v>
      </c>
    </row>
    <row r="445" ht="15.4" customHeight="1" spans="1:7">
      <c r="A445" s="23" t="s">
        <v>463</v>
      </c>
      <c r="B445" s="28" t="s">
        <v>464</v>
      </c>
      <c r="C445" s="28"/>
      <c r="D445" s="28"/>
      <c r="E445" s="28"/>
      <c r="F445" s="28"/>
      <c r="G445" s="29">
        <f>SUM(G446:G446)</f>
        <v>64.21</v>
      </c>
    </row>
    <row r="446" ht="15.4" customHeight="1" spans="1:7">
      <c r="A446" s="23"/>
      <c r="B446" s="28" t="s">
        <v>472</v>
      </c>
      <c r="C446" s="28"/>
      <c r="D446" s="28" t="s">
        <v>316</v>
      </c>
      <c r="E446" s="28">
        <v>78.3</v>
      </c>
      <c r="F446" s="28">
        <f>机械!E29</f>
        <v>0.82</v>
      </c>
      <c r="G446" s="29">
        <f>E446*F446</f>
        <v>64.21</v>
      </c>
    </row>
    <row r="447" ht="15.4" customHeight="1" spans="1:7">
      <c r="A447" s="23">
        <v>2</v>
      </c>
      <c r="B447" s="28" t="s">
        <v>294</v>
      </c>
      <c r="C447" s="28"/>
      <c r="D447" s="28"/>
      <c r="E447" s="30">
        <f>费率!E4</f>
        <v>0.048</v>
      </c>
      <c r="F447" s="28">
        <f>G438</f>
        <v>11972.56</v>
      </c>
      <c r="G447" s="29">
        <f>E447*F447</f>
        <v>574.68</v>
      </c>
    </row>
    <row r="448" ht="15.4" customHeight="1" spans="1:7">
      <c r="A448" s="23" t="s">
        <v>14</v>
      </c>
      <c r="B448" s="28" t="s">
        <v>295</v>
      </c>
      <c r="C448" s="28"/>
      <c r="D448" s="28"/>
      <c r="E448" s="30">
        <f>费率!E5</f>
        <v>0.085</v>
      </c>
      <c r="F448" s="28">
        <f>G437</f>
        <v>12547.24</v>
      </c>
      <c r="G448" s="29">
        <f>E448*F448</f>
        <v>1066.52</v>
      </c>
    </row>
    <row r="449" ht="15.4" customHeight="1" spans="1:7">
      <c r="A449" s="23" t="s">
        <v>16</v>
      </c>
      <c r="B449" s="28" t="s">
        <v>296</v>
      </c>
      <c r="C449" s="28"/>
      <c r="D449" s="28"/>
      <c r="E449" s="30">
        <f>费率!E6</f>
        <v>0.07</v>
      </c>
      <c r="F449" s="28">
        <f>SUM(F448:G448)</f>
        <v>13613.76</v>
      </c>
      <c r="G449" s="29">
        <f>E449*F449</f>
        <v>952.96</v>
      </c>
    </row>
    <row r="450" ht="15.4" customHeight="1" spans="1:7">
      <c r="A450" s="23"/>
      <c r="B450" s="28" t="s">
        <v>465</v>
      </c>
      <c r="C450" s="28"/>
      <c r="D450" s="28"/>
      <c r="E450" s="28"/>
      <c r="F450" s="28"/>
      <c r="G450" s="29">
        <f>SUM(F449:G449)</f>
        <v>14566.72</v>
      </c>
    </row>
    <row r="451" ht="15.4" customHeight="1" spans="1:7">
      <c r="A451" s="23" t="s">
        <v>18</v>
      </c>
      <c r="B451" s="28" t="s">
        <v>466</v>
      </c>
      <c r="C451" s="28"/>
      <c r="D451" s="28"/>
      <c r="E451" s="28"/>
      <c r="F451" s="28"/>
      <c r="G451" s="29">
        <f>SUM(G452:G452)</f>
        <v>6704.8</v>
      </c>
    </row>
    <row r="452" ht="15.4" customHeight="1" spans="1:7">
      <c r="A452" s="23"/>
      <c r="B452" s="28" t="s">
        <v>401</v>
      </c>
      <c r="C452" s="28"/>
      <c r="D452" s="28" t="s">
        <v>395</v>
      </c>
      <c r="E452" s="28">
        <f>E443</f>
        <v>116</v>
      </c>
      <c r="F452" s="28">
        <f>主材!N11</f>
        <v>57.8</v>
      </c>
      <c r="G452" s="29">
        <f>E452*F452</f>
        <v>6704.8</v>
      </c>
    </row>
    <row r="453" ht="15.4" customHeight="1" spans="1:7">
      <c r="A453" s="23" t="s">
        <v>20</v>
      </c>
      <c r="B453" s="28" t="s">
        <v>297</v>
      </c>
      <c r="C453" s="28"/>
      <c r="D453" s="28"/>
      <c r="E453" s="30">
        <f>费率!E7</f>
        <v>0.09</v>
      </c>
      <c r="F453" s="28">
        <f>G450+G451</f>
        <v>21271.52</v>
      </c>
      <c r="G453" s="29">
        <f>F453*E453</f>
        <v>1914.44</v>
      </c>
    </row>
    <row r="454" ht="15.4" customHeight="1" spans="1:7">
      <c r="A454" s="23" t="s">
        <v>23</v>
      </c>
      <c r="B454" s="28" t="s">
        <v>473</v>
      </c>
      <c r="C454" s="28"/>
      <c r="D454" s="28"/>
      <c r="E454" s="30">
        <f>费率!E8</f>
        <v>0.03</v>
      </c>
      <c r="F454" s="28">
        <f>G450+G451+G453</f>
        <v>23185.96</v>
      </c>
      <c r="G454" s="29">
        <f>E454*F454</f>
        <v>695.58</v>
      </c>
    </row>
    <row r="455" ht="15.4" customHeight="1" spans="1:7">
      <c r="A455" s="34" t="s">
        <v>25</v>
      </c>
      <c r="B455" s="35" t="s">
        <v>121</v>
      </c>
      <c r="C455" s="35"/>
      <c r="D455" s="36"/>
      <c r="E455" s="36"/>
      <c r="F455" s="36"/>
      <c r="G455" s="37">
        <f>SUM(F454:G454)</f>
        <v>23881.54</v>
      </c>
    </row>
    <row r="457" customHeight="1" spans="1:7">
      <c r="A457" s="38" t="s">
        <v>274</v>
      </c>
      <c r="B457" s="38"/>
      <c r="C457" s="38"/>
      <c r="D457" s="38"/>
      <c r="E457" s="38"/>
      <c r="F457" s="38"/>
      <c r="G457" s="38"/>
    </row>
    <row r="458" customHeight="1" spans="1:7">
      <c r="A458" s="13" t="s">
        <v>275</v>
      </c>
      <c r="B458" s="14"/>
      <c r="C458" s="14" t="s">
        <v>480</v>
      </c>
      <c r="D458" s="14" t="s">
        <v>276</v>
      </c>
      <c r="E458" s="39" t="s">
        <v>481</v>
      </c>
      <c r="F458" s="39"/>
      <c r="G458" s="40"/>
    </row>
    <row r="459" customHeight="1" spans="1:7">
      <c r="A459" s="18" t="s">
        <v>278</v>
      </c>
      <c r="B459" s="19"/>
      <c r="C459" s="20" t="s">
        <v>482</v>
      </c>
      <c r="D459" s="20"/>
      <c r="E459" s="20"/>
      <c r="F459" s="21" t="s">
        <v>280</v>
      </c>
      <c r="G459" s="22" t="s">
        <v>430</v>
      </c>
    </row>
    <row r="460" customHeight="1" spans="1:7">
      <c r="A460" s="23" t="s">
        <v>456</v>
      </c>
      <c r="B460" s="28" t="s">
        <v>457</v>
      </c>
      <c r="C460" s="28"/>
      <c r="D460" s="28"/>
      <c r="E460" s="28"/>
      <c r="F460" s="28"/>
      <c r="G460" s="29"/>
    </row>
    <row r="461" customHeight="1" spans="1:7">
      <c r="A461" s="23" t="s">
        <v>284</v>
      </c>
      <c r="B461" s="28" t="s">
        <v>458</v>
      </c>
      <c r="C461" s="28"/>
      <c r="D461" s="28" t="s">
        <v>88</v>
      </c>
      <c r="E461" s="28" t="s">
        <v>130</v>
      </c>
      <c r="F461" s="28" t="s">
        <v>144</v>
      </c>
      <c r="G461" s="29" t="s">
        <v>234</v>
      </c>
    </row>
    <row r="462" customHeight="1" spans="1:7">
      <c r="A462" s="23" t="s">
        <v>9</v>
      </c>
      <c r="B462" s="28" t="s">
        <v>459</v>
      </c>
      <c r="C462" s="28"/>
      <c r="D462" s="28"/>
      <c r="E462" s="28"/>
      <c r="F462" s="28"/>
      <c r="G462" s="29">
        <f>G463+G471</f>
        <v>11320.65</v>
      </c>
    </row>
    <row r="463" customHeight="1" spans="1:7">
      <c r="A463" s="23">
        <v>1</v>
      </c>
      <c r="B463" s="28" t="s">
        <v>287</v>
      </c>
      <c r="C463" s="28"/>
      <c r="D463" s="28"/>
      <c r="E463" s="28"/>
      <c r="F463" s="28"/>
      <c r="G463" s="29">
        <f>G464+G470+G467</f>
        <v>10802.15</v>
      </c>
    </row>
    <row r="464" customHeight="1" spans="1:7">
      <c r="A464" s="23" t="s">
        <v>460</v>
      </c>
      <c r="B464" s="28" t="s">
        <v>247</v>
      </c>
      <c r="C464" s="28"/>
      <c r="D464" s="28" t="s">
        <v>290</v>
      </c>
      <c r="E464" s="28">
        <f>SUM(E465:E466)</f>
        <v>492.8</v>
      </c>
      <c r="F464" s="28"/>
      <c r="G464" s="29">
        <f>SUM(G465:G466)</f>
        <v>2866.52</v>
      </c>
    </row>
    <row r="465" customHeight="1" spans="1:7">
      <c r="A465" s="23"/>
      <c r="B465" s="28" t="s">
        <v>289</v>
      </c>
      <c r="C465" s="28"/>
      <c r="D465" s="28" t="s">
        <v>290</v>
      </c>
      <c r="E465" s="28">
        <v>9.9</v>
      </c>
      <c r="F465" s="28">
        <f>人工!D4</f>
        <v>8.1</v>
      </c>
      <c r="G465" s="29">
        <f>E465*F465</f>
        <v>80.19</v>
      </c>
    </row>
    <row r="466" customHeight="1" spans="1:7">
      <c r="A466" s="23"/>
      <c r="B466" s="28" t="s">
        <v>291</v>
      </c>
      <c r="C466" s="28"/>
      <c r="D466" s="28" t="s">
        <v>290</v>
      </c>
      <c r="E466" s="28">
        <v>482.9</v>
      </c>
      <c r="F466" s="28">
        <f>人工!D5</f>
        <v>5.77</v>
      </c>
      <c r="G466" s="29">
        <f>E466*F466</f>
        <v>2786.33</v>
      </c>
    </row>
    <row r="467" customHeight="1" spans="1:7">
      <c r="A467" s="23" t="s">
        <v>461</v>
      </c>
      <c r="B467" s="28" t="s">
        <v>248</v>
      </c>
      <c r="C467" s="28"/>
      <c r="D467" s="28"/>
      <c r="E467" s="28"/>
      <c r="F467" s="28"/>
      <c r="G467" s="29">
        <f>SUM(G468:G469)</f>
        <v>7935.63</v>
      </c>
    </row>
    <row r="468" customHeight="1" spans="1:7">
      <c r="A468" s="23"/>
      <c r="B468" s="28" t="s">
        <v>483</v>
      </c>
      <c r="C468" s="28"/>
      <c r="D468" s="28" t="s">
        <v>395</v>
      </c>
      <c r="E468" s="28">
        <v>102</v>
      </c>
      <c r="F468" s="28">
        <f>主材!D14</f>
        <v>77.03</v>
      </c>
      <c r="G468" s="29">
        <f>E468*F468</f>
        <v>7857.06</v>
      </c>
    </row>
    <row r="469" customHeight="1" spans="1:7">
      <c r="A469" s="23"/>
      <c r="B469" s="28" t="s">
        <v>397</v>
      </c>
      <c r="C469" s="28"/>
      <c r="D469" s="28"/>
      <c r="E469" s="30">
        <v>0.01</v>
      </c>
      <c r="F469" s="28">
        <f>SUM(G468:G468)</f>
        <v>7857.06</v>
      </c>
      <c r="G469" s="29">
        <f>E469*F469</f>
        <v>78.57</v>
      </c>
    </row>
    <row r="470" customHeight="1" spans="1:7">
      <c r="A470" s="23" t="s">
        <v>463</v>
      </c>
      <c r="B470" s="28" t="s">
        <v>464</v>
      </c>
      <c r="C470" s="28"/>
      <c r="D470" s="28"/>
      <c r="E470" s="28"/>
      <c r="F470" s="28"/>
      <c r="G470" s="29">
        <v>0</v>
      </c>
    </row>
    <row r="471" customHeight="1" spans="1:7">
      <c r="A471" s="23">
        <v>2</v>
      </c>
      <c r="B471" s="28" t="s">
        <v>294</v>
      </c>
      <c r="C471" s="28"/>
      <c r="D471" s="28"/>
      <c r="E471" s="30">
        <f>费率!E4</f>
        <v>0.048</v>
      </c>
      <c r="F471" s="28">
        <f>G463</f>
        <v>10802.15</v>
      </c>
      <c r="G471" s="29">
        <f>E471*F471</f>
        <v>518.5</v>
      </c>
    </row>
    <row r="472" customHeight="1" spans="1:7">
      <c r="A472" s="23" t="s">
        <v>14</v>
      </c>
      <c r="B472" s="28" t="s">
        <v>295</v>
      </c>
      <c r="C472" s="28"/>
      <c r="D472" s="28"/>
      <c r="E472" s="30">
        <f>费率!E5</f>
        <v>0.085</v>
      </c>
      <c r="F472" s="28">
        <f>G462</f>
        <v>11320.65</v>
      </c>
      <c r="G472" s="29">
        <f>E472*F472</f>
        <v>962.26</v>
      </c>
    </row>
    <row r="473" customHeight="1" spans="1:7">
      <c r="A473" s="23" t="s">
        <v>16</v>
      </c>
      <c r="B473" s="28" t="s">
        <v>296</v>
      </c>
      <c r="C473" s="28"/>
      <c r="D473" s="28"/>
      <c r="E473" s="30">
        <f>费率!E6</f>
        <v>0.07</v>
      </c>
      <c r="F473" s="28">
        <f>SUM(F472:G472)</f>
        <v>12282.91</v>
      </c>
      <c r="G473" s="29">
        <f>E473*F473</f>
        <v>859.8</v>
      </c>
    </row>
    <row r="474" customHeight="1" spans="1:7">
      <c r="A474" s="23"/>
      <c r="B474" s="28" t="s">
        <v>465</v>
      </c>
      <c r="C474" s="28"/>
      <c r="D474" s="28"/>
      <c r="E474" s="28"/>
      <c r="F474" s="28"/>
      <c r="G474" s="29">
        <f>SUM(F473:G473)</f>
        <v>13142.71</v>
      </c>
    </row>
    <row r="475" customHeight="1" spans="1:7">
      <c r="A475" s="23" t="s">
        <v>18</v>
      </c>
      <c r="B475" s="28" t="s">
        <v>466</v>
      </c>
      <c r="C475" s="28"/>
      <c r="D475" s="28"/>
      <c r="E475" s="28"/>
      <c r="F475" s="28"/>
      <c r="G475" s="29">
        <v>0</v>
      </c>
    </row>
    <row r="476" customHeight="1" spans="1:7">
      <c r="A476" s="23" t="s">
        <v>20</v>
      </c>
      <c r="B476" s="28" t="s">
        <v>297</v>
      </c>
      <c r="C476" s="28"/>
      <c r="D476" s="28"/>
      <c r="E476" s="30">
        <f>费率!E7</f>
        <v>0.09</v>
      </c>
      <c r="F476" s="28">
        <f>G474+G475</f>
        <v>13142.71</v>
      </c>
      <c r="G476" s="29">
        <f>F476*E476</f>
        <v>1182.84</v>
      </c>
    </row>
    <row r="477" customHeight="1" spans="1:7">
      <c r="A477" s="23" t="s">
        <v>23</v>
      </c>
      <c r="B477" s="28" t="s">
        <v>298</v>
      </c>
      <c r="C477" s="28"/>
      <c r="D477" s="28"/>
      <c r="E477" s="30">
        <f>费率!E8</f>
        <v>0.03</v>
      </c>
      <c r="F477" s="28">
        <f>G474+G475+G476</f>
        <v>14325.55</v>
      </c>
      <c r="G477" s="29">
        <f>E477*F477</f>
        <v>429.77</v>
      </c>
    </row>
    <row r="478" customHeight="1" spans="1:7">
      <c r="A478" s="34" t="s">
        <v>25</v>
      </c>
      <c r="B478" s="35" t="s">
        <v>121</v>
      </c>
      <c r="C478" s="35"/>
      <c r="D478" s="36"/>
      <c r="E478" s="36"/>
      <c r="F478" s="36"/>
      <c r="G478" s="37">
        <f>SUM(F477:G477)</f>
        <v>14755.32</v>
      </c>
    </row>
    <row r="480" customHeight="1" spans="1:7">
      <c r="A480" s="38" t="s">
        <v>274</v>
      </c>
      <c r="B480" s="38"/>
      <c r="C480" s="38"/>
      <c r="D480" s="38"/>
      <c r="E480" s="38"/>
      <c r="F480" s="38"/>
      <c r="G480" s="38"/>
    </row>
    <row r="481" customHeight="1" spans="1:7">
      <c r="A481" s="13" t="s">
        <v>275</v>
      </c>
      <c r="B481" s="14"/>
      <c r="C481" s="14" t="s">
        <v>480</v>
      </c>
      <c r="D481" s="14" t="s">
        <v>276</v>
      </c>
      <c r="E481" s="39" t="s">
        <v>484</v>
      </c>
      <c r="F481" s="39"/>
      <c r="G481" s="40"/>
    </row>
    <row r="482" customHeight="1" spans="1:7">
      <c r="A482" s="18" t="s">
        <v>278</v>
      </c>
      <c r="B482" s="19"/>
      <c r="C482" s="20" t="s">
        <v>485</v>
      </c>
      <c r="D482" s="20"/>
      <c r="E482" s="20"/>
      <c r="F482" s="21" t="s">
        <v>280</v>
      </c>
      <c r="G482" s="22" t="s">
        <v>430</v>
      </c>
    </row>
    <row r="483" customHeight="1" spans="1:7">
      <c r="A483" s="23" t="s">
        <v>456</v>
      </c>
      <c r="B483" s="28" t="s">
        <v>457</v>
      </c>
      <c r="C483" s="28"/>
      <c r="D483" s="28"/>
      <c r="E483" s="28"/>
      <c r="F483" s="28"/>
      <c r="G483" s="29"/>
    </row>
    <row r="484" customHeight="1" spans="1:7">
      <c r="A484" s="23" t="s">
        <v>284</v>
      </c>
      <c r="B484" s="28" t="s">
        <v>458</v>
      </c>
      <c r="C484" s="28"/>
      <c r="D484" s="28" t="s">
        <v>88</v>
      </c>
      <c r="E484" s="28" t="s">
        <v>130</v>
      </c>
      <c r="F484" s="28" t="s">
        <v>144</v>
      </c>
      <c r="G484" s="29" t="s">
        <v>234</v>
      </c>
    </row>
    <row r="485" customHeight="1" spans="1:7">
      <c r="A485" s="23" t="s">
        <v>9</v>
      </c>
      <c r="B485" s="28" t="s">
        <v>459</v>
      </c>
      <c r="C485" s="28"/>
      <c r="D485" s="28"/>
      <c r="E485" s="28"/>
      <c r="F485" s="28"/>
      <c r="G485" s="29">
        <f>G486+G495</f>
        <v>10293.16</v>
      </c>
    </row>
    <row r="486" customHeight="1" spans="1:7">
      <c r="A486" s="23">
        <v>1</v>
      </c>
      <c r="B486" s="28" t="s">
        <v>287</v>
      </c>
      <c r="C486" s="28"/>
      <c r="D486" s="28"/>
      <c r="E486" s="28"/>
      <c r="F486" s="28"/>
      <c r="G486" s="29">
        <f>G487+G493+G490</f>
        <v>9821.72</v>
      </c>
    </row>
    <row r="487" customHeight="1" spans="1:7">
      <c r="A487" s="23" t="s">
        <v>460</v>
      </c>
      <c r="B487" s="28" t="s">
        <v>247</v>
      </c>
      <c r="C487" s="28"/>
      <c r="D487" s="28" t="s">
        <v>290</v>
      </c>
      <c r="E487" s="28">
        <f>SUM(E488:E489)</f>
        <v>349.3</v>
      </c>
      <c r="F487" s="28"/>
      <c r="G487" s="29">
        <f>SUM(G488:G489)</f>
        <v>2031.77</v>
      </c>
    </row>
    <row r="488" customHeight="1" spans="1:7">
      <c r="A488" s="23"/>
      <c r="B488" s="28" t="s">
        <v>289</v>
      </c>
      <c r="C488" s="28"/>
      <c r="D488" s="28" t="s">
        <v>290</v>
      </c>
      <c r="E488" s="28">
        <v>7</v>
      </c>
      <c r="F488" s="28">
        <f>F465</f>
        <v>8.1</v>
      </c>
      <c r="G488" s="29">
        <f>E488*F488</f>
        <v>56.7</v>
      </c>
    </row>
    <row r="489" customHeight="1" spans="1:7">
      <c r="A489" s="23"/>
      <c r="B489" s="28" t="s">
        <v>291</v>
      </c>
      <c r="C489" s="28"/>
      <c r="D489" s="28" t="s">
        <v>290</v>
      </c>
      <c r="E489" s="28">
        <v>342.3</v>
      </c>
      <c r="F489" s="28">
        <f>F466</f>
        <v>5.77</v>
      </c>
      <c r="G489" s="29">
        <f>E489*F489</f>
        <v>1975.07</v>
      </c>
    </row>
    <row r="490" customHeight="1" spans="1:7">
      <c r="A490" s="23" t="s">
        <v>461</v>
      </c>
      <c r="B490" s="28" t="s">
        <v>248</v>
      </c>
      <c r="C490" s="28"/>
      <c r="D490" s="28"/>
      <c r="E490" s="28"/>
      <c r="F490" s="28"/>
      <c r="G490" s="29">
        <f>SUM(G491:G492)</f>
        <v>7729.43</v>
      </c>
    </row>
    <row r="491" customHeight="1" spans="1:7">
      <c r="A491" s="23"/>
      <c r="B491" s="28" t="s">
        <v>467</v>
      </c>
      <c r="C491" s="28"/>
      <c r="D491" s="28" t="s">
        <v>395</v>
      </c>
      <c r="E491" s="28">
        <v>110.2</v>
      </c>
      <c r="F491" s="28">
        <f>主材!M10</f>
        <v>70</v>
      </c>
      <c r="G491" s="29">
        <f>E491*F491</f>
        <v>7714</v>
      </c>
    </row>
    <row r="492" customHeight="1" spans="1:7">
      <c r="A492" s="23"/>
      <c r="B492" s="28" t="s">
        <v>397</v>
      </c>
      <c r="C492" s="28"/>
      <c r="D492" s="28"/>
      <c r="E492" s="30">
        <v>0.002</v>
      </c>
      <c r="F492" s="28">
        <f>SUM(G491:G491)</f>
        <v>7714</v>
      </c>
      <c r="G492" s="29">
        <f>E492*F492</f>
        <v>15.43</v>
      </c>
    </row>
    <row r="493" customHeight="1" spans="1:7">
      <c r="A493" s="23" t="s">
        <v>463</v>
      </c>
      <c r="B493" s="28" t="s">
        <v>464</v>
      </c>
      <c r="C493" s="28"/>
      <c r="D493" s="28"/>
      <c r="E493" s="28"/>
      <c r="F493" s="28"/>
      <c r="G493" s="29">
        <f>G494</f>
        <v>60.52</v>
      </c>
    </row>
    <row r="494" customHeight="1" spans="1:7">
      <c r="A494" s="23"/>
      <c r="B494" s="24" t="s">
        <v>472</v>
      </c>
      <c r="C494" s="26"/>
      <c r="D494" s="28" t="s">
        <v>316</v>
      </c>
      <c r="E494" s="28">
        <v>73.8</v>
      </c>
      <c r="F494" s="28">
        <f>机械!E29</f>
        <v>0.82</v>
      </c>
      <c r="G494" s="29">
        <f>E494*F494</f>
        <v>60.52</v>
      </c>
    </row>
    <row r="495" customHeight="1" spans="1:7">
      <c r="A495" s="23">
        <v>2</v>
      </c>
      <c r="B495" s="28" t="s">
        <v>294</v>
      </c>
      <c r="C495" s="28"/>
      <c r="D495" s="28"/>
      <c r="E495" s="30">
        <f>E471</f>
        <v>0.048</v>
      </c>
      <c r="F495" s="28">
        <f>G486</f>
        <v>9821.72</v>
      </c>
      <c r="G495" s="29">
        <f>E495*F495</f>
        <v>471.44</v>
      </c>
    </row>
    <row r="496" customHeight="1" spans="1:7">
      <c r="A496" s="23" t="s">
        <v>14</v>
      </c>
      <c r="B496" s="28" t="s">
        <v>295</v>
      </c>
      <c r="C496" s="28"/>
      <c r="D496" s="28"/>
      <c r="E496" s="30">
        <f t="shared" ref="E496:E497" si="0">E472</f>
        <v>0.085</v>
      </c>
      <c r="F496" s="28">
        <f>G485</f>
        <v>10293.16</v>
      </c>
      <c r="G496" s="29">
        <f>E496*F496</f>
        <v>874.92</v>
      </c>
    </row>
    <row r="497" customHeight="1" spans="1:7">
      <c r="A497" s="23" t="s">
        <v>16</v>
      </c>
      <c r="B497" s="28" t="s">
        <v>296</v>
      </c>
      <c r="C497" s="28"/>
      <c r="D497" s="28"/>
      <c r="E497" s="30">
        <f t="shared" si="0"/>
        <v>0.07</v>
      </c>
      <c r="F497" s="28">
        <f>SUM(F496:G496)</f>
        <v>11168.08</v>
      </c>
      <c r="G497" s="29">
        <f>E497*F497</f>
        <v>781.77</v>
      </c>
    </row>
    <row r="498" customHeight="1" spans="1:7">
      <c r="A498" s="23"/>
      <c r="B498" s="28" t="s">
        <v>465</v>
      </c>
      <c r="C498" s="28"/>
      <c r="D498" s="28"/>
      <c r="E498" s="28"/>
      <c r="F498" s="28"/>
      <c r="G498" s="29">
        <f>SUM(F497:G497)</f>
        <v>11949.85</v>
      </c>
    </row>
    <row r="499" customHeight="1" spans="1:7">
      <c r="A499" s="23" t="s">
        <v>18</v>
      </c>
      <c r="B499" s="28" t="s">
        <v>466</v>
      </c>
      <c r="C499" s="28"/>
      <c r="D499" s="28"/>
      <c r="E499" s="28"/>
      <c r="F499" s="28"/>
      <c r="G499" s="29">
        <f>G500</f>
        <v>774.71</v>
      </c>
    </row>
    <row r="500" customHeight="1" spans="1:7">
      <c r="A500" s="23"/>
      <c r="B500" s="24" t="s">
        <v>467</v>
      </c>
      <c r="C500" s="26"/>
      <c r="D500" s="28" t="s">
        <v>395</v>
      </c>
      <c r="E500" s="28">
        <f>E491</f>
        <v>110.2</v>
      </c>
      <c r="F500" s="28">
        <f>主材!N10</f>
        <v>7.03</v>
      </c>
      <c r="G500" s="29">
        <f>E500*F500</f>
        <v>774.71</v>
      </c>
    </row>
    <row r="501" customHeight="1" spans="1:7">
      <c r="A501" s="23" t="s">
        <v>20</v>
      </c>
      <c r="B501" s="28" t="s">
        <v>297</v>
      </c>
      <c r="C501" s="28"/>
      <c r="D501" s="28"/>
      <c r="E501" s="30">
        <f>E476</f>
        <v>0.09</v>
      </c>
      <c r="F501" s="28">
        <f>G498+G499</f>
        <v>12724.56</v>
      </c>
      <c r="G501" s="29">
        <f>F501*E501</f>
        <v>1145.21</v>
      </c>
    </row>
    <row r="502" customHeight="1" spans="1:7">
      <c r="A502" s="23" t="s">
        <v>23</v>
      </c>
      <c r="B502" s="28" t="s">
        <v>298</v>
      </c>
      <c r="C502" s="28"/>
      <c r="D502" s="28"/>
      <c r="E502" s="30">
        <f>E477</f>
        <v>0.03</v>
      </c>
      <c r="F502" s="28">
        <f>G498+G499+G501</f>
        <v>13869.77</v>
      </c>
      <c r="G502" s="29">
        <f>E502*F502</f>
        <v>416.09</v>
      </c>
    </row>
    <row r="503" customHeight="1" spans="1:7">
      <c r="A503" s="34" t="s">
        <v>25</v>
      </c>
      <c r="B503" s="35" t="s">
        <v>121</v>
      </c>
      <c r="C503" s="35"/>
      <c r="D503" s="36"/>
      <c r="E503" s="36"/>
      <c r="F503" s="36"/>
      <c r="G503" s="37">
        <f>SUM(F502:G502)</f>
        <v>14285.86</v>
      </c>
    </row>
  </sheetData>
  <mergeCells count="467">
    <mergeCell ref="A1:G1"/>
    <mergeCell ref="A2:B2"/>
    <mergeCell ref="E2:G2"/>
    <mergeCell ref="A3:B3"/>
    <mergeCell ref="C3:E3"/>
    <mergeCell ref="A4:G4"/>
    <mergeCell ref="A5:G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6:G26"/>
    <mergeCell ref="A27:B27"/>
    <mergeCell ref="E27:G27"/>
    <mergeCell ref="A28:B28"/>
    <mergeCell ref="C28:E28"/>
    <mergeCell ref="A29:G29"/>
    <mergeCell ref="A30:G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5:G55"/>
    <mergeCell ref="A56:B56"/>
    <mergeCell ref="E56:G56"/>
    <mergeCell ref="A57:B57"/>
    <mergeCell ref="C57:E57"/>
    <mergeCell ref="A58:G58"/>
    <mergeCell ref="A59:G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A84:G84"/>
    <mergeCell ref="A85:B85"/>
    <mergeCell ref="E85:G85"/>
    <mergeCell ref="A86:B86"/>
    <mergeCell ref="C86:E86"/>
    <mergeCell ref="A87:G87"/>
    <mergeCell ref="A88:G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A113:G113"/>
    <mergeCell ref="A114:B114"/>
    <mergeCell ref="E114:G114"/>
    <mergeCell ref="A115:B115"/>
    <mergeCell ref="C115:E115"/>
    <mergeCell ref="A116:G116"/>
    <mergeCell ref="A117:G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A142:G142"/>
    <mergeCell ref="A143:B143"/>
    <mergeCell ref="E143:G143"/>
    <mergeCell ref="A144:B144"/>
    <mergeCell ref="C144:E144"/>
    <mergeCell ref="A145:G145"/>
    <mergeCell ref="A146:G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A171:G171"/>
    <mergeCell ref="A172:B172"/>
    <mergeCell ref="E172:G172"/>
    <mergeCell ref="A173:B173"/>
    <mergeCell ref="C173:E173"/>
    <mergeCell ref="A174:G174"/>
    <mergeCell ref="A175:G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A198:G198"/>
    <mergeCell ref="A199:B199"/>
    <mergeCell ref="E199:G199"/>
    <mergeCell ref="A200:B200"/>
    <mergeCell ref="C200:E200"/>
    <mergeCell ref="A201:G201"/>
    <mergeCell ref="A202:G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A225:G225"/>
    <mergeCell ref="A226:B226"/>
    <mergeCell ref="E226:G226"/>
    <mergeCell ref="A227:B227"/>
    <mergeCell ref="C227:E227"/>
    <mergeCell ref="A228:G228"/>
    <mergeCell ref="A229:G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A249:G249"/>
    <mergeCell ref="A250:B250"/>
    <mergeCell ref="E250:G250"/>
    <mergeCell ref="A251:B251"/>
    <mergeCell ref="C251:E251"/>
    <mergeCell ref="A252:G252"/>
    <mergeCell ref="A253:G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A273:G273"/>
    <mergeCell ref="A274:B274"/>
    <mergeCell ref="E274:G274"/>
    <mergeCell ref="A275:B275"/>
    <mergeCell ref="C275:E275"/>
    <mergeCell ref="A276:G276"/>
    <mergeCell ref="A277:G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A293:G293"/>
    <mergeCell ref="A294:B294"/>
    <mergeCell ref="E294:G294"/>
    <mergeCell ref="A295:B295"/>
    <mergeCell ref="C295:E295"/>
    <mergeCell ref="A296:G296"/>
    <mergeCell ref="A297:G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A314:G314"/>
    <mergeCell ref="A315:B315"/>
    <mergeCell ref="E315:G315"/>
    <mergeCell ref="A316:B316"/>
    <mergeCell ref="C316:E316"/>
    <mergeCell ref="A317:G317"/>
    <mergeCell ref="A318:G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A335:G335"/>
    <mergeCell ref="A336:B336"/>
    <mergeCell ref="E336:G336"/>
    <mergeCell ref="A337:B337"/>
    <mergeCell ref="C337:E337"/>
    <mergeCell ref="A338:G338"/>
    <mergeCell ref="A339:G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A356:G356"/>
    <mergeCell ref="A357:B357"/>
    <mergeCell ref="E357:G357"/>
    <mergeCell ref="A358:B358"/>
    <mergeCell ref="C358:E358"/>
    <mergeCell ref="B359:G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A382:G382"/>
    <mergeCell ref="A383:B383"/>
    <mergeCell ref="E383:G383"/>
    <mergeCell ref="A384:B384"/>
    <mergeCell ref="C384:E384"/>
    <mergeCell ref="B385:F385"/>
    <mergeCell ref="B400:C400"/>
    <mergeCell ref="A407:G407"/>
    <mergeCell ref="A408:B408"/>
    <mergeCell ref="E408:G408"/>
    <mergeCell ref="A409:B409"/>
    <mergeCell ref="C409:E409"/>
    <mergeCell ref="B410:F410"/>
    <mergeCell ref="B425:C425"/>
    <mergeCell ref="A432:G432"/>
    <mergeCell ref="A433:B433"/>
    <mergeCell ref="E433:G433"/>
    <mergeCell ref="A434:B434"/>
    <mergeCell ref="C434:E434"/>
    <mergeCell ref="B435:F435"/>
    <mergeCell ref="B450:C450"/>
    <mergeCell ref="A457:G457"/>
    <mergeCell ref="A458:B458"/>
    <mergeCell ref="E458:G458"/>
    <mergeCell ref="A459:B459"/>
    <mergeCell ref="C459:E459"/>
    <mergeCell ref="B460:G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A480:G480"/>
    <mergeCell ref="A481:B481"/>
    <mergeCell ref="E481:G481"/>
    <mergeCell ref="A482:B482"/>
    <mergeCell ref="C482:E482"/>
    <mergeCell ref="B483:G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</mergeCells>
  <printOptions horizontalCentered="1"/>
  <pageMargins left="0.78740157480315" right="0.78740157480315" top="0.78740157480315" bottom="0.78740157480315" header="0.511811023622047" footer="0.393700787401575"/>
  <pageSetup paperSize="9" firstPageNumber="41" orientation="portrait" useFirstPageNumber="1"/>
  <headerFooter alignWithMargins="0" scaleWithDoc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C51"/>
  <sheetViews>
    <sheetView view="pageBreakPreview" zoomScale="85" zoomScaleNormal="100" workbookViewId="0">
      <selection activeCell="U11" sqref="U11"/>
    </sheetView>
  </sheetViews>
  <sheetFormatPr defaultColWidth="9" defaultRowHeight="14.25"/>
  <cols>
    <col min="1" max="1" width="5.5" style="617" customWidth="1"/>
    <col min="2" max="2" width="15.25" style="617" customWidth="1"/>
    <col min="3" max="3" width="7.875" style="617" customWidth="1"/>
    <col min="4" max="4" width="10.75" style="617" customWidth="1"/>
    <col min="5" max="5" width="9.75" style="617" customWidth="1"/>
    <col min="6" max="6" width="9.875" style="617" customWidth="1"/>
    <col min="7" max="7" width="10.25" style="617" customWidth="1"/>
    <col min="8" max="8" width="10.75" style="617" customWidth="1"/>
    <col min="9" max="9" width="6.25" style="617" customWidth="1"/>
    <col min="10" max="10" width="15.25" style="617" customWidth="1"/>
    <col min="11" max="11" width="5.25" style="617" customWidth="1"/>
    <col min="12" max="12" width="9.25" style="617" customWidth="1"/>
    <col min="13" max="13" width="12.25" style="617" customWidth="1"/>
    <col min="14" max="14" width="9.125" style="617" customWidth="1"/>
    <col min="15" max="15" width="19.125" style="617" customWidth="1"/>
    <col min="16" max="16" width="7.625" style="617" customWidth="1"/>
    <col min="17" max="17" width="8.375" style="617" customWidth="1"/>
    <col min="18" max="18" width="15.25" style="617" customWidth="1"/>
    <col min="19" max="19" width="11" style="617" customWidth="1"/>
    <col min="20" max="20" width="8.375" style="617" customWidth="1"/>
    <col min="21" max="21" width="9" style="617"/>
    <col min="22" max="22" width="8.5" style="617" customWidth="1"/>
    <col min="23" max="23" width="8.75" style="617" customWidth="1"/>
    <col min="24" max="24" width="8.375" style="617" customWidth="1"/>
    <col min="25" max="25" width="9.75" style="617" customWidth="1"/>
    <col min="26" max="26" width="9.875" style="617" customWidth="1"/>
    <col min="27" max="28" width="9" style="617"/>
    <col min="29" max="29" width="10" style="618" customWidth="1"/>
    <col min="30" max="16384" width="9" style="617"/>
  </cols>
  <sheetData>
    <row r="1" ht="24" customHeight="1" spans="1:27">
      <c r="A1" s="619" t="s">
        <v>486</v>
      </c>
      <c r="B1" s="620"/>
      <c r="C1" s="620"/>
      <c r="D1" s="620"/>
      <c r="E1" s="620"/>
      <c r="F1" s="620"/>
      <c r="G1" s="620"/>
      <c r="H1" s="620"/>
      <c r="I1" s="656" t="s">
        <v>487</v>
      </c>
      <c r="J1" s="656"/>
      <c r="K1" s="656"/>
      <c r="L1" s="656"/>
      <c r="M1" s="656"/>
      <c r="N1" s="656"/>
      <c r="O1" s="656"/>
      <c r="P1" s="657"/>
      <c r="Q1" s="670" t="s">
        <v>488</v>
      </c>
      <c r="R1" s="671"/>
      <c r="S1" s="671"/>
      <c r="T1" s="671"/>
      <c r="U1" s="671"/>
      <c r="V1" s="671"/>
      <c r="W1" s="671"/>
      <c r="X1" s="671"/>
      <c r="Y1" s="671"/>
      <c r="Z1" s="671"/>
      <c r="AA1" s="671"/>
    </row>
    <row r="2" ht="19.9" customHeight="1" spans="1:27">
      <c r="A2" s="621" t="s">
        <v>2</v>
      </c>
      <c r="B2" s="622" t="s">
        <v>458</v>
      </c>
      <c r="C2" s="622" t="s">
        <v>88</v>
      </c>
      <c r="D2" s="623" t="s">
        <v>489</v>
      </c>
      <c r="E2" s="622" t="s">
        <v>490</v>
      </c>
      <c r="F2" s="622"/>
      <c r="G2" s="622"/>
      <c r="H2" s="624"/>
      <c r="I2" s="658" t="s">
        <v>2</v>
      </c>
      <c r="J2" s="659" t="s">
        <v>458</v>
      </c>
      <c r="K2" s="659" t="s">
        <v>88</v>
      </c>
      <c r="L2" s="660" t="s">
        <v>491</v>
      </c>
      <c r="M2" s="660" t="s">
        <v>492</v>
      </c>
      <c r="N2" s="660" t="s">
        <v>493</v>
      </c>
      <c r="O2" s="661" t="s">
        <v>494</v>
      </c>
      <c r="P2" s="655"/>
      <c r="Q2" s="672" t="s">
        <v>2</v>
      </c>
      <c r="R2" s="673" t="s">
        <v>495</v>
      </c>
      <c r="S2" s="673" t="s">
        <v>496</v>
      </c>
      <c r="T2" s="673" t="s">
        <v>88</v>
      </c>
      <c r="U2" s="673" t="s">
        <v>497</v>
      </c>
      <c r="V2" s="673" t="s">
        <v>498</v>
      </c>
      <c r="W2" s="673" t="s">
        <v>499</v>
      </c>
      <c r="X2" s="673" t="s">
        <v>500</v>
      </c>
      <c r="Y2" s="673" t="s">
        <v>501</v>
      </c>
      <c r="Z2" s="673" t="s">
        <v>502</v>
      </c>
      <c r="AA2" s="703" t="s">
        <v>503</v>
      </c>
    </row>
    <row r="3" ht="19.9" customHeight="1" spans="1:27">
      <c r="A3" s="625"/>
      <c r="B3" s="626"/>
      <c r="C3" s="626"/>
      <c r="D3" s="627"/>
      <c r="E3" s="628" t="s">
        <v>504</v>
      </c>
      <c r="F3" s="628" t="s">
        <v>503</v>
      </c>
      <c r="G3" s="628" t="s">
        <v>505</v>
      </c>
      <c r="H3" s="629" t="s">
        <v>506</v>
      </c>
      <c r="I3" s="646"/>
      <c r="J3" s="645"/>
      <c r="K3" s="645"/>
      <c r="L3" s="641"/>
      <c r="M3" s="641"/>
      <c r="N3" s="641"/>
      <c r="O3" s="642"/>
      <c r="P3" s="655"/>
      <c r="Q3" s="674"/>
      <c r="R3" s="675"/>
      <c r="S3" s="675"/>
      <c r="T3" s="675"/>
      <c r="U3" s="675"/>
      <c r="V3" s="675"/>
      <c r="W3" s="675"/>
      <c r="X3" s="675"/>
      <c r="Y3" s="675"/>
      <c r="Z3" s="675"/>
      <c r="AA3" s="704"/>
    </row>
    <row r="4" ht="19.9" customHeight="1" spans="1:27">
      <c r="A4" s="625"/>
      <c r="B4" s="626"/>
      <c r="C4" s="626"/>
      <c r="D4" s="630"/>
      <c r="E4" s="628"/>
      <c r="F4" s="628"/>
      <c r="G4" s="628"/>
      <c r="H4" s="629"/>
      <c r="I4" s="662">
        <v>1</v>
      </c>
      <c r="J4" s="637" t="s">
        <v>507</v>
      </c>
      <c r="K4" s="638" t="s">
        <v>158</v>
      </c>
      <c r="L4" s="645">
        <f>D5</f>
        <v>4672.99</v>
      </c>
      <c r="M4" s="645">
        <v>2560</v>
      </c>
      <c r="N4" s="645">
        <f>L4-M4</f>
        <v>2112.99</v>
      </c>
      <c r="O4" s="642" t="s">
        <v>508</v>
      </c>
      <c r="P4" s="655"/>
      <c r="Q4" s="676">
        <v>1</v>
      </c>
      <c r="R4" s="632" t="s">
        <v>507</v>
      </c>
      <c r="S4" s="677" t="s">
        <v>509</v>
      </c>
      <c r="T4" s="633" t="s">
        <v>158</v>
      </c>
      <c r="U4" s="634">
        <v>4546</v>
      </c>
      <c r="V4" s="632" t="s">
        <v>510</v>
      </c>
      <c r="W4" s="678">
        <v>22</v>
      </c>
      <c r="X4" s="634">
        <f>S22</f>
        <v>0.95</v>
      </c>
      <c r="Y4" s="634">
        <f>W4*X4</f>
        <v>20.9</v>
      </c>
      <c r="Z4" s="634">
        <f>Y20+Z20</f>
        <v>5.5</v>
      </c>
      <c r="AA4" s="635">
        <f>(Y4+Z4)</f>
        <v>26.4</v>
      </c>
    </row>
    <row r="5" ht="19.9" customHeight="1" spans="1:27">
      <c r="A5" s="631">
        <v>1</v>
      </c>
      <c r="B5" s="632" t="s">
        <v>507</v>
      </c>
      <c r="C5" s="633" t="s">
        <v>158</v>
      </c>
      <c r="D5" s="634">
        <f>SUM(E5:H5)</f>
        <v>4672.99</v>
      </c>
      <c r="E5" s="634">
        <f>U4</f>
        <v>4546</v>
      </c>
      <c r="F5" s="634">
        <f t="shared" ref="F5:F14" si="0">AA4</f>
        <v>26.4</v>
      </c>
      <c r="G5" s="634"/>
      <c r="H5" s="635">
        <f>SUM(E5:G5)*2%*1.1</f>
        <v>100.59</v>
      </c>
      <c r="I5" s="662">
        <v>2</v>
      </c>
      <c r="J5" s="637"/>
      <c r="K5" s="638"/>
      <c r="L5" s="645"/>
      <c r="O5" s="642"/>
      <c r="P5" s="655"/>
      <c r="Q5" s="676">
        <v>2</v>
      </c>
      <c r="R5" s="632"/>
      <c r="S5" s="677"/>
      <c r="T5" s="633"/>
      <c r="U5" s="634"/>
      <c r="V5" s="632"/>
      <c r="W5" s="678"/>
      <c r="X5" s="634"/>
      <c r="Y5" s="634"/>
      <c r="Z5" s="634"/>
      <c r="AA5" s="635"/>
    </row>
    <row r="6" ht="19.9" customHeight="1" spans="1:27">
      <c r="A6" s="631">
        <v>2</v>
      </c>
      <c r="B6" s="632" t="s">
        <v>511</v>
      </c>
      <c r="C6" s="633" t="s">
        <v>158</v>
      </c>
      <c r="D6" s="634">
        <f t="shared" ref="D6:D14" si="1">SUM(E6:H6)</f>
        <v>0</v>
      </c>
      <c r="E6" s="634">
        <f t="shared" ref="E6:E14" si="2">U5</f>
        <v>0</v>
      </c>
      <c r="F6" s="634">
        <f t="shared" si="0"/>
        <v>0</v>
      </c>
      <c r="H6" s="635">
        <f>SUM(E6:G6)*2%*1.1</f>
        <v>0</v>
      </c>
      <c r="I6" s="662">
        <v>3</v>
      </c>
      <c r="J6" s="632" t="s">
        <v>512</v>
      </c>
      <c r="K6" s="633" t="s">
        <v>158</v>
      </c>
      <c r="L6" s="634">
        <f t="shared" ref="L6:L12" si="3">D7</f>
        <v>390.66</v>
      </c>
      <c r="M6" s="634">
        <v>255</v>
      </c>
      <c r="N6" s="634">
        <f t="shared" ref="N6:N14" si="4">L6-M6</f>
        <v>135.66</v>
      </c>
      <c r="O6" s="663" t="s">
        <v>508</v>
      </c>
      <c r="P6" s="655"/>
      <c r="Q6" s="676">
        <v>3</v>
      </c>
      <c r="R6" s="632" t="s">
        <v>513</v>
      </c>
      <c r="S6" s="677" t="str">
        <f>S4</f>
        <v>平罗县</v>
      </c>
      <c r="T6" s="633" t="s">
        <v>158</v>
      </c>
      <c r="U6" s="634">
        <v>353.98</v>
      </c>
      <c r="V6" s="632" t="s">
        <v>510</v>
      </c>
      <c r="W6" s="678">
        <v>22</v>
      </c>
      <c r="X6" s="634">
        <f>S24</f>
        <v>0.85</v>
      </c>
      <c r="Y6" s="634">
        <f t="shared" ref="Y6:Y13" si="5">W6*X6</f>
        <v>18.7</v>
      </c>
      <c r="Z6" s="634">
        <f>Y20+Z20</f>
        <v>5.5</v>
      </c>
      <c r="AA6" s="635">
        <f t="shared" ref="AA6:AA13" si="6">(Y6+Z6)</f>
        <v>24.2</v>
      </c>
    </row>
    <row r="7" ht="19.9" customHeight="1" spans="1:27">
      <c r="A7" s="631">
        <v>3</v>
      </c>
      <c r="B7" s="632" t="s">
        <v>512</v>
      </c>
      <c r="C7" s="633" t="s">
        <v>158</v>
      </c>
      <c r="D7" s="634">
        <f t="shared" si="1"/>
        <v>390.66</v>
      </c>
      <c r="E7" s="634">
        <f t="shared" si="2"/>
        <v>353.98</v>
      </c>
      <c r="F7" s="636">
        <f t="shared" si="0"/>
        <v>24.2</v>
      </c>
      <c r="G7" s="636"/>
      <c r="H7" s="635">
        <f>(E7+F7)*3%*1.1</f>
        <v>12.48</v>
      </c>
      <c r="I7" s="662">
        <v>4</v>
      </c>
      <c r="J7" s="637" t="s">
        <v>514</v>
      </c>
      <c r="K7" s="638" t="s">
        <v>515</v>
      </c>
      <c r="L7" s="645">
        <f t="shared" si="3"/>
        <v>2143.4</v>
      </c>
      <c r="M7" s="645">
        <f>L7</f>
        <v>2143.4</v>
      </c>
      <c r="N7" s="645">
        <f t="shared" si="4"/>
        <v>0</v>
      </c>
      <c r="O7" s="642" t="s">
        <v>508</v>
      </c>
      <c r="P7" s="655"/>
      <c r="Q7" s="676">
        <v>4</v>
      </c>
      <c r="R7" s="632" t="s">
        <v>514</v>
      </c>
      <c r="S7" s="677" t="str">
        <f>S6</f>
        <v>平罗县</v>
      </c>
      <c r="T7" s="633" t="s">
        <v>516</v>
      </c>
      <c r="U7" s="634">
        <v>2059.63</v>
      </c>
      <c r="V7" s="632" t="s">
        <v>510</v>
      </c>
      <c r="W7" s="678">
        <v>22</v>
      </c>
      <c r="X7" s="634">
        <f>S22</f>
        <v>0.95</v>
      </c>
      <c r="Y7" s="634">
        <f t="shared" si="5"/>
        <v>20.9</v>
      </c>
      <c r="Z7" s="634">
        <f>Y20+Z20</f>
        <v>5.5</v>
      </c>
      <c r="AA7" s="635">
        <f t="shared" si="6"/>
        <v>26.4</v>
      </c>
    </row>
    <row r="8" ht="19.9" customHeight="1" spans="1:27">
      <c r="A8" s="631">
        <v>4</v>
      </c>
      <c r="B8" s="632" t="s">
        <v>514</v>
      </c>
      <c r="C8" s="633" t="s">
        <v>516</v>
      </c>
      <c r="D8" s="634">
        <f t="shared" si="1"/>
        <v>2143.4</v>
      </c>
      <c r="E8" s="634">
        <f t="shared" si="2"/>
        <v>2059.63</v>
      </c>
      <c r="F8" s="636">
        <f t="shared" si="0"/>
        <v>26.4</v>
      </c>
      <c r="G8" s="636"/>
      <c r="H8" s="635">
        <f>(E8+F8)*2.5%*1.1</f>
        <v>57.37</v>
      </c>
      <c r="I8" s="662">
        <v>5</v>
      </c>
      <c r="J8" s="637" t="s">
        <v>517</v>
      </c>
      <c r="K8" s="638" t="s">
        <v>515</v>
      </c>
      <c r="L8" s="645">
        <f>D10</f>
        <v>107.93</v>
      </c>
      <c r="M8" s="645">
        <v>70</v>
      </c>
      <c r="N8" s="645">
        <f t="shared" si="4"/>
        <v>37.93</v>
      </c>
      <c r="O8" s="642" t="s">
        <v>508</v>
      </c>
      <c r="P8" s="655"/>
      <c r="Q8" s="676">
        <v>5</v>
      </c>
      <c r="R8" s="632" t="s">
        <v>396</v>
      </c>
      <c r="S8" s="677" t="s">
        <v>518</v>
      </c>
      <c r="T8" s="633" t="s">
        <v>516</v>
      </c>
      <c r="U8" s="634">
        <v>61.67</v>
      </c>
      <c r="V8" s="632" t="s">
        <v>510</v>
      </c>
      <c r="W8" s="678">
        <f>W10</f>
        <v>49</v>
      </c>
      <c r="X8" s="634">
        <f>U25*1.56</f>
        <v>0.81</v>
      </c>
      <c r="Y8" s="634">
        <f t="shared" si="5"/>
        <v>39.69</v>
      </c>
      <c r="Z8" s="634">
        <f>2*1.56</f>
        <v>3.12</v>
      </c>
      <c r="AA8" s="635">
        <f t="shared" si="6"/>
        <v>42.81</v>
      </c>
    </row>
    <row r="9" ht="19.9" customHeight="1" spans="1:27">
      <c r="A9" s="631">
        <v>5</v>
      </c>
      <c r="B9" s="632" t="s">
        <v>519</v>
      </c>
      <c r="C9" s="633" t="s">
        <v>516</v>
      </c>
      <c r="D9" s="634">
        <f t="shared" si="1"/>
        <v>107.93</v>
      </c>
      <c r="E9" s="634">
        <f t="shared" si="2"/>
        <v>61.67</v>
      </c>
      <c r="F9" s="636">
        <f t="shared" si="0"/>
        <v>42.81</v>
      </c>
      <c r="G9" s="636"/>
      <c r="H9" s="635">
        <f t="shared" ref="H9:H14" si="7">(E9+F9)*3%*1.1</f>
        <v>3.45</v>
      </c>
      <c r="I9" s="662">
        <v>6</v>
      </c>
      <c r="J9" s="637" t="s">
        <v>519</v>
      </c>
      <c r="K9" s="638" t="s">
        <v>515</v>
      </c>
      <c r="L9" s="645">
        <f>D9</f>
        <v>107.93</v>
      </c>
      <c r="M9" s="645">
        <v>70</v>
      </c>
      <c r="N9" s="645">
        <f t="shared" si="4"/>
        <v>37.93</v>
      </c>
      <c r="O9" s="642" t="s">
        <v>508</v>
      </c>
      <c r="P9" s="655"/>
      <c r="Q9" s="676">
        <v>6</v>
      </c>
      <c r="R9" s="632" t="s">
        <v>517</v>
      </c>
      <c r="S9" s="677" t="s">
        <v>518</v>
      </c>
      <c r="T9" s="633" t="s">
        <v>516</v>
      </c>
      <c r="U9" s="634">
        <v>61.67</v>
      </c>
      <c r="V9" s="632" t="s">
        <v>510</v>
      </c>
      <c r="W9" s="678">
        <v>49</v>
      </c>
      <c r="X9" s="634">
        <f>U25*1.56</f>
        <v>0.81</v>
      </c>
      <c r="Y9" s="634">
        <f t="shared" si="5"/>
        <v>39.69</v>
      </c>
      <c r="Z9" s="634">
        <f>Z8</f>
        <v>3.12</v>
      </c>
      <c r="AA9" s="635">
        <f t="shared" si="6"/>
        <v>42.81</v>
      </c>
    </row>
    <row r="10" ht="19.9" customHeight="1" spans="1:29">
      <c r="A10" s="631">
        <v>6</v>
      </c>
      <c r="B10" s="632" t="s">
        <v>517</v>
      </c>
      <c r="C10" s="633" t="s">
        <v>516</v>
      </c>
      <c r="D10" s="634">
        <f t="shared" si="1"/>
        <v>107.93</v>
      </c>
      <c r="E10" s="636">
        <f t="shared" si="2"/>
        <v>61.67</v>
      </c>
      <c r="F10" s="636">
        <f t="shared" si="0"/>
        <v>42.81</v>
      </c>
      <c r="H10" s="635">
        <f t="shared" si="7"/>
        <v>3.45</v>
      </c>
      <c r="I10" s="662">
        <v>7</v>
      </c>
      <c r="J10" s="637" t="s">
        <v>467</v>
      </c>
      <c r="K10" s="638" t="s">
        <v>515</v>
      </c>
      <c r="L10" s="645">
        <f t="shared" si="3"/>
        <v>77.03</v>
      </c>
      <c r="M10" s="645">
        <v>70</v>
      </c>
      <c r="N10" s="645">
        <f t="shared" si="4"/>
        <v>7.03</v>
      </c>
      <c r="O10" s="642" t="s">
        <v>508</v>
      </c>
      <c r="P10" s="655"/>
      <c r="Q10" s="676">
        <v>6</v>
      </c>
      <c r="R10" s="632" t="s">
        <v>467</v>
      </c>
      <c r="S10" s="677" t="s">
        <v>518</v>
      </c>
      <c r="T10" s="633" t="s">
        <v>516</v>
      </c>
      <c r="U10" s="634">
        <v>29.13</v>
      </c>
      <c r="V10" s="632" t="s">
        <v>510</v>
      </c>
      <c r="W10" s="678">
        <v>49</v>
      </c>
      <c r="X10" s="634">
        <f>U25*1.65</f>
        <v>0.86</v>
      </c>
      <c r="Y10" s="634">
        <f t="shared" si="5"/>
        <v>42.14</v>
      </c>
      <c r="Z10" s="634">
        <f>2*1.65</f>
        <v>3.3</v>
      </c>
      <c r="AA10" s="635">
        <f t="shared" si="6"/>
        <v>45.44</v>
      </c>
      <c r="AC10" s="618">
        <f>(4711.38+4557.33+4530.14+4385.15)/4</f>
        <v>4546</v>
      </c>
    </row>
    <row r="11" ht="19.9" customHeight="1" spans="1:29">
      <c r="A11" s="631">
        <v>7</v>
      </c>
      <c r="B11" s="632" t="s">
        <v>467</v>
      </c>
      <c r="C11" s="633" t="s">
        <v>516</v>
      </c>
      <c r="D11" s="634">
        <f t="shared" si="1"/>
        <v>77.03</v>
      </c>
      <c r="E11" s="634">
        <f t="shared" si="2"/>
        <v>29.13</v>
      </c>
      <c r="F11" s="636">
        <f t="shared" si="0"/>
        <v>45.44</v>
      </c>
      <c r="G11" s="636"/>
      <c r="H11" s="635">
        <f t="shared" si="7"/>
        <v>2.46</v>
      </c>
      <c r="I11" s="662">
        <v>8</v>
      </c>
      <c r="J11" s="637" t="s">
        <v>401</v>
      </c>
      <c r="K11" s="638" t="s">
        <v>515</v>
      </c>
      <c r="L11" s="645">
        <f t="shared" si="3"/>
        <v>127.8</v>
      </c>
      <c r="M11" s="645">
        <v>70</v>
      </c>
      <c r="N11" s="645">
        <f t="shared" si="4"/>
        <v>57.8</v>
      </c>
      <c r="O11" s="642" t="s">
        <v>508</v>
      </c>
      <c r="P11" s="655"/>
      <c r="Q11" s="676">
        <v>7</v>
      </c>
      <c r="R11" s="632" t="s">
        <v>401</v>
      </c>
      <c r="S11" s="677" t="s">
        <v>520</v>
      </c>
      <c r="T11" s="633" t="s">
        <v>516</v>
      </c>
      <c r="U11" s="634">
        <v>72.82</v>
      </c>
      <c r="V11" s="632" t="s">
        <v>510</v>
      </c>
      <c r="W11" s="679">
        <v>55</v>
      </c>
      <c r="X11" s="634">
        <f>U29*1.8</f>
        <v>0.86</v>
      </c>
      <c r="Y11" s="634">
        <f t="shared" si="5"/>
        <v>47.3</v>
      </c>
      <c r="Z11" s="634">
        <f>2*1.8</f>
        <v>3.6</v>
      </c>
      <c r="AA11" s="635">
        <f t="shared" si="6"/>
        <v>50.9</v>
      </c>
      <c r="AC11" s="618">
        <f>(79.61+81.55+81.55)/3</f>
        <v>80.9</v>
      </c>
    </row>
    <row r="12" ht="19.9" customHeight="1" spans="1:27">
      <c r="A12" s="631">
        <v>8</v>
      </c>
      <c r="B12" s="632" t="s">
        <v>401</v>
      </c>
      <c r="C12" s="633" t="s">
        <v>516</v>
      </c>
      <c r="D12" s="634">
        <f t="shared" si="1"/>
        <v>127.8</v>
      </c>
      <c r="E12" s="634">
        <f t="shared" si="2"/>
        <v>72.82</v>
      </c>
      <c r="F12" s="636">
        <f t="shared" si="0"/>
        <v>50.9</v>
      </c>
      <c r="G12" s="636"/>
      <c r="H12" s="635">
        <f t="shared" si="7"/>
        <v>4.08</v>
      </c>
      <c r="I12" s="662">
        <v>9</v>
      </c>
      <c r="J12" s="637" t="s">
        <v>471</v>
      </c>
      <c r="K12" s="638" t="s">
        <v>515</v>
      </c>
      <c r="L12" s="645">
        <f t="shared" si="3"/>
        <v>127.49</v>
      </c>
      <c r="M12" s="645">
        <v>70</v>
      </c>
      <c r="N12" s="645">
        <f t="shared" si="4"/>
        <v>57.49</v>
      </c>
      <c r="O12" s="642" t="s">
        <v>508</v>
      </c>
      <c r="P12" s="655"/>
      <c r="Q12" s="676">
        <v>8</v>
      </c>
      <c r="R12" s="632" t="s">
        <v>471</v>
      </c>
      <c r="S12" s="677" t="s">
        <v>520</v>
      </c>
      <c r="T12" s="633" t="s">
        <v>516</v>
      </c>
      <c r="U12" s="634">
        <v>72.82</v>
      </c>
      <c r="V12" s="632" t="s">
        <v>510</v>
      </c>
      <c r="W12" s="678">
        <v>55</v>
      </c>
      <c r="X12" s="634">
        <f>U25*1.65</f>
        <v>0.86</v>
      </c>
      <c r="Y12" s="634">
        <f t="shared" si="5"/>
        <v>47.3</v>
      </c>
      <c r="Z12" s="634">
        <f>2*1.65</f>
        <v>3.3</v>
      </c>
      <c r="AA12" s="635">
        <f t="shared" si="6"/>
        <v>50.6</v>
      </c>
    </row>
    <row r="13" ht="19.9" customHeight="1" spans="1:27">
      <c r="A13" s="631">
        <v>9</v>
      </c>
      <c r="B13" s="632" t="s">
        <v>471</v>
      </c>
      <c r="C13" s="633" t="s">
        <v>516</v>
      </c>
      <c r="D13" s="634">
        <f t="shared" si="1"/>
        <v>127.49</v>
      </c>
      <c r="E13" s="634">
        <f t="shared" si="2"/>
        <v>72.82</v>
      </c>
      <c r="F13" s="636">
        <f t="shared" si="0"/>
        <v>50.6</v>
      </c>
      <c r="G13" s="636"/>
      <c r="H13" s="635">
        <f t="shared" si="7"/>
        <v>4.07</v>
      </c>
      <c r="I13" s="662">
        <v>10</v>
      </c>
      <c r="J13" s="637" t="s">
        <v>317</v>
      </c>
      <c r="K13" s="638" t="s">
        <v>323</v>
      </c>
      <c r="L13" s="645">
        <f>D16</f>
        <v>7.12</v>
      </c>
      <c r="M13" s="664">
        <v>2.99</v>
      </c>
      <c r="N13" s="645">
        <f t="shared" si="4"/>
        <v>4.13</v>
      </c>
      <c r="O13" s="642" t="s">
        <v>508</v>
      </c>
      <c r="P13" s="655"/>
      <c r="Q13" s="676">
        <v>9</v>
      </c>
      <c r="R13" s="632" t="s">
        <v>521</v>
      </c>
      <c r="S13" s="677" t="s">
        <v>518</v>
      </c>
      <c r="T13" s="633" t="s">
        <v>516</v>
      </c>
      <c r="U13" s="634">
        <v>29.13</v>
      </c>
      <c r="V13" s="632" t="s">
        <v>510</v>
      </c>
      <c r="W13" s="678">
        <v>49</v>
      </c>
      <c r="X13" s="634">
        <f>X12</f>
        <v>0.86</v>
      </c>
      <c r="Y13" s="634">
        <f t="shared" si="5"/>
        <v>42.14</v>
      </c>
      <c r="Z13" s="634">
        <v>3.3</v>
      </c>
      <c r="AA13" s="635">
        <f t="shared" si="6"/>
        <v>45.44</v>
      </c>
    </row>
    <row r="14" ht="19.9" customHeight="1" spans="1:27">
      <c r="A14" s="631">
        <v>10</v>
      </c>
      <c r="B14" s="632" t="s">
        <v>521</v>
      </c>
      <c r="C14" s="633" t="s">
        <v>516</v>
      </c>
      <c r="D14" s="634">
        <f t="shared" si="1"/>
        <v>77.03</v>
      </c>
      <c r="E14" s="634">
        <f t="shared" si="2"/>
        <v>29.13</v>
      </c>
      <c r="F14" s="636">
        <f t="shared" si="0"/>
        <v>45.44</v>
      </c>
      <c r="G14" s="636"/>
      <c r="H14" s="635">
        <f t="shared" si="7"/>
        <v>2.46</v>
      </c>
      <c r="I14" s="662"/>
      <c r="J14" s="637" t="s">
        <v>522</v>
      </c>
      <c r="K14" s="638" t="s">
        <v>323</v>
      </c>
      <c r="L14" s="645">
        <f>D17</f>
        <v>8.5</v>
      </c>
      <c r="M14" s="664">
        <v>3.075</v>
      </c>
      <c r="N14" s="645">
        <f t="shared" si="4"/>
        <v>5.43</v>
      </c>
      <c r="O14" s="642" t="s">
        <v>508</v>
      </c>
      <c r="P14" s="655"/>
      <c r="Q14" s="680" t="s">
        <v>523</v>
      </c>
      <c r="R14" s="681"/>
      <c r="S14" s="681"/>
      <c r="T14" s="681"/>
      <c r="U14" s="681"/>
      <c r="V14" s="681"/>
      <c r="W14" s="681"/>
      <c r="X14" s="681"/>
      <c r="Y14" s="681"/>
      <c r="Z14" s="681"/>
      <c r="AA14" s="705"/>
    </row>
    <row r="15" ht="19.9" customHeight="1" spans="1:17">
      <c r="A15" s="631">
        <v>11</v>
      </c>
      <c r="B15" s="632" t="s">
        <v>524</v>
      </c>
      <c r="C15" s="633" t="s">
        <v>161</v>
      </c>
      <c r="D15" s="634">
        <v>6.5</v>
      </c>
      <c r="E15" s="634"/>
      <c r="F15" s="636"/>
      <c r="G15" s="636"/>
      <c r="H15" s="635"/>
      <c r="I15" s="662"/>
      <c r="J15" s="644"/>
      <c r="K15" s="638"/>
      <c r="L15" s="645"/>
      <c r="M15" s="640"/>
      <c r="N15" s="641"/>
      <c r="O15" s="642"/>
      <c r="P15" s="655"/>
      <c r="Q15" s="655"/>
    </row>
    <row r="16" ht="19.9" customHeight="1" spans="1:26">
      <c r="A16" s="631">
        <v>12</v>
      </c>
      <c r="B16" s="637" t="s">
        <v>317</v>
      </c>
      <c r="C16" s="638" t="s">
        <v>323</v>
      </c>
      <c r="D16" s="639">
        <v>7.12</v>
      </c>
      <c r="E16" s="640"/>
      <c r="F16" s="641"/>
      <c r="G16" s="641"/>
      <c r="H16" s="642"/>
      <c r="I16" s="662"/>
      <c r="J16" s="644"/>
      <c r="K16" s="637"/>
      <c r="L16" s="645"/>
      <c r="M16" s="645"/>
      <c r="N16" s="641"/>
      <c r="O16" s="642"/>
      <c r="P16" s="655"/>
      <c r="Q16" s="682" t="s">
        <v>525</v>
      </c>
      <c r="R16" s="682"/>
      <c r="S16" s="682"/>
      <c r="T16" s="682"/>
      <c r="U16" s="682"/>
      <c r="V16" s="682"/>
      <c r="W16" s="683" t="s">
        <v>526</v>
      </c>
      <c r="X16" s="684"/>
      <c r="Y16" s="684"/>
      <c r="Z16" s="684"/>
    </row>
    <row r="17" ht="19.9" customHeight="1" spans="1:26">
      <c r="A17" s="631">
        <v>13</v>
      </c>
      <c r="B17" s="637" t="s">
        <v>522</v>
      </c>
      <c r="C17" s="638" t="s">
        <v>323</v>
      </c>
      <c r="D17" s="643">
        <v>8.5</v>
      </c>
      <c r="E17" s="640"/>
      <c r="F17" s="641"/>
      <c r="G17" s="641"/>
      <c r="H17" s="642"/>
      <c r="I17" s="662"/>
      <c r="J17" s="644"/>
      <c r="K17" s="637"/>
      <c r="L17" s="645"/>
      <c r="M17" s="645"/>
      <c r="N17" s="641"/>
      <c r="O17" s="642"/>
      <c r="P17" s="655"/>
      <c r="Q17" s="685" t="s">
        <v>527</v>
      </c>
      <c r="R17" s="685"/>
      <c r="S17" s="686"/>
      <c r="T17" s="686"/>
      <c r="U17" s="686"/>
      <c r="V17" s="686"/>
      <c r="W17" s="687" t="s">
        <v>528</v>
      </c>
      <c r="X17" s="687"/>
      <c r="Y17" s="706"/>
      <c r="Z17" s="706"/>
    </row>
    <row r="18" ht="19.9" customHeight="1" spans="1:26">
      <c r="A18" s="631">
        <v>14</v>
      </c>
      <c r="B18" s="637" t="s">
        <v>529</v>
      </c>
      <c r="C18" s="638" t="s">
        <v>515</v>
      </c>
      <c r="D18" s="643">
        <v>4.37</v>
      </c>
      <c r="E18" s="640"/>
      <c r="F18" s="641"/>
      <c r="G18" s="641"/>
      <c r="H18" s="642"/>
      <c r="I18" s="646"/>
      <c r="J18" s="645"/>
      <c r="K18" s="645"/>
      <c r="L18" s="645"/>
      <c r="M18" s="641"/>
      <c r="N18" s="641"/>
      <c r="O18" s="642"/>
      <c r="P18" s="655"/>
      <c r="Q18" s="688" t="s">
        <v>530</v>
      </c>
      <c r="R18" s="689" t="s">
        <v>531</v>
      </c>
      <c r="S18" s="689" t="s">
        <v>532</v>
      </c>
      <c r="T18" s="690" t="s">
        <v>533</v>
      </c>
      <c r="U18" s="689" t="s">
        <v>531</v>
      </c>
      <c r="V18" s="691" t="s">
        <v>532</v>
      </c>
      <c r="W18" s="692" t="s">
        <v>534</v>
      </c>
      <c r="X18" s="693"/>
      <c r="Y18" s="707" t="s">
        <v>535</v>
      </c>
      <c r="Z18" s="708"/>
    </row>
    <row r="19" ht="19.9" customHeight="1" spans="1:26">
      <c r="A19" s="631">
        <v>15</v>
      </c>
      <c r="B19" s="644" t="s">
        <v>536</v>
      </c>
      <c r="C19" s="638" t="s">
        <v>515</v>
      </c>
      <c r="D19" s="643">
        <v>0.15</v>
      </c>
      <c r="E19" s="640"/>
      <c r="F19" s="641"/>
      <c r="G19" s="641"/>
      <c r="H19" s="642"/>
      <c r="I19" s="646"/>
      <c r="J19" s="645"/>
      <c r="K19" s="645"/>
      <c r="L19" s="645"/>
      <c r="M19" s="641"/>
      <c r="N19" s="641"/>
      <c r="O19" s="642"/>
      <c r="P19" s="655"/>
      <c r="Q19" s="694">
        <v>5</v>
      </c>
      <c r="R19" s="695">
        <v>1.09</v>
      </c>
      <c r="S19" s="695">
        <v>1.2</v>
      </c>
      <c r="T19" s="695">
        <v>16</v>
      </c>
      <c r="U19" s="695">
        <v>0.61</v>
      </c>
      <c r="V19" s="696">
        <v>0.68</v>
      </c>
      <c r="W19" s="697" t="s">
        <v>537</v>
      </c>
      <c r="X19" s="695" t="s">
        <v>538</v>
      </c>
      <c r="Y19" s="695" t="s">
        <v>537</v>
      </c>
      <c r="Z19" s="696" t="s">
        <v>538</v>
      </c>
    </row>
    <row r="20" ht="19.9" customHeight="1" spans="1:26">
      <c r="A20" s="631">
        <v>16</v>
      </c>
      <c r="B20" s="644" t="s">
        <v>539</v>
      </c>
      <c r="C20" s="638" t="s">
        <v>540</v>
      </c>
      <c r="D20" s="643">
        <v>0.51</v>
      </c>
      <c r="E20" s="640"/>
      <c r="F20" s="641"/>
      <c r="G20" s="641"/>
      <c r="H20" s="642"/>
      <c r="I20" s="646"/>
      <c r="J20" s="645"/>
      <c r="K20" s="645"/>
      <c r="L20" s="645"/>
      <c r="M20" s="641"/>
      <c r="N20" s="641"/>
      <c r="O20" s="642"/>
      <c r="P20" s="655"/>
      <c r="Q20" s="694">
        <v>6</v>
      </c>
      <c r="R20" s="695">
        <v>0.99</v>
      </c>
      <c r="S20" s="695">
        <v>1.09</v>
      </c>
      <c r="T20" s="695">
        <v>17</v>
      </c>
      <c r="U20" s="695">
        <v>0.59</v>
      </c>
      <c r="V20" s="696">
        <v>0.65</v>
      </c>
      <c r="W20" s="698">
        <v>2</v>
      </c>
      <c r="X20" s="699">
        <v>0</v>
      </c>
      <c r="Y20" s="699">
        <v>3.5</v>
      </c>
      <c r="Z20" s="702">
        <v>2</v>
      </c>
    </row>
    <row r="21" ht="19.9" customHeight="1" spans="1:26">
      <c r="A21" s="631">
        <v>17</v>
      </c>
      <c r="B21" s="644" t="s">
        <v>289</v>
      </c>
      <c r="C21" s="637" t="s">
        <v>290</v>
      </c>
      <c r="D21" s="643">
        <v>8.1</v>
      </c>
      <c r="E21" s="645"/>
      <c r="F21" s="641"/>
      <c r="G21" s="641"/>
      <c r="H21" s="642"/>
      <c r="I21" s="646"/>
      <c r="J21" s="645"/>
      <c r="K21" s="645"/>
      <c r="L21" s="645"/>
      <c r="M21" s="641"/>
      <c r="N21" s="641"/>
      <c r="O21" s="642"/>
      <c r="P21" s="655"/>
      <c r="Q21" s="694">
        <v>7</v>
      </c>
      <c r="R21" s="695">
        <v>0.92</v>
      </c>
      <c r="S21" s="695">
        <v>1.01</v>
      </c>
      <c r="T21" s="695">
        <v>18</v>
      </c>
      <c r="U21" s="695">
        <v>0.58</v>
      </c>
      <c r="V21" s="696">
        <v>0.63</v>
      </c>
      <c r="W21" s="700"/>
      <c r="X21" s="700"/>
      <c r="Y21" s="700"/>
      <c r="Z21" s="700"/>
    </row>
    <row r="22" ht="19.9" customHeight="1" spans="1:26">
      <c r="A22" s="631">
        <v>18</v>
      </c>
      <c r="B22" s="644" t="s">
        <v>291</v>
      </c>
      <c r="C22" s="637" t="s">
        <v>290</v>
      </c>
      <c r="D22" s="643">
        <v>5.77</v>
      </c>
      <c r="E22" s="645"/>
      <c r="F22" s="641"/>
      <c r="G22" s="641"/>
      <c r="H22" s="642"/>
      <c r="I22" s="647"/>
      <c r="J22" s="648"/>
      <c r="K22" s="648"/>
      <c r="L22" s="648"/>
      <c r="M22" s="648"/>
      <c r="N22" s="648"/>
      <c r="O22" s="649"/>
      <c r="P22" s="655"/>
      <c r="Q22" s="694">
        <v>8</v>
      </c>
      <c r="R22" s="695">
        <v>0.86</v>
      </c>
      <c r="S22" s="695">
        <v>0.95</v>
      </c>
      <c r="T22" s="695">
        <v>19</v>
      </c>
      <c r="U22" s="695">
        <v>0.56</v>
      </c>
      <c r="V22" s="696">
        <v>0.61</v>
      </c>
      <c r="W22" s="700"/>
      <c r="X22" s="700"/>
      <c r="Y22" s="700"/>
      <c r="Z22" s="700"/>
    </row>
    <row r="23" ht="19.9" customHeight="1" spans="1:26">
      <c r="A23" s="646"/>
      <c r="B23" s="645"/>
      <c r="C23" s="645"/>
      <c r="D23" s="634"/>
      <c r="E23" s="641"/>
      <c r="F23" s="641"/>
      <c r="G23" s="641"/>
      <c r="H23" s="642"/>
      <c r="I23" s="647"/>
      <c r="J23" s="648"/>
      <c r="K23" s="648"/>
      <c r="L23" s="648"/>
      <c r="M23" s="648"/>
      <c r="N23" s="648"/>
      <c r="O23" s="649"/>
      <c r="P23" s="655"/>
      <c r="Q23" s="694">
        <v>9</v>
      </c>
      <c r="R23" s="695">
        <v>0.81</v>
      </c>
      <c r="S23" s="695">
        <v>0.89</v>
      </c>
      <c r="T23" s="695">
        <v>20</v>
      </c>
      <c r="U23" s="695">
        <v>0.54</v>
      </c>
      <c r="V23" s="696">
        <v>0.6</v>
      </c>
      <c r="W23" s="700"/>
      <c r="X23" s="700"/>
      <c r="Y23" s="700"/>
      <c r="Z23" s="700"/>
    </row>
    <row r="24" ht="19.9" customHeight="1" spans="1:26">
      <c r="A24" s="646"/>
      <c r="B24" s="645"/>
      <c r="C24" s="645"/>
      <c r="D24" s="645"/>
      <c r="E24" s="641"/>
      <c r="F24" s="641"/>
      <c r="G24" s="641"/>
      <c r="H24" s="642"/>
      <c r="I24" s="647"/>
      <c r="J24" s="648"/>
      <c r="K24" s="648"/>
      <c r="L24" s="648"/>
      <c r="M24" s="648"/>
      <c r="N24" s="648"/>
      <c r="O24" s="649"/>
      <c r="P24" s="655"/>
      <c r="Q24" s="694">
        <v>10</v>
      </c>
      <c r="R24" s="695">
        <v>0.77</v>
      </c>
      <c r="S24" s="695">
        <v>0.85</v>
      </c>
      <c r="T24" s="695">
        <v>21</v>
      </c>
      <c r="U24" s="695">
        <v>0.53</v>
      </c>
      <c r="V24" s="696">
        <v>0.59</v>
      </c>
      <c r="W24" s="700"/>
      <c r="X24" s="700"/>
      <c r="Y24" s="700"/>
      <c r="Z24" s="700"/>
    </row>
    <row r="25" ht="19.9" customHeight="1" spans="1:26">
      <c r="A25" s="647"/>
      <c r="B25" s="648"/>
      <c r="C25" s="648"/>
      <c r="D25" s="648"/>
      <c r="E25" s="648"/>
      <c r="F25" s="648"/>
      <c r="G25" s="648"/>
      <c r="H25" s="649"/>
      <c r="I25" s="647"/>
      <c r="J25" s="665"/>
      <c r="K25" s="665"/>
      <c r="L25" s="665"/>
      <c r="M25" s="665"/>
      <c r="N25" s="665"/>
      <c r="O25" s="666"/>
      <c r="P25" s="655"/>
      <c r="Q25" s="694">
        <v>11</v>
      </c>
      <c r="R25" s="695">
        <v>0.73</v>
      </c>
      <c r="S25" s="695">
        <v>0.8</v>
      </c>
      <c r="T25" s="695">
        <v>22</v>
      </c>
      <c r="U25" s="695">
        <v>0.52</v>
      </c>
      <c r="V25" s="696">
        <v>0.58</v>
      </c>
      <c r="W25" s="700"/>
      <c r="X25" s="700"/>
      <c r="Y25" s="700"/>
      <c r="Z25" s="700"/>
    </row>
    <row r="26" ht="19.9" customHeight="1" spans="1:26">
      <c r="A26" s="647"/>
      <c r="B26" s="648"/>
      <c r="C26" s="648"/>
      <c r="D26" s="648"/>
      <c r="E26" s="648"/>
      <c r="F26" s="648"/>
      <c r="G26" s="648"/>
      <c r="H26" s="649"/>
      <c r="I26" s="667"/>
      <c r="J26" s="668"/>
      <c r="K26" s="668"/>
      <c r="L26" s="668"/>
      <c r="M26" s="668"/>
      <c r="N26" s="668"/>
      <c r="O26" s="669"/>
      <c r="P26" s="655"/>
      <c r="Q26" s="694">
        <v>12</v>
      </c>
      <c r="R26" s="695">
        <v>0.7</v>
      </c>
      <c r="S26" s="695">
        <v>0.77</v>
      </c>
      <c r="T26" s="695">
        <v>23</v>
      </c>
      <c r="U26" s="695">
        <v>0.51</v>
      </c>
      <c r="V26" s="696">
        <v>0.56</v>
      </c>
      <c r="W26" s="700"/>
      <c r="X26" s="700"/>
      <c r="Y26" s="700"/>
      <c r="Z26" s="700"/>
    </row>
    <row r="27" ht="19.9" customHeight="1" spans="1:26">
      <c r="A27" s="647"/>
      <c r="B27" s="648"/>
      <c r="C27" s="648"/>
      <c r="D27" s="648"/>
      <c r="E27" s="648"/>
      <c r="F27" s="648"/>
      <c r="G27" s="648"/>
      <c r="H27" s="649"/>
      <c r="I27" s="654"/>
      <c r="J27" s="654"/>
      <c r="K27" s="654"/>
      <c r="L27" s="654"/>
      <c r="M27" s="654"/>
      <c r="N27" s="654"/>
      <c r="O27" s="655"/>
      <c r="P27" s="655"/>
      <c r="Q27" s="694">
        <v>13</v>
      </c>
      <c r="R27" s="695">
        <v>0.68</v>
      </c>
      <c r="S27" s="695">
        <v>0.75</v>
      </c>
      <c r="T27" s="695">
        <v>24</v>
      </c>
      <c r="U27" s="695">
        <v>0.5</v>
      </c>
      <c r="V27" s="696">
        <v>0.55</v>
      </c>
      <c r="W27" s="700"/>
      <c r="X27" s="700"/>
      <c r="Y27" s="700"/>
      <c r="Z27" s="700"/>
    </row>
    <row r="28" ht="19.5" customHeight="1" spans="1:26">
      <c r="A28" s="647"/>
      <c r="B28" s="648"/>
      <c r="C28" s="648"/>
      <c r="D28" s="648"/>
      <c r="E28" s="648"/>
      <c r="F28" s="648"/>
      <c r="G28" s="648"/>
      <c r="H28" s="649"/>
      <c r="I28" s="655"/>
      <c r="J28" s="655"/>
      <c r="K28" s="655"/>
      <c r="L28" s="655"/>
      <c r="M28" s="655"/>
      <c r="N28" s="655"/>
      <c r="O28" s="655"/>
      <c r="P28" s="655"/>
      <c r="Q28" s="694">
        <v>14</v>
      </c>
      <c r="R28" s="695">
        <v>0.65</v>
      </c>
      <c r="S28" s="695">
        <v>0.71</v>
      </c>
      <c r="T28" s="695">
        <v>25</v>
      </c>
      <c r="U28" s="695">
        <v>0.49</v>
      </c>
      <c r="V28" s="696">
        <v>0.53</v>
      </c>
      <c r="W28" s="700"/>
      <c r="X28" s="700"/>
      <c r="Y28" s="700"/>
      <c r="Z28" s="700"/>
    </row>
    <row r="29" ht="19.5" customHeight="1" spans="1:26">
      <c r="A29" s="647"/>
      <c r="B29" s="648"/>
      <c r="C29" s="648"/>
      <c r="D29" s="648"/>
      <c r="E29" s="648"/>
      <c r="F29" s="648"/>
      <c r="G29" s="648"/>
      <c r="H29" s="649"/>
      <c r="I29" s="655"/>
      <c r="J29" s="655"/>
      <c r="K29" s="655"/>
      <c r="L29" s="655"/>
      <c r="M29" s="655"/>
      <c r="N29" s="655"/>
      <c r="O29" s="655"/>
      <c r="P29" s="655"/>
      <c r="Q29" s="701">
        <v>15</v>
      </c>
      <c r="R29" s="699">
        <v>0.63</v>
      </c>
      <c r="S29" s="699">
        <v>0.69</v>
      </c>
      <c r="T29" s="699" t="s">
        <v>541</v>
      </c>
      <c r="U29" s="699">
        <v>0.48</v>
      </c>
      <c r="V29" s="702">
        <v>0.52</v>
      </c>
      <c r="W29" s="700"/>
      <c r="X29" s="700"/>
      <c r="Y29" s="700"/>
      <c r="Z29" s="700"/>
    </row>
    <row r="30" ht="20.25" customHeight="1" spans="1:17">
      <c r="A30" s="647"/>
      <c r="B30" s="648"/>
      <c r="C30" s="648"/>
      <c r="D30" s="648"/>
      <c r="E30" s="648"/>
      <c r="F30" s="648"/>
      <c r="G30" s="648"/>
      <c r="H30" s="649"/>
      <c r="I30" s="655"/>
      <c r="J30" s="655"/>
      <c r="K30" s="655"/>
      <c r="L30" s="655"/>
      <c r="M30" s="655"/>
      <c r="N30" s="655"/>
      <c r="O30" s="655"/>
      <c r="P30" s="655"/>
      <c r="Q30" s="655"/>
    </row>
    <row r="31" ht="20.1" customHeight="1" spans="1:8">
      <c r="A31" s="647"/>
      <c r="B31" s="648"/>
      <c r="C31" s="648"/>
      <c r="D31" s="648"/>
      <c r="E31" s="648"/>
      <c r="F31" s="648"/>
      <c r="G31" s="648"/>
      <c r="H31" s="649"/>
    </row>
    <row r="32" ht="20.1" customHeight="1" spans="1:8">
      <c r="A32" s="647"/>
      <c r="B32" s="648"/>
      <c r="C32" s="648"/>
      <c r="D32" s="648"/>
      <c r="E32" s="648"/>
      <c r="F32" s="648"/>
      <c r="G32" s="648"/>
      <c r="H32" s="649"/>
    </row>
    <row r="33" ht="20.1" customHeight="1" spans="1:8">
      <c r="A33" s="647"/>
      <c r="B33" s="648"/>
      <c r="C33" s="648"/>
      <c r="D33" s="648"/>
      <c r="E33" s="648"/>
      <c r="F33" s="648"/>
      <c r="G33" s="648"/>
      <c r="H33" s="649"/>
    </row>
    <row r="34" ht="20.1" customHeight="1" spans="1:8">
      <c r="A34" s="650" t="s">
        <v>542</v>
      </c>
      <c r="B34" s="651"/>
      <c r="C34" s="651"/>
      <c r="D34" s="651"/>
      <c r="E34" s="651"/>
      <c r="F34" s="651"/>
      <c r="G34" s="651"/>
      <c r="H34" s="652"/>
    </row>
    <row r="35" ht="20.1" customHeight="1"/>
    <row r="36" ht="20.1" customHeight="1" spans="1:8">
      <c r="A36" s="653"/>
      <c r="B36" s="654"/>
      <c r="C36" s="654"/>
      <c r="D36" s="654"/>
      <c r="E36" s="654"/>
      <c r="F36" s="654"/>
      <c r="G36" s="654"/>
      <c r="H36" s="654"/>
    </row>
    <row r="37" ht="20.1" customHeight="1" spans="1:8">
      <c r="A37" s="653"/>
      <c r="B37" s="655"/>
      <c r="C37" s="655"/>
      <c r="D37" s="655"/>
      <c r="E37" s="655"/>
      <c r="F37" s="655"/>
      <c r="G37" s="655"/>
      <c r="H37" s="655"/>
    </row>
    <row r="38" ht="20.1" customHeight="1" spans="1:8">
      <c r="A38" s="653"/>
      <c r="B38" s="655"/>
      <c r="C38" s="655"/>
      <c r="D38" s="655"/>
      <c r="E38" s="655"/>
      <c r="F38" s="655"/>
      <c r="G38" s="655"/>
      <c r="H38" s="655"/>
    </row>
    <row r="39" ht="20.1" customHeight="1" spans="1:8">
      <c r="A39" s="653"/>
      <c r="B39" s="655"/>
      <c r="C39" s="655"/>
      <c r="D39" s="655"/>
      <c r="E39" s="655"/>
      <c r="F39" s="655"/>
      <c r="G39" s="655"/>
      <c r="H39" s="655"/>
    </row>
    <row r="40" ht="20.1" customHeight="1" spans="1:8">
      <c r="A40" s="653"/>
      <c r="B40" s="655"/>
      <c r="C40" s="655"/>
      <c r="D40" s="655"/>
      <c r="E40" s="655"/>
      <c r="F40" s="655"/>
      <c r="G40" s="655"/>
      <c r="H40" s="655"/>
    </row>
    <row r="41" ht="20.1" customHeight="1" spans="1:8">
      <c r="A41" s="653"/>
      <c r="B41" s="655"/>
      <c r="C41" s="655"/>
      <c r="D41" s="655"/>
      <c r="E41" s="655"/>
      <c r="F41" s="655"/>
      <c r="G41" s="655"/>
      <c r="H41" s="655"/>
    </row>
    <row r="42" ht="20.1" customHeight="1" spans="1:8">
      <c r="A42" s="653"/>
      <c r="B42" s="655"/>
      <c r="C42" s="655"/>
      <c r="D42" s="655"/>
      <c r="E42" s="655"/>
      <c r="F42" s="655"/>
      <c r="G42" s="655"/>
      <c r="H42" s="655"/>
    </row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</sheetData>
  <mergeCells count="37">
    <mergeCell ref="A1:H1"/>
    <mergeCell ref="I1:O1"/>
    <mergeCell ref="Q1:AA1"/>
    <mergeCell ref="E2:H2"/>
    <mergeCell ref="Q14:AA14"/>
    <mergeCell ref="Q16:V16"/>
    <mergeCell ref="W16:Z16"/>
    <mergeCell ref="Q17:R17"/>
    <mergeCell ref="W17:X17"/>
    <mergeCell ref="A34:H34"/>
    <mergeCell ref="B36:H36"/>
    <mergeCell ref="A2:A4"/>
    <mergeCell ref="B2:B4"/>
    <mergeCell ref="C2:C4"/>
    <mergeCell ref="D2:D4"/>
    <mergeCell ref="E3:E4"/>
    <mergeCell ref="F3:F4"/>
    <mergeCell ref="G3:G4"/>
    <mergeCell ref="H3:H4"/>
    <mergeCell ref="I2:I3"/>
    <mergeCell ref="J2:J3"/>
    <mergeCell ref="K2:K3"/>
    <mergeCell ref="L2:L3"/>
    <mergeCell ref="M2:M3"/>
    <mergeCell ref="N2:N3"/>
    <mergeCell ref="O2:O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</mergeCells>
  <printOptions horizontalCentered="1"/>
  <pageMargins left="0.78740157480315" right="0.78740157480315" top="0.78740157480315" bottom="0.78740157480315" header="0.393700787401575" footer="0.393700787401575"/>
  <pageSetup paperSize="9" firstPageNumber="80" orientation="portrait" useFirstPageNumber="1" horizontalDpi="360" verticalDpi="36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O2088"/>
  <sheetViews>
    <sheetView view="pageBreakPreview" zoomScale="115" zoomScaleNormal="100" topLeftCell="A2061" workbookViewId="0">
      <selection activeCell="E2067" sqref="E2067"/>
    </sheetView>
  </sheetViews>
  <sheetFormatPr defaultColWidth="9" defaultRowHeight="16.15" customHeight="1"/>
  <cols>
    <col min="1" max="1" width="5.625" style="127" customWidth="1"/>
    <col min="2" max="2" width="12.25" style="128" customWidth="1"/>
    <col min="3" max="3" width="7.125" style="127" customWidth="1"/>
    <col min="4" max="4" width="10.625" style="129" customWidth="1"/>
    <col min="5" max="5" width="12.875" style="127" customWidth="1"/>
    <col min="6" max="6" width="20.625" style="127" customWidth="1"/>
    <col min="7" max="7" width="13.75" style="128" customWidth="1"/>
    <col min="8" max="8" width="11.875" style="128" customWidth="1"/>
    <col min="9" max="9" width="11.5" style="128" customWidth="1"/>
    <col min="10" max="10" width="9" style="128"/>
    <col min="11" max="11" width="9.5" style="128" customWidth="1"/>
    <col min="12" max="14" width="9" style="128"/>
    <col min="15" max="15" width="14.5" style="128" customWidth="1"/>
    <col min="16" max="16384" width="9" style="128"/>
  </cols>
  <sheetData>
    <row r="1" ht="19.9" customHeight="1" spans="1:7">
      <c r="A1" s="354" t="s">
        <v>274</v>
      </c>
      <c r="B1" s="354"/>
      <c r="C1" s="354"/>
      <c r="D1" s="354"/>
      <c r="E1" s="354"/>
      <c r="F1" s="354"/>
      <c r="G1" s="354"/>
    </row>
    <row r="2" customHeight="1" spans="1:7">
      <c r="A2" s="42" t="s">
        <v>275</v>
      </c>
      <c r="B2" s="43"/>
      <c r="C2" s="43" t="s">
        <v>543</v>
      </c>
      <c r="D2" s="43" t="s">
        <v>276</v>
      </c>
      <c r="E2" s="355" t="s">
        <v>258</v>
      </c>
      <c r="F2" s="355"/>
      <c r="G2" s="356"/>
    </row>
    <row r="3" customHeight="1" spans="1:9">
      <c r="A3" s="47" t="s">
        <v>278</v>
      </c>
      <c r="B3" s="48"/>
      <c r="C3" s="49" t="s">
        <v>544</v>
      </c>
      <c r="D3" s="49"/>
      <c r="E3" s="49"/>
      <c r="F3" s="357" t="s">
        <v>280</v>
      </c>
      <c r="G3" s="51" t="s">
        <v>281</v>
      </c>
      <c r="I3" s="146"/>
    </row>
    <row r="4" customHeight="1" spans="1:7">
      <c r="A4" s="358" t="s">
        <v>545</v>
      </c>
      <c r="B4" s="49"/>
      <c r="C4" s="49"/>
      <c r="D4" s="49"/>
      <c r="E4" s="49"/>
      <c r="F4" s="49"/>
      <c r="G4" s="359"/>
    </row>
    <row r="5" customHeight="1" spans="1:7">
      <c r="A5" s="52" t="s">
        <v>546</v>
      </c>
      <c r="B5" s="53"/>
      <c r="C5" s="54"/>
      <c r="D5" s="54"/>
      <c r="E5" s="54"/>
      <c r="F5" s="54"/>
      <c r="G5" s="55"/>
    </row>
    <row r="6" customHeight="1" spans="1:7">
      <c r="A6" s="47" t="s">
        <v>284</v>
      </c>
      <c r="B6" s="50" t="s">
        <v>233</v>
      </c>
      <c r="C6" s="50"/>
      <c r="D6" s="50" t="s">
        <v>88</v>
      </c>
      <c r="E6" s="360" t="s">
        <v>130</v>
      </c>
      <c r="F6" s="50" t="s">
        <v>285</v>
      </c>
      <c r="G6" s="51" t="s">
        <v>286</v>
      </c>
    </row>
    <row r="7" customHeight="1" spans="1:7">
      <c r="A7" s="47" t="s">
        <v>9</v>
      </c>
      <c r="B7" s="361" t="s">
        <v>287</v>
      </c>
      <c r="C7" s="361"/>
      <c r="D7" s="50"/>
      <c r="E7" s="360"/>
      <c r="F7" s="360"/>
      <c r="G7" s="362">
        <f>G8+G32</f>
        <v>40840.65</v>
      </c>
    </row>
    <row r="8" customHeight="1" spans="1:7">
      <c r="A8" s="47" t="s">
        <v>132</v>
      </c>
      <c r="B8" s="361" t="s">
        <v>288</v>
      </c>
      <c r="C8" s="361"/>
      <c r="D8" s="50"/>
      <c r="E8" s="360"/>
      <c r="F8" s="360"/>
      <c r="G8" s="362">
        <f>G9+G12+G22+G29</f>
        <v>38970.09</v>
      </c>
    </row>
    <row r="9" customHeight="1" spans="1:7">
      <c r="A9" s="47" t="s">
        <v>39</v>
      </c>
      <c r="B9" s="361" t="s">
        <v>247</v>
      </c>
      <c r="C9" s="361"/>
      <c r="D9" s="50"/>
      <c r="E9" s="360"/>
      <c r="F9" s="360"/>
      <c r="G9" s="362">
        <f>SUM(G10:G11)</f>
        <v>13059.4</v>
      </c>
    </row>
    <row r="10" customHeight="1" spans="1:7">
      <c r="A10" s="47"/>
      <c r="B10" s="361" t="s">
        <v>289</v>
      </c>
      <c r="C10" s="361"/>
      <c r="D10" s="50" t="s">
        <v>290</v>
      </c>
      <c r="E10" s="363">
        <v>1271.2</v>
      </c>
      <c r="F10" s="360">
        <f>主材!D21</f>
        <v>8.1</v>
      </c>
      <c r="G10" s="362">
        <f>E10*F10</f>
        <v>10296.72</v>
      </c>
    </row>
    <row r="11" customHeight="1" spans="1:7">
      <c r="A11" s="47"/>
      <c r="B11" s="361" t="s">
        <v>291</v>
      </c>
      <c r="C11" s="361"/>
      <c r="D11" s="50" t="s">
        <v>290</v>
      </c>
      <c r="E11" s="363">
        <v>478.8</v>
      </c>
      <c r="F11" s="360">
        <f>主材!D22</f>
        <v>5.77</v>
      </c>
      <c r="G11" s="362">
        <f>E11*F11</f>
        <v>2762.68</v>
      </c>
    </row>
    <row r="12" customHeight="1" spans="1:7">
      <c r="A12" s="47" t="s">
        <v>41</v>
      </c>
      <c r="B12" s="361" t="s">
        <v>248</v>
      </c>
      <c r="C12" s="361"/>
      <c r="D12" s="50"/>
      <c r="E12" s="360"/>
      <c r="F12" s="360"/>
      <c r="G12" s="362">
        <f>SUM(G13:G21)</f>
        <v>24310.13</v>
      </c>
    </row>
    <row r="13" customHeight="1" spans="1:7">
      <c r="A13" s="47"/>
      <c r="B13" s="361" t="s">
        <v>547</v>
      </c>
      <c r="C13" s="361"/>
      <c r="D13" s="50" t="s">
        <v>395</v>
      </c>
      <c r="E13" s="360">
        <v>0.98</v>
      </c>
      <c r="F13" s="360">
        <f>主材!M7</f>
        <v>2143.4</v>
      </c>
      <c r="G13" s="362">
        <f t="shared" ref="G13:G20" si="0">E13*F13</f>
        <v>2100.53</v>
      </c>
    </row>
    <row r="14" customHeight="1" spans="1:7">
      <c r="A14" s="47"/>
      <c r="B14" s="361" t="s">
        <v>548</v>
      </c>
      <c r="C14" s="361"/>
      <c r="D14" s="50" t="s">
        <v>323</v>
      </c>
      <c r="E14" s="360">
        <v>103.85</v>
      </c>
      <c r="F14" s="360">
        <v>4.44</v>
      </c>
      <c r="G14" s="362">
        <f t="shared" si="0"/>
        <v>461.09</v>
      </c>
    </row>
    <row r="15" customHeight="1" spans="1:7">
      <c r="A15" s="47"/>
      <c r="B15" s="361" t="s">
        <v>549</v>
      </c>
      <c r="C15" s="361"/>
      <c r="D15" s="50" t="s">
        <v>323</v>
      </c>
      <c r="E15" s="360">
        <v>73.88</v>
      </c>
      <c r="F15" s="360">
        <v>4.5</v>
      </c>
      <c r="G15" s="362">
        <f t="shared" si="0"/>
        <v>332.46</v>
      </c>
    </row>
    <row r="16" customHeight="1" spans="1:7">
      <c r="A16" s="47"/>
      <c r="B16" s="361" t="s">
        <v>550</v>
      </c>
      <c r="C16" s="361"/>
      <c r="D16" s="50" t="s">
        <v>323</v>
      </c>
      <c r="E16" s="360">
        <v>48</v>
      </c>
      <c r="F16" s="360">
        <v>5.15</v>
      </c>
      <c r="G16" s="362">
        <f t="shared" si="0"/>
        <v>247.2</v>
      </c>
    </row>
    <row r="17" customHeight="1" spans="1:7">
      <c r="A17" s="47"/>
      <c r="B17" s="361" t="s">
        <v>551</v>
      </c>
      <c r="C17" s="361"/>
      <c r="D17" s="50" t="s">
        <v>323</v>
      </c>
      <c r="E17" s="360">
        <v>328.9</v>
      </c>
      <c r="F17" s="360">
        <v>6.39</v>
      </c>
      <c r="G17" s="362">
        <f t="shared" si="0"/>
        <v>2101.67</v>
      </c>
    </row>
    <row r="18" customHeight="1" spans="1:7">
      <c r="A18" s="47"/>
      <c r="B18" s="361" t="s">
        <v>552</v>
      </c>
      <c r="C18" s="361"/>
      <c r="D18" s="50" t="s">
        <v>323</v>
      </c>
      <c r="E18" s="360">
        <v>6.91</v>
      </c>
      <c r="F18" s="360">
        <v>5.97</v>
      </c>
      <c r="G18" s="362">
        <f t="shared" si="0"/>
        <v>41.25</v>
      </c>
    </row>
    <row r="19" customHeight="1" spans="1:7">
      <c r="A19" s="47"/>
      <c r="B19" s="361" t="s">
        <v>553</v>
      </c>
      <c r="C19" s="361"/>
      <c r="D19" s="50" t="s">
        <v>395</v>
      </c>
      <c r="E19" s="360">
        <v>103</v>
      </c>
      <c r="F19" s="360">
        <f>混凝土单价!M6</f>
        <v>177.12</v>
      </c>
      <c r="G19" s="362">
        <f t="shared" si="0"/>
        <v>18243.36</v>
      </c>
    </row>
    <row r="20" customHeight="1" spans="1:7">
      <c r="A20" s="47"/>
      <c r="B20" s="361" t="s">
        <v>554</v>
      </c>
      <c r="C20" s="361"/>
      <c r="D20" s="50" t="s">
        <v>395</v>
      </c>
      <c r="E20" s="360">
        <v>70</v>
      </c>
      <c r="F20" s="360">
        <f>主材!D18</f>
        <v>4.37</v>
      </c>
      <c r="G20" s="362">
        <f t="shared" si="0"/>
        <v>305.9</v>
      </c>
    </row>
    <row r="21" customHeight="1" spans="1:7">
      <c r="A21" s="47"/>
      <c r="B21" s="361" t="s">
        <v>397</v>
      </c>
      <c r="C21" s="361"/>
      <c r="D21" s="50" t="s">
        <v>293</v>
      </c>
      <c r="E21" s="364">
        <v>2</v>
      </c>
      <c r="F21" s="360">
        <f>SUM(G13:G20)</f>
        <v>23833.46</v>
      </c>
      <c r="G21" s="362">
        <f>E21*F21/100</f>
        <v>476.67</v>
      </c>
    </row>
    <row r="22" customHeight="1" spans="1:7">
      <c r="A22" s="47" t="s">
        <v>46</v>
      </c>
      <c r="B22" s="361" t="s">
        <v>314</v>
      </c>
      <c r="C22" s="361"/>
      <c r="D22" s="50"/>
      <c r="E22" s="360"/>
      <c r="F22" s="360"/>
      <c r="G22" s="362">
        <f>SUM(G23:G28)</f>
        <v>802.31</v>
      </c>
    </row>
    <row r="23" customHeight="1" spans="1:7">
      <c r="A23" s="47"/>
      <c r="B23" s="361" t="s">
        <v>555</v>
      </c>
      <c r="C23" s="361"/>
      <c r="D23" s="50" t="s">
        <v>316</v>
      </c>
      <c r="E23" s="360">
        <v>30</v>
      </c>
      <c r="F23" s="360">
        <f>机械!E17</f>
        <v>1.81</v>
      </c>
      <c r="G23" s="362">
        <f>E23*F23</f>
        <v>54.3</v>
      </c>
    </row>
    <row r="24" customHeight="1" spans="1:7">
      <c r="A24" s="47"/>
      <c r="B24" s="361" t="s">
        <v>403</v>
      </c>
      <c r="C24" s="361"/>
      <c r="D24" s="50" t="s">
        <v>316</v>
      </c>
      <c r="E24" s="360">
        <v>18.54</v>
      </c>
      <c r="F24" s="360">
        <f>机械!E16</f>
        <v>23.75</v>
      </c>
      <c r="G24" s="362">
        <f>E24*F24</f>
        <v>440.33</v>
      </c>
    </row>
    <row r="25" customHeight="1" spans="1:7">
      <c r="A25" s="47"/>
      <c r="B25" s="361" t="s">
        <v>404</v>
      </c>
      <c r="C25" s="361"/>
      <c r="D25" s="50" t="s">
        <v>316</v>
      </c>
      <c r="E25" s="360">
        <v>83</v>
      </c>
      <c r="F25" s="360">
        <f>机械!E29</f>
        <v>0.82</v>
      </c>
      <c r="G25" s="362">
        <f>E25*F25</f>
        <v>68.06</v>
      </c>
    </row>
    <row r="26" customHeight="1" spans="1:7">
      <c r="A26" s="47"/>
      <c r="B26" s="361" t="s">
        <v>556</v>
      </c>
      <c r="C26" s="361"/>
      <c r="D26" s="50" t="s">
        <v>316</v>
      </c>
      <c r="E26" s="360">
        <v>0.46</v>
      </c>
      <c r="F26" s="360">
        <f>机械!E23</f>
        <v>49.39</v>
      </c>
      <c r="G26" s="362">
        <f>E26*F26</f>
        <v>22.72</v>
      </c>
    </row>
    <row r="27" customHeight="1" spans="1:7">
      <c r="A27" s="47"/>
      <c r="B27" s="361" t="s">
        <v>557</v>
      </c>
      <c r="C27" s="361"/>
      <c r="D27" s="50" t="s">
        <v>316</v>
      </c>
      <c r="E27" s="360">
        <v>10.32</v>
      </c>
      <c r="F27" s="360">
        <f>机械!E47</f>
        <v>8.06</v>
      </c>
      <c r="G27" s="362">
        <f>E27*F27</f>
        <v>83.18</v>
      </c>
    </row>
    <row r="28" customHeight="1" spans="1:7">
      <c r="A28" s="47"/>
      <c r="B28" s="361" t="s">
        <v>370</v>
      </c>
      <c r="C28" s="361"/>
      <c r="D28" s="50" t="s">
        <v>293</v>
      </c>
      <c r="E28" s="364">
        <v>20</v>
      </c>
      <c r="F28" s="360">
        <f>SUM(G23:G27)</f>
        <v>668.59</v>
      </c>
      <c r="G28" s="362">
        <f>E28*F28/100</f>
        <v>133.72</v>
      </c>
    </row>
    <row r="29" customHeight="1" spans="1:7">
      <c r="A29" s="47" t="s">
        <v>305</v>
      </c>
      <c r="B29" s="361" t="s">
        <v>250</v>
      </c>
      <c r="C29" s="361"/>
      <c r="D29" s="50"/>
      <c r="E29" s="360"/>
      <c r="F29" s="360"/>
      <c r="G29" s="362">
        <f>SUM(G30:G31)</f>
        <v>798.25</v>
      </c>
    </row>
    <row r="30" customHeight="1" spans="1:7">
      <c r="A30" s="47"/>
      <c r="B30" s="361" t="s">
        <v>558</v>
      </c>
      <c r="C30" s="361"/>
      <c r="D30" s="50" t="s">
        <v>395</v>
      </c>
      <c r="E30" s="360">
        <v>103</v>
      </c>
      <c r="F30" s="360">
        <f>G562/100</f>
        <v>5.04</v>
      </c>
      <c r="G30" s="362">
        <f>E30*F30</f>
        <v>519.12</v>
      </c>
    </row>
    <row r="31" customHeight="1" spans="1:7">
      <c r="A31" s="47"/>
      <c r="B31" s="361" t="s">
        <v>559</v>
      </c>
      <c r="C31" s="361"/>
      <c r="D31" s="50" t="s">
        <v>395</v>
      </c>
      <c r="E31" s="360">
        <v>103</v>
      </c>
      <c r="F31" s="360">
        <f>G577/100</f>
        <v>2.71</v>
      </c>
      <c r="G31" s="362">
        <f>E31*F31</f>
        <v>279.13</v>
      </c>
    </row>
    <row r="32" customHeight="1" spans="1:7">
      <c r="A32" s="47" t="s">
        <v>133</v>
      </c>
      <c r="B32" s="361" t="s">
        <v>294</v>
      </c>
      <c r="C32" s="361"/>
      <c r="D32" s="50"/>
      <c r="E32" s="365">
        <f>G8</f>
        <v>38970.09</v>
      </c>
      <c r="F32" s="366">
        <f>费率!F4</f>
        <v>0.048</v>
      </c>
      <c r="G32" s="362">
        <f>E32*F32</f>
        <v>1870.56</v>
      </c>
    </row>
    <row r="33" customHeight="1" spans="1:7">
      <c r="A33" s="47" t="s">
        <v>14</v>
      </c>
      <c r="B33" s="361" t="s">
        <v>295</v>
      </c>
      <c r="C33" s="361"/>
      <c r="D33" s="50"/>
      <c r="E33" s="360">
        <f>G7</f>
        <v>40840.65</v>
      </c>
      <c r="F33" s="366">
        <f>费率!F5</f>
        <v>0.07</v>
      </c>
      <c r="G33" s="362">
        <f>E33*F33</f>
        <v>2858.85</v>
      </c>
    </row>
    <row r="34" customHeight="1" spans="1:7">
      <c r="A34" s="47" t="s">
        <v>16</v>
      </c>
      <c r="B34" s="361" t="s">
        <v>296</v>
      </c>
      <c r="C34" s="361"/>
      <c r="D34" s="50"/>
      <c r="E34" s="360">
        <f>G7+G33</f>
        <v>43699.5</v>
      </c>
      <c r="F34" s="366">
        <f>费率!F6</f>
        <v>0.07</v>
      </c>
      <c r="G34" s="362">
        <f>E34*F34</f>
        <v>3058.97</v>
      </c>
    </row>
    <row r="35" customHeight="1" spans="1:7">
      <c r="A35" s="47" t="s">
        <v>18</v>
      </c>
      <c r="B35" s="361" t="s">
        <v>254</v>
      </c>
      <c r="C35" s="361"/>
      <c r="D35" s="50"/>
      <c r="E35" s="360"/>
      <c r="F35" s="366"/>
      <c r="G35" s="362">
        <f>SUM(G36:G40)</f>
        <v>7106.56</v>
      </c>
    </row>
    <row r="36" customHeight="1" spans="1:7">
      <c r="A36" s="47"/>
      <c r="B36" s="361" t="s">
        <v>547</v>
      </c>
      <c r="C36" s="361"/>
      <c r="D36" s="50" t="s">
        <v>395</v>
      </c>
      <c r="E36" s="360">
        <f>E13</f>
        <v>0.98</v>
      </c>
      <c r="F36" s="367">
        <f>主材!N7</f>
        <v>0</v>
      </c>
      <c r="G36" s="362">
        <f t="shared" ref="G36:G42" si="1">E36*F36</f>
        <v>0</v>
      </c>
    </row>
    <row r="37" customHeight="1" spans="1:7">
      <c r="A37" s="47"/>
      <c r="B37" s="361" t="s">
        <v>405</v>
      </c>
      <c r="C37" s="361"/>
      <c r="D37" s="50" t="s">
        <v>158</v>
      </c>
      <c r="E37" s="360">
        <f>E19*混凝土单价!E6</f>
        <v>31.93</v>
      </c>
      <c r="F37" s="367">
        <f>主材!N6</f>
        <v>135.66</v>
      </c>
      <c r="G37" s="362">
        <f t="shared" si="1"/>
        <v>4331.62</v>
      </c>
    </row>
    <row r="38" customHeight="1" spans="1:7">
      <c r="A38" s="47"/>
      <c r="B38" s="361" t="s">
        <v>396</v>
      </c>
      <c r="C38" s="361"/>
      <c r="D38" s="50" t="s">
        <v>395</v>
      </c>
      <c r="E38" s="360">
        <f>E19*混凝土单价!G6</f>
        <v>56.65</v>
      </c>
      <c r="F38" s="367">
        <f>主材!N8</f>
        <v>37.93</v>
      </c>
      <c r="G38" s="362">
        <f t="shared" si="1"/>
        <v>2148.73</v>
      </c>
    </row>
    <row r="39" customHeight="1" spans="1:7">
      <c r="A39" s="47"/>
      <c r="B39" s="361" t="s">
        <v>467</v>
      </c>
      <c r="C39" s="361"/>
      <c r="D39" s="50" t="s">
        <v>395</v>
      </c>
      <c r="E39" s="360">
        <f>E19*混凝土单价!I6</f>
        <v>86.52</v>
      </c>
      <c r="F39" s="367">
        <f>主材!N10</f>
        <v>7.03</v>
      </c>
      <c r="G39" s="362">
        <f t="shared" si="1"/>
        <v>608.24</v>
      </c>
    </row>
    <row r="40" customHeight="1" spans="1:7">
      <c r="A40" s="47"/>
      <c r="B40" s="361" t="s">
        <v>522</v>
      </c>
      <c r="C40" s="361"/>
      <c r="D40" s="50" t="s">
        <v>323</v>
      </c>
      <c r="E40" s="360">
        <f>E26*7.2</f>
        <v>3.31</v>
      </c>
      <c r="F40" s="367">
        <f>主材!N14</f>
        <v>5.43</v>
      </c>
      <c r="G40" s="362">
        <f t="shared" si="1"/>
        <v>17.97</v>
      </c>
    </row>
    <row r="41" customHeight="1" spans="1:7">
      <c r="A41" s="47" t="s">
        <v>20</v>
      </c>
      <c r="B41" s="361" t="s">
        <v>297</v>
      </c>
      <c r="C41" s="361"/>
      <c r="D41" s="50"/>
      <c r="E41" s="360">
        <f>G7+G33++G34+G35</f>
        <v>53865.03</v>
      </c>
      <c r="F41" s="368">
        <f>费率!F7</f>
        <v>0.09</v>
      </c>
      <c r="G41" s="362">
        <f t="shared" si="1"/>
        <v>4847.85</v>
      </c>
    </row>
    <row r="42" customHeight="1" spans="1:7">
      <c r="A42" s="47"/>
      <c r="B42" s="361" t="s">
        <v>298</v>
      </c>
      <c r="C42" s="361"/>
      <c r="D42" s="50"/>
      <c r="E42" s="360">
        <f>G7+G33+G34+G35+G41</f>
        <v>58712.88</v>
      </c>
      <c r="F42" s="368">
        <v>0.03</v>
      </c>
      <c r="G42" s="362">
        <f t="shared" si="1"/>
        <v>1761.39</v>
      </c>
    </row>
    <row r="43" customHeight="1" spans="1:7">
      <c r="A43" s="369"/>
      <c r="B43" s="370" t="s">
        <v>560</v>
      </c>
      <c r="C43" s="370"/>
      <c r="D43" s="370"/>
      <c r="E43" s="371"/>
      <c r="F43" s="370"/>
      <c r="G43" s="372">
        <f>G7+G33+G34+G35+G41+G42</f>
        <v>60474.27</v>
      </c>
    </row>
    <row r="44" ht="65.45" customHeight="1" spans="1:7">
      <c r="A44" s="373"/>
      <c r="B44" s="373"/>
      <c r="C44" s="373"/>
      <c r="D44" s="373"/>
      <c r="E44" s="374"/>
      <c r="F44" s="373"/>
      <c r="G44" s="374"/>
    </row>
    <row r="45" ht="19.9" customHeight="1" spans="1:7">
      <c r="A45" s="354" t="s">
        <v>274</v>
      </c>
      <c r="B45" s="354"/>
      <c r="C45" s="354"/>
      <c r="D45" s="354"/>
      <c r="E45" s="354"/>
      <c r="F45" s="354"/>
      <c r="G45" s="354"/>
    </row>
    <row r="46" ht="16.9" customHeight="1" spans="1:7">
      <c r="A46" s="42" t="s">
        <v>275</v>
      </c>
      <c r="B46" s="43"/>
      <c r="C46" s="43" t="s">
        <v>561</v>
      </c>
      <c r="D46" s="43" t="s">
        <v>276</v>
      </c>
      <c r="E46" s="355" t="s">
        <v>562</v>
      </c>
      <c r="F46" s="355"/>
      <c r="G46" s="356"/>
    </row>
    <row r="47" ht="16.9" customHeight="1" spans="1:7">
      <c r="A47" s="47" t="s">
        <v>278</v>
      </c>
      <c r="B47" s="48"/>
      <c r="C47" s="49" t="s">
        <v>563</v>
      </c>
      <c r="D47" s="49"/>
      <c r="E47" s="49"/>
      <c r="F47" s="50" t="s">
        <v>280</v>
      </c>
      <c r="G47" s="51" t="s">
        <v>281</v>
      </c>
    </row>
    <row r="48" ht="16.9" customHeight="1" spans="1:7">
      <c r="A48" s="358" t="s">
        <v>564</v>
      </c>
      <c r="B48" s="49"/>
      <c r="C48" s="49"/>
      <c r="D48" s="49"/>
      <c r="E48" s="49"/>
      <c r="F48" s="49"/>
      <c r="G48" s="359"/>
    </row>
    <row r="49" ht="16.9" customHeight="1" spans="1:7">
      <c r="A49" s="52" t="s">
        <v>546</v>
      </c>
      <c r="B49" s="53"/>
      <c r="C49" s="54"/>
      <c r="D49" s="54"/>
      <c r="E49" s="54"/>
      <c r="F49" s="54"/>
      <c r="G49" s="55"/>
    </row>
    <row r="50" ht="16.9" customHeight="1" spans="1:7">
      <c r="A50" s="47" t="s">
        <v>284</v>
      </c>
      <c r="B50" s="50" t="s">
        <v>233</v>
      </c>
      <c r="C50" s="50"/>
      <c r="D50" s="50" t="s">
        <v>88</v>
      </c>
      <c r="E50" s="360" t="s">
        <v>130</v>
      </c>
      <c r="F50" s="50" t="s">
        <v>285</v>
      </c>
      <c r="G50" s="51" t="s">
        <v>286</v>
      </c>
    </row>
    <row r="51" ht="16.9" customHeight="1" spans="1:7">
      <c r="A51" s="47" t="s">
        <v>9</v>
      </c>
      <c r="B51" s="361" t="s">
        <v>287</v>
      </c>
      <c r="C51" s="361"/>
      <c r="D51" s="50"/>
      <c r="E51" s="360"/>
      <c r="F51" s="360"/>
      <c r="G51" s="362">
        <f>G52+G76</f>
        <v>43003.79</v>
      </c>
    </row>
    <row r="52" ht="16.9" customHeight="1" spans="1:7">
      <c r="A52" s="47" t="s">
        <v>132</v>
      </c>
      <c r="B52" s="361" t="s">
        <v>288</v>
      </c>
      <c r="C52" s="361"/>
      <c r="D52" s="50"/>
      <c r="E52" s="360"/>
      <c r="F52" s="360"/>
      <c r="G52" s="362">
        <f>G53+G56+G66+G73</f>
        <v>41034.15</v>
      </c>
    </row>
    <row r="53" ht="16.9" customHeight="1" spans="1:7">
      <c r="A53" s="47" t="s">
        <v>39</v>
      </c>
      <c r="B53" s="361" t="s">
        <v>247</v>
      </c>
      <c r="C53" s="361"/>
      <c r="D53" s="50"/>
      <c r="E53" s="360"/>
      <c r="F53" s="360"/>
      <c r="G53" s="362">
        <f>SUM(G54:G55)</f>
        <v>15609.11</v>
      </c>
    </row>
    <row r="54" ht="16.9" customHeight="1" spans="1:7">
      <c r="A54" s="47"/>
      <c r="B54" s="361" t="s">
        <v>289</v>
      </c>
      <c r="C54" s="361"/>
      <c r="D54" s="50" t="s">
        <v>290</v>
      </c>
      <c r="E54" s="363">
        <v>1604.5</v>
      </c>
      <c r="F54" s="360">
        <f>主材!D21</f>
        <v>8.1</v>
      </c>
      <c r="G54" s="362">
        <f>E54*F54</f>
        <v>12996.45</v>
      </c>
    </row>
    <row r="55" ht="16.9" customHeight="1" spans="1:7">
      <c r="A55" s="47"/>
      <c r="B55" s="361" t="s">
        <v>291</v>
      </c>
      <c r="C55" s="361"/>
      <c r="D55" s="50" t="s">
        <v>290</v>
      </c>
      <c r="E55" s="363">
        <v>452.8</v>
      </c>
      <c r="F55" s="360">
        <f>主材!D22</f>
        <v>5.77</v>
      </c>
      <c r="G55" s="362">
        <f>E55*F55</f>
        <v>2612.66</v>
      </c>
    </row>
    <row r="56" ht="16.9" customHeight="1" spans="1:7">
      <c r="A56" s="47" t="s">
        <v>41</v>
      </c>
      <c r="B56" s="361" t="s">
        <v>248</v>
      </c>
      <c r="C56" s="361"/>
      <c r="D56" s="50"/>
      <c r="E56" s="360"/>
      <c r="F56" s="360"/>
      <c r="G56" s="362">
        <f>SUM(G57:G65)</f>
        <v>23849.78</v>
      </c>
    </row>
    <row r="57" ht="16.9" customHeight="1" spans="1:7">
      <c r="A57" s="47"/>
      <c r="B57" s="361" t="s">
        <v>547</v>
      </c>
      <c r="C57" s="361"/>
      <c r="D57" s="50" t="s">
        <v>395</v>
      </c>
      <c r="E57" s="360">
        <v>0.14</v>
      </c>
      <c r="F57" s="360">
        <f>主材!M7</f>
        <v>2143.4</v>
      </c>
      <c r="G57" s="362">
        <f t="shared" ref="G57:G64" si="2">E57*F57</f>
        <v>300.08</v>
      </c>
    </row>
    <row r="58" ht="16.9" customHeight="1" spans="1:7">
      <c r="A58" s="47"/>
      <c r="B58" s="361" t="s">
        <v>548</v>
      </c>
      <c r="C58" s="361"/>
      <c r="D58" s="50" t="s">
        <v>323</v>
      </c>
      <c r="E58" s="360">
        <v>339.3</v>
      </c>
      <c r="F58" s="360">
        <v>4.44</v>
      </c>
      <c r="G58" s="362">
        <f t="shared" si="2"/>
        <v>1506.49</v>
      </c>
    </row>
    <row r="59" ht="16.9" customHeight="1" spans="1:7">
      <c r="A59" s="47"/>
      <c r="B59" s="361" t="s">
        <v>549</v>
      </c>
      <c r="C59" s="361"/>
      <c r="D59" s="50" t="s">
        <v>323</v>
      </c>
      <c r="E59" s="360">
        <v>148.47</v>
      </c>
      <c r="F59" s="360">
        <v>4.5</v>
      </c>
      <c r="G59" s="362">
        <f t="shared" si="2"/>
        <v>668.12</v>
      </c>
    </row>
    <row r="60" ht="16.9" customHeight="1" spans="1:7">
      <c r="A60" s="47"/>
      <c r="B60" s="361" t="s">
        <v>550</v>
      </c>
      <c r="C60" s="361"/>
      <c r="D60" s="50" t="s">
        <v>323</v>
      </c>
      <c r="E60" s="360">
        <v>167.84</v>
      </c>
      <c r="F60" s="360">
        <v>5.15</v>
      </c>
      <c r="G60" s="362">
        <f t="shared" si="2"/>
        <v>864.38</v>
      </c>
    </row>
    <row r="61" ht="16.9" customHeight="1" spans="1:7">
      <c r="A61" s="47"/>
      <c r="B61" s="361" t="s">
        <v>551</v>
      </c>
      <c r="C61" s="361"/>
      <c r="D61" s="50" t="s">
        <v>323</v>
      </c>
      <c r="E61" s="360">
        <v>180.9</v>
      </c>
      <c r="F61" s="360">
        <v>6.39</v>
      </c>
      <c r="G61" s="362">
        <f t="shared" si="2"/>
        <v>1155.95</v>
      </c>
    </row>
    <row r="62" ht="16.9" customHeight="1" spans="1:7">
      <c r="A62" s="47"/>
      <c r="B62" s="361" t="s">
        <v>552</v>
      </c>
      <c r="C62" s="361"/>
      <c r="D62" s="50" t="s">
        <v>323</v>
      </c>
      <c r="E62" s="360">
        <v>0.63</v>
      </c>
      <c r="F62" s="360">
        <v>5.97</v>
      </c>
      <c r="G62" s="362">
        <f t="shared" si="2"/>
        <v>3.76</v>
      </c>
    </row>
    <row r="63" ht="16.9" customHeight="1" spans="1:7">
      <c r="A63" s="47"/>
      <c r="B63" s="361" t="s">
        <v>553</v>
      </c>
      <c r="C63" s="361"/>
      <c r="D63" s="50" t="s">
        <v>395</v>
      </c>
      <c r="E63" s="364">
        <v>103</v>
      </c>
      <c r="F63" s="360">
        <f>混凝土单价!M6</f>
        <v>177.12</v>
      </c>
      <c r="G63" s="362">
        <f t="shared" si="2"/>
        <v>18243.36</v>
      </c>
    </row>
    <row r="64" ht="16.9" customHeight="1" spans="1:7">
      <c r="A64" s="47"/>
      <c r="B64" s="361" t="s">
        <v>554</v>
      </c>
      <c r="C64" s="361"/>
      <c r="D64" s="50" t="s">
        <v>395</v>
      </c>
      <c r="E64" s="364">
        <v>160</v>
      </c>
      <c r="F64" s="364">
        <f>主材!D18</f>
        <v>4</v>
      </c>
      <c r="G64" s="362">
        <f t="shared" si="2"/>
        <v>640</v>
      </c>
    </row>
    <row r="65" ht="16.9" customHeight="1" spans="1:7">
      <c r="A65" s="47"/>
      <c r="B65" s="361" t="s">
        <v>397</v>
      </c>
      <c r="C65" s="361"/>
      <c r="D65" s="50" t="s">
        <v>293</v>
      </c>
      <c r="E65" s="364">
        <v>2</v>
      </c>
      <c r="F65" s="360">
        <f>SUM(G57:G64)</f>
        <v>23382.14</v>
      </c>
      <c r="G65" s="362">
        <f>E65*F65/100</f>
        <v>467.64</v>
      </c>
    </row>
    <row r="66" ht="16.9" customHeight="1" spans="1:7">
      <c r="A66" s="47" t="s">
        <v>46</v>
      </c>
      <c r="B66" s="361" t="s">
        <v>314</v>
      </c>
      <c r="C66" s="361"/>
      <c r="D66" s="50"/>
      <c r="E66" s="360"/>
      <c r="F66" s="360"/>
      <c r="G66" s="362">
        <f>SUM(G67:G72)</f>
        <v>777.01</v>
      </c>
    </row>
    <row r="67" ht="16.9" customHeight="1" spans="1:7">
      <c r="A67" s="47"/>
      <c r="B67" s="361" t="s">
        <v>403</v>
      </c>
      <c r="C67" s="361"/>
      <c r="D67" s="50" t="s">
        <v>316</v>
      </c>
      <c r="E67" s="360">
        <v>18.54</v>
      </c>
      <c r="F67" s="360">
        <f>机械!E16</f>
        <v>23.75</v>
      </c>
      <c r="G67" s="362">
        <f>E67*F67</f>
        <v>440.33</v>
      </c>
    </row>
    <row r="68" ht="16.9" customHeight="1" spans="1:7">
      <c r="A68" s="47"/>
      <c r="B68" s="361" t="s">
        <v>555</v>
      </c>
      <c r="C68" s="361"/>
      <c r="D68" s="50" t="s">
        <v>316</v>
      </c>
      <c r="E68" s="360">
        <v>49.5</v>
      </c>
      <c r="F68" s="360">
        <f>机械!E17</f>
        <v>1.81</v>
      </c>
      <c r="G68" s="362">
        <f>E68*F68</f>
        <v>89.6</v>
      </c>
    </row>
    <row r="69" ht="16.9" customHeight="1" spans="1:7">
      <c r="A69" s="47"/>
      <c r="B69" s="361" t="s">
        <v>404</v>
      </c>
      <c r="C69" s="361"/>
      <c r="D69" s="50" t="s">
        <v>316</v>
      </c>
      <c r="E69" s="360">
        <v>98</v>
      </c>
      <c r="F69" s="360">
        <f>机械!E29</f>
        <v>0.82</v>
      </c>
      <c r="G69" s="362">
        <f>E69*F69</f>
        <v>80.36</v>
      </c>
    </row>
    <row r="70" ht="16.9" customHeight="1" spans="1:7">
      <c r="A70" s="47"/>
      <c r="B70" s="361" t="s">
        <v>556</v>
      </c>
      <c r="C70" s="361"/>
      <c r="D70" s="50" t="s">
        <v>316</v>
      </c>
      <c r="E70" s="360">
        <v>1.17</v>
      </c>
      <c r="F70" s="360">
        <f>机械!E23</f>
        <v>49.39</v>
      </c>
      <c r="G70" s="362">
        <f>E70*F70</f>
        <v>57.79</v>
      </c>
    </row>
    <row r="71" ht="16.9" customHeight="1" spans="1:7">
      <c r="A71" s="47"/>
      <c r="B71" s="361" t="s">
        <v>557</v>
      </c>
      <c r="C71" s="361"/>
      <c r="D71" s="50" t="s">
        <v>316</v>
      </c>
      <c r="E71" s="360">
        <v>0.94</v>
      </c>
      <c r="F71" s="360">
        <f>机械!E47</f>
        <v>8.06</v>
      </c>
      <c r="G71" s="362">
        <f>E71*F71</f>
        <v>7.58</v>
      </c>
    </row>
    <row r="72" ht="16.9" customHeight="1" spans="1:7">
      <c r="A72" s="47"/>
      <c r="B72" s="361" t="s">
        <v>370</v>
      </c>
      <c r="C72" s="361"/>
      <c r="D72" s="50" t="s">
        <v>293</v>
      </c>
      <c r="E72" s="364">
        <v>15</v>
      </c>
      <c r="F72" s="360">
        <f>SUM(G67:G71)</f>
        <v>675.66</v>
      </c>
      <c r="G72" s="362">
        <f>E72*F72/100</f>
        <v>101.35</v>
      </c>
    </row>
    <row r="73" ht="16.9" customHeight="1" spans="1:7">
      <c r="A73" s="47" t="s">
        <v>305</v>
      </c>
      <c r="B73" s="361" t="s">
        <v>250</v>
      </c>
      <c r="C73" s="361"/>
      <c r="D73" s="50"/>
      <c r="E73" s="360"/>
      <c r="F73" s="360"/>
      <c r="G73" s="362">
        <f>SUM(G74:G75)</f>
        <v>798.25</v>
      </c>
    </row>
    <row r="74" ht="16.9" customHeight="1" spans="1:7">
      <c r="A74" s="47"/>
      <c r="B74" s="361" t="s">
        <v>558</v>
      </c>
      <c r="C74" s="361"/>
      <c r="D74" s="50" t="s">
        <v>395</v>
      </c>
      <c r="E74" s="360">
        <v>103</v>
      </c>
      <c r="F74" s="360">
        <f>G562/100</f>
        <v>5.04</v>
      </c>
      <c r="G74" s="362">
        <f>E74*F74</f>
        <v>519.12</v>
      </c>
    </row>
    <row r="75" ht="16.9" customHeight="1" spans="1:7">
      <c r="A75" s="47"/>
      <c r="B75" s="361" t="s">
        <v>559</v>
      </c>
      <c r="C75" s="361"/>
      <c r="D75" s="50" t="s">
        <v>395</v>
      </c>
      <c r="E75" s="360">
        <v>103</v>
      </c>
      <c r="F75" s="360">
        <f>G577/100</f>
        <v>2.71</v>
      </c>
      <c r="G75" s="362">
        <f>E75*F75</f>
        <v>279.13</v>
      </c>
    </row>
    <row r="76" ht="16.9" customHeight="1" spans="1:7">
      <c r="A76" s="47" t="s">
        <v>133</v>
      </c>
      <c r="B76" s="361" t="s">
        <v>294</v>
      </c>
      <c r="C76" s="361"/>
      <c r="D76" s="50"/>
      <c r="E76" s="365">
        <f>G52</f>
        <v>41034.15</v>
      </c>
      <c r="F76" s="366">
        <f>费率!F4</f>
        <v>0.048</v>
      </c>
      <c r="G76" s="362">
        <f>E76*F76</f>
        <v>1969.64</v>
      </c>
    </row>
    <row r="77" ht="16.9" customHeight="1" spans="1:7">
      <c r="A77" s="47" t="s">
        <v>14</v>
      </c>
      <c r="B77" s="361" t="s">
        <v>295</v>
      </c>
      <c r="C77" s="361"/>
      <c r="D77" s="50"/>
      <c r="E77" s="360">
        <f>G51</f>
        <v>43003.79</v>
      </c>
      <c r="F77" s="368">
        <f>费率!F5</f>
        <v>0.07</v>
      </c>
      <c r="G77" s="362">
        <f>E77*F77</f>
        <v>3010.27</v>
      </c>
    </row>
    <row r="78" ht="16.9" customHeight="1" spans="1:7">
      <c r="A78" s="47" t="s">
        <v>16</v>
      </c>
      <c r="B78" s="361" t="s">
        <v>296</v>
      </c>
      <c r="C78" s="361"/>
      <c r="D78" s="50"/>
      <c r="E78" s="360">
        <f>G51+G77</f>
        <v>46014.06</v>
      </c>
      <c r="F78" s="368">
        <f>费率!F6</f>
        <v>0.07</v>
      </c>
      <c r="G78" s="362">
        <f>E78*F78</f>
        <v>3220.98</v>
      </c>
    </row>
    <row r="79" ht="16.9" customHeight="1" spans="1:7">
      <c r="A79" s="47" t="s">
        <v>18</v>
      </c>
      <c r="B79" s="361" t="s">
        <v>254</v>
      </c>
      <c r="C79" s="361"/>
      <c r="D79" s="50"/>
      <c r="E79" s="360"/>
      <c r="F79" s="366"/>
      <c r="G79" s="362">
        <f>SUM(G80:G84)</f>
        <v>7153.3</v>
      </c>
    </row>
    <row r="80" ht="16.9" customHeight="1" spans="1:7">
      <c r="A80" s="47"/>
      <c r="B80" s="361" t="s">
        <v>547</v>
      </c>
      <c r="C80" s="361"/>
      <c r="D80" s="50" t="s">
        <v>395</v>
      </c>
      <c r="E80" s="360">
        <f>E57</f>
        <v>0.14</v>
      </c>
      <c r="F80" s="367">
        <f>主材!N6</f>
        <v>135.66</v>
      </c>
      <c r="G80" s="362">
        <f t="shared" ref="G80:G86" si="3">E80*F80</f>
        <v>18.99</v>
      </c>
    </row>
    <row r="81" ht="16.9" customHeight="1" spans="1:7">
      <c r="A81" s="47"/>
      <c r="B81" s="361" t="s">
        <v>405</v>
      </c>
      <c r="C81" s="361"/>
      <c r="D81" s="50" t="s">
        <v>158</v>
      </c>
      <c r="E81" s="360">
        <f>E63*混凝土单价!E6</f>
        <v>31.93</v>
      </c>
      <c r="F81" s="367">
        <f>主材!N6</f>
        <v>135.66</v>
      </c>
      <c r="G81" s="362">
        <f t="shared" si="3"/>
        <v>4331.62</v>
      </c>
    </row>
    <row r="82" ht="16.9" customHeight="1" spans="1:7">
      <c r="A82" s="47"/>
      <c r="B82" s="361" t="s">
        <v>396</v>
      </c>
      <c r="C82" s="361"/>
      <c r="D82" s="50" t="s">
        <v>395</v>
      </c>
      <c r="E82" s="360">
        <f>E63*混凝土单价!G6</f>
        <v>56.65</v>
      </c>
      <c r="F82" s="367">
        <f>主材!N8</f>
        <v>37.93</v>
      </c>
      <c r="G82" s="362">
        <f t="shared" si="3"/>
        <v>2148.73</v>
      </c>
    </row>
    <row r="83" ht="16.9" customHeight="1" spans="1:7">
      <c r="A83" s="47"/>
      <c r="B83" s="361" t="s">
        <v>467</v>
      </c>
      <c r="C83" s="361"/>
      <c r="D83" s="50" t="s">
        <v>395</v>
      </c>
      <c r="E83" s="360">
        <f>E63*混凝土单价!I6</f>
        <v>86.52</v>
      </c>
      <c r="F83" s="367">
        <f>主材!N10</f>
        <v>7.03</v>
      </c>
      <c r="G83" s="362">
        <f t="shared" si="3"/>
        <v>608.24</v>
      </c>
    </row>
    <row r="84" ht="16.9" customHeight="1" spans="1:7">
      <c r="A84" s="47"/>
      <c r="B84" s="361" t="s">
        <v>522</v>
      </c>
      <c r="C84" s="361"/>
      <c r="D84" s="50" t="s">
        <v>323</v>
      </c>
      <c r="E84" s="360">
        <f>E70*7.2</f>
        <v>8.42</v>
      </c>
      <c r="F84" s="367">
        <f>主材!N14</f>
        <v>5.43</v>
      </c>
      <c r="G84" s="362">
        <f t="shared" si="3"/>
        <v>45.72</v>
      </c>
    </row>
    <row r="85" ht="16.9" customHeight="1" spans="1:7">
      <c r="A85" s="47" t="s">
        <v>20</v>
      </c>
      <c r="B85" s="361" t="s">
        <v>297</v>
      </c>
      <c r="C85" s="361"/>
      <c r="D85" s="50"/>
      <c r="E85" s="360">
        <f>G51+G77++G78+G79</f>
        <v>56388.34</v>
      </c>
      <c r="F85" s="366">
        <f>费率!F7</f>
        <v>0.09</v>
      </c>
      <c r="G85" s="362">
        <f t="shared" si="3"/>
        <v>5074.95</v>
      </c>
    </row>
    <row r="86" ht="16.9" customHeight="1" spans="1:7">
      <c r="A86" s="47"/>
      <c r="B86" s="361" t="s">
        <v>298</v>
      </c>
      <c r="C86" s="361"/>
      <c r="D86" s="50"/>
      <c r="E86" s="360">
        <f>G51+G77+G78+G79+G85</f>
        <v>61463.29</v>
      </c>
      <c r="F86" s="368">
        <v>0.03</v>
      </c>
      <c r="G86" s="362">
        <f t="shared" si="3"/>
        <v>1843.9</v>
      </c>
    </row>
    <row r="87" ht="16.9" customHeight="1" spans="1:7">
      <c r="A87" s="369"/>
      <c r="B87" s="370" t="s">
        <v>560</v>
      </c>
      <c r="C87" s="370"/>
      <c r="D87" s="370"/>
      <c r="E87" s="371"/>
      <c r="F87" s="370"/>
      <c r="G87" s="372">
        <f>G51+G77+G78+G79+G85+G86</f>
        <v>63307.19</v>
      </c>
    </row>
    <row r="88" customHeight="1" spans="1:7">
      <c r="A88" s="373"/>
      <c r="B88" s="373"/>
      <c r="C88" s="373"/>
      <c r="D88" s="375"/>
      <c r="E88" s="374"/>
      <c r="F88" s="373"/>
      <c r="G88" s="374"/>
    </row>
    <row r="89" customHeight="1" spans="1:7">
      <c r="A89" s="41" t="s">
        <v>274</v>
      </c>
      <c r="B89" s="41"/>
      <c r="C89" s="41"/>
      <c r="D89" s="41"/>
      <c r="E89" s="41"/>
      <c r="F89" s="41"/>
      <c r="G89" s="41"/>
    </row>
    <row r="90" customHeight="1" spans="1:7">
      <c r="A90" s="42" t="s">
        <v>275</v>
      </c>
      <c r="B90" s="43"/>
      <c r="C90" s="43" t="s">
        <v>329</v>
      </c>
      <c r="D90" s="43" t="s">
        <v>276</v>
      </c>
      <c r="E90" s="44" t="s">
        <v>565</v>
      </c>
      <c r="F90" s="45"/>
      <c r="G90" s="46"/>
    </row>
    <row r="91" customHeight="1" spans="1:9">
      <c r="A91" s="47" t="s">
        <v>278</v>
      </c>
      <c r="B91" s="48"/>
      <c r="C91" s="49" t="s">
        <v>566</v>
      </c>
      <c r="D91" s="49"/>
      <c r="E91" s="49"/>
      <c r="F91" s="50" t="s">
        <v>280</v>
      </c>
      <c r="G91" s="51" t="s">
        <v>281</v>
      </c>
      <c r="I91" s="146"/>
    </row>
    <row r="92" customHeight="1" spans="1:7">
      <c r="A92" s="376" t="s">
        <v>567</v>
      </c>
      <c r="B92" s="377"/>
      <c r="C92" s="377"/>
      <c r="D92" s="377"/>
      <c r="E92" s="377"/>
      <c r="F92" s="377"/>
      <c r="G92" s="378"/>
    </row>
    <row r="93" customHeight="1" spans="1:7">
      <c r="A93" s="52" t="s">
        <v>546</v>
      </c>
      <c r="B93" s="53"/>
      <c r="C93" s="54"/>
      <c r="D93" s="54"/>
      <c r="E93" s="54"/>
      <c r="F93" s="54"/>
      <c r="G93" s="55"/>
    </row>
    <row r="94" customHeight="1" spans="1:7">
      <c r="A94" s="47" t="s">
        <v>284</v>
      </c>
      <c r="B94" s="50" t="s">
        <v>233</v>
      </c>
      <c r="C94" s="50"/>
      <c r="D94" s="50" t="s">
        <v>88</v>
      </c>
      <c r="E94" s="360" t="s">
        <v>130</v>
      </c>
      <c r="F94" s="50" t="s">
        <v>285</v>
      </c>
      <c r="G94" s="51" t="s">
        <v>286</v>
      </c>
    </row>
    <row r="95" customHeight="1" spans="1:7">
      <c r="A95" s="47" t="s">
        <v>9</v>
      </c>
      <c r="B95" s="379" t="s">
        <v>287</v>
      </c>
      <c r="C95" s="380"/>
      <c r="D95" s="50"/>
      <c r="E95" s="360"/>
      <c r="F95" s="360"/>
      <c r="G95" s="362">
        <f>G96+G121</f>
        <v>28288.29</v>
      </c>
    </row>
    <row r="96" customHeight="1" spans="1:7">
      <c r="A96" s="47" t="s">
        <v>132</v>
      </c>
      <c r="B96" s="379" t="s">
        <v>288</v>
      </c>
      <c r="C96" s="380"/>
      <c r="D96" s="50"/>
      <c r="E96" s="360"/>
      <c r="F96" s="360"/>
      <c r="G96" s="362">
        <f>G97+G100+G110+G118</f>
        <v>26992.64</v>
      </c>
    </row>
    <row r="97" customHeight="1" spans="1:7">
      <c r="A97" s="47" t="s">
        <v>39</v>
      </c>
      <c r="B97" s="379" t="s">
        <v>247</v>
      </c>
      <c r="C97" s="380"/>
      <c r="D97" s="50"/>
      <c r="E97" s="360"/>
      <c r="F97" s="360"/>
      <c r="G97" s="362">
        <f>SUM(G98:G99)</f>
        <v>7221.66</v>
      </c>
    </row>
    <row r="98" customHeight="1" spans="1:7">
      <c r="A98" s="47"/>
      <c r="B98" s="379" t="s">
        <v>289</v>
      </c>
      <c r="C98" s="380"/>
      <c r="D98" s="50" t="s">
        <v>290</v>
      </c>
      <c r="E98" s="363">
        <v>620.8</v>
      </c>
      <c r="F98" s="360">
        <f>主材!D21</f>
        <v>8.1</v>
      </c>
      <c r="G98" s="362">
        <f>E98*F98</f>
        <v>5028.48</v>
      </c>
    </row>
    <row r="99" customHeight="1" spans="1:7">
      <c r="A99" s="47"/>
      <c r="B99" s="379" t="s">
        <v>291</v>
      </c>
      <c r="C99" s="380"/>
      <c r="D99" s="50" t="s">
        <v>290</v>
      </c>
      <c r="E99" s="363">
        <v>380.1</v>
      </c>
      <c r="F99" s="360">
        <f>主材!D22</f>
        <v>5.77</v>
      </c>
      <c r="G99" s="362">
        <f>E99*F99</f>
        <v>2193.18</v>
      </c>
    </row>
    <row r="100" customHeight="1" spans="1:7">
      <c r="A100" s="47" t="s">
        <v>41</v>
      </c>
      <c r="B100" s="379" t="s">
        <v>248</v>
      </c>
      <c r="C100" s="380"/>
      <c r="D100" s="50"/>
      <c r="E100" s="360"/>
      <c r="F100" s="360"/>
      <c r="G100" s="362">
        <f>SUM(G101:G109)</f>
        <v>18349.79</v>
      </c>
    </row>
    <row r="101" customHeight="1" spans="1:7">
      <c r="A101" s="47"/>
      <c r="B101" s="379" t="s">
        <v>547</v>
      </c>
      <c r="C101" s="380"/>
      <c r="D101" s="50" t="s">
        <v>395</v>
      </c>
      <c r="E101" s="360">
        <v>0.03</v>
      </c>
      <c r="F101" s="360">
        <f>主材!M7</f>
        <v>2143.4</v>
      </c>
      <c r="G101" s="362">
        <f t="shared" ref="G101:G108" si="4">E101*F101</f>
        <v>64.3</v>
      </c>
    </row>
    <row r="102" customHeight="1" spans="1:7">
      <c r="A102" s="47"/>
      <c r="B102" s="379" t="s">
        <v>548</v>
      </c>
      <c r="C102" s="380"/>
      <c r="D102" s="50" t="s">
        <v>323</v>
      </c>
      <c r="E102" s="360">
        <v>0.98</v>
      </c>
      <c r="F102" s="360">
        <v>4.44</v>
      </c>
      <c r="G102" s="362">
        <f t="shared" si="4"/>
        <v>4.35</v>
      </c>
    </row>
    <row r="103" customHeight="1" spans="1:7">
      <c r="A103" s="47"/>
      <c r="B103" s="379" t="s">
        <v>549</v>
      </c>
      <c r="C103" s="380"/>
      <c r="D103" s="50" t="s">
        <v>323</v>
      </c>
      <c r="E103" s="360">
        <v>2.34</v>
      </c>
      <c r="F103" s="360">
        <v>4.5</v>
      </c>
      <c r="G103" s="362">
        <f t="shared" si="4"/>
        <v>10.53</v>
      </c>
    </row>
    <row r="104" customHeight="1" spans="1:7">
      <c r="A104" s="47"/>
      <c r="B104" s="379" t="s">
        <v>550</v>
      </c>
      <c r="C104" s="380"/>
      <c r="D104" s="50" t="s">
        <v>323</v>
      </c>
      <c r="E104" s="360">
        <v>3.14</v>
      </c>
      <c r="F104" s="360">
        <v>5.15</v>
      </c>
      <c r="G104" s="362">
        <f t="shared" si="4"/>
        <v>16.17</v>
      </c>
    </row>
    <row r="105" customHeight="1" spans="1:7">
      <c r="A105" s="47"/>
      <c r="B105" s="379" t="s">
        <v>551</v>
      </c>
      <c r="C105" s="380"/>
      <c r="D105" s="50" t="s">
        <v>323</v>
      </c>
      <c r="E105" s="360">
        <v>3.65</v>
      </c>
      <c r="F105" s="360">
        <v>6.39</v>
      </c>
      <c r="G105" s="362">
        <f t="shared" si="4"/>
        <v>23.32</v>
      </c>
    </row>
    <row r="106" customHeight="1" spans="1:7">
      <c r="A106" s="47"/>
      <c r="B106" s="379" t="s">
        <v>552</v>
      </c>
      <c r="C106" s="380"/>
      <c r="D106" s="50" t="s">
        <v>323</v>
      </c>
      <c r="E106" s="360">
        <v>0.08</v>
      </c>
      <c r="F106" s="360">
        <v>5.97</v>
      </c>
      <c r="G106" s="362">
        <f t="shared" si="4"/>
        <v>0.48</v>
      </c>
    </row>
    <row r="107" customHeight="1" spans="1:7">
      <c r="A107" s="47"/>
      <c r="B107" s="379" t="s">
        <v>568</v>
      </c>
      <c r="C107" s="380"/>
      <c r="D107" s="50" t="s">
        <v>395</v>
      </c>
      <c r="E107" s="364">
        <v>103</v>
      </c>
      <c r="F107" s="360">
        <f>混凝土单价!M5</f>
        <v>171.45</v>
      </c>
      <c r="G107" s="362">
        <f t="shared" si="4"/>
        <v>17659.35</v>
      </c>
    </row>
    <row r="108" customHeight="1" spans="1:7">
      <c r="A108" s="47"/>
      <c r="B108" s="379" t="s">
        <v>554</v>
      </c>
      <c r="C108" s="380"/>
      <c r="D108" s="50" t="s">
        <v>395</v>
      </c>
      <c r="E108" s="364">
        <v>120</v>
      </c>
      <c r="F108" s="364">
        <f>主材!D18</f>
        <v>4</v>
      </c>
      <c r="G108" s="362">
        <f t="shared" si="4"/>
        <v>480</v>
      </c>
    </row>
    <row r="109" customHeight="1" spans="1:7">
      <c r="A109" s="47"/>
      <c r="B109" s="379" t="s">
        <v>397</v>
      </c>
      <c r="C109" s="380"/>
      <c r="D109" s="50" t="s">
        <v>293</v>
      </c>
      <c r="E109" s="363">
        <v>0.5</v>
      </c>
      <c r="F109" s="360">
        <f>SUM(G101:G108)</f>
        <v>18258.5</v>
      </c>
      <c r="G109" s="362">
        <f>E109*F109/100</f>
        <v>91.29</v>
      </c>
    </row>
    <row r="110" customHeight="1" spans="1:7">
      <c r="A110" s="47" t="s">
        <v>46</v>
      </c>
      <c r="B110" s="379" t="s">
        <v>314</v>
      </c>
      <c r="C110" s="380"/>
      <c r="D110" s="50"/>
      <c r="E110" s="360"/>
      <c r="F110" s="360"/>
      <c r="G110" s="362">
        <f>SUM(G111:G117)</f>
        <v>622.94</v>
      </c>
    </row>
    <row r="111" customHeight="1" spans="1:7">
      <c r="A111" s="47"/>
      <c r="B111" s="379" t="s">
        <v>556</v>
      </c>
      <c r="C111" s="380"/>
      <c r="D111" s="50" t="s">
        <v>316</v>
      </c>
      <c r="E111" s="360">
        <v>0.08</v>
      </c>
      <c r="F111" s="360">
        <f>机械!E23</f>
        <v>49.39</v>
      </c>
      <c r="G111" s="362">
        <f t="shared" ref="G111:G116" si="5">E111*F111</f>
        <v>3.95</v>
      </c>
    </row>
    <row r="112" customHeight="1" spans="1:7">
      <c r="A112" s="47"/>
      <c r="B112" s="379" t="s">
        <v>569</v>
      </c>
      <c r="C112" s="380"/>
      <c r="D112" s="50" t="s">
        <v>316</v>
      </c>
      <c r="E112" s="360">
        <v>0.12</v>
      </c>
      <c r="F112" s="360">
        <f>机械!E33</f>
        <v>62.33</v>
      </c>
      <c r="G112" s="362">
        <f t="shared" si="5"/>
        <v>7.48</v>
      </c>
    </row>
    <row r="113" customHeight="1" spans="1:7">
      <c r="A113" s="47"/>
      <c r="B113" s="379" t="s">
        <v>557</v>
      </c>
      <c r="C113" s="380"/>
      <c r="D113" s="50" t="s">
        <v>316</v>
      </c>
      <c r="E113" s="360">
        <v>0.12</v>
      </c>
      <c r="F113" s="360">
        <f>机械!E47</f>
        <v>8.06</v>
      </c>
      <c r="G113" s="362">
        <f t="shared" si="5"/>
        <v>0.97</v>
      </c>
    </row>
    <row r="114" customHeight="1" spans="1:7">
      <c r="A114" s="47"/>
      <c r="B114" s="379" t="s">
        <v>403</v>
      </c>
      <c r="C114" s="380"/>
      <c r="D114" s="50" t="s">
        <v>316</v>
      </c>
      <c r="E114" s="360">
        <v>18.54</v>
      </c>
      <c r="F114" s="360">
        <f>机械!E16</f>
        <v>23.75</v>
      </c>
      <c r="G114" s="362">
        <f t="shared" si="5"/>
        <v>440.33</v>
      </c>
    </row>
    <row r="115" customHeight="1" spans="1:7">
      <c r="A115" s="47"/>
      <c r="B115" s="379" t="s">
        <v>555</v>
      </c>
      <c r="C115" s="380"/>
      <c r="D115" s="50" t="s">
        <v>316</v>
      </c>
      <c r="E115" s="360">
        <v>40.05</v>
      </c>
      <c r="F115" s="360">
        <f>机械!E17</f>
        <v>1.81</v>
      </c>
      <c r="G115" s="362">
        <f t="shared" si="5"/>
        <v>72.49</v>
      </c>
    </row>
    <row r="116" customHeight="1" spans="1:7">
      <c r="A116" s="47"/>
      <c r="B116" s="379" t="s">
        <v>404</v>
      </c>
      <c r="C116" s="380"/>
      <c r="D116" s="50" t="s">
        <v>316</v>
      </c>
      <c r="E116" s="360">
        <v>83</v>
      </c>
      <c r="F116" s="360">
        <f>机械!E29</f>
        <v>0.82</v>
      </c>
      <c r="G116" s="362">
        <f t="shared" si="5"/>
        <v>68.06</v>
      </c>
    </row>
    <row r="117" customHeight="1" spans="1:7">
      <c r="A117" s="47"/>
      <c r="B117" s="379" t="s">
        <v>370</v>
      </c>
      <c r="C117" s="380"/>
      <c r="D117" s="50" t="s">
        <v>293</v>
      </c>
      <c r="E117" s="364">
        <v>5</v>
      </c>
      <c r="F117" s="360">
        <f>SUM(G111:G116)</f>
        <v>593.28</v>
      </c>
      <c r="G117" s="362">
        <f>E117*F117/100</f>
        <v>29.66</v>
      </c>
    </row>
    <row r="118" customHeight="1" spans="1:7">
      <c r="A118" s="47" t="s">
        <v>305</v>
      </c>
      <c r="B118" s="379" t="s">
        <v>250</v>
      </c>
      <c r="C118" s="380"/>
      <c r="D118" s="50"/>
      <c r="E118" s="360"/>
      <c r="F118" s="360"/>
      <c r="G118" s="362">
        <f>SUM(G119:G120)</f>
        <v>798.25</v>
      </c>
    </row>
    <row r="119" customHeight="1" spans="1:7">
      <c r="A119" s="47"/>
      <c r="B119" s="379" t="s">
        <v>558</v>
      </c>
      <c r="C119" s="380"/>
      <c r="D119" s="50" t="s">
        <v>395</v>
      </c>
      <c r="E119" s="360">
        <v>103</v>
      </c>
      <c r="F119" s="360">
        <f>G562/100</f>
        <v>5.04</v>
      </c>
      <c r="G119" s="362">
        <f>E119*F119</f>
        <v>519.12</v>
      </c>
    </row>
    <row r="120" customHeight="1" spans="1:7">
      <c r="A120" s="47"/>
      <c r="B120" s="379" t="s">
        <v>559</v>
      </c>
      <c r="C120" s="380"/>
      <c r="D120" s="50" t="s">
        <v>395</v>
      </c>
      <c r="E120" s="360">
        <v>103</v>
      </c>
      <c r="F120" s="360">
        <f>G577/100</f>
        <v>2.71</v>
      </c>
      <c r="G120" s="362">
        <f>E120*F120</f>
        <v>279.13</v>
      </c>
    </row>
    <row r="121" customHeight="1" spans="1:7">
      <c r="A121" s="47" t="s">
        <v>133</v>
      </c>
      <c r="B121" s="379" t="s">
        <v>294</v>
      </c>
      <c r="C121" s="380"/>
      <c r="D121" s="50"/>
      <c r="E121" s="365">
        <f>G96</f>
        <v>26992.64</v>
      </c>
      <c r="F121" s="366">
        <f>费率!F4</f>
        <v>0.048</v>
      </c>
      <c r="G121" s="362">
        <f>E121*F121</f>
        <v>1295.65</v>
      </c>
    </row>
    <row r="122" customHeight="1" spans="1:7">
      <c r="A122" s="47" t="s">
        <v>14</v>
      </c>
      <c r="B122" s="379" t="s">
        <v>295</v>
      </c>
      <c r="C122" s="380"/>
      <c r="D122" s="50"/>
      <c r="E122" s="360">
        <f>G95</f>
        <v>28288.29</v>
      </c>
      <c r="F122" s="368">
        <f>费率!F5</f>
        <v>0.07</v>
      </c>
      <c r="G122" s="362">
        <f>E122*F122</f>
        <v>1980.18</v>
      </c>
    </row>
    <row r="123" customHeight="1" spans="1:7">
      <c r="A123" s="47" t="s">
        <v>16</v>
      </c>
      <c r="B123" s="379" t="s">
        <v>296</v>
      </c>
      <c r="C123" s="380"/>
      <c r="D123" s="50"/>
      <c r="E123" s="360">
        <f>G95+G122</f>
        <v>30268.47</v>
      </c>
      <c r="F123" s="368">
        <f>费率!F6</f>
        <v>0.07</v>
      </c>
      <c r="G123" s="362">
        <f>E123*F123</f>
        <v>2118.79</v>
      </c>
    </row>
    <row r="124" customHeight="1" spans="1:7">
      <c r="A124" s="47" t="s">
        <v>18</v>
      </c>
      <c r="B124" s="379" t="s">
        <v>254</v>
      </c>
      <c r="C124" s="380"/>
      <c r="D124" s="50"/>
      <c r="E124" s="360"/>
      <c r="F124" s="366"/>
      <c r="G124" s="362">
        <f>SUM(G125:G129)</f>
        <v>6785.92</v>
      </c>
    </row>
    <row r="125" customHeight="1" spans="1:7">
      <c r="A125" s="47"/>
      <c r="B125" s="379" t="s">
        <v>547</v>
      </c>
      <c r="C125" s="380"/>
      <c r="D125" s="50" t="s">
        <v>395</v>
      </c>
      <c r="E125" s="360">
        <f>E101</f>
        <v>0.03</v>
      </c>
      <c r="F125" s="367">
        <f>主材!N7</f>
        <v>0</v>
      </c>
      <c r="G125" s="362">
        <f t="shared" ref="G125:G131" si="6">E125*F125</f>
        <v>0</v>
      </c>
    </row>
    <row r="126" customHeight="1" spans="1:7">
      <c r="A126" s="47"/>
      <c r="B126" s="379" t="s">
        <v>405</v>
      </c>
      <c r="C126" s="380"/>
      <c r="D126" s="50" t="s">
        <v>158</v>
      </c>
      <c r="E126" s="360">
        <f>E107*混凝土单价!E5</f>
        <v>29.36</v>
      </c>
      <c r="F126" s="367">
        <f>主材!N6</f>
        <v>135.66</v>
      </c>
      <c r="G126" s="362">
        <f t="shared" si="6"/>
        <v>3982.98</v>
      </c>
    </row>
    <row r="127" customHeight="1" spans="1:7">
      <c r="A127" s="47"/>
      <c r="B127" s="379" t="s">
        <v>396</v>
      </c>
      <c r="C127" s="380"/>
      <c r="D127" s="50" t="s">
        <v>395</v>
      </c>
      <c r="E127" s="360">
        <f>E107*混凝土单价!G5</f>
        <v>57.68</v>
      </c>
      <c r="F127" s="367">
        <f>主材!$N$9</f>
        <v>37.93</v>
      </c>
      <c r="G127" s="362">
        <f t="shared" si="6"/>
        <v>2187.8</v>
      </c>
    </row>
    <row r="128" customHeight="1" spans="1:7">
      <c r="A128" s="47"/>
      <c r="B128" s="379" t="s">
        <v>467</v>
      </c>
      <c r="C128" s="380"/>
      <c r="D128" s="50" t="s">
        <v>395</v>
      </c>
      <c r="E128" s="360">
        <f>E107*混凝土单价!I5</f>
        <v>86.52</v>
      </c>
      <c r="F128" s="367">
        <f>主材!N10</f>
        <v>7.03</v>
      </c>
      <c r="G128" s="362">
        <f t="shared" si="6"/>
        <v>608.24</v>
      </c>
    </row>
    <row r="129" customHeight="1" spans="1:7">
      <c r="A129" s="47"/>
      <c r="B129" s="379" t="s">
        <v>522</v>
      </c>
      <c r="C129" s="380"/>
      <c r="D129" s="50" t="s">
        <v>323</v>
      </c>
      <c r="E129" s="360">
        <f>E111*7.2+E112*5.8</f>
        <v>1.27</v>
      </c>
      <c r="F129" s="367">
        <f>主材!N14</f>
        <v>5.43</v>
      </c>
      <c r="G129" s="362">
        <f t="shared" si="6"/>
        <v>6.9</v>
      </c>
    </row>
    <row r="130" customHeight="1" spans="1:7">
      <c r="A130" s="47" t="s">
        <v>20</v>
      </c>
      <c r="B130" s="379" t="s">
        <v>297</v>
      </c>
      <c r="C130" s="380"/>
      <c r="D130" s="50"/>
      <c r="E130" s="360">
        <f>G95+G122++G123+G124</f>
        <v>39173.18</v>
      </c>
      <c r="F130" s="366">
        <f>费率!F7</f>
        <v>0.09</v>
      </c>
      <c r="G130" s="362">
        <f t="shared" si="6"/>
        <v>3525.59</v>
      </c>
    </row>
    <row r="131" customHeight="1" spans="1:7">
      <c r="A131" s="47"/>
      <c r="B131" s="379" t="s">
        <v>298</v>
      </c>
      <c r="C131" s="380"/>
      <c r="D131" s="50"/>
      <c r="E131" s="360">
        <f>G95+G122+G123+G124+G130</f>
        <v>42698.77</v>
      </c>
      <c r="F131" s="368">
        <v>0.03</v>
      </c>
      <c r="G131" s="362">
        <f t="shared" si="6"/>
        <v>1280.96</v>
      </c>
    </row>
    <row r="132" customHeight="1" spans="1:7">
      <c r="A132" s="369"/>
      <c r="B132" s="381" t="s">
        <v>560</v>
      </c>
      <c r="C132" s="382"/>
      <c r="D132" s="370"/>
      <c r="E132" s="371"/>
      <c r="F132" s="370"/>
      <c r="G132" s="372">
        <f>G95+G122+G123+G124+G130+G131</f>
        <v>43979.73</v>
      </c>
    </row>
    <row r="133" customHeight="1" spans="1:7">
      <c r="A133" s="373"/>
      <c r="B133" s="373"/>
      <c r="C133" s="373"/>
      <c r="D133" s="373"/>
      <c r="E133" s="374"/>
      <c r="F133" s="373"/>
      <c r="G133" s="374"/>
    </row>
    <row r="134" customHeight="1" spans="1:7">
      <c r="A134" s="383" t="s">
        <v>274</v>
      </c>
      <c r="B134" s="383"/>
      <c r="C134" s="383"/>
      <c r="D134" s="383"/>
      <c r="E134" s="383"/>
      <c r="F134" s="383"/>
      <c r="G134" s="383"/>
    </row>
    <row r="135" customHeight="1" spans="1:7">
      <c r="A135" s="42" t="s">
        <v>275</v>
      </c>
      <c r="B135" s="43"/>
      <c r="C135" s="43" t="s">
        <v>318</v>
      </c>
      <c r="D135" s="43" t="s">
        <v>276</v>
      </c>
      <c r="E135" s="44" t="s">
        <v>570</v>
      </c>
      <c r="F135" s="45"/>
      <c r="G135" s="46"/>
    </row>
    <row r="136" customHeight="1" spans="1:7">
      <c r="A136" s="47" t="s">
        <v>278</v>
      </c>
      <c r="B136" s="48"/>
      <c r="C136" s="49" t="s">
        <v>571</v>
      </c>
      <c r="D136" s="49"/>
      <c r="E136" s="49"/>
      <c r="F136" s="50" t="s">
        <v>280</v>
      </c>
      <c r="G136" s="51" t="s">
        <v>281</v>
      </c>
    </row>
    <row r="137" customHeight="1" spans="1:7">
      <c r="A137" s="376" t="s">
        <v>572</v>
      </c>
      <c r="B137" s="377"/>
      <c r="C137" s="377"/>
      <c r="D137" s="377"/>
      <c r="E137" s="377"/>
      <c r="F137" s="377"/>
      <c r="G137" s="378"/>
    </row>
    <row r="138" customHeight="1" spans="1:7">
      <c r="A138" s="52" t="s">
        <v>546</v>
      </c>
      <c r="B138" s="53"/>
      <c r="C138" s="54"/>
      <c r="D138" s="54"/>
      <c r="E138" s="54"/>
      <c r="F138" s="54"/>
      <c r="G138" s="55"/>
    </row>
    <row r="139" customHeight="1" spans="1:7">
      <c r="A139" s="47" t="s">
        <v>284</v>
      </c>
      <c r="B139" s="50" t="s">
        <v>233</v>
      </c>
      <c r="C139" s="50"/>
      <c r="D139" s="50" t="s">
        <v>88</v>
      </c>
      <c r="E139" s="360" t="s">
        <v>130</v>
      </c>
      <c r="F139" s="50" t="s">
        <v>285</v>
      </c>
      <c r="G139" s="51" t="s">
        <v>286</v>
      </c>
    </row>
    <row r="140" customHeight="1" spans="1:7">
      <c r="A140" s="47" t="s">
        <v>9</v>
      </c>
      <c r="B140" s="379" t="s">
        <v>287</v>
      </c>
      <c r="C140" s="380"/>
      <c r="D140" s="50"/>
      <c r="E140" s="360"/>
      <c r="F140" s="360"/>
      <c r="G140" s="362">
        <f>G141+G157</f>
        <v>28243.08</v>
      </c>
    </row>
    <row r="141" customHeight="1" spans="1:7">
      <c r="A141" s="47" t="s">
        <v>132</v>
      </c>
      <c r="B141" s="379" t="s">
        <v>288</v>
      </c>
      <c r="C141" s="380"/>
      <c r="D141" s="50"/>
      <c r="E141" s="360"/>
      <c r="F141" s="360"/>
      <c r="G141" s="362">
        <f>G142+G145+G149+G154</f>
        <v>26949.5</v>
      </c>
    </row>
    <row r="142" customHeight="1" spans="1:7">
      <c r="A142" s="47" t="s">
        <v>39</v>
      </c>
      <c r="B142" s="379" t="s">
        <v>247</v>
      </c>
      <c r="C142" s="380"/>
      <c r="D142" s="50"/>
      <c r="E142" s="360"/>
      <c r="F142" s="360"/>
      <c r="G142" s="362">
        <f>SUM(G143:G144)</f>
        <v>6278.86</v>
      </c>
    </row>
    <row r="143" customHeight="1" spans="1:7">
      <c r="A143" s="47"/>
      <c r="B143" s="379" t="s">
        <v>289</v>
      </c>
      <c r="C143" s="380"/>
      <c r="D143" s="50" t="s">
        <v>290</v>
      </c>
      <c r="E143" s="363">
        <v>417</v>
      </c>
      <c r="F143" s="360">
        <f>主材!D21</f>
        <v>8.1</v>
      </c>
      <c r="G143" s="362">
        <f>E143*F143</f>
        <v>3377.7</v>
      </c>
    </row>
    <row r="144" customHeight="1" spans="1:7">
      <c r="A144" s="47"/>
      <c r="B144" s="379" t="s">
        <v>291</v>
      </c>
      <c r="C144" s="380"/>
      <c r="D144" s="50" t="s">
        <v>290</v>
      </c>
      <c r="E144" s="363">
        <v>502.8</v>
      </c>
      <c r="F144" s="360">
        <f>主材!D22</f>
        <v>5.77</v>
      </c>
      <c r="G144" s="362">
        <f>E144*F144</f>
        <v>2901.16</v>
      </c>
    </row>
    <row r="145" customHeight="1" spans="1:7">
      <c r="A145" s="47" t="s">
        <v>41</v>
      </c>
      <c r="B145" s="379" t="s">
        <v>248</v>
      </c>
      <c r="C145" s="380"/>
      <c r="D145" s="50"/>
      <c r="E145" s="360"/>
      <c r="F145" s="360"/>
      <c r="G145" s="362">
        <f>SUM(G146:G148)</f>
        <v>19254.96</v>
      </c>
    </row>
    <row r="146" customHeight="1" spans="1:7">
      <c r="A146" s="47"/>
      <c r="B146" s="379" t="s">
        <v>549</v>
      </c>
      <c r="C146" s="380"/>
      <c r="D146" s="50" t="s">
        <v>323</v>
      </c>
      <c r="E146" s="360">
        <v>50</v>
      </c>
      <c r="F146" s="360">
        <v>4.5</v>
      </c>
      <c r="G146" s="362">
        <f>E146*F146</f>
        <v>225</v>
      </c>
    </row>
    <row r="147" customHeight="1" spans="1:7">
      <c r="A147" s="47"/>
      <c r="B147" s="379" t="s">
        <v>553</v>
      </c>
      <c r="C147" s="380"/>
      <c r="D147" s="50" t="s">
        <v>395</v>
      </c>
      <c r="E147" s="364">
        <v>103</v>
      </c>
      <c r="F147" s="360">
        <f>混凝土单价!$M$6</f>
        <v>177.12</v>
      </c>
      <c r="G147" s="362">
        <f>E147*F147</f>
        <v>18243.36</v>
      </c>
    </row>
    <row r="148" customHeight="1" spans="1:7">
      <c r="A148" s="47"/>
      <c r="B148" s="379" t="s">
        <v>554</v>
      </c>
      <c r="C148" s="380"/>
      <c r="D148" s="50" t="s">
        <v>395</v>
      </c>
      <c r="E148" s="364">
        <v>180</v>
      </c>
      <c r="F148" s="360">
        <f>主材!D18</f>
        <v>4.37</v>
      </c>
      <c r="G148" s="362">
        <f>E148*F148</f>
        <v>786.6</v>
      </c>
    </row>
    <row r="149" customHeight="1" spans="1:7">
      <c r="A149" s="47" t="s">
        <v>46</v>
      </c>
      <c r="B149" s="379" t="s">
        <v>314</v>
      </c>
      <c r="C149" s="380"/>
      <c r="D149" s="50"/>
      <c r="E149" s="360"/>
      <c r="F149" s="360"/>
      <c r="G149" s="362">
        <f>SUM(G150:G153)</f>
        <v>617.43</v>
      </c>
    </row>
    <row r="150" customHeight="1" spans="1:7">
      <c r="A150" s="47"/>
      <c r="B150" s="379" t="s">
        <v>555</v>
      </c>
      <c r="C150" s="380"/>
      <c r="D150" s="50" t="s">
        <v>316</v>
      </c>
      <c r="E150" s="360">
        <v>44</v>
      </c>
      <c r="F150" s="360">
        <f>机械!E17</f>
        <v>1.81</v>
      </c>
      <c r="G150" s="362">
        <f>E150*F150</f>
        <v>79.64</v>
      </c>
    </row>
    <row r="151" customHeight="1" spans="1:7">
      <c r="A151" s="47"/>
      <c r="B151" s="379" t="s">
        <v>403</v>
      </c>
      <c r="C151" s="380"/>
      <c r="D151" s="50" t="s">
        <v>316</v>
      </c>
      <c r="E151" s="360">
        <v>18.54</v>
      </c>
      <c r="F151" s="360">
        <f>机械!E16</f>
        <v>23.75</v>
      </c>
      <c r="G151" s="362">
        <f>E151*F151</f>
        <v>440.33</v>
      </c>
    </row>
    <row r="152" customHeight="1" spans="1:7">
      <c r="A152" s="47"/>
      <c r="B152" s="379" t="s">
        <v>404</v>
      </c>
      <c r="C152" s="380"/>
      <c r="D152" s="50" t="s">
        <v>316</v>
      </c>
      <c r="E152" s="360">
        <v>83</v>
      </c>
      <c r="F152" s="360">
        <f>机械!E29</f>
        <v>0.82</v>
      </c>
      <c r="G152" s="362">
        <f>E152*F152</f>
        <v>68.06</v>
      </c>
    </row>
    <row r="153" customHeight="1" spans="1:7">
      <c r="A153" s="47"/>
      <c r="B153" s="379" t="s">
        <v>370</v>
      </c>
      <c r="C153" s="380"/>
      <c r="D153" s="50" t="s">
        <v>293</v>
      </c>
      <c r="E153" s="364">
        <v>5</v>
      </c>
      <c r="F153" s="360">
        <f>SUM(G150:G152)</f>
        <v>588.03</v>
      </c>
      <c r="G153" s="362">
        <f>E153*F153/100</f>
        <v>29.4</v>
      </c>
    </row>
    <row r="154" customHeight="1" spans="1:7">
      <c r="A154" s="47" t="s">
        <v>305</v>
      </c>
      <c r="B154" s="379" t="s">
        <v>250</v>
      </c>
      <c r="C154" s="380"/>
      <c r="D154" s="50"/>
      <c r="E154" s="360"/>
      <c r="F154" s="360"/>
      <c r="G154" s="362">
        <f>SUM(G155:G156)</f>
        <v>798.25</v>
      </c>
    </row>
    <row r="155" customHeight="1" spans="1:7">
      <c r="A155" s="47"/>
      <c r="B155" s="379" t="s">
        <v>558</v>
      </c>
      <c r="C155" s="380"/>
      <c r="D155" s="50" t="s">
        <v>395</v>
      </c>
      <c r="E155" s="360">
        <v>103</v>
      </c>
      <c r="F155" s="360">
        <f>G562/100</f>
        <v>5.04</v>
      </c>
      <c r="G155" s="362">
        <f>E155*F155</f>
        <v>519.12</v>
      </c>
    </row>
    <row r="156" customHeight="1" spans="1:7">
      <c r="A156" s="47"/>
      <c r="B156" s="379" t="s">
        <v>559</v>
      </c>
      <c r="C156" s="380"/>
      <c r="D156" s="50" t="s">
        <v>395</v>
      </c>
      <c r="E156" s="360">
        <v>103</v>
      </c>
      <c r="F156" s="360">
        <f>G577/100</f>
        <v>2.71</v>
      </c>
      <c r="G156" s="362">
        <f>E156*F156</f>
        <v>279.13</v>
      </c>
    </row>
    <row r="157" customHeight="1" spans="1:7">
      <c r="A157" s="47" t="s">
        <v>133</v>
      </c>
      <c r="B157" s="379" t="s">
        <v>294</v>
      </c>
      <c r="C157" s="380"/>
      <c r="D157" s="50"/>
      <c r="E157" s="365">
        <f>G141</f>
        <v>26949.5</v>
      </c>
      <c r="F157" s="366">
        <f>费率!F4</f>
        <v>0.048</v>
      </c>
      <c r="G157" s="362">
        <f>E157*F157</f>
        <v>1293.58</v>
      </c>
    </row>
    <row r="158" customHeight="1" spans="1:7">
      <c r="A158" s="47" t="s">
        <v>14</v>
      </c>
      <c r="B158" s="379" t="s">
        <v>295</v>
      </c>
      <c r="C158" s="380"/>
      <c r="D158" s="50"/>
      <c r="E158" s="360">
        <f>G140</f>
        <v>28243.08</v>
      </c>
      <c r="F158" s="368">
        <f>费率!F5</f>
        <v>0.07</v>
      </c>
      <c r="G158" s="362">
        <f>E158*F158</f>
        <v>1977.02</v>
      </c>
    </row>
    <row r="159" customHeight="1" spans="1:7">
      <c r="A159" s="47" t="s">
        <v>16</v>
      </c>
      <c r="B159" s="379" t="s">
        <v>296</v>
      </c>
      <c r="C159" s="380"/>
      <c r="D159" s="50"/>
      <c r="E159" s="360">
        <f>G140+G158</f>
        <v>30220.1</v>
      </c>
      <c r="F159" s="368">
        <f>费率!F6</f>
        <v>0.07</v>
      </c>
      <c r="G159" s="362">
        <f>E159*F159</f>
        <v>2115.41</v>
      </c>
    </row>
    <row r="160" customHeight="1" spans="1:7">
      <c r="A160" s="47" t="s">
        <v>18</v>
      </c>
      <c r="B160" s="379" t="s">
        <v>254</v>
      </c>
      <c r="C160" s="380"/>
      <c r="D160" s="50"/>
      <c r="E160" s="360"/>
      <c r="F160" s="366"/>
      <c r="G160" s="362">
        <f>SUM(G161:G163)</f>
        <v>7088.59</v>
      </c>
    </row>
    <row r="161" customHeight="1" spans="1:7">
      <c r="A161" s="47"/>
      <c r="B161" s="379" t="s">
        <v>405</v>
      </c>
      <c r="C161" s="380"/>
      <c r="D161" s="50" t="s">
        <v>158</v>
      </c>
      <c r="E161" s="360">
        <f>E147*混凝土单价!$E$6</f>
        <v>31.93</v>
      </c>
      <c r="F161" s="367">
        <f>主材!N6</f>
        <v>135.66</v>
      </c>
      <c r="G161" s="362">
        <f>E161*F161</f>
        <v>4331.62</v>
      </c>
    </row>
    <row r="162" customHeight="1" spans="1:7">
      <c r="A162" s="47"/>
      <c r="B162" s="379" t="s">
        <v>396</v>
      </c>
      <c r="C162" s="380"/>
      <c r="D162" s="50" t="s">
        <v>395</v>
      </c>
      <c r="E162" s="360">
        <f>E147*混凝土单价!$G$6</f>
        <v>56.65</v>
      </c>
      <c r="F162" s="367">
        <f>主材!$N$9</f>
        <v>37.93</v>
      </c>
      <c r="G162" s="362">
        <f>E162*F162</f>
        <v>2148.73</v>
      </c>
    </row>
    <row r="163" customHeight="1" spans="1:7">
      <c r="A163" s="47"/>
      <c r="B163" s="379" t="s">
        <v>467</v>
      </c>
      <c r="C163" s="380"/>
      <c r="D163" s="50" t="s">
        <v>395</v>
      </c>
      <c r="E163" s="360">
        <f>E147*混凝土单价!$I$6</f>
        <v>86.52</v>
      </c>
      <c r="F163" s="367">
        <f>主材!N10</f>
        <v>7.03</v>
      </c>
      <c r="G163" s="362">
        <f>E163*F163</f>
        <v>608.24</v>
      </c>
    </row>
    <row r="164" customHeight="1" spans="1:7">
      <c r="A164" s="47" t="s">
        <v>20</v>
      </c>
      <c r="B164" s="379" t="s">
        <v>297</v>
      </c>
      <c r="C164" s="380"/>
      <c r="D164" s="50"/>
      <c r="E164" s="360">
        <f>G140+G158++G159+G160</f>
        <v>39424.1</v>
      </c>
      <c r="F164" s="366">
        <f>费率!F7</f>
        <v>0.09</v>
      </c>
      <c r="G164" s="362">
        <f>E164*F164</f>
        <v>3548.17</v>
      </c>
    </row>
    <row r="165" customHeight="1" spans="1:7">
      <c r="A165" s="47"/>
      <c r="B165" s="379" t="s">
        <v>298</v>
      </c>
      <c r="C165" s="380"/>
      <c r="D165" s="50"/>
      <c r="E165" s="360">
        <f>G140+G158+G159+G160+G164</f>
        <v>42972.27</v>
      </c>
      <c r="F165" s="368">
        <v>0.03</v>
      </c>
      <c r="G165" s="362">
        <f>E165*F165</f>
        <v>1289.17</v>
      </c>
    </row>
    <row r="166" customHeight="1" spans="1:7">
      <c r="A166" s="369"/>
      <c r="B166" s="381" t="s">
        <v>560</v>
      </c>
      <c r="C166" s="382"/>
      <c r="D166" s="370"/>
      <c r="E166" s="371"/>
      <c r="F166" s="370"/>
      <c r="G166" s="372">
        <f>G140+G158+G159+G160+G164+G165</f>
        <v>44261.44</v>
      </c>
    </row>
    <row r="167" customHeight="1" spans="1:7">
      <c r="A167" s="373"/>
      <c r="B167" s="373"/>
      <c r="C167" s="373"/>
      <c r="D167" s="373"/>
      <c r="E167" s="374"/>
      <c r="F167" s="373"/>
      <c r="G167" s="374"/>
    </row>
    <row r="168" customHeight="1" spans="1:7">
      <c r="A168" s="383" t="s">
        <v>274</v>
      </c>
      <c r="B168" s="383"/>
      <c r="C168" s="383"/>
      <c r="D168" s="383"/>
      <c r="E168" s="383"/>
      <c r="F168" s="383"/>
      <c r="G168" s="383"/>
    </row>
    <row r="169" customHeight="1" spans="1:7">
      <c r="A169" s="42" t="s">
        <v>275</v>
      </c>
      <c r="B169" s="43"/>
      <c r="C169" s="43" t="s">
        <v>334</v>
      </c>
      <c r="D169" s="43" t="s">
        <v>276</v>
      </c>
      <c r="E169" s="44" t="s">
        <v>573</v>
      </c>
      <c r="F169" s="45"/>
      <c r="G169" s="46"/>
    </row>
    <row r="170" customHeight="1" spans="1:7">
      <c r="A170" s="47" t="s">
        <v>278</v>
      </c>
      <c r="B170" s="48"/>
      <c r="C170" s="49" t="s">
        <v>574</v>
      </c>
      <c r="D170" s="49"/>
      <c r="E170" s="49"/>
      <c r="F170" s="50" t="s">
        <v>280</v>
      </c>
      <c r="G170" s="51" t="s">
        <v>281</v>
      </c>
    </row>
    <row r="171" customHeight="1" spans="1:7">
      <c r="A171" s="376" t="s">
        <v>575</v>
      </c>
      <c r="B171" s="377"/>
      <c r="C171" s="377"/>
      <c r="D171" s="377"/>
      <c r="E171" s="377"/>
      <c r="F171" s="377"/>
      <c r="G171" s="378"/>
    </row>
    <row r="172" customHeight="1" spans="1:7">
      <c r="A172" s="52" t="s">
        <v>546</v>
      </c>
      <c r="B172" s="53"/>
      <c r="C172" s="54"/>
      <c r="D172" s="54"/>
      <c r="E172" s="54"/>
      <c r="F172" s="54"/>
      <c r="G172" s="55"/>
    </row>
    <row r="173" customHeight="1" spans="1:7">
      <c r="A173" s="47" t="s">
        <v>284</v>
      </c>
      <c r="B173" s="50" t="s">
        <v>233</v>
      </c>
      <c r="C173" s="50"/>
      <c r="D173" s="50" t="s">
        <v>88</v>
      </c>
      <c r="E173" s="360" t="s">
        <v>130</v>
      </c>
      <c r="F173" s="50" t="s">
        <v>285</v>
      </c>
      <c r="G173" s="51" t="s">
        <v>286</v>
      </c>
    </row>
    <row r="174" customHeight="1" spans="1:7">
      <c r="A174" s="47" t="s">
        <v>9</v>
      </c>
      <c r="B174" s="379" t="s">
        <v>287</v>
      </c>
      <c r="C174" s="380"/>
      <c r="D174" s="50"/>
      <c r="E174" s="360"/>
      <c r="F174" s="360"/>
      <c r="G174" s="362">
        <f>G175+G192</f>
        <v>30245.81</v>
      </c>
    </row>
    <row r="175" customHeight="1" spans="1:7">
      <c r="A175" s="47" t="s">
        <v>132</v>
      </c>
      <c r="B175" s="379" t="s">
        <v>288</v>
      </c>
      <c r="C175" s="380"/>
      <c r="D175" s="50"/>
      <c r="E175" s="360"/>
      <c r="F175" s="360"/>
      <c r="G175" s="362">
        <f>G176+G179+G184+G189</f>
        <v>28860.51</v>
      </c>
    </row>
    <row r="176" customHeight="1" spans="1:7">
      <c r="A176" s="47" t="s">
        <v>39</v>
      </c>
      <c r="B176" s="379" t="s">
        <v>247</v>
      </c>
      <c r="C176" s="380"/>
      <c r="D176" s="50"/>
      <c r="E176" s="360"/>
      <c r="F176" s="360"/>
      <c r="G176" s="362">
        <f>SUM(G177:G178)</f>
        <v>7770.07</v>
      </c>
    </row>
    <row r="177" customHeight="1" spans="1:7">
      <c r="A177" s="47"/>
      <c r="B177" s="379" t="s">
        <v>289</v>
      </c>
      <c r="C177" s="380"/>
      <c r="D177" s="50" t="s">
        <v>290</v>
      </c>
      <c r="E177" s="363">
        <v>601.1</v>
      </c>
      <c r="F177" s="360">
        <f>主材!D21</f>
        <v>8.1</v>
      </c>
      <c r="G177" s="362">
        <f>E177*F177</f>
        <v>4868.91</v>
      </c>
    </row>
    <row r="178" customHeight="1" spans="1:7">
      <c r="A178" s="47"/>
      <c r="B178" s="379" t="s">
        <v>291</v>
      </c>
      <c r="C178" s="380"/>
      <c r="D178" s="50" t="s">
        <v>290</v>
      </c>
      <c r="E178" s="363">
        <v>502.8</v>
      </c>
      <c r="F178" s="360">
        <f>主材!D22</f>
        <v>5.77</v>
      </c>
      <c r="G178" s="362">
        <f>E178*F178</f>
        <v>2901.16</v>
      </c>
    </row>
    <row r="179" customHeight="1" spans="1:7">
      <c r="A179" s="47" t="s">
        <v>41</v>
      </c>
      <c r="B179" s="379" t="s">
        <v>248</v>
      </c>
      <c r="C179" s="380"/>
      <c r="D179" s="50"/>
      <c r="E179" s="360"/>
      <c r="F179" s="360"/>
      <c r="G179" s="362">
        <f>SUM(G180:G183)</f>
        <v>19674.76</v>
      </c>
    </row>
    <row r="180" customHeight="1" spans="1:7">
      <c r="A180" s="47"/>
      <c r="B180" s="379" t="s">
        <v>549</v>
      </c>
      <c r="C180" s="380"/>
      <c r="D180" s="50" t="s">
        <v>323</v>
      </c>
      <c r="E180" s="360">
        <v>100</v>
      </c>
      <c r="F180" s="360">
        <v>4.5</v>
      </c>
      <c r="G180" s="362">
        <f>E180*F180</f>
        <v>450</v>
      </c>
    </row>
    <row r="181" customHeight="1" spans="1:7">
      <c r="A181" s="47"/>
      <c r="B181" s="379" t="s">
        <v>553</v>
      </c>
      <c r="C181" s="380"/>
      <c r="D181" s="50" t="s">
        <v>395</v>
      </c>
      <c r="E181" s="364">
        <v>103</v>
      </c>
      <c r="F181" s="360">
        <f>混凝土单价!$M$6</f>
        <v>177.12</v>
      </c>
      <c r="G181" s="362">
        <f>E181*F181</f>
        <v>18243.36</v>
      </c>
    </row>
    <row r="182" customHeight="1" spans="1:7">
      <c r="A182" s="47"/>
      <c r="B182" s="379" t="s">
        <v>554</v>
      </c>
      <c r="C182" s="380"/>
      <c r="D182" s="50" t="s">
        <v>395</v>
      </c>
      <c r="E182" s="364">
        <v>180</v>
      </c>
      <c r="F182" s="360">
        <f>主材!D18</f>
        <v>4.37</v>
      </c>
      <c r="G182" s="362">
        <f>E182*F182</f>
        <v>786.6</v>
      </c>
    </row>
    <row r="183" customHeight="1" spans="1:7">
      <c r="A183" s="47"/>
      <c r="B183" s="379" t="s">
        <v>397</v>
      </c>
      <c r="C183" s="380"/>
      <c r="D183" s="50" t="s">
        <v>293</v>
      </c>
      <c r="E183" s="364">
        <v>1</v>
      </c>
      <c r="F183" s="360">
        <f>SUM(G180:G182)</f>
        <v>19479.96</v>
      </c>
      <c r="G183" s="362">
        <f>E183*F183/100</f>
        <v>194.8</v>
      </c>
    </row>
    <row r="184" customHeight="1" spans="1:7">
      <c r="A184" s="47" t="s">
        <v>46</v>
      </c>
      <c r="B184" s="379" t="s">
        <v>314</v>
      </c>
      <c r="C184" s="380"/>
      <c r="D184" s="50"/>
      <c r="E184" s="360"/>
      <c r="F184" s="360"/>
      <c r="G184" s="362">
        <f>SUM(G185:G188)</f>
        <v>617.43</v>
      </c>
    </row>
    <row r="185" customHeight="1" spans="1:7">
      <c r="A185" s="47"/>
      <c r="B185" s="379" t="s">
        <v>555</v>
      </c>
      <c r="C185" s="380"/>
      <c r="D185" s="50" t="s">
        <v>316</v>
      </c>
      <c r="E185" s="360">
        <v>44</v>
      </c>
      <c r="F185" s="360">
        <f>机械!E17</f>
        <v>1.81</v>
      </c>
      <c r="G185" s="362">
        <f>E185*F185</f>
        <v>79.64</v>
      </c>
    </row>
    <row r="186" customHeight="1" spans="1:7">
      <c r="A186" s="47"/>
      <c r="B186" s="379" t="s">
        <v>403</v>
      </c>
      <c r="C186" s="380"/>
      <c r="D186" s="50" t="s">
        <v>316</v>
      </c>
      <c r="E186" s="360">
        <v>18.54</v>
      </c>
      <c r="F186" s="360">
        <f>机械!E16</f>
        <v>23.75</v>
      </c>
      <c r="G186" s="362">
        <f>E186*F186</f>
        <v>440.33</v>
      </c>
    </row>
    <row r="187" customHeight="1" spans="1:7">
      <c r="A187" s="47"/>
      <c r="B187" s="379" t="s">
        <v>404</v>
      </c>
      <c r="C187" s="380"/>
      <c r="D187" s="50" t="s">
        <v>316</v>
      </c>
      <c r="E187" s="360">
        <v>83</v>
      </c>
      <c r="F187" s="360">
        <f>机械!E29</f>
        <v>0.82</v>
      </c>
      <c r="G187" s="362">
        <f>E187*F187</f>
        <v>68.06</v>
      </c>
    </row>
    <row r="188" customHeight="1" spans="1:7">
      <c r="A188" s="47"/>
      <c r="B188" s="379" t="s">
        <v>370</v>
      </c>
      <c r="C188" s="380"/>
      <c r="D188" s="50" t="s">
        <v>293</v>
      </c>
      <c r="E188" s="364">
        <v>5</v>
      </c>
      <c r="F188" s="360">
        <f>SUM(G185:G187)</f>
        <v>588.03</v>
      </c>
      <c r="G188" s="362">
        <f>E188*F188/100</f>
        <v>29.4</v>
      </c>
    </row>
    <row r="189" customHeight="1" spans="1:7">
      <c r="A189" s="47" t="s">
        <v>305</v>
      </c>
      <c r="B189" s="379" t="s">
        <v>250</v>
      </c>
      <c r="C189" s="380"/>
      <c r="D189" s="50"/>
      <c r="E189" s="360"/>
      <c r="F189" s="360"/>
      <c r="G189" s="362">
        <f>SUM(G190:G191)</f>
        <v>798.25</v>
      </c>
    </row>
    <row r="190" customHeight="1" spans="1:7">
      <c r="A190" s="47"/>
      <c r="B190" s="379" t="s">
        <v>558</v>
      </c>
      <c r="C190" s="380"/>
      <c r="D190" s="50" t="s">
        <v>395</v>
      </c>
      <c r="E190" s="360">
        <v>103</v>
      </c>
      <c r="F190" s="360">
        <f>G562/100</f>
        <v>5.04</v>
      </c>
      <c r="G190" s="362">
        <f>E190*F190</f>
        <v>519.12</v>
      </c>
    </row>
    <row r="191" customHeight="1" spans="1:7">
      <c r="A191" s="47"/>
      <c r="B191" s="379" t="s">
        <v>559</v>
      </c>
      <c r="C191" s="380"/>
      <c r="D191" s="50" t="s">
        <v>395</v>
      </c>
      <c r="E191" s="360">
        <v>103</v>
      </c>
      <c r="F191" s="360">
        <f>G577/100</f>
        <v>2.71</v>
      </c>
      <c r="G191" s="362">
        <f>E191*F191</f>
        <v>279.13</v>
      </c>
    </row>
    <row r="192" customHeight="1" spans="1:7">
      <c r="A192" s="47" t="s">
        <v>133</v>
      </c>
      <c r="B192" s="379" t="s">
        <v>294</v>
      </c>
      <c r="C192" s="380"/>
      <c r="D192" s="50"/>
      <c r="E192" s="365">
        <f>G175</f>
        <v>28860.51</v>
      </c>
      <c r="F192" s="366">
        <f>费率!F4</f>
        <v>0.048</v>
      </c>
      <c r="G192" s="362">
        <f>E192*F192</f>
        <v>1385.3</v>
      </c>
    </row>
    <row r="193" customHeight="1" spans="1:7">
      <c r="A193" s="47" t="s">
        <v>14</v>
      </c>
      <c r="B193" s="379" t="s">
        <v>295</v>
      </c>
      <c r="C193" s="380"/>
      <c r="D193" s="50"/>
      <c r="E193" s="360">
        <f>G174</f>
        <v>30245.81</v>
      </c>
      <c r="F193" s="368">
        <f>费率!F5</f>
        <v>0.07</v>
      </c>
      <c r="G193" s="362">
        <f>E193*F193</f>
        <v>2117.21</v>
      </c>
    </row>
    <row r="194" customHeight="1" spans="1:7">
      <c r="A194" s="47" t="s">
        <v>16</v>
      </c>
      <c r="B194" s="379" t="s">
        <v>296</v>
      </c>
      <c r="C194" s="380"/>
      <c r="D194" s="50"/>
      <c r="E194" s="360">
        <f>G174+G193</f>
        <v>32363.02</v>
      </c>
      <c r="F194" s="368">
        <f>费率!F6</f>
        <v>0.07</v>
      </c>
      <c r="G194" s="362">
        <f>E194*F194</f>
        <v>2265.41</v>
      </c>
    </row>
    <row r="195" customHeight="1" spans="1:7">
      <c r="A195" s="47" t="s">
        <v>18</v>
      </c>
      <c r="B195" s="379" t="s">
        <v>254</v>
      </c>
      <c r="C195" s="380"/>
      <c r="D195" s="50"/>
      <c r="E195" s="360"/>
      <c r="F195" s="366"/>
      <c r="G195" s="362">
        <f>SUM(G196:G198)</f>
        <v>7088.59</v>
      </c>
    </row>
    <row r="196" customHeight="1" spans="1:7">
      <c r="A196" s="47"/>
      <c r="B196" s="379" t="s">
        <v>405</v>
      </c>
      <c r="C196" s="380"/>
      <c r="D196" s="50" t="s">
        <v>158</v>
      </c>
      <c r="E196" s="360">
        <f>E181*混凝土单价!$E$6</f>
        <v>31.93</v>
      </c>
      <c r="F196" s="367">
        <f>主材!N6</f>
        <v>135.66</v>
      </c>
      <c r="G196" s="362">
        <f>E196*F196</f>
        <v>4331.62</v>
      </c>
    </row>
    <row r="197" customHeight="1" spans="1:7">
      <c r="A197" s="47"/>
      <c r="B197" s="379" t="s">
        <v>396</v>
      </c>
      <c r="C197" s="380"/>
      <c r="D197" s="50" t="s">
        <v>395</v>
      </c>
      <c r="E197" s="360">
        <f>E181*混凝土单价!$G$6</f>
        <v>56.65</v>
      </c>
      <c r="F197" s="367">
        <f>主材!$N$9</f>
        <v>37.93</v>
      </c>
      <c r="G197" s="362">
        <f>E197*F197</f>
        <v>2148.73</v>
      </c>
    </row>
    <row r="198" customHeight="1" spans="1:7">
      <c r="A198" s="47"/>
      <c r="B198" s="379" t="s">
        <v>467</v>
      </c>
      <c r="C198" s="380"/>
      <c r="D198" s="50" t="s">
        <v>395</v>
      </c>
      <c r="E198" s="360">
        <f>E181*混凝土单价!$I$6</f>
        <v>86.52</v>
      </c>
      <c r="F198" s="367">
        <f>主材!N10</f>
        <v>7.03</v>
      </c>
      <c r="G198" s="362">
        <f>E198*F198</f>
        <v>608.24</v>
      </c>
    </row>
    <row r="199" customHeight="1" spans="1:7">
      <c r="A199" s="47" t="s">
        <v>20</v>
      </c>
      <c r="B199" s="379" t="s">
        <v>297</v>
      </c>
      <c r="C199" s="380"/>
      <c r="D199" s="50"/>
      <c r="E199" s="360">
        <f>G174+G193++G194+G195</f>
        <v>41717.02</v>
      </c>
      <c r="F199" s="366">
        <f>费率!F7</f>
        <v>0.09</v>
      </c>
      <c r="G199" s="362">
        <f>E199*F199</f>
        <v>3754.53</v>
      </c>
    </row>
    <row r="200" customHeight="1" spans="1:9">
      <c r="A200" s="47"/>
      <c r="B200" s="379" t="s">
        <v>298</v>
      </c>
      <c r="C200" s="380"/>
      <c r="D200" s="50"/>
      <c r="E200" s="360">
        <f>G174+G193+G194+G195+G199</f>
        <v>45471.55</v>
      </c>
      <c r="F200" s="368">
        <v>0.03</v>
      </c>
      <c r="G200" s="362">
        <f>E200*F200</f>
        <v>1364.15</v>
      </c>
      <c r="I200" s="384"/>
    </row>
    <row r="201" customHeight="1" spans="1:7">
      <c r="A201" s="369"/>
      <c r="B201" s="381" t="s">
        <v>560</v>
      </c>
      <c r="C201" s="382"/>
      <c r="D201" s="370"/>
      <c r="E201" s="371"/>
      <c r="F201" s="370"/>
      <c r="G201" s="372">
        <f>G174+G193+G194+G195+G199+G200</f>
        <v>46835.7</v>
      </c>
    </row>
    <row r="202" ht="42" customHeight="1" spans="1:7">
      <c r="A202" s="373"/>
      <c r="B202" s="373"/>
      <c r="C202" s="373"/>
      <c r="D202" s="375"/>
      <c r="E202" s="374"/>
      <c r="F202" s="373"/>
      <c r="G202" s="374"/>
    </row>
    <row r="203" customHeight="1" spans="1:7">
      <c r="A203" s="354" t="s">
        <v>274</v>
      </c>
      <c r="B203" s="354"/>
      <c r="C203" s="354"/>
      <c r="D203" s="354"/>
      <c r="E203" s="354"/>
      <c r="F203" s="354"/>
      <c r="G203" s="354"/>
    </row>
    <row r="204" customHeight="1" spans="1:7">
      <c r="A204" s="42" t="s">
        <v>275</v>
      </c>
      <c r="B204" s="43"/>
      <c r="C204" s="43" t="s">
        <v>576</v>
      </c>
      <c r="D204" s="43" t="s">
        <v>276</v>
      </c>
      <c r="E204" s="44" t="s">
        <v>264</v>
      </c>
      <c r="F204" s="45"/>
      <c r="G204" s="46"/>
    </row>
    <row r="205" customHeight="1" spans="1:7">
      <c r="A205" s="47" t="s">
        <v>278</v>
      </c>
      <c r="B205" s="48"/>
      <c r="C205" s="49" t="s">
        <v>577</v>
      </c>
      <c r="D205" s="49"/>
      <c r="E205" s="49"/>
      <c r="F205" s="50" t="s">
        <v>280</v>
      </c>
      <c r="G205" s="51" t="s">
        <v>281</v>
      </c>
    </row>
    <row r="206" customHeight="1" spans="1:7">
      <c r="A206" s="376" t="s">
        <v>578</v>
      </c>
      <c r="B206" s="377"/>
      <c r="C206" s="377"/>
      <c r="D206" s="377"/>
      <c r="E206" s="377"/>
      <c r="F206" s="377"/>
      <c r="G206" s="378"/>
    </row>
    <row r="207" customHeight="1" spans="1:7">
      <c r="A207" s="52" t="s">
        <v>546</v>
      </c>
      <c r="B207" s="53"/>
      <c r="C207" s="54"/>
      <c r="D207" s="54"/>
      <c r="E207" s="54"/>
      <c r="F207" s="54"/>
      <c r="G207" s="55"/>
    </row>
    <row r="208" customHeight="1" spans="1:7">
      <c r="A208" s="47" t="s">
        <v>284</v>
      </c>
      <c r="B208" s="50" t="s">
        <v>233</v>
      </c>
      <c r="C208" s="50"/>
      <c r="D208" s="50" t="s">
        <v>88</v>
      </c>
      <c r="E208" s="360" t="s">
        <v>130</v>
      </c>
      <c r="F208" s="50" t="s">
        <v>285</v>
      </c>
      <c r="G208" s="51" t="s">
        <v>286</v>
      </c>
    </row>
    <row r="209" customHeight="1" spans="1:7">
      <c r="A209" s="47" t="s">
        <v>9</v>
      </c>
      <c r="B209" s="379" t="s">
        <v>287</v>
      </c>
      <c r="C209" s="380"/>
      <c r="D209" s="50"/>
      <c r="E209" s="360"/>
      <c r="F209" s="360"/>
      <c r="G209" s="362">
        <f>G210+G234</f>
        <v>32709.47</v>
      </c>
    </row>
    <row r="210" customHeight="1" spans="1:7">
      <c r="A210" s="47" t="s">
        <v>132</v>
      </c>
      <c r="B210" s="379" t="s">
        <v>288</v>
      </c>
      <c r="C210" s="380"/>
      <c r="D210" s="50"/>
      <c r="E210" s="360"/>
      <c r="F210" s="360"/>
      <c r="G210" s="362">
        <f>G211+G214+G224+G231</f>
        <v>31211.33</v>
      </c>
    </row>
    <row r="211" customHeight="1" spans="1:7">
      <c r="A211" s="47" t="s">
        <v>39</v>
      </c>
      <c r="B211" s="379" t="s">
        <v>247</v>
      </c>
      <c r="C211" s="380"/>
      <c r="D211" s="50"/>
      <c r="E211" s="360"/>
      <c r="F211" s="360"/>
      <c r="G211" s="362">
        <f>SUM(G212:G213)</f>
        <v>7794.28</v>
      </c>
    </row>
    <row r="212" customHeight="1" spans="1:7">
      <c r="A212" s="47"/>
      <c r="B212" s="379" t="s">
        <v>289</v>
      </c>
      <c r="C212" s="380"/>
      <c r="D212" s="50" t="s">
        <v>290</v>
      </c>
      <c r="E212" s="363">
        <v>720.7</v>
      </c>
      <c r="F212" s="360">
        <f>主材!D21</f>
        <v>8.1</v>
      </c>
      <c r="G212" s="362">
        <f>E212*F212</f>
        <v>5837.67</v>
      </c>
    </row>
    <row r="213" customHeight="1" spans="1:7">
      <c r="A213" s="47"/>
      <c r="B213" s="379" t="s">
        <v>291</v>
      </c>
      <c r="C213" s="380"/>
      <c r="D213" s="50" t="s">
        <v>290</v>
      </c>
      <c r="E213" s="363">
        <v>339.1</v>
      </c>
      <c r="F213" s="360">
        <f>主材!D22</f>
        <v>5.77</v>
      </c>
      <c r="G213" s="362">
        <f>E213*F213</f>
        <v>1956.61</v>
      </c>
    </row>
    <row r="214" customHeight="1" spans="1:7">
      <c r="A214" s="47" t="s">
        <v>41</v>
      </c>
      <c r="B214" s="379" t="s">
        <v>248</v>
      </c>
      <c r="C214" s="380"/>
      <c r="D214" s="50"/>
      <c r="E214" s="360"/>
      <c r="F214" s="360"/>
      <c r="G214" s="362">
        <f>SUM(G215:G223)</f>
        <v>21889.71</v>
      </c>
    </row>
    <row r="215" customHeight="1" spans="1:7">
      <c r="A215" s="47"/>
      <c r="B215" s="379" t="s">
        <v>547</v>
      </c>
      <c r="C215" s="380"/>
      <c r="D215" s="50" t="s">
        <v>395</v>
      </c>
      <c r="E215" s="360">
        <v>0.02</v>
      </c>
      <c r="F215" s="360">
        <f>主材!M7</f>
        <v>2143.4</v>
      </c>
      <c r="G215" s="362">
        <f t="shared" ref="G215:G222" si="7">E215*F215</f>
        <v>42.87</v>
      </c>
    </row>
    <row r="216" customHeight="1" spans="1:7">
      <c r="A216" s="47"/>
      <c r="B216" s="379" t="s">
        <v>548</v>
      </c>
      <c r="C216" s="380"/>
      <c r="D216" s="50" t="s">
        <v>323</v>
      </c>
      <c r="E216" s="360">
        <v>76.36</v>
      </c>
      <c r="F216" s="360">
        <v>5.5</v>
      </c>
      <c r="G216" s="362">
        <f t="shared" si="7"/>
        <v>419.98</v>
      </c>
    </row>
    <row r="217" customHeight="1" spans="1:7">
      <c r="A217" s="47"/>
      <c r="B217" s="379" t="s">
        <v>549</v>
      </c>
      <c r="C217" s="380"/>
      <c r="D217" s="50" t="s">
        <v>323</v>
      </c>
      <c r="E217" s="360">
        <v>54.71</v>
      </c>
      <c r="F217" s="360">
        <v>5.5</v>
      </c>
      <c r="G217" s="362">
        <f t="shared" si="7"/>
        <v>300.91</v>
      </c>
    </row>
    <row r="218" customHeight="1" spans="1:7">
      <c r="A218" s="47"/>
      <c r="B218" s="379" t="s">
        <v>550</v>
      </c>
      <c r="C218" s="380"/>
      <c r="D218" s="50" t="s">
        <v>323</v>
      </c>
      <c r="E218" s="360">
        <v>43.7</v>
      </c>
      <c r="F218" s="360">
        <v>5.5</v>
      </c>
      <c r="G218" s="362">
        <f t="shared" si="7"/>
        <v>240.35</v>
      </c>
    </row>
    <row r="219" customHeight="1" spans="1:7">
      <c r="A219" s="47"/>
      <c r="B219" s="379" t="s">
        <v>551</v>
      </c>
      <c r="C219" s="380"/>
      <c r="D219" s="50" t="s">
        <v>323</v>
      </c>
      <c r="E219" s="360">
        <v>287.67</v>
      </c>
      <c r="F219" s="360">
        <v>6.5</v>
      </c>
      <c r="G219" s="362">
        <f t="shared" si="7"/>
        <v>1869.86</v>
      </c>
    </row>
    <row r="220" customHeight="1" spans="1:7">
      <c r="A220" s="47"/>
      <c r="B220" s="379" t="s">
        <v>552</v>
      </c>
      <c r="C220" s="380"/>
      <c r="D220" s="50" t="s">
        <v>323</v>
      </c>
      <c r="E220" s="360">
        <v>6.06</v>
      </c>
      <c r="F220" s="360">
        <v>6.15</v>
      </c>
      <c r="G220" s="362">
        <f t="shared" si="7"/>
        <v>37.27</v>
      </c>
    </row>
    <row r="221" customHeight="1" spans="1:7">
      <c r="A221" s="47"/>
      <c r="B221" s="379" t="s">
        <v>553</v>
      </c>
      <c r="C221" s="380"/>
      <c r="D221" s="50" t="s">
        <v>395</v>
      </c>
      <c r="E221" s="364">
        <v>103</v>
      </c>
      <c r="F221" s="360">
        <f>混凝土单价!M6</f>
        <v>177.12</v>
      </c>
      <c r="G221" s="362">
        <f t="shared" si="7"/>
        <v>18243.36</v>
      </c>
    </row>
    <row r="222" customHeight="1" spans="1:7">
      <c r="A222" s="47"/>
      <c r="B222" s="379" t="s">
        <v>554</v>
      </c>
      <c r="C222" s="380"/>
      <c r="D222" s="50" t="s">
        <v>395</v>
      </c>
      <c r="E222" s="364">
        <v>70</v>
      </c>
      <c r="F222" s="360">
        <f>主材!D18</f>
        <v>4.37</v>
      </c>
      <c r="G222" s="362">
        <f t="shared" si="7"/>
        <v>305.9</v>
      </c>
    </row>
    <row r="223" customHeight="1" spans="1:7">
      <c r="A223" s="47"/>
      <c r="B223" s="379" t="s">
        <v>397</v>
      </c>
      <c r="C223" s="380"/>
      <c r="D223" s="50" t="s">
        <v>293</v>
      </c>
      <c r="E223" s="364">
        <v>2</v>
      </c>
      <c r="F223" s="360">
        <f>SUM(G215:G222)</f>
        <v>21460.5</v>
      </c>
      <c r="G223" s="362">
        <f>E223*F223/100</f>
        <v>429.21</v>
      </c>
    </row>
    <row r="224" customHeight="1" spans="1:7">
      <c r="A224" s="47" t="s">
        <v>46</v>
      </c>
      <c r="B224" s="379" t="s">
        <v>314</v>
      </c>
      <c r="C224" s="380"/>
      <c r="D224" s="50"/>
      <c r="E224" s="360"/>
      <c r="F224" s="360"/>
      <c r="G224" s="362">
        <f>SUM(G225:G230)</f>
        <v>729.09</v>
      </c>
    </row>
    <row r="225" customHeight="1" spans="1:7">
      <c r="A225" s="47"/>
      <c r="B225" s="379" t="s">
        <v>555</v>
      </c>
      <c r="C225" s="380"/>
      <c r="D225" s="50" t="s">
        <v>316</v>
      </c>
      <c r="E225" s="360">
        <v>20</v>
      </c>
      <c r="F225" s="360">
        <f>机械!E17</f>
        <v>1.81</v>
      </c>
      <c r="G225" s="362">
        <f>E225*F225</f>
        <v>36.2</v>
      </c>
    </row>
    <row r="226" customHeight="1" spans="1:7">
      <c r="A226" s="47"/>
      <c r="B226" s="379" t="s">
        <v>403</v>
      </c>
      <c r="C226" s="380"/>
      <c r="D226" s="50" t="s">
        <v>316</v>
      </c>
      <c r="E226" s="360">
        <v>18.54</v>
      </c>
      <c r="F226" s="360">
        <f>机械!E16</f>
        <v>23.75</v>
      </c>
      <c r="G226" s="362">
        <f>E226*F226</f>
        <v>440.33</v>
      </c>
    </row>
    <row r="227" customHeight="1" spans="1:7">
      <c r="A227" s="47"/>
      <c r="B227" s="379" t="s">
        <v>404</v>
      </c>
      <c r="C227" s="380"/>
      <c r="D227" s="50" t="s">
        <v>316</v>
      </c>
      <c r="E227" s="360">
        <v>83</v>
      </c>
      <c r="F227" s="360">
        <f>机械!E29</f>
        <v>0.82</v>
      </c>
      <c r="G227" s="362">
        <f>E227*F227</f>
        <v>68.06</v>
      </c>
    </row>
    <row r="228" customHeight="1" spans="1:7">
      <c r="A228" s="47"/>
      <c r="B228" s="379" t="s">
        <v>556</v>
      </c>
      <c r="C228" s="380"/>
      <c r="D228" s="50" t="s">
        <v>316</v>
      </c>
      <c r="E228" s="360">
        <v>0.33</v>
      </c>
      <c r="F228" s="360">
        <f>机械!E23</f>
        <v>49.39</v>
      </c>
      <c r="G228" s="362">
        <f>E228*F228</f>
        <v>16.3</v>
      </c>
    </row>
    <row r="229" customHeight="1" spans="1:7">
      <c r="A229" s="47"/>
      <c r="B229" s="379" t="s">
        <v>557</v>
      </c>
      <c r="C229" s="380"/>
      <c r="D229" s="50" t="s">
        <v>316</v>
      </c>
      <c r="E229" s="360">
        <v>9.07</v>
      </c>
      <c r="F229" s="360">
        <f>机械!E47</f>
        <v>8.06</v>
      </c>
      <c r="G229" s="362">
        <f>E229*F229</f>
        <v>73.1</v>
      </c>
    </row>
    <row r="230" customHeight="1" spans="1:7">
      <c r="A230" s="47"/>
      <c r="B230" s="379" t="s">
        <v>370</v>
      </c>
      <c r="C230" s="380"/>
      <c r="D230" s="50" t="s">
        <v>293</v>
      </c>
      <c r="E230" s="364">
        <v>15</v>
      </c>
      <c r="F230" s="360">
        <f>SUM(G225:G229)</f>
        <v>633.99</v>
      </c>
      <c r="G230" s="362">
        <f>E230*F230/100</f>
        <v>95.1</v>
      </c>
    </row>
    <row r="231" customHeight="1" spans="1:7">
      <c r="A231" s="47" t="s">
        <v>305</v>
      </c>
      <c r="B231" s="379" t="s">
        <v>250</v>
      </c>
      <c r="C231" s="380"/>
      <c r="D231" s="50"/>
      <c r="E231" s="360"/>
      <c r="F231" s="360"/>
      <c r="G231" s="362">
        <f>SUM(G232:G233)</f>
        <v>798.25</v>
      </c>
    </row>
    <row r="232" customHeight="1" spans="1:7">
      <c r="A232" s="47"/>
      <c r="B232" s="379" t="s">
        <v>558</v>
      </c>
      <c r="C232" s="380"/>
      <c r="D232" s="50" t="s">
        <v>395</v>
      </c>
      <c r="E232" s="360">
        <v>103</v>
      </c>
      <c r="F232" s="360">
        <f>G562/100</f>
        <v>5.04</v>
      </c>
      <c r="G232" s="362">
        <f>E232*F232</f>
        <v>519.12</v>
      </c>
    </row>
    <row r="233" customHeight="1" spans="1:7">
      <c r="A233" s="47"/>
      <c r="B233" s="379" t="s">
        <v>559</v>
      </c>
      <c r="C233" s="380"/>
      <c r="D233" s="50" t="s">
        <v>395</v>
      </c>
      <c r="E233" s="360">
        <v>103</v>
      </c>
      <c r="F233" s="360">
        <f>G577/100</f>
        <v>2.71</v>
      </c>
      <c r="G233" s="362">
        <f>E233*F233</f>
        <v>279.13</v>
      </c>
    </row>
    <row r="234" customHeight="1" spans="1:7">
      <c r="A234" s="47" t="s">
        <v>133</v>
      </c>
      <c r="B234" s="379" t="s">
        <v>294</v>
      </c>
      <c r="C234" s="380"/>
      <c r="D234" s="50"/>
      <c r="E234" s="365">
        <f>G210</f>
        <v>31211.33</v>
      </c>
      <c r="F234" s="366">
        <f>费率!F4</f>
        <v>0.048</v>
      </c>
      <c r="G234" s="362">
        <f>E234*F234</f>
        <v>1498.14</v>
      </c>
    </row>
    <row r="235" customHeight="1" spans="1:7">
      <c r="A235" s="47" t="s">
        <v>14</v>
      </c>
      <c r="B235" s="379" t="s">
        <v>295</v>
      </c>
      <c r="C235" s="380"/>
      <c r="D235" s="50"/>
      <c r="E235" s="360">
        <f>G209</f>
        <v>32709.47</v>
      </c>
      <c r="F235" s="366">
        <f>费率!F5</f>
        <v>0.07</v>
      </c>
      <c r="G235" s="362">
        <f>E235*F235</f>
        <v>2289.66</v>
      </c>
    </row>
    <row r="236" customHeight="1" spans="1:7">
      <c r="A236" s="47" t="s">
        <v>16</v>
      </c>
      <c r="B236" s="379" t="s">
        <v>296</v>
      </c>
      <c r="C236" s="380"/>
      <c r="D236" s="50"/>
      <c r="E236" s="360">
        <f>G209+G235</f>
        <v>34999.13</v>
      </c>
      <c r="F236" s="366">
        <f>费率!F6</f>
        <v>0.07</v>
      </c>
      <c r="G236" s="362">
        <f>E236*F236</f>
        <v>2449.94</v>
      </c>
    </row>
    <row r="237" customHeight="1" spans="1:7">
      <c r="A237" s="47" t="s">
        <v>18</v>
      </c>
      <c r="B237" s="379" t="s">
        <v>254</v>
      </c>
      <c r="C237" s="380"/>
      <c r="D237" s="50"/>
      <c r="E237" s="360"/>
      <c r="F237" s="366"/>
      <c r="G237" s="362">
        <f>SUM(G238:G241)</f>
        <v>7101.51</v>
      </c>
    </row>
    <row r="238" customHeight="1" spans="1:7">
      <c r="A238" s="47"/>
      <c r="B238" s="379" t="s">
        <v>405</v>
      </c>
      <c r="C238" s="380"/>
      <c r="D238" s="50" t="s">
        <v>158</v>
      </c>
      <c r="E238" s="360">
        <f>E221*混凝土单价!E6</f>
        <v>31.93</v>
      </c>
      <c r="F238" s="367">
        <f>主材!N6</f>
        <v>135.66</v>
      </c>
      <c r="G238" s="362">
        <f t="shared" ref="G238:G243" si="8">E238*F238</f>
        <v>4331.62</v>
      </c>
    </row>
    <row r="239" customHeight="1" spans="1:7">
      <c r="A239" s="47"/>
      <c r="B239" s="379" t="s">
        <v>396</v>
      </c>
      <c r="C239" s="380"/>
      <c r="D239" s="50" t="s">
        <v>395</v>
      </c>
      <c r="E239" s="360">
        <f>E221*混凝土单价!G6</f>
        <v>56.65</v>
      </c>
      <c r="F239" s="367">
        <f>主材!N8</f>
        <v>37.93</v>
      </c>
      <c r="G239" s="362">
        <f t="shared" si="8"/>
        <v>2148.73</v>
      </c>
    </row>
    <row r="240" customHeight="1" spans="1:7">
      <c r="A240" s="47"/>
      <c r="B240" s="379" t="s">
        <v>467</v>
      </c>
      <c r="C240" s="380"/>
      <c r="D240" s="50" t="s">
        <v>395</v>
      </c>
      <c r="E240" s="360">
        <f>E221*混凝土单价!I6</f>
        <v>86.52</v>
      </c>
      <c r="F240" s="367">
        <f>主材!N10</f>
        <v>7.03</v>
      </c>
      <c r="G240" s="362">
        <f t="shared" si="8"/>
        <v>608.24</v>
      </c>
    </row>
    <row r="241" customHeight="1" spans="1:7">
      <c r="A241" s="47"/>
      <c r="B241" s="379" t="s">
        <v>522</v>
      </c>
      <c r="C241" s="380"/>
      <c r="D241" s="50" t="s">
        <v>323</v>
      </c>
      <c r="E241" s="360">
        <f>E228*7.2</f>
        <v>2.38</v>
      </c>
      <c r="F241" s="367">
        <f>主材!N14</f>
        <v>5.43</v>
      </c>
      <c r="G241" s="362">
        <f t="shared" si="8"/>
        <v>12.92</v>
      </c>
    </row>
    <row r="242" customHeight="1" spans="1:7">
      <c r="A242" s="47" t="s">
        <v>20</v>
      </c>
      <c r="B242" s="379" t="s">
        <v>297</v>
      </c>
      <c r="C242" s="380"/>
      <c r="D242" s="50"/>
      <c r="E242" s="360">
        <f>G209+G235++G236+G237</f>
        <v>44550.58</v>
      </c>
      <c r="F242" s="366">
        <f>费率!F7</f>
        <v>0.09</v>
      </c>
      <c r="G242" s="362">
        <f t="shared" si="8"/>
        <v>4009.55</v>
      </c>
    </row>
    <row r="243" customHeight="1" spans="1:7">
      <c r="A243" s="47"/>
      <c r="B243" s="379" t="s">
        <v>298</v>
      </c>
      <c r="C243" s="380"/>
      <c r="D243" s="50"/>
      <c r="E243" s="360">
        <f>G209+G235+G236+G237+G242</f>
        <v>48560.13</v>
      </c>
      <c r="F243" s="366">
        <v>0.03</v>
      </c>
      <c r="G243" s="362">
        <f t="shared" si="8"/>
        <v>1456.8</v>
      </c>
    </row>
    <row r="244" customHeight="1" spans="1:7">
      <c r="A244" s="369"/>
      <c r="B244" s="381" t="s">
        <v>560</v>
      </c>
      <c r="C244" s="382"/>
      <c r="D244" s="370"/>
      <c r="E244" s="371"/>
      <c r="F244" s="370"/>
      <c r="G244" s="372">
        <f>G209+G235+G236+G237+G242+G243</f>
        <v>50016.93</v>
      </c>
    </row>
    <row r="245" ht="92.45" customHeight="1" spans="1:7">
      <c r="A245" s="373"/>
      <c r="B245" s="373"/>
      <c r="C245" s="373"/>
      <c r="D245" s="373"/>
      <c r="E245" s="374"/>
      <c r="F245" s="373"/>
      <c r="G245" s="374"/>
    </row>
    <row r="246" ht="21" customHeight="1" spans="1:7">
      <c r="A246" s="383" t="s">
        <v>274</v>
      </c>
      <c r="B246" s="383"/>
      <c r="C246" s="383"/>
      <c r="D246" s="383"/>
      <c r="E246" s="383"/>
      <c r="F246" s="383"/>
      <c r="G246" s="383"/>
    </row>
    <row r="247" ht="21" customHeight="1" spans="1:7">
      <c r="A247" s="42" t="s">
        <v>275</v>
      </c>
      <c r="B247" s="43"/>
      <c r="C247" s="43" t="s">
        <v>579</v>
      </c>
      <c r="D247" s="43" t="s">
        <v>276</v>
      </c>
      <c r="E247" s="44" t="s">
        <v>580</v>
      </c>
      <c r="F247" s="45"/>
      <c r="G247" s="46"/>
    </row>
    <row r="248" ht="21" customHeight="1" spans="1:7">
      <c r="A248" s="47" t="s">
        <v>278</v>
      </c>
      <c r="B248" s="48"/>
      <c r="C248" s="49" t="s">
        <v>581</v>
      </c>
      <c r="D248" s="49"/>
      <c r="E248" s="49"/>
      <c r="F248" s="50" t="s">
        <v>280</v>
      </c>
      <c r="G248" s="51" t="s">
        <v>281</v>
      </c>
    </row>
    <row r="249" ht="21" customHeight="1" spans="1:7">
      <c r="A249" s="376" t="s">
        <v>582</v>
      </c>
      <c r="B249" s="377"/>
      <c r="C249" s="377"/>
      <c r="D249" s="377"/>
      <c r="E249" s="377"/>
      <c r="F249" s="377"/>
      <c r="G249" s="378"/>
    </row>
    <row r="250" ht="21" customHeight="1" spans="1:7">
      <c r="A250" s="52" t="s">
        <v>546</v>
      </c>
      <c r="B250" s="53"/>
      <c r="C250" s="54"/>
      <c r="D250" s="54"/>
      <c r="E250" s="54"/>
      <c r="F250" s="54"/>
      <c r="G250" s="55"/>
    </row>
    <row r="251" ht="21" customHeight="1" spans="1:7">
      <c r="A251" s="47" t="s">
        <v>284</v>
      </c>
      <c r="B251" s="50" t="s">
        <v>233</v>
      </c>
      <c r="C251" s="50"/>
      <c r="D251" s="50" t="s">
        <v>88</v>
      </c>
      <c r="E251" s="360" t="s">
        <v>130</v>
      </c>
      <c r="F251" s="50" t="s">
        <v>285</v>
      </c>
      <c r="G251" s="51" t="s">
        <v>286</v>
      </c>
    </row>
    <row r="252" ht="21" customHeight="1" spans="1:7">
      <c r="A252" s="47" t="s">
        <v>9</v>
      </c>
      <c r="B252" s="379" t="s">
        <v>287</v>
      </c>
      <c r="C252" s="380"/>
      <c r="D252" s="50"/>
      <c r="E252" s="360"/>
      <c r="F252" s="360"/>
      <c r="G252" s="362">
        <f>G253+G271</f>
        <v>44057.52</v>
      </c>
    </row>
    <row r="253" ht="21" customHeight="1" spans="1:7">
      <c r="A253" s="47" t="s">
        <v>132</v>
      </c>
      <c r="B253" s="379" t="s">
        <v>288</v>
      </c>
      <c r="C253" s="380"/>
      <c r="D253" s="50"/>
      <c r="E253" s="360"/>
      <c r="F253" s="360"/>
      <c r="G253" s="362">
        <f>G254+G257+G266</f>
        <v>42039.62</v>
      </c>
    </row>
    <row r="254" ht="21" customHeight="1" spans="1:7">
      <c r="A254" s="47" t="s">
        <v>39</v>
      </c>
      <c r="B254" s="379" t="s">
        <v>247</v>
      </c>
      <c r="C254" s="380"/>
      <c r="D254" s="50"/>
      <c r="E254" s="360"/>
      <c r="F254" s="360"/>
      <c r="G254" s="362">
        <f>SUM(G255:G256)</f>
        <v>18598.4</v>
      </c>
    </row>
    <row r="255" ht="21" customHeight="1" spans="1:7">
      <c r="A255" s="47"/>
      <c r="B255" s="379" t="s">
        <v>289</v>
      </c>
      <c r="C255" s="380"/>
      <c r="D255" s="50" t="s">
        <v>290</v>
      </c>
      <c r="E255" s="363">
        <v>1739.4</v>
      </c>
      <c r="F255" s="360">
        <f>主材!D21</f>
        <v>8.1</v>
      </c>
      <c r="G255" s="362">
        <f>E255*F255</f>
        <v>14089.14</v>
      </c>
    </row>
    <row r="256" ht="21" customHeight="1" spans="1:7">
      <c r="A256" s="47"/>
      <c r="B256" s="379" t="s">
        <v>291</v>
      </c>
      <c r="C256" s="380"/>
      <c r="D256" s="50" t="s">
        <v>290</v>
      </c>
      <c r="E256" s="363">
        <v>781.5</v>
      </c>
      <c r="F256" s="360">
        <f>主材!D22</f>
        <v>5.77</v>
      </c>
      <c r="G256" s="362">
        <f>E256*F256</f>
        <v>4509.26</v>
      </c>
    </row>
    <row r="257" ht="21" customHeight="1" spans="1:7">
      <c r="A257" s="47" t="s">
        <v>41</v>
      </c>
      <c r="B257" s="379" t="s">
        <v>248</v>
      </c>
      <c r="C257" s="380"/>
      <c r="D257" s="50"/>
      <c r="E257" s="360"/>
      <c r="F257" s="360"/>
      <c r="G257" s="362">
        <f>SUM(G258:G265)</f>
        <v>22769.91</v>
      </c>
    </row>
    <row r="258" ht="21" customHeight="1" spans="1:7">
      <c r="A258" s="47"/>
      <c r="B258" s="379" t="s">
        <v>547</v>
      </c>
      <c r="C258" s="380"/>
      <c r="D258" s="50" t="s">
        <v>395</v>
      </c>
      <c r="E258" s="360">
        <v>0.9</v>
      </c>
      <c r="F258" s="360">
        <f>主材!M7</f>
        <v>2143.4</v>
      </c>
      <c r="G258" s="362">
        <f t="shared" ref="G258:G264" si="9">E258*F258</f>
        <v>1929.06</v>
      </c>
    </row>
    <row r="259" ht="21" customHeight="1" spans="1:7">
      <c r="A259" s="47"/>
      <c r="B259" s="379" t="s">
        <v>548</v>
      </c>
      <c r="C259" s="380"/>
      <c r="D259" s="50" t="s">
        <v>323</v>
      </c>
      <c r="E259" s="360">
        <v>316.07</v>
      </c>
      <c r="F259" s="360">
        <v>4.44</v>
      </c>
      <c r="G259" s="362">
        <f t="shared" si="9"/>
        <v>1403.35</v>
      </c>
    </row>
    <row r="260" ht="21" customHeight="1" spans="1:7">
      <c r="A260" s="47"/>
      <c r="B260" s="379" t="s">
        <v>550</v>
      </c>
      <c r="C260" s="380"/>
      <c r="D260" s="50" t="s">
        <v>323</v>
      </c>
      <c r="E260" s="360">
        <v>100.6</v>
      </c>
      <c r="F260" s="360">
        <v>5.15</v>
      </c>
      <c r="G260" s="362">
        <f t="shared" si="9"/>
        <v>518.09</v>
      </c>
    </row>
    <row r="261" ht="21" customHeight="1" spans="1:7">
      <c r="A261" s="47"/>
      <c r="B261" s="385" t="s">
        <v>583</v>
      </c>
      <c r="C261" s="386"/>
      <c r="D261" s="50" t="s">
        <v>323</v>
      </c>
      <c r="E261" s="127">
        <v>71.36</v>
      </c>
      <c r="F261" s="127">
        <v>7.45</v>
      </c>
      <c r="G261" s="362">
        <f t="shared" si="9"/>
        <v>531.63</v>
      </c>
    </row>
    <row r="262" ht="21" customHeight="1" spans="1:7">
      <c r="A262" s="47"/>
      <c r="B262" s="379" t="s">
        <v>584</v>
      </c>
      <c r="C262" s="380"/>
      <c r="D262" s="50" t="s">
        <v>395</v>
      </c>
      <c r="E262" s="360">
        <v>1</v>
      </c>
      <c r="F262" s="360">
        <f>混凝土单价!M12</f>
        <v>0</v>
      </c>
      <c r="G262" s="362">
        <f t="shared" si="9"/>
        <v>0</v>
      </c>
    </row>
    <row r="263" ht="21" customHeight="1" spans="1:7">
      <c r="A263" s="47"/>
      <c r="B263" s="379" t="s">
        <v>585</v>
      </c>
      <c r="C263" s="380"/>
      <c r="D263" s="50" t="s">
        <v>395</v>
      </c>
      <c r="E263" s="364">
        <v>102</v>
      </c>
      <c r="F263" s="360">
        <f>混凝土单价!M5</f>
        <v>171.45</v>
      </c>
      <c r="G263" s="362">
        <f t="shared" si="9"/>
        <v>17487.9</v>
      </c>
    </row>
    <row r="264" ht="21" customHeight="1" spans="1:7">
      <c r="A264" s="47"/>
      <c r="B264" s="379" t="s">
        <v>554</v>
      </c>
      <c r="C264" s="380"/>
      <c r="D264" s="50" t="s">
        <v>395</v>
      </c>
      <c r="E264" s="364">
        <v>180</v>
      </c>
      <c r="F264" s="360">
        <f>主材!D18</f>
        <v>4.37</v>
      </c>
      <c r="G264" s="362">
        <f t="shared" si="9"/>
        <v>786.6</v>
      </c>
    </row>
    <row r="265" ht="21" customHeight="1" spans="1:7">
      <c r="A265" s="47"/>
      <c r="B265" s="379" t="s">
        <v>397</v>
      </c>
      <c r="C265" s="380"/>
      <c r="D265" s="50" t="s">
        <v>293</v>
      </c>
      <c r="E265" s="363">
        <v>0.5</v>
      </c>
      <c r="F265" s="360">
        <f>SUM(G258:G264)</f>
        <v>22656.63</v>
      </c>
      <c r="G265" s="362">
        <f>E265*F265/100</f>
        <v>113.28</v>
      </c>
    </row>
    <row r="266" ht="21" customHeight="1" spans="1:7">
      <c r="A266" s="47" t="s">
        <v>46</v>
      </c>
      <c r="B266" s="379" t="s">
        <v>314</v>
      </c>
      <c r="C266" s="380"/>
      <c r="D266" s="50"/>
      <c r="E266" s="360"/>
      <c r="F266" s="360"/>
      <c r="G266" s="362">
        <f>SUM(G267:G270)</f>
        <v>671.31</v>
      </c>
    </row>
    <row r="267" ht="21" customHeight="1" spans="1:7">
      <c r="A267" s="47"/>
      <c r="B267" s="379" t="s">
        <v>403</v>
      </c>
      <c r="C267" s="380"/>
      <c r="D267" s="50" t="s">
        <v>316</v>
      </c>
      <c r="E267" s="360">
        <v>18.36</v>
      </c>
      <c r="F267" s="360">
        <f>机械!E16</f>
        <v>23.75</v>
      </c>
      <c r="G267" s="362">
        <f>E267*F267</f>
        <v>436.05</v>
      </c>
    </row>
    <row r="268" ht="21" customHeight="1" spans="1:7">
      <c r="A268" s="47"/>
      <c r="B268" s="379" t="s">
        <v>555</v>
      </c>
      <c r="C268" s="380"/>
      <c r="D268" s="50" t="s">
        <v>316</v>
      </c>
      <c r="E268" s="360">
        <v>44</v>
      </c>
      <c r="F268" s="360">
        <f>机械!E17</f>
        <v>1.81</v>
      </c>
      <c r="G268" s="362">
        <f>E268*F268</f>
        <v>79.64</v>
      </c>
    </row>
    <row r="269" ht="21" customHeight="1" spans="1:7">
      <c r="A269" s="47"/>
      <c r="B269" s="379" t="s">
        <v>404</v>
      </c>
      <c r="C269" s="380"/>
      <c r="D269" s="50" t="s">
        <v>316</v>
      </c>
      <c r="E269" s="360">
        <v>83</v>
      </c>
      <c r="F269" s="360">
        <f>机械!E29</f>
        <v>0.82</v>
      </c>
      <c r="G269" s="362">
        <f>E269*F269</f>
        <v>68.06</v>
      </c>
    </row>
    <row r="270" ht="21" customHeight="1" spans="1:7">
      <c r="A270" s="47"/>
      <c r="B270" s="379" t="s">
        <v>370</v>
      </c>
      <c r="C270" s="380"/>
      <c r="D270" s="50" t="s">
        <v>293</v>
      </c>
      <c r="E270" s="364">
        <v>15</v>
      </c>
      <c r="F270" s="360">
        <f>SUM(G267:G269)</f>
        <v>583.75</v>
      </c>
      <c r="G270" s="362">
        <f>E270*F270/100</f>
        <v>87.56</v>
      </c>
    </row>
    <row r="271" ht="21" customHeight="1" spans="1:7">
      <c r="A271" s="47" t="s">
        <v>133</v>
      </c>
      <c r="B271" s="379" t="s">
        <v>294</v>
      </c>
      <c r="C271" s="380"/>
      <c r="D271" s="50"/>
      <c r="E271" s="365">
        <f>G253</f>
        <v>42039.62</v>
      </c>
      <c r="F271" s="366">
        <f>费率!F4</f>
        <v>0.048</v>
      </c>
      <c r="G271" s="362">
        <f>E271*F271</f>
        <v>2017.9</v>
      </c>
    </row>
    <row r="272" ht="21" customHeight="1" spans="1:7">
      <c r="A272" s="47" t="s">
        <v>14</v>
      </c>
      <c r="B272" s="379" t="s">
        <v>295</v>
      </c>
      <c r="C272" s="380"/>
      <c r="D272" s="50"/>
      <c r="E272" s="360">
        <f>G252</f>
        <v>44057.52</v>
      </c>
      <c r="F272" s="366">
        <f>费率!F5</f>
        <v>0.07</v>
      </c>
      <c r="G272" s="362">
        <f>E272*F272</f>
        <v>3084.03</v>
      </c>
    </row>
    <row r="273" ht="21" customHeight="1" spans="1:7">
      <c r="A273" s="47" t="s">
        <v>16</v>
      </c>
      <c r="B273" s="379" t="s">
        <v>296</v>
      </c>
      <c r="C273" s="380"/>
      <c r="D273" s="50"/>
      <c r="E273" s="360">
        <f>G252+G272</f>
        <v>47141.55</v>
      </c>
      <c r="F273" s="366">
        <f>费率!F6</f>
        <v>0.07</v>
      </c>
      <c r="G273" s="362">
        <f>E273*F273</f>
        <v>3299.91</v>
      </c>
    </row>
    <row r="274" ht="21" customHeight="1" spans="1:7">
      <c r="A274" s="47" t="s">
        <v>18</v>
      </c>
      <c r="B274" s="379" t="s">
        <v>254</v>
      </c>
      <c r="C274" s="380"/>
      <c r="D274" s="50"/>
      <c r="E274" s="360"/>
      <c r="F274" s="366"/>
      <c r="G274" s="362">
        <f>SUM(G275:G278)</f>
        <v>6712.53</v>
      </c>
    </row>
    <row r="275" ht="21" customHeight="1" spans="1:7">
      <c r="A275" s="47"/>
      <c r="B275" s="379"/>
      <c r="C275" s="380"/>
      <c r="D275" s="50"/>
      <c r="E275" s="360"/>
      <c r="F275" s="367"/>
      <c r="G275" s="362"/>
    </row>
    <row r="276" ht="21" customHeight="1" spans="1:7">
      <c r="A276" s="47"/>
      <c r="B276" s="379" t="s">
        <v>405</v>
      </c>
      <c r="C276" s="380"/>
      <c r="D276" s="50" t="s">
        <v>158</v>
      </c>
      <c r="E276" s="360">
        <f>E263*混凝土单价!E5</f>
        <v>29.07</v>
      </c>
      <c r="F276" s="367">
        <f>主材!$N$6</f>
        <v>135.66</v>
      </c>
      <c r="G276" s="362">
        <f t="shared" ref="G276:G280" si="10">E276*F276</f>
        <v>3943.64</v>
      </c>
    </row>
    <row r="277" ht="21" customHeight="1" spans="1:7">
      <c r="A277" s="47"/>
      <c r="B277" s="379" t="s">
        <v>396</v>
      </c>
      <c r="C277" s="380"/>
      <c r="D277" s="50" t="s">
        <v>395</v>
      </c>
      <c r="E277" s="360">
        <f>E263*混凝土单价!G5</f>
        <v>57.12</v>
      </c>
      <c r="F277" s="367">
        <f>主材!$N$8</f>
        <v>37.93</v>
      </c>
      <c r="G277" s="362">
        <f t="shared" si="10"/>
        <v>2166.56</v>
      </c>
    </row>
    <row r="278" ht="21" customHeight="1" spans="1:7">
      <c r="A278" s="47"/>
      <c r="B278" s="379" t="s">
        <v>467</v>
      </c>
      <c r="C278" s="380"/>
      <c r="D278" s="50" t="s">
        <v>395</v>
      </c>
      <c r="E278" s="360">
        <f>E263*混凝土单价!I5</f>
        <v>85.68</v>
      </c>
      <c r="F278" s="367">
        <f>主材!$N$10</f>
        <v>7.03</v>
      </c>
      <c r="G278" s="362">
        <f t="shared" si="10"/>
        <v>602.33</v>
      </c>
    </row>
    <row r="279" ht="21" customHeight="1" spans="1:7">
      <c r="A279" s="47" t="s">
        <v>20</v>
      </c>
      <c r="B279" s="379" t="s">
        <v>297</v>
      </c>
      <c r="C279" s="380"/>
      <c r="D279" s="50"/>
      <c r="E279" s="360">
        <f>G252+G272++G273+G274</f>
        <v>57153.99</v>
      </c>
      <c r="F279" s="366">
        <f>费率!F7</f>
        <v>0.09</v>
      </c>
      <c r="G279" s="362">
        <f t="shared" si="10"/>
        <v>5143.86</v>
      </c>
    </row>
    <row r="280" ht="21" customHeight="1" spans="1:7">
      <c r="A280" s="47"/>
      <c r="B280" s="379" t="s">
        <v>298</v>
      </c>
      <c r="C280" s="380"/>
      <c r="D280" s="50"/>
      <c r="E280" s="360">
        <f>G252+G272+G273+G274+G279</f>
        <v>62297.85</v>
      </c>
      <c r="F280" s="366">
        <v>0.03</v>
      </c>
      <c r="G280" s="362">
        <f t="shared" si="10"/>
        <v>1868.94</v>
      </c>
    </row>
    <row r="281" ht="21" customHeight="1" spans="1:7">
      <c r="A281" s="369"/>
      <c r="B281" s="381" t="s">
        <v>560</v>
      </c>
      <c r="C281" s="382"/>
      <c r="D281" s="370"/>
      <c r="E281" s="371"/>
      <c r="F281" s="370"/>
      <c r="G281" s="372">
        <f>G252+G272+G273+G274+G279+G280</f>
        <v>64166.79</v>
      </c>
    </row>
    <row r="282" ht="21" customHeight="1" spans="1:7">
      <c r="A282" s="373"/>
      <c r="B282" s="373"/>
      <c r="C282" s="373"/>
      <c r="D282" s="373"/>
      <c r="E282" s="374"/>
      <c r="F282" s="373"/>
      <c r="G282" s="374"/>
    </row>
    <row r="283" hidden="1" customHeight="1" spans="1:7">
      <c r="A283" s="383" t="s">
        <v>274</v>
      </c>
      <c r="B283" s="383"/>
      <c r="C283" s="383"/>
      <c r="D283" s="383"/>
      <c r="E283" s="383"/>
      <c r="F283" s="383"/>
      <c r="G283" s="383"/>
    </row>
    <row r="284" hidden="1" customHeight="1" spans="1:7">
      <c r="A284" s="42" t="s">
        <v>275</v>
      </c>
      <c r="B284" s="43"/>
      <c r="C284" s="43" t="s">
        <v>379</v>
      </c>
      <c r="D284" s="43" t="s">
        <v>276</v>
      </c>
      <c r="E284" s="355" t="s">
        <v>586</v>
      </c>
      <c r="F284" s="355"/>
      <c r="G284" s="356"/>
    </row>
    <row r="285" hidden="1" customHeight="1" spans="1:7">
      <c r="A285" s="47" t="s">
        <v>278</v>
      </c>
      <c r="B285" s="48"/>
      <c r="C285" s="49" t="s">
        <v>587</v>
      </c>
      <c r="D285" s="49"/>
      <c r="E285" s="49"/>
      <c r="F285" s="50" t="s">
        <v>280</v>
      </c>
      <c r="G285" s="51" t="s">
        <v>281</v>
      </c>
    </row>
    <row r="286" hidden="1" customHeight="1" spans="1:7">
      <c r="A286" s="358" t="s">
        <v>588</v>
      </c>
      <c r="B286" s="49"/>
      <c r="C286" s="49"/>
      <c r="D286" s="49"/>
      <c r="E286" s="49"/>
      <c r="F286" s="49"/>
      <c r="G286" s="359"/>
    </row>
    <row r="287" hidden="1" customHeight="1" spans="1:7">
      <c r="A287" s="52" t="s">
        <v>589</v>
      </c>
      <c r="B287" s="53"/>
      <c r="C287" s="54"/>
      <c r="D287" s="54"/>
      <c r="E287" s="54"/>
      <c r="F287" s="54"/>
      <c r="G287" s="55"/>
    </row>
    <row r="288" hidden="1" customHeight="1" spans="1:7">
      <c r="A288" s="47" t="s">
        <v>284</v>
      </c>
      <c r="B288" s="50" t="s">
        <v>233</v>
      </c>
      <c r="C288" s="50"/>
      <c r="D288" s="50" t="s">
        <v>88</v>
      </c>
      <c r="E288" s="360" t="s">
        <v>130</v>
      </c>
      <c r="F288" s="50" t="s">
        <v>285</v>
      </c>
      <c r="G288" s="51" t="s">
        <v>286</v>
      </c>
    </row>
    <row r="289" hidden="1" customHeight="1" spans="1:7">
      <c r="A289" s="47" t="s">
        <v>9</v>
      </c>
      <c r="B289" s="361" t="s">
        <v>287</v>
      </c>
      <c r="C289" s="361"/>
      <c r="D289" s="50"/>
      <c r="E289" s="360"/>
      <c r="F289" s="360"/>
      <c r="G289" s="362">
        <f>G290+G309</f>
        <v>17975.28</v>
      </c>
    </row>
    <row r="290" hidden="1" customHeight="1" spans="1:7">
      <c r="A290" s="47" t="s">
        <v>132</v>
      </c>
      <c r="B290" s="361" t="s">
        <v>288</v>
      </c>
      <c r="C290" s="361"/>
      <c r="D290" s="50"/>
      <c r="E290" s="360"/>
      <c r="F290" s="360"/>
      <c r="G290" s="362">
        <f>G291+G293+G302+G307</f>
        <v>17151.98</v>
      </c>
    </row>
    <row r="291" hidden="1" customHeight="1" spans="1:7">
      <c r="A291" s="47" t="s">
        <v>39</v>
      </c>
      <c r="B291" s="361" t="s">
        <v>247</v>
      </c>
      <c r="C291" s="361"/>
      <c r="D291" s="50"/>
      <c r="E291" s="360"/>
      <c r="F291" s="360"/>
      <c r="G291" s="362">
        <f>SUM(G292:G292)</f>
        <v>9130.32</v>
      </c>
    </row>
    <row r="292" hidden="1" customHeight="1" spans="1:7">
      <c r="A292" s="47"/>
      <c r="B292" s="379" t="s">
        <v>289</v>
      </c>
      <c r="C292" s="380"/>
      <c r="D292" s="50" t="s">
        <v>290</v>
      </c>
      <c r="E292" s="363">
        <v>1127.2</v>
      </c>
      <c r="F292" s="360">
        <f>主材!D21</f>
        <v>8.1</v>
      </c>
      <c r="G292" s="362">
        <f>E292*F292</f>
        <v>9130.32</v>
      </c>
    </row>
    <row r="293" hidden="1" customHeight="1" spans="1:7">
      <c r="A293" s="47" t="s">
        <v>41</v>
      </c>
      <c r="B293" s="361" t="s">
        <v>248</v>
      </c>
      <c r="C293" s="361"/>
      <c r="D293" s="50"/>
      <c r="E293" s="360"/>
      <c r="F293" s="360"/>
      <c r="G293" s="362">
        <f>SUM(G294:G301)</f>
        <v>4998.37</v>
      </c>
    </row>
    <row r="294" hidden="1" customHeight="1" spans="1:7">
      <c r="A294" s="47"/>
      <c r="B294" s="361" t="s">
        <v>547</v>
      </c>
      <c r="C294" s="361"/>
      <c r="D294" s="50" t="s">
        <v>395</v>
      </c>
      <c r="E294" s="360">
        <v>0.82</v>
      </c>
      <c r="F294" s="364">
        <f>主材!M7</f>
        <v>2143</v>
      </c>
      <c r="G294" s="362">
        <f t="shared" ref="G294:G300" si="11">E294*F294</f>
        <v>1757.26</v>
      </c>
    </row>
    <row r="295" hidden="1" customHeight="1" spans="1:7">
      <c r="A295" s="47"/>
      <c r="B295" s="361" t="s">
        <v>590</v>
      </c>
      <c r="C295" s="361"/>
      <c r="D295" s="50" t="s">
        <v>323</v>
      </c>
      <c r="E295" s="360">
        <v>264.3</v>
      </c>
      <c r="F295" s="360">
        <v>4.44</v>
      </c>
      <c r="G295" s="362">
        <f t="shared" si="11"/>
        <v>1173.49</v>
      </c>
    </row>
    <row r="296" hidden="1" customHeight="1" spans="1:7">
      <c r="A296" s="47"/>
      <c r="B296" s="361" t="s">
        <v>552</v>
      </c>
      <c r="C296" s="361"/>
      <c r="D296" s="50" t="s">
        <v>323</v>
      </c>
      <c r="E296" s="360">
        <v>153.1</v>
      </c>
      <c r="F296" s="360">
        <v>5.97</v>
      </c>
      <c r="G296" s="362">
        <f t="shared" si="11"/>
        <v>914.01</v>
      </c>
    </row>
    <row r="297" hidden="1" customHeight="1" spans="1:7">
      <c r="A297" s="47"/>
      <c r="B297" s="387" t="s">
        <v>591</v>
      </c>
      <c r="C297" s="387"/>
      <c r="D297" s="388" t="s">
        <v>592</v>
      </c>
      <c r="E297" s="360">
        <v>100</v>
      </c>
      <c r="F297" s="389">
        <v>0</v>
      </c>
      <c r="G297" s="390">
        <f t="shared" si="11"/>
        <v>0</v>
      </c>
    </row>
    <row r="298" hidden="1" customHeight="1" spans="1:7">
      <c r="A298" s="47"/>
      <c r="B298" s="361" t="s">
        <v>585</v>
      </c>
      <c r="C298" s="361"/>
      <c r="D298" s="50" t="s">
        <v>395</v>
      </c>
      <c r="E298" s="360">
        <v>6.4</v>
      </c>
      <c r="F298" s="360">
        <f>混凝土单价!M5</f>
        <v>171.45</v>
      </c>
      <c r="G298" s="362">
        <f t="shared" si="11"/>
        <v>1097.28</v>
      </c>
    </row>
    <row r="299" hidden="1" customHeight="1" spans="1:7">
      <c r="A299" s="47"/>
      <c r="B299" s="361" t="s">
        <v>593</v>
      </c>
      <c r="C299" s="361"/>
      <c r="D299" s="50" t="s">
        <v>395</v>
      </c>
      <c r="E299" s="360">
        <v>2.3</v>
      </c>
      <c r="F299" s="360">
        <f>混凝土单价!M12</f>
        <v>0</v>
      </c>
      <c r="G299" s="362">
        <f t="shared" si="11"/>
        <v>0</v>
      </c>
    </row>
    <row r="300" hidden="1" customHeight="1" spans="1:7">
      <c r="A300" s="47"/>
      <c r="B300" s="361" t="s">
        <v>554</v>
      </c>
      <c r="C300" s="361"/>
      <c r="D300" s="50" t="s">
        <v>395</v>
      </c>
      <c r="E300" s="360">
        <v>7.2</v>
      </c>
      <c r="F300" s="360">
        <f>主材!D18</f>
        <v>4.37</v>
      </c>
      <c r="G300" s="362">
        <f t="shared" si="11"/>
        <v>31.46</v>
      </c>
    </row>
    <row r="301" hidden="1" customHeight="1" spans="1:7">
      <c r="A301" s="47"/>
      <c r="B301" s="361" t="s">
        <v>397</v>
      </c>
      <c r="C301" s="361"/>
      <c r="D301" s="50" t="s">
        <v>293</v>
      </c>
      <c r="E301" s="363">
        <v>0.5</v>
      </c>
      <c r="F301" s="360">
        <f>SUM(G294:G300)</f>
        <v>4973.5</v>
      </c>
      <c r="G301" s="362">
        <f>E301*F301/100</f>
        <v>24.87</v>
      </c>
    </row>
    <row r="302" hidden="1" customHeight="1" spans="1:7">
      <c r="A302" s="47" t="s">
        <v>46</v>
      </c>
      <c r="B302" s="361" t="s">
        <v>314</v>
      </c>
      <c r="C302" s="361"/>
      <c r="D302" s="50"/>
      <c r="E302" s="360"/>
      <c r="F302" s="360"/>
      <c r="G302" s="362">
        <f>SUM(G303:G306)</f>
        <v>713.29</v>
      </c>
    </row>
    <row r="303" hidden="1" customHeight="1" spans="1:7">
      <c r="A303" s="47"/>
      <c r="B303" s="361" t="s">
        <v>557</v>
      </c>
      <c r="C303" s="361"/>
      <c r="D303" s="50" t="s">
        <v>316</v>
      </c>
      <c r="E303" s="360">
        <v>82.5</v>
      </c>
      <c r="F303" s="360">
        <f>机械!E47</f>
        <v>8.06</v>
      </c>
      <c r="G303" s="362">
        <f>E303*F303</f>
        <v>664.95</v>
      </c>
    </row>
    <row r="304" hidden="1" customHeight="1" spans="1:7">
      <c r="A304" s="47"/>
      <c r="B304" s="361" t="s">
        <v>403</v>
      </c>
      <c r="C304" s="361"/>
      <c r="D304" s="50" t="s">
        <v>316</v>
      </c>
      <c r="E304" s="360">
        <v>1.57</v>
      </c>
      <c r="F304" s="360">
        <f>机械!E16</f>
        <v>23.75</v>
      </c>
      <c r="G304" s="362">
        <f>E304*F304</f>
        <v>37.29</v>
      </c>
    </row>
    <row r="305" hidden="1" customHeight="1" spans="1:7">
      <c r="A305" s="47"/>
      <c r="B305" s="361" t="s">
        <v>404</v>
      </c>
      <c r="C305" s="361"/>
      <c r="D305" s="50" t="s">
        <v>316</v>
      </c>
      <c r="E305" s="360">
        <v>4.87</v>
      </c>
      <c r="F305" s="360">
        <f>机械!E29</f>
        <v>0.82</v>
      </c>
      <c r="G305" s="362">
        <f>E305*F305</f>
        <v>3.99</v>
      </c>
    </row>
    <row r="306" hidden="1" customHeight="1" spans="1:7">
      <c r="A306" s="47"/>
      <c r="B306" s="361" t="s">
        <v>370</v>
      </c>
      <c r="C306" s="361"/>
      <c r="D306" s="50" t="s">
        <v>293</v>
      </c>
      <c r="E306" s="364">
        <v>1</v>
      </c>
      <c r="F306" s="360">
        <f>SUM(G303:G305)</f>
        <v>706.23</v>
      </c>
      <c r="G306" s="362">
        <f>E306*F306/100</f>
        <v>7.06</v>
      </c>
    </row>
    <row r="307" hidden="1" customHeight="1" spans="1:7">
      <c r="A307" s="47" t="s">
        <v>305</v>
      </c>
      <c r="B307" s="361" t="s">
        <v>250</v>
      </c>
      <c r="C307" s="361"/>
      <c r="D307" s="50"/>
      <c r="E307" s="360"/>
      <c r="F307" s="360"/>
      <c r="G307" s="362">
        <f>SUM(G308:G308)</f>
        <v>2310</v>
      </c>
    </row>
    <row r="308" hidden="1" customHeight="1" spans="1:7">
      <c r="A308" s="47"/>
      <c r="B308" s="387" t="s">
        <v>594</v>
      </c>
      <c r="C308" s="387"/>
      <c r="D308" s="388" t="s">
        <v>592</v>
      </c>
      <c r="E308" s="389">
        <v>100</v>
      </c>
      <c r="F308" s="389">
        <f>G327/100</f>
        <v>23.1</v>
      </c>
      <c r="G308" s="390">
        <f>E308*F308</f>
        <v>2310</v>
      </c>
    </row>
    <row r="309" hidden="1" customHeight="1" spans="1:7">
      <c r="A309" s="47" t="s">
        <v>133</v>
      </c>
      <c r="B309" s="361" t="s">
        <v>294</v>
      </c>
      <c r="C309" s="361"/>
      <c r="D309" s="50"/>
      <c r="E309" s="365">
        <f>G290</f>
        <v>17151.98</v>
      </c>
      <c r="F309" s="366">
        <f>费率!F4</f>
        <v>0.048</v>
      </c>
      <c r="G309" s="362">
        <f>E309*F309</f>
        <v>823.3</v>
      </c>
    </row>
    <row r="310" hidden="1" customHeight="1" spans="1:7">
      <c r="A310" s="47" t="s">
        <v>14</v>
      </c>
      <c r="B310" s="361" t="s">
        <v>295</v>
      </c>
      <c r="C310" s="361"/>
      <c r="D310" s="50"/>
      <c r="E310" s="360">
        <f>G289</f>
        <v>17975.28</v>
      </c>
      <c r="F310" s="368">
        <f>费率!F5</f>
        <v>0.07</v>
      </c>
      <c r="G310" s="362">
        <f>E310*F310</f>
        <v>1258.27</v>
      </c>
    </row>
    <row r="311" hidden="1" customHeight="1" spans="1:7">
      <c r="A311" s="47" t="s">
        <v>16</v>
      </c>
      <c r="B311" s="361" t="s">
        <v>296</v>
      </c>
      <c r="C311" s="361"/>
      <c r="D311" s="50"/>
      <c r="E311" s="360">
        <f>G289+G310</f>
        <v>19233.55</v>
      </c>
      <c r="F311" s="368">
        <f>费率!F6</f>
        <v>0.07</v>
      </c>
      <c r="G311" s="362">
        <f>E311*F311</f>
        <v>1346.35</v>
      </c>
    </row>
    <row r="312" hidden="1" customHeight="1" spans="1:7">
      <c r="A312" s="47" t="s">
        <v>18</v>
      </c>
      <c r="B312" s="361" t="s">
        <v>254</v>
      </c>
      <c r="C312" s="361"/>
      <c r="D312" s="50"/>
      <c r="E312" s="360"/>
      <c r="F312" s="366"/>
      <c r="G312" s="362">
        <f>SUM(G313:G316)</f>
        <v>284.72</v>
      </c>
    </row>
    <row r="313" hidden="1" customHeight="1" spans="1:7">
      <c r="A313" s="47"/>
      <c r="B313" s="361" t="s">
        <v>547</v>
      </c>
      <c r="C313" s="361"/>
      <c r="D313" s="50" t="s">
        <v>395</v>
      </c>
      <c r="E313" s="360">
        <f>E294</f>
        <v>0.82</v>
      </c>
      <c r="F313" s="367">
        <f>主材!N7</f>
        <v>0</v>
      </c>
      <c r="G313" s="362">
        <f t="shared" ref="G313:G318" si="12">E313*F313</f>
        <v>0</v>
      </c>
    </row>
    <row r="314" hidden="1" customHeight="1" spans="1:7">
      <c r="A314" s="47"/>
      <c r="B314" s="361" t="s">
        <v>405</v>
      </c>
      <c r="C314" s="361"/>
      <c r="D314" s="50" t="s">
        <v>158</v>
      </c>
      <c r="E314" s="360">
        <f>E298*混凝土单价!E5+混凝土!E299*混凝土单价!E12</f>
        <v>1.82</v>
      </c>
      <c r="F314" s="367">
        <f>主材!$N$6</f>
        <v>135.66</v>
      </c>
      <c r="G314" s="362">
        <f t="shared" si="12"/>
        <v>246.9</v>
      </c>
    </row>
    <row r="315" hidden="1" customHeight="1" spans="1:7">
      <c r="A315" s="47"/>
      <c r="B315" s="361" t="s">
        <v>396</v>
      </c>
      <c r="C315" s="361"/>
      <c r="D315" s="50" t="s">
        <v>395</v>
      </c>
      <c r="E315" s="360"/>
      <c r="F315" s="367">
        <f>主材!$N$9</f>
        <v>37.93</v>
      </c>
      <c r="G315" s="362">
        <f t="shared" si="12"/>
        <v>0</v>
      </c>
    </row>
    <row r="316" hidden="1" customHeight="1" spans="1:7">
      <c r="A316" s="47"/>
      <c r="B316" s="361" t="s">
        <v>467</v>
      </c>
      <c r="C316" s="361"/>
      <c r="D316" s="50" t="s">
        <v>395</v>
      </c>
      <c r="E316" s="360">
        <f>E298*混凝土单价!I5</f>
        <v>5.38</v>
      </c>
      <c r="F316" s="367">
        <f>主材!$N$10</f>
        <v>7.03</v>
      </c>
      <c r="G316" s="362">
        <f t="shared" si="12"/>
        <v>37.82</v>
      </c>
    </row>
    <row r="317" hidden="1" customHeight="1" spans="1:7">
      <c r="A317" s="47" t="s">
        <v>20</v>
      </c>
      <c r="B317" s="361" t="s">
        <v>297</v>
      </c>
      <c r="C317" s="361"/>
      <c r="D317" s="50"/>
      <c r="E317" s="360">
        <f>G289+G310++G311+G312</f>
        <v>20864.62</v>
      </c>
      <c r="F317" s="366">
        <f>费率!F7</f>
        <v>0.09</v>
      </c>
      <c r="G317" s="362">
        <f t="shared" si="12"/>
        <v>1877.82</v>
      </c>
    </row>
    <row r="318" hidden="1" customHeight="1" spans="1:7">
      <c r="A318" s="47"/>
      <c r="B318" s="361" t="s">
        <v>298</v>
      </c>
      <c r="C318" s="361"/>
      <c r="D318" s="50"/>
      <c r="E318" s="360">
        <f>G289+G310+G311+G312+G317</f>
        <v>22742.44</v>
      </c>
      <c r="F318" s="368">
        <v>0.03</v>
      </c>
      <c r="G318" s="362">
        <f t="shared" si="12"/>
        <v>682.27</v>
      </c>
    </row>
    <row r="319" hidden="1" customHeight="1" spans="1:7">
      <c r="A319" s="369"/>
      <c r="B319" s="370" t="s">
        <v>560</v>
      </c>
      <c r="C319" s="370"/>
      <c r="D319" s="370"/>
      <c r="E319" s="371"/>
      <c r="F319" s="370"/>
      <c r="G319" s="372">
        <f>G289+G310+G311+G312+G317+G318</f>
        <v>23424.71</v>
      </c>
    </row>
    <row r="320" hidden="1" customHeight="1" spans="1:7">
      <c r="A320" s="373"/>
      <c r="B320" s="373"/>
      <c r="C320" s="373"/>
      <c r="D320" s="373"/>
      <c r="E320" s="374"/>
      <c r="F320" s="373"/>
      <c r="G320" s="374"/>
    </row>
    <row r="321" ht="19.15" customHeight="1" spans="1:7">
      <c r="A321" s="383" t="s">
        <v>274</v>
      </c>
      <c r="B321" s="383"/>
      <c r="C321" s="383"/>
      <c r="D321" s="383"/>
      <c r="E321" s="383"/>
      <c r="F321" s="383"/>
      <c r="G321" s="383"/>
    </row>
    <row r="322" s="353" customFormat="1" ht="14.65" customHeight="1" spans="1:7">
      <c r="A322" s="391" t="s">
        <v>275</v>
      </c>
      <c r="B322" s="392"/>
      <c r="C322" s="392" t="s">
        <v>595</v>
      </c>
      <c r="D322" s="392" t="s">
        <v>276</v>
      </c>
      <c r="E322" s="393" t="s">
        <v>596</v>
      </c>
      <c r="F322" s="393"/>
      <c r="G322" s="394"/>
    </row>
    <row r="323" ht="14.65" customHeight="1" spans="1:7">
      <c r="A323" s="47" t="s">
        <v>278</v>
      </c>
      <c r="B323" s="48"/>
      <c r="C323" s="49" t="s">
        <v>597</v>
      </c>
      <c r="D323" s="49"/>
      <c r="E323" s="49"/>
      <c r="F323" s="50" t="s">
        <v>280</v>
      </c>
      <c r="G323" s="51" t="s">
        <v>281</v>
      </c>
    </row>
    <row r="324" ht="14.65" customHeight="1" spans="1:7">
      <c r="A324" s="358" t="s">
        <v>598</v>
      </c>
      <c r="B324" s="49"/>
      <c r="C324" s="49"/>
      <c r="D324" s="49"/>
      <c r="E324" s="49"/>
      <c r="F324" s="49"/>
      <c r="G324" s="359"/>
    </row>
    <row r="325" ht="14.65" customHeight="1" spans="1:7">
      <c r="A325" s="52" t="s">
        <v>599</v>
      </c>
      <c r="B325" s="53"/>
      <c r="C325" s="54"/>
      <c r="D325" s="54"/>
      <c r="E325" s="54"/>
      <c r="F325" s="54"/>
      <c r="G325" s="55"/>
    </row>
    <row r="326" ht="14.65" customHeight="1" spans="1:7">
      <c r="A326" s="47" t="s">
        <v>284</v>
      </c>
      <c r="B326" s="50" t="s">
        <v>233</v>
      </c>
      <c r="C326" s="50"/>
      <c r="D326" s="50" t="s">
        <v>88</v>
      </c>
      <c r="E326" s="360" t="s">
        <v>130</v>
      </c>
      <c r="F326" s="50" t="s">
        <v>285</v>
      </c>
      <c r="G326" s="51" t="s">
        <v>286</v>
      </c>
    </row>
    <row r="327" ht="14.65" customHeight="1" spans="1:7">
      <c r="A327" s="47" t="s">
        <v>9</v>
      </c>
      <c r="B327" s="361" t="s">
        <v>287</v>
      </c>
      <c r="C327" s="361"/>
      <c r="D327" s="50"/>
      <c r="E327" s="360"/>
      <c r="F327" s="360"/>
      <c r="G327" s="362">
        <f>G328+G335</f>
        <v>2310.27</v>
      </c>
    </row>
    <row r="328" ht="14.65" customHeight="1" spans="1:7">
      <c r="A328" s="47" t="s">
        <v>132</v>
      </c>
      <c r="B328" s="361" t="s">
        <v>288</v>
      </c>
      <c r="C328" s="361"/>
      <c r="D328" s="50"/>
      <c r="E328" s="360"/>
      <c r="F328" s="360"/>
      <c r="G328" s="362">
        <f>G329+G331+G333</f>
        <v>2204.46</v>
      </c>
    </row>
    <row r="329" ht="14.65" customHeight="1" spans="1:7">
      <c r="A329" s="47" t="s">
        <v>39</v>
      </c>
      <c r="B329" s="361" t="s">
        <v>247</v>
      </c>
      <c r="C329" s="361"/>
      <c r="D329" s="50"/>
      <c r="E329" s="360"/>
      <c r="F329" s="360"/>
      <c r="G329" s="362">
        <f>SUM(G330:G330)</f>
        <v>815.3</v>
      </c>
    </row>
    <row r="330" ht="14.65" customHeight="1" spans="1:7">
      <c r="A330" s="47"/>
      <c r="B330" s="379" t="s">
        <v>291</v>
      </c>
      <c r="C330" s="380"/>
      <c r="D330" s="50" t="s">
        <v>290</v>
      </c>
      <c r="E330" s="363">
        <f>176.6*0.8</f>
        <v>141.3</v>
      </c>
      <c r="F330" s="360">
        <f>主材!D22</f>
        <v>5.77</v>
      </c>
      <c r="G330" s="362">
        <f>E330*F330</f>
        <v>815.3</v>
      </c>
    </row>
    <row r="331" ht="14.65" customHeight="1" spans="1:7">
      <c r="A331" s="47" t="s">
        <v>41</v>
      </c>
      <c r="B331" s="361" t="s">
        <v>248</v>
      </c>
      <c r="C331" s="361"/>
      <c r="D331" s="50"/>
      <c r="E331" s="360"/>
      <c r="F331" s="360"/>
      <c r="G331" s="362">
        <f>G332</f>
        <v>64.21</v>
      </c>
    </row>
    <row r="332" ht="14.65" customHeight="1" spans="1:7">
      <c r="A332" s="47"/>
      <c r="B332" s="361" t="s">
        <v>292</v>
      </c>
      <c r="C332" s="361"/>
      <c r="D332" s="50" t="s">
        <v>293</v>
      </c>
      <c r="E332" s="363">
        <v>3</v>
      </c>
      <c r="F332" s="360">
        <f>G329+G333</f>
        <v>2140.25</v>
      </c>
      <c r="G332" s="362">
        <f>E332*F332/100</f>
        <v>64.21</v>
      </c>
    </row>
    <row r="333" ht="14.65" customHeight="1" spans="1:7">
      <c r="A333" s="47" t="s">
        <v>46</v>
      </c>
      <c r="B333" s="361" t="s">
        <v>314</v>
      </c>
      <c r="C333" s="361"/>
      <c r="D333" s="50"/>
      <c r="E333" s="360"/>
      <c r="F333" s="360"/>
      <c r="G333" s="362">
        <f>SUM(G334:G334)</f>
        <v>1324.95</v>
      </c>
    </row>
    <row r="334" ht="14.65" customHeight="1" spans="1:7">
      <c r="A334" s="47"/>
      <c r="B334" s="361" t="s">
        <v>600</v>
      </c>
      <c r="C334" s="361"/>
      <c r="D334" s="50" t="s">
        <v>316</v>
      </c>
      <c r="E334" s="360">
        <f>104.16*0.8+12.6*0</f>
        <v>83.33</v>
      </c>
      <c r="F334" s="360">
        <f>机械!E10</f>
        <v>15.9</v>
      </c>
      <c r="G334" s="362">
        <f>E334*F334</f>
        <v>1324.95</v>
      </c>
    </row>
    <row r="335" ht="14.65" customHeight="1" spans="1:7">
      <c r="A335" s="47" t="s">
        <v>133</v>
      </c>
      <c r="B335" s="361" t="s">
        <v>294</v>
      </c>
      <c r="C335" s="361"/>
      <c r="D335" s="50"/>
      <c r="E335" s="365">
        <f>G328</f>
        <v>2204.46</v>
      </c>
      <c r="F335" s="366">
        <f>费率!F4</f>
        <v>0.048</v>
      </c>
      <c r="G335" s="362">
        <f>E335*F335</f>
        <v>105.81</v>
      </c>
    </row>
    <row r="336" ht="14.65" customHeight="1" spans="1:7">
      <c r="A336" s="47" t="s">
        <v>14</v>
      </c>
      <c r="B336" s="361" t="s">
        <v>295</v>
      </c>
      <c r="C336" s="361"/>
      <c r="D336" s="50"/>
      <c r="E336" s="360">
        <f>G327</f>
        <v>2310.27</v>
      </c>
      <c r="F336" s="366">
        <f>费率!F5</f>
        <v>0.07</v>
      </c>
      <c r="G336" s="362">
        <f>E336*F336</f>
        <v>161.72</v>
      </c>
    </row>
    <row r="337" ht="14.65" customHeight="1" spans="1:7">
      <c r="A337" s="47" t="s">
        <v>16</v>
      </c>
      <c r="B337" s="361" t="s">
        <v>296</v>
      </c>
      <c r="C337" s="361"/>
      <c r="D337" s="50"/>
      <c r="E337" s="360">
        <f>G327+G336</f>
        <v>2471.99</v>
      </c>
      <c r="F337" s="366">
        <f>费率!F6</f>
        <v>0.07</v>
      </c>
      <c r="G337" s="362">
        <f>E337*F337</f>
        <v>173.04</v>
      </c>
    </row>
    <row r="338" ht="14.65" customHeight="1" spans="1:7">
      <c r="A338" s="47" t="s">
        <v>18</v>
      </c>
      <c r="B338" s="361" t="s">
        <v>254</v>
      </c>
      <c r="C338" s="361"/>
      <c r="D338" s="50"/>
      <c r="E338" s="360"/>
      <c r="F338" s="366"/>
      <c r="G338" s="362">
        <f>SUM(G339:G339)</f>
        <v>585.06</v>
      </c>
    </row>
    <row r="339" ht="14.65" customHeight="1" spans="1:7">
      <c r="A339" s="47"/>
      <c r="B339" s="361" t="s">
        <v>317</v>
      </c>
      <c r="C339" s="361"/>
      <c r="D339" s="50" t="s">
        <v>323</v>
      </c>
      <c r="E339" s="360">
        <f>E334*1.7</f>
        <v>141.66</v>
      </c>
      <c r="F339" s="367">
        <f>主材!N13</f>
        <v>4.13</v>
      </c>
      <c r="G339" s="362">
        <f>E339*F339</f>
        <v>585.06</v>
      </c>
    </row>
    <row r="340" ht="14.65" customHeight="1" spans="1:7">
      <c r="A340" s="47" t="s">
        <v>20</v>
      </c>
      <c r="B340" s="361" t="s">
        <v>297</v>
      </c>
      <c r="C340" s="361"/>
      <c r="D340" s="50"/>
      <c r="E340" s="360">
        <f>G327+G336++G337+G338</f>
        <v>3230.09</v>
      </c>
      <c r="F340" s="366">
        <f>费率!F7</f>
        <v>0.09</v>
      </c>
      <c r="G340" s="362">
        <f>E340*F340</f>
        <v>290.71</v>
      </c>
    </row>
    <row r="341" ht="14.65" customHeight="1" spans="1:7">
      <c r="A341" s="47"/>
      <c r="B341" s="361" t="s">
        <v>298</v>
      </c>
      <c r="C341" s="361"/>
      <c r="D341" s="50"/>
      <c r="E341" s="360">
        <f>G327+G336+G337+G338+G340</f>
        <v>3520.8</v>
      </c>
      <c r="F341" s="366">
        <v>0.03</v>
      </c>
      <c r="G341" s="362">
        <f>E341*F341</f>
        <v>105.62</v>
      </c>
    </row>
    <row r="342" ht="14.65" customHeight="1" spans="1:7">
      <c r="A342" s="369"/>
      <c r="B342" s="370" t="s">
        <v>560</v>
      </c>
      <c r="C342" s="370"/>
      <c r="D342" s="370"/>
      <c r="E342" s="371"/>
      <c r="F342" s="370"/>
      <c r="G342" s="372">
        <f>G327+G336+G337+G338+G340+G341</f>
        <v>3626.42</v>
      </c>
    </row>
    <row r="343" ht="8.45" customHeight="1" spans="1:7">
      <c r="A343" s="373"/>
      <c r="B343" s="373"/>
      <c r="C343" s="373"/>
      <c r="D343" s="373"/>
      <c r="E343" s="374"/>
      <c r="F343" s="373"/>
      <c r="G343" s="374"/>
    </row>
    <row r="344" customHeight="1" spans="1:15">
      <c r="A344" s="383" t="s">
        <v>274</v>
      </c>
      <c r="B344" s="383"/>
      <c r="C344" s="383"/>
      <c r="D344" s="383"/>
      <c r="E344" s="383"/>
      <c r="F344" s="383"/>
      <c r="G344" s="383"/>
      <c r="I344" s="383" t="s">
        <v>274</v>
      </c>
      <c r="J344" s="383"/>
      <c r="K344" s="383"/>
      <c r="L344" s="383"/>
      <c r="M344" s="383"/>
      <c r="N344" s="383"/>
      <c r="O344" s="383"/>
    </row>
    <row r="345" ht="14.65" customHeight="1" spans="1:15">
      <c r="A345" s="42" t="s">
        <v>275</v>
      </c>
      <c r="B345" s="43"/>
      <c r="C345" s="43" t="s">
        <v>601</v>
      </c>
      <c r="D345" s="43" t="s">
        <v>276</v>
      </c>
      <c r="E345" s="355" t="s">
        <v>602</v>
      </c>
      <c r="F345" s="355"/>
      <c r="G345" s="356"/>
      <c r="I345" s="42" t="s">
        <v>275</v>
      </c>
      <c r="J345" s="43"/>
      <c r="K345" s="43" t="s">
        <v>601</v>
      </c>
      <c r="L345" s="43" t="s">
        <v>276</v>
      </c>
      <c r="M345" s="355" t="s">
        <v>603</v>
      </c>
      <c r="N345" s="355"/>
      <c r="O345" s="356"/>
    </row>
    <row r="346" ht="14.65" customHeight="1" spans="1:15">
      <c r="A346" s="47" t="s">
        <v>278</v>
      </c>
      <c r="B346" s="48"/>
      <c r="C346" s="49" t="s">
        <v>604</v>
      </c>
      <c r="D346" s="49"/>
      <c r="E346" s="49"/>
      <c r="F346" s="50" t="s">
        <v>280</v>
      </c>
      <c r="G346" s="51" t="s">
        <v>281</v>
      </c>
      <c r="I346" s="47" t="s">
        <v>278</v>
      </c>
      <c r="J346" s="48"/>
      <c r="K346" s="49" t="s">
        <v>604</v>
      </c>
      <c r="L346" s="49"/>
      <c r="M346" s="49"/>
      <c r="N346" s="50" t="s">
        <v>280</v>
      </c>
      <c r="O346" s="51" t="s">
        <v>281</v>
      </c>
    </row>
    <row r="347" ht="14.65" customHeight="1" spans="1:15">
      <c r="A347" s="358" t="s">
        <v>605</v>
      </c>
      <c r="B347" s="49"/>
      <c r="C347" s="49"/>
      <c r="D347" s="49"/>
      <c r="E347" s="49"/>
      <c r="F347" s="49"/>
      <c r="G347" s="359"/>
      <c r="I347" s="358" t="s">
        <v>605</v>
      </c>
      <c r="J347" s="49"/>
      <c r="K347" s="49"/>
      <c r="L347" s="49"/>
      <c r="M347" s="49"/>
      <c r="N347" s="49"/>
      <c r="O347" s="359"/>
    </row>
    <row r="348" ht="14.65" customHeight="1" spans="1:15">
      <c r="A348" s="52" t="s">
        <v>606</v>
      </c>
      <c r="B348" s="53"/>
      <c r="C348" s="54"/>
      <c r="D348" s="54"/>
      <c r="E348" s="54"/>
      <c r="F348" s="54"/>
      <c r="G348" s="55"/>
      <c r="I348" s="52" t="s">
        <v>606</v>
      </c>
      <c r="J348" s="53"/>
      <c r="K348" s="54"/>
      <c r="L348" s="54"/>
      <c r="M348" s="54"/>
      <c r="N348" s="54"/>
      <c r="O348" s="55"/>
    </row>
    <row r="349" ht="14.65" customHeight="1" spans="1:15">
      <c r="A349" s="47" t="s">
        <v>284</v>
      </c>
      <c r="B349" s="50" t="s">
        <v>233</v>
      </c>
      <c r="C349" s="50"/>
      <c r="D349" s="50" t="s">
        <v>88</v>
      </c>
      <c r="E349" s="360" t="s">
        <v>130</v>
      </c>
      <c r="F349" s="50" t="s">
        <v>285</v>
      </c>
      <c r="G349" s="51" t="s">
        <v>286</v>
      </c>
      <c r="I349" s="47" t="s">
        <v>284</v>
      </c>
      <c r="J349" s="50" t="s">
        <v>233</v>
      </c>
      <c r="K349" s="50"/>
      <c r="L349" s="50" t="s">
        <v>88</v>
      </c>
      <c r="M349" s="360" t="s">
        <v>130</v>
      </c>
      <c r="N349" s="50" t="s">
        <v>285</v>
      </c>
      <c r="O349" s="51" t="s">
        <v>286</v>
      </c>
    </row>
    <row r="350" ht="14.65" customHeight="1" spans="1:15">
      <c r="A350" s="47" t="s">
        <v>9</v>
      </c>
      <c r="B350" s="361" t="s">
        <v>287</v>
      </c>
      <c r="C350" s="361"/>
      <c r="D350" s="50"/>
      <c r="E350" s="360"/>
      <c r="F350" s="360"/>
      <c r="G350" s="362">
        <f>G351+G363</f>
        <v>3595.09</v>
      </c>
      <c r="I350" s="47" t="s">
        <v>9</v>
      </c>
      <c r="J350" s="361" t="s">
        <v>287</v>
      </c>
      <c r="K350" s="361"/>
      <c r="L350" s="50"/>
      <c r="M350" s="360"/>
      <c r="N350" s="360"/>
      <c r="O350" s="362">
        <v>4490.43</v>
      </c>
    </row>
    <row r="351" ht="14.65" customHeight="1" spans="1:15">
      <c r="A351" s="47" t="s">
        <v>132</v>
      </c>
      <c r="B351" s="361" t="s">
        <v>288</v>
      </c>
      <c r="C351" s="361"/>
      <c r="D351" s="50"/>
      <c r="E351" s="360"/>
      <c r="F351" s="360"/>
      <c r="G351" s="362">
        <f>G352+G355+G359</f>
        <v>3430.43</v>
      </c>
      <c r="I351" s="47" t="s">
        <v>132</v>
      </c>
      <c r="J351" s="361" t="s">
        <v>288</v>
      </c>
      <c r="K351" s="361"/>
      <c r="L351" s="50"/>
      <c r="M351" s="360"/>
      <c r="N351" s="360"/>
      <c r="O351" s="362">
        <v>4284.76</v>
      </c>
    </row>
    <row r="352" ht="14.65" customHeight="1" spans="1:15">
      <c r="A352" s="47" t="s">
        <v>39</v>
      </c>
      <c r="B352" s="361" t="s">
        <v>247</v>
      </c>
      <c r="C352" s="361"/>
      <c r="D352" s="50"/>
      <c r="E352" s="360"/>
      <c r="F352" s="360"/>
      <c r="G352" s="362">
        <f>SUM(G353:G354)</f>
        <v>599.76</v>
      </c>
      <c r="I352" s="47" t="s">
        <v>39</v>
      </c>
      <c r="J352" s="361" t="s">
        <v>247</v>
      </c>
      <c r="K352" s="361"/>
      <c r="L352" s="50"/>
      <c r="M352" s="360"/>
      <c r="N352" s="360"/>
      <c r="O352" s="362">
        <v>599.76</v>
      </c>
    </row>
    <row r="353" ht="14.65" customHeight="1" spans="1:15">
      <c r="A353" s="47"/>
      <c r="B353" s="379" t="s">
        <v>289</v>
      </c>
      <c r="C353" s="380"/>
      <c r="D353" s="50" t="s">
        <v>290</v>
      </c>
      <c r="E353" s="363">
        <v>43.2</v>
      </c>
      <c r="F353" s="360">
        <f>主材!D21</f>
        <v>8.1</v>
      </c>
      <c r="G353" s="362">
        <f>E353*F353</f>
        <v>349.92</v>
      </c>
      <c r="I353" s="47"/>
      <c r="J353" s="379" t="s">
        <v>289</v>
      </c>
      <c r="K353" s="380"/>
      <c r="L353" s="50" t="s">
        <v>290</v>
      </c>
      <c r="M353" s="363">
        <v>43.2</v>
      </c>
      <c r="N353" s="360">
        <v>8.1</v>
      </c>
      <c r="O353" s="362">
        <v>349.92</v>
      </c>
    </row>
    <row r="354" ht="14.65" customHeight="1" spans="1:15">
      <c r="A354" s="47"/>
      <c r="B354" s="379" t="s">
        <v>291</v>
      </c>
      <c r="C354" s="380"/>
      <c r="D354" s="50" t="s">
        <v>290</v>
      </c>
      <c r="E354" s="363">
        <v>43.3</v>
      </c>
      <c r="F354" s="360">
        <f>主材!D22</f>
        <v>5.77</v>
      </c>
      <c r="G354" s="362">
        <f>E354*F354</f>
        <v>249.84</v>
      </c>
      <c r="I354" s="47"/>
      <c r="J354" s="379" t="s">
        <v>291</v>
      </c>
      <c r="K354" s="380"/>
      <c r="L354" s="50" t="s">
        <v>290</v>
      </c>
      <c r="M354" s="363">
        <v>43.3</v>
      </c>
      <c r="N354" s="360">
        <v>5.77</v>
      </c>
      <c r="O354" s="362">
        <v>249.84</v>
      </c>
    </row>
    <row r="355" ht="14.65" customHeight="1" spans="1:15">
      <c r="A355" s="47" t="s">
        <v>41</v>
      </c>
      <c r="B355" s="361" t="s">
        <v>248</v>
      </c>
      <c r="C355" s="361"/>
      <c r="D355" s="50"/>
      <c r="E355" s="360"/>
      <c r="F355" s="360"/>
      <c r="G355" s="362">
        <f>SUM(G356:G358)</f>
        <v>282.57</v>
      </c>
      <c r="I355" s="47" t="s">
        <v>41</v>
      </c>
      <c r="J355" s="361" t="s">
        <v>248</v>
      </c>
      <c r="K355" s="361"/>
      <c r="L355" s="50"/>
      <c r="M355" s="360"/>
      <c r="N355" s="360"/>
      <c r="O355" s="362">
        <v>254</v>
      </c>
    </row>
    <row r="356" ht="14.65" customHeight="1" spans="1:15">
      <c r="A356" s="47"/>
      <c r="B356" s="361" t="s">
        <v>547</v>
      </c>
      <c r="C356" s="361"/>
      <c r="D356" s="50" t="s">
        <v>395</v>
      </c>
      <c r="E356" s="360">
        <v>0.1</v>
      </c>
      <c r="F356" s="360">
        <f>主材!M7</f>
        <v>2143.4</v>
      </c>
      <c r="G356" s="362">
        <f>E356*F356</f>
        <v>214.34</v>
      </c>
      <c r="I356" s="47"/>
      <c r="J356" s="361" t="s">
        <v>547</v>
      </c>
      <c r="K356" s="361"/>
      <c r="L356" s="50" t="s">
        <v>395</v>
      </c>
      <c r="M356" s="360">
        <v>0.1</v>
      </c>
      <c r="N356" s="364">
        <v>1866</v>
      </c>
      <c r="O356" s="362">
        <v>186.6</v>
      </c>
    </row>
    <row r="357" ht="14.65" customHeight="1" spans="1:15">
      <c r="A357" s="47"/>
      <c r="B357" s="361" t="s">
        <v>583</v>
      </c>
      <c r="C357" s="361"/>
      <c r="D357" s="50" t="s">
        <v>323</v>
      </c>
      <c r="E357" s="360">
        <v>12</v>
      </c>
      <c r="F357" s="360">
        <v>5</v>
      </c>
      <c r="G357" s="362">
        <f>E357*F357</f>
        <v>60</v>
      </c>
      <c r="I357" s="47"/>
      <c r="J357" s="361" t="s">
        <v>583</v>
      </c>
      <c r="K357" s="361"/>
      <c r="L357" s="50" t="s">
        <v>323</v>
      </c>
      <c r="M357" s="360">
        <v>12</v>
      </c>
      <c r="N357" s="360">
        <v>5</v>
      </c>
      <c r="O357" s="362">
        <v>60</v>
      </c>
    </row>
    <row r="358" ht="14.65" customHeight="1" spans="1:15">
      <c r="A358" s="47"/>
      <c r="B358" s="361" t="s">
        <v>397</v>
      </c>
      <c r="C358" s="361"/>
      <c r="D358" s="50" t="s">
        <v>293</v>
      </c>
      <c r="E358" s="363">
        <v>3</v>
      </c>
      <c r="F358" s="360">
        <f>SUM(G356:G357)</f>
        <v>274.34</v>
      </c>
      <c r="G358" s="362">
        <f>E358*F358/100</f>
        <v>8.23</v>
      </c>
      <c r="I358" s="47"/>
      <c r="J358" s="361" t="s">
        <v>397</v>
      </c>
      <c r="K358" s="361"/>
      <c r="L358" s="50" t="s">
        <v>293</v>
      </c>
      <c r="M358" s="363">
        <v>3</v>
      </c>
      <c r="N358" s="360">
        <v>246.6</v>
      </c>
      <c r="O358" s="362">
        <v>7.4</v>
      </c>
    </row>
    <row r="359" ht="14.65" customHeight="1" spans="1:15">
      <c r="A359" s="47" t="s">
        <v>46</v>
      </c>
      <c r="B359" s="361" t="s">
        <v>314</v>
      </c>
      <c r="C359" s="361"/>
      <c r="D359" s="50"/>
      <c r="E359" s="360"/>
      <c r="F359" s="360"/>
      <c r="G359" s="362">
        <f>SUM(G360:G362)</f>
        <v>2548.1</v>
      </c>
      <c r="I359" s="47" t="s">
        <v>46</v>
      </c>
      <c r="J359" s="361" t="s">
        <v>314</v>
      </c>
      <c r="K359" s="361"/>
      <c r="L359" s="50"/>
      <c r="M359" s="360"/>
      <c r="N359" s="360"/>
      <c r="O359" s="362">
        <v>3431</v>
      </c>
    </row>
    <row r="360" ht="14.65" customHeight="1" spans="1:15">
      <c r="A360" s="47"/>
      <c r="B360" s="379" t="s">
        <v>607</v>
      </c>
      <c r="C360" s="380"/>
      <c r="D360" s="50" t="s">
        <v>316</v>
      </c>
      <c r="E360" s="360">
        <v>23</v>
      </c>
      <c r="F360" s="360">
        <f>机械!E24</f>
        <v>74.46</v>
      </c>
      <c r="G360" s="362">
        <f>E360*F360</f>
        <v>1712.58</v>
      </c>
      <c r="I360" s="47"/>
      <c r="J360" s="379" t="s">
        <v>607</v>
      </c>
      <c r="K360" s="380"/>
      <c r="L360" s="50" t="s">
        <v>316</v>
      </c>
      <c r="M360" s="360">
        <v>34.74</v>
      </c>
      <c r="N360" s="360">
        <v>74.46</v>
      </c>
      <c r="O360" s="362">
        <v>2586.74</v>
      </c>
    </row>
    <row r="361" ht="14.65" customHeight="1" spans="1:15">
      <c r="A361" s="47"/>
      <c r="B361" s="379" t="s">
        <v>569</v>
      </c>
      <c r="C361" s="380"/>
      <c r="D361" s="50" t="s">
        <v>316</v>
      </c>
      <c r="E361" s="360">
        <v>13</v>
      </c>
      <c r="F361" s="360">
        <f>机械!E33</f>
        <v>62.33</v>
      </c>
      <c r="G361" s="362">
        <f>E361*F361</f>
        <v>810.29</v>
      </c>
      <c r="I361" s="47"/>
      <c r="J361" s="379" t="s">
        <v>569</v>
      </c>
      <c r="K361" s="380"/>
      <c r="L361" s="50" t="s">
        <v>316</v>
      </c>
      <c r="M361" s="360">
        <v>13</v>
      </c>
      <c r="N361" s="360">
        <v>62.33</v>
      </c>
      <c r="O361" s="362">
        <v>810.29</v>
      </c>
    </row>
    <row r="362" ht="14.65" customHeight="1" spans="1:15">
      <c r="A362" s="47"/>
      <c r="B362" s="379" t="s">
        <v>370</v>
      </c>
      <c r="C362" s="380"/>
      <c r="D362" s="50" t="s">
        <v>293</v>
      </c>
      <c r="E362" s="364">
        <v>1</v>
      </c>
      <c r="F362" s="360">
        <f>SUM(G360:G361)</f>
        <v>2522.87</v>
      </c>
      <c r="G362" s="362">
        <f>E362*F362/100</f>
        <v>25.23</v>
      </c>
      <c r="I362" s="47"/>
      <c r="J362" s="379" t="s">
        <v>370</v>
      </c>
      <c r="K362" s="380"/>
      <c r="L362" s="50" t="s">
        <v>293</v>
      </c>
      <c r="M362" s="364">
        <v>1</v>
      </c>
      <c r="N362" s="360">
        <v>3397.03</v>
      </c>
      <c r="O362" s="362">
        <v>33.97</v>
      </c>
    </row>
    <row r="363" ht="14.65" customHeight="1" spans="1:15">
      <c r="A363" s="47" t="s">
        <v>133</v>
      </c>
      <c r="B363" s="361" t="s">
        <v>294</v>
      </c>
      <c r="C363" s="361"/>
      <c r="D363" s="50"/>
      <c r="E363" s="365">
        <f>G351</f>
        <v>3430.43</v>
      </c>
      <c r="F363" s="366">
        <f>费率!F4</f>
        <v>0.048</v>
      </c>
      <c r="G363" s="362">
        <f>E363*F363</f>
        <v>164.66</v>
      </c>
      <c r="I363" s="47" t="s">
        <v>133</v>
      </c>
      <c r="J363" s="361" t="s">
        <v>294</v>
      </c>
      <c r="K363" s="361"/>
      <c r="L363" s="50"/>
      <c r="M363" s="365">
        <v>4284.76</v>
      </c>
      <c r="N363" s="366">
        <v>0.048</v>
      </c>
      <c r="O363" s="362">
        <v>205.67</v>
      </c>
    </row>
    <row r="364" ht="14.65" customHeight="1" spans="1:15">
      <c r="A364" s="47" t="s">
        <v>14</v>
      </c>
      <c r="B364" s="361" t="s">
        <v>295</v>
      </c>
      <c r="C364" s="361"/>
      <c r="D364" s="50"/>
      <c r="E364" s="360">
        <f>G350</f>
        <v>3595.09</v>
      </c>
      <c r="F364" s="368">
        <f>费率!F5</f>
        <v>0.07</v>
      </c>
      <c r="G364" s="362">
        <f>E364*F364</f>
        <v>251.66</v>
      </c>
      <c r="I364" s="47" t="s">
        <v>14</v>
      </c>
      <c r="J364" s="361" t="s">
        <v>295</v>
      </c>
      <c r="K364" s="361"/>
      <c r="L364" s="50"/>
      <c r="M364" s="360">
        <v>4490.43</v>
      </c>
      <c r="N364" s="368">
        <v>0.07</v>
      </c>
      <c r="O364" s="362">
        <v>314.33</v>
      </c>
    </row>
    <row r="365" ht="14.65" customHeight="1" spans="1:15">
      <c r="A365" s="47" t="s">
        <v>16</v>
      </c>
      <c r="B365" s="361" t="s">
        <v>296</v>
      </c>
      <c r="C365" s="361"/>
      <c r="D365" s="50"/>
      <c r="E365" s="360">
        <f>G350+G364</f>
        <v>3846.75</v>
      </c>
      <c r="F365" s="368">
        <f>费率!F6</f>
        <v>0.07</v>
      </c>
      <c r="G365" s="362">
        <f>E365*F365</f>
        <v>269.27</v>
      </c>
      <c r="I365" s="47" t="s">
        <v>16</v>
      </c>
      <c r="J365" s="361" t="s">
        <v>296</v>
      </c>
      <c r="K365" s="361"/>
      <c r="L365" s="50"/>
      <c r="M365" s="360">
        <v>4804.76</v>
      </c>
      <c r="N365" s="368">
        <v>0.07</v>
      </c>
      <c r="O365" s="362">
        <v>336.33</v>
      </c>
    </row>
    <row r="366" ht="14.65" customHeight="1" spans="1:15">
      <c r="A366" s="47" t="s">
        <v>18</v>
      </c>
      <c r="B366" s="361" t="s">
        <v>254</v>
      </c>
      <c r="C366" s="361"/>
      <c r="D366" s="50"/>
      <c r="E366" s="360"/>
      <c r="F366" s="366"/>
      <c r="G366" s="362">
        <f>SUM(G367:G369)</f>
        <v>1254.83</v>
      </c>
      <c r="I366" s="47" t="s">
        <v>18</v>
      </c>
      <c r="J366" s="361" t="s">
        <v>254</v>
      </c>
      <c r="K366" s="361"/>
      <c r="L366" s="50"/>
      <c r="M366" s="360"/>
      <c r="N366" s="366"/>
      <c r="O366" s="362">
        <v>1443.41</v>
      </c>
    </row>
    <row r="367" ht="14.65" customHeight="1" spans="1:15">
      <c r="A367" s="47"/>
      <c r="B367" s="361"/>
      <c r="C367" s="361"/>
      <c r="D367" s="50"/>
      <c r="E367" s="360"/>
      <c r="F367" s="367"/>
      <c r="G367" s="362"/>
      <c r="I367" s="47"/>
      <c r="J367" s="361" t="s">
        <v>547</v>
      </c>
      <c r="K367" s="361"/>
      <c r="L367" s="50" t="s">
        <v>395</v>
      </c>
      <c r="M367" s="360">
        <v>0.1</v>
      </c>
      <c r="N367" s="367">
        <v>0</v>
      </c>
      <c r="O367" s="362">
        <v>0</v>
      </c>
    </row>
    <row r="368" ht="14.65" customHeight="1" spans="1:15">
      <c r="A368" s="47"/>
      <c r="B368" s="361" t="s">
        <v>317</v>
      </c>
      <c r="C368" s="361"/>
      <c r="D368" s="50" t="s">
        <v>323</v>
      </c>
      <c r="E368" s="360">
        <f>E360*8.9</f>
        <v>204.7</v>
      </c>
      <c r="F368" s="367">
        <f>主材!N13</f>
        <v>4.13</v>
      </c>
      <c r="G368" s="362">
        <f>E368*F368</f>
        <v>845.41</v>
      </c>
      <c r="I368" s="47"/>
      <c r="J368" s="361" t="s">
        <v>317</v>
      </c>
      <c r="K368" s="361"/>
      <c r="L368" s="50" t="s">
        <v>323</v>
      </c>
      <c r="M368" s="360">
        <v>309.19</v>
      </c>
      <c r="N368" s="367">
        <v>3.51</v>
      </c>
      <c r="O368" s="362">
        <v>1085.26</v>
      </c>
    </row>
    <row r="369" ht="14.65" customHeight="1" spans="1:15">
      <c r="A369" s="47"/>
      <c r="B369" s="379" t="s">
        <v>522</v>
      </c>
      <c r="C369" s="380"/>
      <c r="D369" s="50" t="s">
        <v>323</v>
      </c>
      <c r="E369" s="360">
        <f>E361*5.8</f>
        <v>75.4</v>
      </c>
      <c r="F369" s="367">
        <f>主材!N14</f>
        <v>5.43</v>
      </c>
      <c r="G369" s="362">
        <f>E369*F369</f>
        <v>409.42</v>
      </c>
      <c r="I369" s="47"/>
      <c r="J369" s="379" t="s">
        <v>522</v>
      </c>
      <c r="K369" s="380"/>
      <c r="L369" s="50" t="s">
        <v>323</v>
      </c>
      <c r="M369" s="360">
        <v>75.4</v>
      </c>
      <c r="N369" s="367">
        <v>4.75</v>
      </c>
      <c r="O369" s="362">
        <v>358.15</v>
      </c>
    </row>
    <row r="370" ht="14.65" customHeight="1" spans="1:15">
      <c r="A370" s="47" t="s">
        <v>20</v>
      </c>
      <c r="B370" s="361" t="s">
        <v>297</v>
      </c>
      <c r="C370" s="361"/>
      <c r="D370" s="50"/>
      <c r="E370" s="360">
        <f>G350+G364++G365+G366</f>
        <v>5370.85</v>
      </c>
      <c r="F370" s="366">
        <f>费率!F7</f>
        <v>0.09</v>
      </c>
      <c r="G370" s="362">
        <f>E370*F370</f>
        <v>483.38</v>
      </c>
      <c r="I370" s="47" t="s">
        <v>20</v>
      </c>
      <c r="J370" s="361" t="s">
        <v>297</v>
      </c>
      <c r="K370" s="361"/>
      <c r="L370" s="50"/>
      <c r="M370" s="360">
        <v>6584.5</v>
      </c>
      <c r="N370" s="366">
        <v>0.09</v>
      </c>
      <c r="O370" s="362">
        <v>592.61</v>
      </c>
    </row>
    <row r="371" ht="14.65" customHeight="1" spans="1:15">
      <c r="A371" s="47"/>
      <c r="B371" s="361" t="s">
        <v>298</v>
      </c>
      <c r="C371" s="361"/>
      <c r="D371" s="50"/>
      <c r="E371" s="360">
        <f>G350+G364+G365+G366+G370</f>
        <v>5854.23</v>
      </c>
      <c r="F371" s="366">
        <v>0.03</v>
      </c>
      <c r="G371" s="362">
        <f>E371*F371</f>
        <v>175.63</v>
      </c>
      <c r="I371" s="47"/>
      <c r="J371" s="361" t="s">
        <v>298</v>
      </c>
      <c r="K371" s="361"/>
      <c r="L371" s="50"/>
      <c r="M371" s="360">
        <v>7177.11</v>
      </c>
      <c r="N371" s="368">
        <v>0.03</v>
      </c>
      <c r="O371" s="362">
        <v>215.31</v>
      </c>
    </row>
    <row r="372" ht="14.65" customHeight="1" spans="1:15">
      <c r="A372" s="369"/>
      <c r="B372" s="370" t="s">
        <v>560</v>
      </c>
      <c r="C372" s="370"/>
      <c r="D372" s="370"/>
      <c r="E372" s="371"/>
      <c r="F372" s="370"/>
      <c r="G372" s="372">
        <f>G350+G364+G365+G366+G370+G371</f>
        <v>6029.86</v>
      </c>
      <c r="I372" s="369"/>
      <c r="J372" s="370" t="s">
        <v>560</v>
      </c>
      <c r="K372" s="370"/>
      <c r="L372" s="370"/>
      <c r="M372" s="371"/>
      <c r="N372" s="370"/>
      <c r="O372" s="372">
        <v>7392.42</v>
      </c>
    </row>
    <row r="373" ht="14.65" customHeight="1" spans="1:7">
      <c r="A373" s="373"/>
      <c r="B373" s="373"/>
      <c r="C373" s="373"/>
      <c r="D373" s="375"/>
      <c r="E373" s="374"/>
      <c r="F373" s="373"/>
      <c r="G373" s="374"/>
    </row>
    <row r="374" ht="19.9" customHeight="1" spans="1:7">
      <c r="A374" s="354" t="s">
        <v>274</v>
      </c>
      <c r="B374" s="354"/>
      <c r="C374" s="354"/>
      <c r="D374" s="354"/>
      <c r="E374" s="354"/>
      <c r="F374" s="354"/>
      <c r="G374" s="354"/>
    </row>
    <row r="375" ht="19.9" customHeight="1" spans="1:7">
      <c r="A375" s="42" t="s">
        <v>275</v>
      </c>
      <c r="B375" s="43"/>
      <c r="C375" s="43" t="s">
        <v>608</v>
      </c>
      <c r="D375" s="43" t="s">
        <v>276</v>
      </c>
      <c r="E375" s="355" t="s">
        <v>609</v>
      </c>
      <c r="F375" s="355"/>
      <c r="G375" s="356"/>
    </row>
    <row r="376" ht="19.9" customHeight="1" spans="1:7">
      <c r="A376" s="47" t="s">
        <v>278</v>
      </c>
      <c r="B376" s="48"/>
      <c r="C376" s="49" t="s">
        <v>610</v>
      </c>
      <c r="D376" s="49"/>
      <c r="E376" s="49"/>
      <c r="F376" s="50" t="s">
        <v>280</v>
      </c>
      <c r="G376" s="51" t="s">
        <v>158</v>
      </c>
    </row>
    <row r="377" ht="19.9" customHeight="1" spans="1:7">
      <c r="A377" s="358" t="s">
        <v>611</v>
      </c>
      <c r="B377" s="49"/>
      <c r="C377" s="49"/>
      <c r="D377" s="49"/>
      <c r="E377" s="49"/>
      <c r="F377" s="49"/>
      <c r="G377" s="359"/>
    </row>
    <row r="378" ht="19.9" customHeight="1" spans="1:7">
      <c r="A378" s="52" t="s">
        <v>612</v>
      </c>
      <c r="B378" s="53"/>
      <c r="C378" s="54"/>
      <c r="D378" s="54"/>
      <c r="E378" s="54"/>
      <c r="F378" s="54"/>
      <c r="G378" s="55"/>
    </row>
    <row r="379" ht="19.9" customHeight="1" spans="1:7">
      <c r="A379" s="47" t="s">
        <v>284</v>
      </c>
      <c r="B379" s="50" t="s">
        <v>233</v>
      </c>
      <c r="C379" s="50"/>
      <c r="D379" s="50" t="s">
        <v>88</v>
      </c>
      <c r="E379" s="360" t="s">
        <v>130</v>
      </c>
      <c r="F379" s="50" t="s">
        <v>285</v>
      </c>
      <c r="G379" s="51" t="s">
        <v>286</v>
      </c>
    </row>
    <row r="380" ht="19.9" customHeight="1" spans="1:7">
      <c r="A380" s="47" t="s">
        <v>9</v>
      </c>
      <c r="B380" s="361" t="s">
        <v>287</v>
      </c>
      <c r="C380" s="361"/>
      <c r="D380" s="50"/>
      <c r="E380" s="360"/>
      <c r="F380" s="360"/>
      <c r="G380" s="362">
        <f>G381+G400</f>
        <v>3953.83</v>
      </c>
    </row>
    <row r="381" ht="19.9" customHeight="1" spans="1:7">
      <c r="A381" s="47" t="s">
        <v>132</v>
      </c>
      <c r="B381" s="361" t="s">
        <v>288</v>
      </c>
      <c r="C381" s="361"/>
      <c r="D381" s="50"/>
      <c r="E381" s="360"/>
      <c r="F381" s="360"/>
      <c r="G381" s="362">
        <f>G382+G385+G390</f>
        <v>3772.74</v>
      </c>
    </row>
    <row r="382" ht="19.9" customHeight="1" spans="1:7">
      <c r="A382" s="47" t="s">
        <v>39</v>
      </c>
      <c r="B382" s="361" t="s">
        <v>247</v>
      </c>
      <c r="C382" s="361"/>
      <c r="D382" s="50"/>
      <c r="E382" s="360"/>
      <c r="F382" s="360"/>
      <c r="G382" s="362">
        <f>SUM(G383:G384)</f>
        <v>814.08</v>
      </c>
    </row>
    <row r="383" ht="19.9" customHeight="1" spans="1:7">
      <c r="A383" s="47"/>
      <c r="B383" s="361" t="s">
        <v>289</v>
      </c>
      <c r="C383" s="361"/>
      <c r="D383" s="50" t="s">
        <v>290</v>
      </c>
      <c r="E383" s="363">
        <v>80.7</v>
      </c>
      <c r="F383" s="360">
        <f>主材!D21</f>
        <v>8.1</v>
      </c>
      <c r="G383" s="362">
        <f>E383*F383</f>
        <v>653.67</v>
      </c>
    </row>
    <row r="384" ht="19.9" customHeight="1" spans="1:7">
      <c r="A384" s="47"/>
      <c r="B384" s="361" t="s">
        <v>291</v>
      </c>
      <c r="C384" s="361"/>
      <c r="D384" s="50" t="s">
        <v>290</v>
      </c>
      <c r="E384" s="363">
        <v>27.8</v>
      </c>
      <c r="F384" s="360">
        <f>主材!D22</f>
        <v>5.77</v>
      </c>
      <c r="G384" s="362">
        <f>E384*F384</f>
        <v>160.41</v>
      </c>
    </row>
    <row r="385" ht="19.9" customHeight="1" spans="1:7">
      <c r="A385" s="47" t="s">
        <v>41</v>
      </c>
      <c r="B385" s="361" t="s">
        <v>248</v>
      </c>
      <c r="C385" s="361"/>
      <c r="D385" s="50"/>
      <c r="E385" s="360"/>
      <c r="F385" s="360"/>
      <c r="G385" s="362">
        <f>SUM(G386:G389)</f>
        <v>2709.24</v>
      </c>
    </row>
    <row r="386" ht="19.9" customHeight="1" spans="1:7">
      <c r="A386" s="47"/>
      <c r="B386" s="361" t="s">
        <v>507</v>
      </c>
      <c r="C386" s="361"/>
      <c r="D386" s="50" t="s">
        <v>158</v>
      </c>
      <c r="E386" s="360">
        <v>1.02</v>
      </c>
      <c r="F386" s="360">
        <f>主材!M4</f>
        <v>2560</v>
      </c>
      <c r="G386" s="362">
        <f>E386*F386</f>
        <v>2611.2</v>
      </c>
    </row>
    <row r="387" ht="19.9" customHeight="1" spans="1:7">
      <c r="A387" s="47"/>
      <c r="B387" s="361" t="s">
        <v>613</v>
      </c>
      <c r="C387" s="361"/>
      <c r="D387" s="50" t="s">
        <v>323</v>
      </c>
      <c r="E387" s="360">
        <v>4</v>
      </c>
      <c r="F387" s="360">
        <v>7.03</v>
      </c>
      <c r="G387" s="362">
        <f>E387*F387</f>
        <v>28.12</v>
      </c>
    </row>
    <row r="388" ht="19.9" customHeight="1" spans="1:7">
      <c r="A388" s="47"/>
      <c r="B388" s="361" t="s">
        <v>552</v>
      </c>
      <c r="C388" s="361"/>
      <c r="D388" s="50" t="s">
        <v>323</v>
      </c>
      <c r="E388" s="360">
        <v>7.22</v>
      </c>
      <c r="F388" s="360">
        <v>5.97</v>
      </c>
      <c r="G388" s="362">
        <f>E388*F388</f>
        <v>43.1</v>
      </c>
    </row>
    <row r="389" ht="19.9" customHeight="1" spans="1:7">
      <c r="A389" s="47"/>
      <c r="B389" s="361" t="s">
        <v>397</v>
      </c>
      <c r="C389" s="361"/>
      <c r="D389" s="50" t="s">
        <v>293</v>
      </c>
      <c r="E389" s="360">
        <v>1</v>
      </c>
      <c r="F389" s="360">
        <f>SUM(G386:G388)</f>
        <v>2682.42</v>
      </c>
      <c r="G389" s="362">
        <f>E389*F389/100</f>
        <v>26.82</v>
      </c>
    </row>
    <row r="390" ht="19.9" customHeight="1" spans="1:7">
      <c r="A390" s="47" t="s">
        <v>46</v>
      </c>
      <c r="B390" s="361" t="s">
        <v>314</v>
      </c>
      <c r="C390" s="361"/>
      <c r="D390" s="50"/>
      <c r="E390" s="360"/>
      <c r="F390" s="360"/>
      <c r="G390" s="362">
        <f>SUM(G391:G399)</f>
        <v>249.42</v>
      </c>
    </row>
    <row r="391" ht="19.9" customHeight="1" spans="1:7">
      <c r="A391" s="47"/>
      <c r="B391" s="361" t="s">
        <v>614</v>
      </c>
      <c r="C391" s="361"/>
      <c r="D391" s="50" t="s">
        <v>316</v>
      </c>
      <c r="E391" s="360">
        <v>0.6</v>
      </c>
      <c r="F391" s="360">
        <f>机械!E52</f>
        <v>18.5</v>
      </c>
      <c r="G391" s="362">
        <f t="shared" ref="G391:G398" si="13">E391*F391</f>
        <v>11.1</v>
      </c>
    </row>
    <row r="392" ht="19.9" customHeight="1" spans="1:7">
      <c r="A392" s="47"/>
      <c r="B392" s="361" t="s">
        <v>615</v>
      </c>
      <c r="C392" s="361"/>
      <c r="D392" s="50" t="s">
        <v>316</v>
      </c>
      <c r="E392" s="360">
        <v>1.5</v>
      </c>
      <c r="F392" s="360">
        <f>机械!E22</f>
        <v>48.89</v>
      </c>
      <c r="G392" s="362">
        <f t="shared" si="13"/>
        <v>73.34</v>
      </c>
    </row>
    <row r="393" ht="19.9" customHeight="1" spans="1:7">
      <c r="A393" s="47"/>
      <c r="B393" s="361" t="s">
        <v>616</v>
      </c>
      <c r="C393" s="361"/>
      <c r="D393" s="50" t="s">
        <v>316</v>
      </c>
      <c r="E393" s="360">
        <v>0.4</v>
      </c>
      <c r="F393" s="360">
        <f>机械!E51</f>
        <v>22.18</v>
      </c>
      <c r="G393" s="362">
        <f t="shared" si="13"/>
        <v>8.87</v>
      </c>
    </row>
    <row r="394" ht="19.9" customHeight="1" spans="1:7">
      <c r="A394" s="47"/>
      <c r="B394" s="361" t="s">
        <v>617</v>
      </c>
      <c r="C394" s="361"/>
      <c r="D394" s="50" t="s">
        <v>316</v>
      </c>
      <c r="E394" s="360">
        <v>1.05</v>
      </c>
      <c r="F394" s="360">
        <f>机械!E50</f>
        <v>15.62</v>
      </c>
      <c r="G394" s="362">
        <f t="shared" si="13"/>
        <v>16.4</v>
      </c>
    </row>
    <row r="395" ht="19.9" customHeight="1" spans="1:7">
      <c r="A395" s="47"/>
      <c r="B395" s="361" t="s">
        <v>618</v>
      </c>
      <c r="C395" s="361"/>
      <c r="D395" s="50" t="s">
        <v>316</v>
      </c>
      <c r="E395" s="360">
        <v>10</v>
      </c>
      <c r="F395" s="360">
        <f>机械!E47</f>
        <v>8.06</v>
      </c>
      <c r="G395" s="362">
        <f t="shared" si="13"/>
        <v>80.6</v>
      </c>
    </row>
    <row r="396" ht="19.9" customHeight="1" spans="1:7">
      <c r="A396" s="47"/>
      <c r="B396" s="361" t="s">
        <v>619</v>
      </c>
      <c r="C396" s="361"/>
      <c r="D396" s="50" t="s">
        <v>316</v>
      </c>
      <c r="E396" s="360">
        <v>0.4</v>
      </c>
      <c r="F396" s="360">
        <f>机械!E49</f>
        <v>56.19</v>
      </c>
      <c r="G396" s="362">
        <f t="shared" si="13"/>
        <v>22.48</v>
      </c>
    </row>
    <row r="397" ht="19.9" customHeight="1" spans="1:7">
      <c r="A397" s="47"/>
      <c r="B397" s="361" t="s">
        <v>620</v>
      </c>
      <c r="C397" s="361"/>
      <c r="D397" s="50" t="s">
        <v>316</v>
      </c>
      <c r="E397" s="360">
        <v>0.45</v>
      </c>
      <c r="F397" s="360">
        <f>机械!E23</f>
        <v>49.39</v>
      </c>
      <c r="G397" s="362">
        <f t="shared" si="13"/>
        <v>22.23</v>
      </c>
    </row>
    <row r="398" ht="19.9" customHeight="1" spans="1:7">
      <c r="A398" s="47"/>
      <c r="B398" s="361" t="s">
        <v>621</v>
      </c>
      <c r="C398" s="361"/>
      <c r="D398" s="50" t="s">
        <v>316</v>
      </c>
      <c r="E398" s="360">
        <v>0.1</v>
      </c>
      <c r="F398" s="360">
        <f>机械!E31</f>
        <v>95.14</v>
      </c>
      <c r="G398" s="362">
        <f t="shared" si="13"/>
        <v>9.51</v>
      </c>
    </row>
    <row r="399" ht="19.9" customHeight="1" spans="1:7">
      <c r="A399" s="47"/>
      <c r="B399" s="361" t="s">
        <v>370</v>
      </c>
      <c r="C399" s="361"/>
      <c r="D399" s="50" t="s">
        <v>293</v>
      </c>
      <c r="E399" s="364">
        <v>2</v>
      </c>
      <c r="F399" s="360">
        <f>SUM(G391:G398)</f>
        <v>244.53</v>
      </c>
      <c r="G399" s="362">
        <f>E399*F399/100</f>
        <v>4.89</v>
      </c>
    </row>
    <row r="400" ht="19.9" customHeight="1" spans="1:7">
      <c r="A400" s="47" t="s">
        <v>133</v>
      </c>
      <c r="B400" s="361" t="s">
        <v>294</v>
      </c>
      <c r="C400" s="361"/>
      <c r="D400" s="50"/>
      <c r="E400" s="365">
        <f>G381</f>
        <v>3772.74</v>
      </c>
      <c r="F400" s="366">
        <f>费率!G4</f>
        <v>0.048</v>
      </c>
      <c r="G400" s="362">
        <f>E400*F400</f>
        <v>181.09</v>
      </c>
    </row>
    <row r="401" ht="19.9" customHeight="1" spans="1:7">
      <c r="A401" s="47" t="s">
        <v>14</v>
      </c>
      <c r="B401" s="361" t="s">
        <v>295</v>
      </c>
      <c r="C401" s="361"/>
      <c r="D401" s="50"/>
      <c r="E401" s="360">
        <f>G380</f>
        <v>3953.83</v>
      </c>
      <c r="F401" s="366">
        <f>费率!G5</f>
        <v>0.05</v>
      </c>
      <c r="G401" s="362">
        <f>E401*F401</f>
        <v>197.69</v>
      </c>
    </row>
    <row r="402" ht="19.9" customHeight="1" spans="1:7">
      <c r="A402" s="47" t="s">
        <v>16</v>
      </c>
      <c r="B402" s="361" t="s">
        <v>296</v>
      </c>
      <c r="C402" s="361"/>
      <c r="D402" s="50"/>
      <c r="E402" s="360">
        <f>G380+G401</f>
        <v>4151.52</v>
      </c>
      <c r="F402" s="366">
        <f>费率!G6</f>
        <v>0.07</v>
      </c>
      <c r="G402" s="362">
        <f>E402*F402</f>
        <v>290.61</v>
      </c>
    </row>
    <row r="403" ht="19.9" customHeight="1" spans="1:7">
      <c r="A403" s="47" t="s">
        <v>18</v>
      </c>
      <c r="B403" s="361" t="s">
        <v>254</v>
      </c>
      <c r="C403" s="361"/>
      <c r="D403" s="50"/>
      <c r="E403" s="360"/>
      <c r="F403" s="366"/>
      <c r="G403" s="362">
        <f>SUM(G404:G405)</f>
        <v>2172.84</v>
      </c>
    </row>
    <row r="404" ht="19.9" customHeight="1" spans="1:7">
      <c r="A404" s="47"/>
      <c r="B404" s="361" t="s">
        <v>507</v>
      </c>
      <c r="C404" s="361"/>
      <c r="D404" s="50" t="s">
        <v>158</v>
      </c>
      <c r="E404" s="360">
        <f>E386</f>
        <v>1.02</v>
      </c>
      <c r="F404" s="367">
        <f>主材!N4</f>
        <v>2112.99</v>
      </c>
      <c r="G404" s="362">
        <f>E404*F404</f>
        <v>2155.25</v>
      </c>
    </row>
    <row r="405" ht="19.9" customHeight="1" spans="1:7">
      <c r="A405" s="47"/>
      <c r="B405" s="361" t="s">
        <v>522</v>
      </c>
      <c r="C405" s="361"/>
      <c r="D405" s="50" t="s">
        <v>323</v>
      </c>
      <c r="E405" s="360">
        <f>E397*7.2</f>
        <v>3.24</v>
      </c>
      <c r="F405" s="367">
        <f>主材!N14</f>
        <v>5.43</v>
      </c>
      <c r="G405" s="362">
        <f>E405*F405</f>
        <v>17.59</v>
      </c>
    </row>
    <row r="406" ht="19.9" customHeight="1" spans="1:7">
      <c r="A406" s="47" t="s">
        <v>20</v>
      </c>
      <c r="B406" s="361" t="s">
        <v>297</v>
      </c>
      <c r="C406" s="361"/>
      <c r="D406" s="50"/>
      <c r="E406" s="360">
        <f>G380+G401++G402+G403</f>
        <v>6614.97</v>
      </c>
      <c r="F406" s="366">
        <f>费率!G7</f>
        <v>0.09</v>
      </c>
      <c r="G406" s="362">
        <f>E406*F406</f>
        <v>595.35</v>
      </c>
    </row>
    <row r="407" ht="19.9" customHeight="1" spans="1:7">
      <c r="A407" s="47"/>
      <c r="B407" s="361" t="s">
        <v>298</v>
      </c>
      <c r="C407" s="361"/>
      <c r="D407" s="50"/>
      <c r="E407" s="360">
        <f>G380+G401+G402+G403+G406</f>
        <v>7210.32</v>
      </c>
      <c r="F407" s="366">
        <f>费率!G8</f>
        <v>0.03</v>
      </c>
      <c r="G407" s="362">
        <f>E407*F407</f>
        <v>216.31</v>
      </c>
    </row>
    <row r="408" ht="19.9" customHeight="1" spans="1:7">
      <c r="A408" s="369"/>
      <c r="B408" s="370" t="s">
        <v>560</v>
      </c>
      <c r="C408" s="370"/>
      <c r="D408" s="370"/>
      <c r="E408" s="371"/>
      <c r="F408" s="370"/>
      <c r="G408" s="372">
        <f>G380+G401+G402+G403+G406+G407</f>
        <v>7426.63</v>
      </c>
    </row>
    <row r="409" hidden="1" customHeight="1" spans="1:7">
      <c r="A409" s="373"/>
      <c r="B409" s="373"/>
      <c r="C409" s="373"/>
      <c r="D409" s="373"/>
      <c r="E409" s="374"/>
      <c r="F409" s="373"/>
      <c r="G409" s="374"/>
    </row>
    <row r="410" hidden="1" customHeight="1" spans="1:7">
      <c r="A410" s="383" t="s">
        <v>274</v>
      </c>
      <c r="B410" s="383"/>
      <c r="C410" s="383"/>
      <c r="D410" s="383"/>
      <c r="E410" s="383"/>
      <c r="F410" s="383"/>
      <c r="G410" s="383"/>
    </row>
    <row r="411" hidden="1" customHeight="1" spans="1:7">
      <c r="A411" s="42" t="s">
        <v>275</v>
      </c>
      <c r="B411" s="43"/>
      <c r="C411" s="43" t="s">
        <v>351</v>
      </c>
      <c r="D411" s="43" t="s">
        <v>276</v>
      </c>
      <c r="E411" s="355" t="s">
        <v>622</v>
      </c>
      <c r="F411" s="355"/>
      <c r="G411" s="356"/>
    </row>
    <row r="412" hidden="1" customHeight="1" spans="1:7">
      <c r="A412" s="47" t="s">
        <v>278</v>
      </c>
      <c r="B412" s="48"/>
      <c r="C412" s="49" t="s">
        <v>623</v>
      </c>
      <c r="D412" s="49"/>
      <c r="E412" s="49"/>
      <c r="F412" s="50" t="s">
        <v>280</v>
      </c>
      <c r="G412" s="51" t="s">
        <v>158</v>
      </c>
    </row>
    <row r="413" hidden="1" customHeight="1" spans="1:7">
      <c r="A413" s="358" t="s">
        <v>611</v>
      </c>
      <c r="B413" s="49"/>
      <c r="C413" s="49"/>
      <c r="D413" s="49"/>
      <c r="E413" s="49"/>
      <c r="F413" s="49"/>
      <c r="G413" s="359"/>
    </row>
    <row r="414" hidden="1" customHeight="1" spans="1:7">
      <c r="A414" s="52" t="s">
        <v>624</v>
      </c>
      <c r="B414" s="53"/>
      <c r="C414" s="54"/>
      <c r="D414" s="54"/>
      <c r="E414" s="54"/>
      <c r="F414" s="54"/>
      <c r="G414" s="55"/>
    </row>
    <row r="415" hidden="1" customHeight="1" spans="1:7">
      <c r="A415" s="47" t="s">
        <v>284</v>
      </c>
      <c r="B415" s="50" t="s">
        <v>233</v>
      </c>
      <c r="C415" s="50"/>
      <c r="D415" s="50" t="s">
        <v>88</v>
      </c>
      <c r="E415" s="360" t="s">
        <v>130</v>
      </c>
      <c r="F415" s="50" t="s">
        <v>285</v>
      </c>
      <c r="G415" s="51" t="s">
        <v>286</v>
      </c>
    </row>
    <row r="416" hidden="1" customHeight="1" spans="1:7">
      <c r="A416" s="47" t="s">
        <v>9</v>
      </c>
      <c r="B416" s="361" t="s">
        <v>287</v>
      </c>
      <c r="C416" s="361"/>
      <c r="D416" s="50"/>
      <c r="E416" s="360"/>
      <c r="F416" s="360"/>
      <c r="G416" s="362">
        <f>G417+G428</f>
        <v>1526.53</v>
      </c>
    </row>
    <row r="417" hidden="1" customHeight="1" spans="1:7">
      <c r="A417" s="47" t="s">
        <v>132</v>
      </c>
      <c r="B417" s="361" t="s">
        <v>288</v>
      </c>
      <c r="C417" s="361"/>
      <c r="D417" s="50"/>
      <c r="E417" s="360"/>
      <c r="F417" s="360"/>
      <c r="G417" s="362">
        <f>G418+G421+G425</f>
        <v>1456.61</v>
      </c>
    </row>
    <row r="418" hidden="1" customHeight="1" spans="1:7">
      <c r="A418" s="47" t="s">
        <v>39</v>
      </c>
      <c r="B418" s="361" t="s">
        <v>247</v>
      </c>
      <c r="C418" s="361"/>
      <c r="D418" s="50"/>
      <c r="E418" s="360"/>
      <c r="F418" s="360"/>
      <c r="G418" s="362">
        <f>SUM(G419:G420)</f>
        <v>1046.18</v>
      </c>
    </row>
    <row r="419" hidden="1" customHeight="1" spans="1:7">
      <c r="A419" s="47"/>
      <c r="B419" s="379" t="s">
        <v>289</v>
      </c>
      <c r="C419" s="380"/>
      <c r="D419" s="50" t="s">
        <v>290</v>
      </c>
      <c r="E419" s="363">
        <v>103.3</v>
      </c>
      <c r="F419" s="360">
        <f>主材!D21</f>
        <v>8.1</v>
      </c>
      <c r="G419" s="362">
        <f>E419*F419</f>
        <v>836.73</v>
      </c>
    </row>
    <row r="420" hidden="1" customHeight="1" spans="1:7">
      <c r="A420" s="47"/>
      <c r="B420" s="379" t="s">
        <v>291</v>
      </c>
      <c r="C420" s="380"/>
      <c r="D420" s="50" t="s">
        <v>290</v>
      </c>
      <c r="E420" s="363">
        <v>36.3</v>
      </c>
      <c r="F420" s="360">
        <f>主材!D22</f>
        <v>5.77</v>
      </c>
      <c r="G420" s="362">
        <f>E420*F420</f>
        <v>209.45</v>
      </c>
    </row>
    <row r="421" hidden="1" customHeight="1" spans="1:7">
      <c r="A421" s="47" t="s">
        <v>41</v>
      </c>
      <c r="B421" s="361" t="s">
        <v>248</v>
      </c>
      <c r="C421" s="361"/>
      <c r="D421" s="50"/>
      <c r="E421" s="360"/>
      <c r="F421" s="360"/>
      <c r="G421" s="362">
        <f>SUM(G422:G424)</f>
        <v>224.66</v>
      </c>
    </row>
    <row r="422" hidden="1" customHeight="1" spans="1:7">
      <c r="A422" s="47"/>
      <c r="B422" s="379" t="s">
        <v>583</v>
      </c>
      <c r="C422" s="380"/>
      <c r="D422" s="50" t="s">
        <v>323</v>
      </c>
      <c r="E422" s="360">
        <v>1.01</v>
      </c>
      <c r="F422" s="360">
        <v>7.45</v>
      </c>
      <c r="G422" s="362">
        <f>E422*F422</f>
        <v>7.52</v>
      </c>
    </row>
    <row r="423" hidden="1" customHeight="1" spans="1:7">
      <c r="A423" s="47"/>
      <c r="B423" s="379" t="s">
        <v>552</v>
      </c>
      <c r="C423" s="380"/>
      <c r="D423" s="50" t="s">
        <v>323</v>
      </c>
      <c r="E423" s="360">
        <v>36</v>
      </c>
      <c r="F423" s="360">
        <v>5.97</v>
      </c>
      <c r="G423" s="362">
        <f>E423*F423</f>
        <v>214.92</v>
      </c>
    </row>
    <row r="424" hidden="1" customHeight="1" spans="1:7">
      <c r="A424" s="47"/>
      <c r="B424" s="361" t="s">
        <v>397</v>
      </c>
      <c r="C424" s="361"/>
      <c r="D424" s="50" t="s">
        <v>293</v>
      </c>
      <c r="E424" s="364">
        <v>1</v>
      </c>
      <c r="F424" s="360">
        <f>SUM(G422:G423)</f>
        <v>222.44</v>
      </c>
      <c r="G424" s="362">
        <f>E424*F424/100</f>
        <v>2.22</v>
      </c>
    </row>
    <row r="425" hidden="1" customHeight="1" spans="1:7">
      <c r="A425" s="47" t="s">
        <v>46</v>
      </c>
      <c r="B425" s="361" t="s">
        <v>314</v>
      </c>
      <c r="C425" s="361"/>
      <c r="D425" s="50"/>
      <c r="E425" s="360"/>
      <c r="F425" s="360"/>
      <c r="G425" s="362">
        <f>SUM(G426:G427)</f>
        <v>185.77</v>
      </c>
    </row>
    <row r="426" hidden="1" customHeight="1" spans="1:7">
      <c r="A426" s="47"/>
      <c r="B426" s="361" t="s">
        <v>618</v>
      </c>
      <c r="C426" s="361"/>
      <c r="D426" s="50" t="s">
        <v>316</v>
      </c>
      <c r="E426" s="360">
        <v>21.95</v>
      </c>
      <c r="F426" s="360">
        <f>机械!E47</f>
        <v>8.06</v>
      </c>
      <c r="G426" s="362">
        <f>E426*F426</f>
        <v>176.92</v>
      </c>
    </row>
    <row r="427" hidden="1" customHeight="1" spans="1:7">
      <c r="A427" s="47"/>
      <c r="B427" s="379" t="s">
        <v>370</v>
      </c>
      <c r="C427" s="380"/>
      <c r="D427" s="50" t="s">
        <v>293</v>
      </c>
      <c r="E427" s="364">
        <v>5</v>
      </c>
      <c r="F427" s="360">
        <f>SUM(G426:G426)</f>
        <v>176.92</v>
      </c>
      <c r="G427" s="362">
        <f>E427*F427/100</f>
        <v>8.85</v>
      </c>
    </row>
    <row r="428" hidden="1" customHeight="1" spans="1:7">
      <c r="A428" s="47" t="s">
        <v>133</v>
      </c>
      <c r="B428" s="361" t="s">
        <v>294</v>
      </c>
      <c r="C428" s="361"/>
      <c r="D428" s="50"/>
      <c r="E428" s="365">
        <f>G417</f>
        <v>1456.61</v>
      </c>
      <c r="F428" s="366">
        <f>费率!G4</f>
        <v>0.048</v>
      </c>
      <c r="G428" s="362">
        <f>E428*F428</f>
        <v>69.92</v>
      </c>
    </row>
    <row r="429" hidden="1" customHeight="1" spans="1:7">
      <c r="A429" s="47" t="s">
        <v>14</v>
      </c>
      <c r="B429" s="361" t="s">
        <v>295</v>
      </c>
      <c r="C429" s="361"/>
      <c r="D429" s="50"/>
      <c r="E429" s="360">
        <f>G416</f>
        <v>1526.53</v>
      </c>
      <c r="F429" s="368">
        <f>费率!G5</f>
        <v>0.05</v>
      </c>
      <c r="G429" s="362">
        <f>E429*F429</f>
        <v>76.33</v>
      </c>
    </row>
    <row r="430" hidden="1" customHeight="1" spans="1:7">
      <c r="A430" s="47" t="s">
        <v>16</v>
      </c>
      <c r="B430" s="361" t="s">
        <v>296</v>
      </c>
      <c r="C430" s="361"/>
      <c r="D430" s="50"/>
      <c r="E430" s="360">
        <f>G416+G429</f>
        <v>1602.86</v>
      </c>
      <c r="F430" s="368">
        <f>费率!G6</f>
        <v>0.07</v>
      </c>
      <c r="G430" s="362">
        <f>E430*F430</f>
        <v>112.2</v>
      </c>
    </row>
    <row r="431" hidden="1" customHeight="1" spans="1:7">
      <c r="A431" s="47" t="s">
        <v>18</v>
      </c>
      <c r="B431" s="361" t="s">
        <v>297</v>
      </c>
      <c r="C431" s="361"/>
      <c r="D431" s="50"/>
      <c r="E431" s="360">
        <f>G416+G429++G430</f>
        <v>1715.06</v>
      </c>
      <c r="F431" s="366">
        <f>费率!G7</f>
        <v>0.09</v>
      </c>
      <c r="G431" s="362">
        <f>E431*F431</f>
        <v>154.36</v>
      </c>
    </row>
    <row r="432" hidden="1" customHeight="1" spans="1:7">
      <c r="A432" s="47"/>
      <c r="B432" s="361" t="s">
        <v>298</v>
      </c>
      <c r="C432" s="361"/>
      <c r="D432" s="50"/>
      <c r="E432" s="360">
        <f>G416+G429+G430+G431</f>
        <v>1869.42</v>
      </c>
      <c r="F432" s="368">
        <v>0.03</v>
      </c>
      <c r="G432" s="362">
        <f>E432*F432</f>
        <v>56.08</v>
      </c>
    </row>
    <row r="433" hidden="1" customHeight="1" spans="1:7">
      <c r="A433" s="369"/>
      <c r="B433" s="370" t="s">
        <v>560</v>
      </c>
      <c r="C433" s="370"/>
      <c r="D433" s="370"/>
      <c r="E433" s="371"/>
      <c r="F433" s="370"/>
      <c r="G433" s="372">
        <f>G416+G429+G430+G431+G432</f>
        <v>1925.5</v>
      </c>
    </row>
    <row r="434" ht="64.9" customHeight="1" spans="1:7">
      <c r="A434" s="373"/>
      <c r="B434" s="373"/>
      <c r="C434" s="373"/>
      <c r="D434" s="375"/>
      <c r="E434" s="374"/>
      <c r="F434" s="373"/>
      <c r="G434" s="374"/>
    </row>
    <row r="435" ht="17.45" customHeight="1" spans="1:7">
      <c r="A435" s="354" t="s">
        <v>274</v>
      </c>
      <c r="B435" s="354"/>
      <c r="C435" s="354"/>
      <c r="D435" s="354"/>
      <c r="E435" s="354"/>
      <c r="F435" s="354"/>
      <c r="G435" s="354"/>
    </row>
    <row r="436" ht="15" customHeight="1" spans="1:7">
      <c r="A436" s="42" t="s">
        <v>275</v>
      </c>
      <c r="B436" s="43"/>
      <c r="C436" s="43" t="s">
        <v>625</v>
      </c>
      <c r="D436" s="43" t="s">
        <v>276</v>
      </c>
      <c r="E436" s="355" t="s">
        <v>260</v>
      </c>
      <c r="F436" s="355"/>
      <c r="G436" s="356"/>
    </row>
    <row r="437" ht="15" customHeight="1" spans="1:7">
      <c r="A437" s="47" t="s">
        <v>278</v>
      </c>
      <c r="B437" s="48"/>
      <c r="C437" s="49" t="s">
        <v>626</v>
      </c>
      <c r="D437" s="49"/>
      <c r="E437" s="49"/>
      <c r="F437" s="50" t="s">
        <v>280</v>
      </c>
      <c r="G437" s="51" t="s">
        <v>357</v>
      </c>
    </row>
    <row r="438" ht="15" customHeight="1" spans="1:7">
      <c r="A438" s="358" t="s">
        <v>358</v>
      </c>
      <c r="B438" s="49"/>
      <c r="C438" s="49"/>
      <c r="D438" s="49"/>
      <c r="E438" s="49"/>
      <c r="F438" s="49"/>
      <c r="G438" s="359"/>
    </row>
    <row r="439" ht="15" customHeight="1" spans="1:7">
      <c r="A439" s="52" t="s">
        <v>627</v>
      </c>
      <c r="B439" s="53"/>
      <c r="C439" s="54"/>
      <c r="D439" s="54"/>
      <c r="E439" s="54"/>
      <c r="F439" s="54"/>
      <c r="G439" s="55"/>
    </row>
    <row r="440" ht="15" customHeight="1" spans="1:7">
      <c r="A440" s="47" t="s">
        <v>284</v>
      </c>
      <c r="B440" s="50" t="s">
        <v>233</v>
      </c>
      <c r="C440" s="50"/>
      <c r="D440" s="50" t="s">
        <v>88</v>
      </c>
      <c r="E440" s="360" t="s">
        <v>130</v>
      </c>
      <c r="F440" s="50" t="s">
        <v>285</v>
      </c>
      <c r="G440" s="51" t="s">
        <v>286</v>
      </c>
    </row>
    <row r="441" ht="15" customHeight="1" spans="1:7">
      <c r="A441" s="47" t="s">
        <v>9</v>
      </c>
      <c r="B441" s="361" t="s">
        <v>287</v>
      </c>
      <c r="C441" s="361"/>
      <c r="D441" s="50"/>
      <c r="E441" s="360"/>
      <c r="F441" s="360"/>
      <c r="G441" s="362">
        <f>G442+G452</f>
        <v>5132.26</v>
      </c>
    </row>
    <row r="442" ht="15" customHeight="1" spans="1:7">
      <c r="A442" s="47" t="s">
        <v>132</v>
      </c>
      <c r="B442" s="361" t="s">
        <v>288</v>
      </c>
      <c r="C442" s="361"/>
      <c r="D442" s="50"/>
      <c r="E442" s="360"/>
      <c r="F442" s="360"/>
      <c r="G442" s="362">
        <f>G443+G446</f>
        <v>4897.19</v>
      </c>
    </row>
    <row r="443" ht="15" customHeight="1" spans="1:7">
      <c r="A443" s="47" t="s">
        <v>39</v>
      </c>
      <c r="B443" s="361" t="s">
        <v>247</v>
      </c>
      <c r="C443" s="361"/>
      <c r="D443" s="50"/>
      <c r="E443" s="360"/>
      <c r="F443" s="360"/>
      <c r="G443" s="362">
        <f>SUM(G444:G445)</f>
        <v>2264.12</v>
      </c>
    </row>
    <row r="444" ht="15" customHeight="1" spans="1:7">
      <c r="A444" s="47"/>
      <c r="B444" s="361" t="s">
        <v>289</v>
      </c>
      <c r="C444" s="361"/>
      <c r="D444" s="50" t="s">
        <v>290</v>
      </c>
      <c r="E444" s="363">
        <v>218.9</v>
      </c>
      <c r="F444" s="360">
        <f>主材!D21</f>
        <v>8.1</v>
      </c>
      <c r="G444" s="362">
        <f>E444*F444</f>
        <v>1773.09</v>
      </c>
    </row>
    <row r="445" ht="15" customHeight="1" spans="1:7">
      <c r="A445" s="47"/>
      <c r="B445" s="361" t="s">
        <v>291</v>
      </c>
      <c r="C445" s="361"/>
      <c r="D445" s="50" t="s">
        <v>290</v>
      </c>
      <c r="E445" s="363">
        <v>85.1</v>
      </c>
      <c r="F445" s="360">
        <f>主材!D22</f>
        <v>5.77</v>
      </c>
      <c r="G445" s="362">
        <f>E445*F445</f>
        <v>491.03</v>
      </c>
    </row>
    <row r="446" ht="15" customHeight="1" spans="1:7">
      <c r="A446" s="47" t="s">
        <v>41</v>
      </c>
      <c r="B446" s="361" t="s">
        <v>248</v>
      </c>
      <c r="C446" s="361"/>
      <c r="D446" s="50"/>
      <c r="E446" s="360"/>
      <c r="F446" s="360"/>
      <c r="G446" s="362">
        <f>SUM(G447:G451)</f>
        <v>2633.07</v>
      </c>
    </row>
    <row r="447" ht="15" customHeight="1" spans="1:7">
      <c r="A447" s="47"/>
      <c r="B447" s="361" t="s">
        <v>628</v>
      </c>
      <c r="C447" s="361"/>
      <c r="D447" s="50" t="s">
        <v>158</v>
      </c>
      <c r="E447" s="360">
        <v>0.79</v>
      </c>
      <c r="F447" s="364">
        <v>3300</v>
      </c>
      <c r="G447" s="362">
        <f>E447*F447</f>
        <v>2607</v>
      </c>
    </row>
    <row r="448" hidden="1" customHeight="1" spans="1:7">
      <c r="A448" s="47"/>
      <c r="B448" s="361"/>
      <c r="C448" s="361"/>
      <c r="D448" s="50"/>
      <c r="E448" s="360"/>
      <c r="F448" s="364"/>
      <c r="G448" s="362">
        <f>E448*F448</f>
        <v>0</v>
      </c>
    </row>
    <row r="449" hidden="1" customHeight="1" spans="1:7">
      <c r="A449" s="47"/>
      <c r="B449" s="361"/>
      <c r="C449" s="361"/>
      <c r="D449" s="50"/>
      <c r="E449" s="360"/>
      <c r="F449" s="360"/>
      <c r="G449" s="362">
        <f>E449*F449</f>
        <v>0</v>
      </c>
    </row>
    <row r="450" hidden="1" customHeight="1" spans="1:7">
      <c r="A450" s="47"/>
      <c r="B450" s="395"/>
      <c r="C450" s="395"/>
      <c r="D450" s="396"/>
      <c r="E450" s="397"/>
      <c r="F450" s="398"/>
      <c r="G450" s="362">
        <f>E450*F450</f>
        <v>0</v>
      </c>
    </row>
    <row r="451" ht="15.4" customHeight="1" spans="1:7">
      <c r="A451" s="47"/>
      <c r="B451" s="361" t="s">
        <v>397</v>
      </c>
      <c r="C451" s="361"/>
      <c r="D451" s="50" t="s">
        <v>293</v>
      </c>
      <c r="E451" s="364">
        <v>1</v>
      </c>
      <c r="F451" s="360">
        <f>SUM(G447:G450)</f>
        <v>2607</v>
      </c>
      <c r="G451" s="362">
        <f>E451*F451/100</f>
        <v>26.07</v>
      </c>
    </row>
    <row r="452" ht="15.4" customHeight="1" spans="1:7">
      <c r="A452" s="47" t="s">
        <v>133</v>
      </c>
      <c r="B452" s="361" t="s">
        <v>294</v>
      </c>
      <c r="C452" s="361"/>
      <c r="D452" s="50"/>
      <c r="E452" s="365">
        <f>G442</f>
        <v>4897.19</v>
      </c>
      <c r="F452" s="366">
        <f>费率!F4</f>
        <v>0.048</v>
      </c>
      <c r="G452" s="362">
        <f>E452*F452</f>
        <v>235.07</v>
      </c>
    </row>
    <row r="453" ht="15.4" customHeight="1" spans="1:7">
      <c r="A453" s="47" t="s">
        <v>14</v>
      </c>
      <c r="B453" s="361" t="s">
        <v>295</v>
      </c>
      <c r="C453" s="361"/>
      <c r="D453" s="50"/>
      <c r="E453" s="360">
        <f>G441</f>
        <v>5132.26</v>
      </c>
      <c r="F453" s="368">
        <f>费率!F5</f>
        <v>0.07</v>
      </c>
      <c r="G453" s="362">
        <f>E453*F453</f>
        <v>359.26</v>
      </c>
    </row>
    <row r="454" ht="15.4" customHeight="1" spans="1:7">
      <c r="A454" s="47" t="s">
        <v>16</v>
      </c>
      <c r="B454" s="361" t="s">
        <v>296</v>
      </c>
      <c r="C454" s="361"/>
      <c r="D454" s="50"/>
      <c r="E454" s="360">
        <f>G441+G453</f>
        <v>5491.52</v>
      </c>
      <c r="F454" s="368">
        <f>费率!F6</f>
        <v>0.07</v>
      </c>
      <c r="G454" s="362">
        <f>E454*F454</f>
        <v>384.41</v>
      </c>
    </row>
    <row r="455" ht="15.4" customHeight="1" spans="1:7">
      <c r="A455" s="47" t="s">
        <v>18</v>
      </c>
      <c r="B455" s="361" t="s">
        <v>254</v>
      </c>
      <c r="C455" s="361"/>
      <c r="D455" s="50"/>
      <c r="E455" s="360"/>
      <c r="F455" s="366"/>
      <c r="G455" s="362">
        <f>SUM(G456:G457)</f>
        <v>0</v>
      </c>
    </row>
    <row r="456" ht="15.4" customHeight="1" spans="1:7">
      <c r="A456" s="47"/>
      <c r="B456" s="361"/>
      <c r="C456" s="361"/>
      <c r="D456" s="50"/>
      <c r="E456" s="360"/>
      <c r="F456" s="367"/>
      <c r="G456" s="362"/>
    </row>
    <row r="457" ht="15.4" customHeight="1" spans="1:7">
      <c r="A457" s="47"/>
      <c r="B457" s="361"/>
      <c r="C457" s="361"/>
      <c r="D457" s="50"/>
      <c r="E457" s="360"/>
      <c r="F457" s="366"/>
      <c r="G457" s="362"/>
    </row>
    <row r="458" ht="15.4" customHeight="1" spans="1:7">
      <c r="A458" s="47" t="s">
        <v>20</v>
      </c>
      <c r="B458" s="361" t="s">
        <v>297</v>
      </c>
      <c r="C458" s="361"/>
      <c r="D458" s="50"/>
      <c r="E458" s="360">
        <f>G441+G453++G454+G455</f>
        <v>5875.93</v>
      </c>
      <c r="F458" s="366">
        <f>费率!F7</f>
        <v>0.09</v>
      </c>
      <c r="G458" s="362">
        <f>E458*F458</f>
        <v>528.83</v>
      </c>
    </row>
    <row r="459" ht="15.4" customHeight="1" spans="1:7">
      <c r="A459" s="47"/>
      <c r="B459" s="361" t="s">
        <v>298</v>
      </c>
      <c r="C459" s="361"/>
      <c r="D459" s="50"/>
      <c r="E459" s="360">
        <f>G441+G453+G454+G455+G458</f>
        <v>6404.76</v>
      </c>
      <c r="F459" s="368">
        <v>0.03</v>
      </c>
      <c r="G459" s="362">
        <f>E459*F459</f>
        <v>192.14</v>
      </c>
    </row>
    <row r="460" ht="15.4" customHeight="1" spans="1:7">
      <c r="A460" s="369"/>
      <c r="B460" s="370" t="s">
        <v>560</v>
      </c>
      <c r="C460" s="370"/>
      <c r="D460" s="370"/>
      <c r="E460" s="371"/>
      <c r="F460" s="370"/>
      <c r="G460" s="372">
        <f>G441+G453+G454+G455+G458+G459</f>
        <v>6596.9</v>
      </c>
    </row>
    <row r="461" hidden="1" customHeight="1" spans="1:7">
      <c r="A461" s="373"/>
      <c r="B461" s="373"/>
      <c r="C461" s="373"/>
      <c r="D461" s="373"/>
      <c r="E461" s="374"/>
      <c r="F461" s="373"/>
      <c r="G461" s="374"/>
    </row>
    <row r="462" hidden="1" customHeight="1" spans="1:7">
      <c r="A462" s="383" t="s">
        <v>274</v>
      </c>
      <c r="B462" s="383"/>
      <c r="C462" s="383"/>
      <c r="D462" s="383"/>
      <c r="E462" s="383"/>
      <c r="F462" s="383"/>
      <c r="G462" s="383"/>
    </row>
    <row r="463" hidden="1" customHeight="1" spans="1:7">
      <c r="A463" s="42" t="s">
        <v>275</v>
      </c>
      <c r="B463" s="43"/>
      <c r="C463" s="43" t="s">
        <v>411</v>
      </c>
      <c r="D463" s="43" t="s">
        <v>276</v>
      </c>
      <c r="E463" s="44" t="s">
        <v>629</v>
      </c>
      <c r="F463" s="45"/>
      <c r="G463" s="46"/>
    </row>
    <row r="464" hidden="1" customHeight="1" spans="1:7">
      <c r="A464" s="47" t="s">
        <v>278</v>
      </c>
      <c r="B464" s="48"/>
      <c r="C464" s="49" t="s">
        <v>630</v>
      </c>
      <c r="D464" s="49"/>
      <c r="E464" s="49"/>
      <c r="F464" s="50" t="s">
        <v>280</v>
      </c>
      <c r="G464" s="51" t="s">
        <v>631</v>
      </c>
    </row>
    <row r="465" hidden="1" customHeight="1" spans="1:7">
      <c r="A465" s="376" t="s">
        <v>632</v>
      </c>
      <c r="B465" s="377"/>
      <c r="C465" s="377"/>
      <c r="D465" s="377"/>
      <c r="E465" s="377"/>
      <c r="F465" s="377"/>
      <c r="G465" s="378"/>
    </row>
    <row r="466" hidden="1" customHeight="1" spans="1:7">
      <c r="A466" s="52" t="s">
        <v>633</v>
      </c>
      <c r="B466" s="53"/>
      <c r="C466" s="54"/>
      <c r="D466" s="54"/>
      <c r="E466" s="54"/>
      <c r="F466" s="54"/>
      <c r="G466" s="55"/>
    </row>
    <row r="467" hidden="1" customHeight="1" spans="1:7">
      <c r="A467" s="47" t="s">
        <v>284</v>
      </c>
      <c r="B467" s="50" t="s">
        <v>233</v>
      </c>
      <c r="C467" s="50"/>
      <c r="D467" s="50" t="s">
        <v>88</v>
      </c>
      <c r="E467" s="360" t="s">
        <v>130</v>
      </c>
      <c r="F467" s="50" t="s">
        <v>285</v>
      </c>
      <c r="G467" s="51" t="s">
        <v>286</v>
      </c>
    </row>
    <row r="468" hidden="1" customHeight="1" spans="1:7">
      <c r="A468" s="47" t="s">
        <v>9</v>
      </c>
      <c r="B468" s="379" t="s">
        <v>287</v>
      </c>
      <c r="C468" s="380"/>
      <c r="D468" s="50"/>
      <c r="E468" s="360"/>
      <c r="F468" s="360"/>
      <c r="G468" s="362">
        <f>G469+G485</f>
        <v>5373.52</v>
      </c>
    </row>
    <row r="469" hidden="1" customHeight="1" spans="1:7">
      <c r="A469" s="47" t="s">
        <v>132</v>
      </c>
      <c r="B469" s="379" t="s">
        <v>288</v>
      </c>
      <c r="C469" s="380"/>
      <c r="D469" s="50"/>
      <c r="E469" s="360"/>
      <c r="F469" s="360"/>
      <c r="G469" s="362">
        <f>G470+G473+G481</f>
        <v>5093.38</v>
      </c>
    </row>
    <row r="470" hidden="1" customHeight="1" spans="1:7">
      <c r="A470" s="47" t="s">
        <v>39</v>
      </c>
      <c r="B470" s="379" t="s">
        <v>247</v>
      </c>
      <c r="C470" s="380"/>
      <c r="D470" s="50"/>
      <c r="E470" s="360"/>
      <c r="F470" s="360"/>
      <c r="G470" s="362">
        <f>SUM(G471:G472)</f>
        <v>2064.07</v>
      </c>
    </row>
    <row r="471" hidden="1" customHeight="1" spans="1:7">
      <c r="A471" s="47"/>
      <c r="B471" s="379" t="s">
        <v>289</v>
      </c>
      <c r="C471" s="380"/>
      <c r="D471" s="50" t="s">
        <v>290</v>
      </c>
      <c r="E471" s="363">
        <v>195.2</v>
      </c>
      <c r="F471" s="360">
        <f>主材!D21</f>
        <v>8.1</v>
      </c>
      <c r="G471" s="362">
        <f>E471*F471</f>
        <v>1581.12</v>
      </c>
    </row>
    <row r="472" hidden="1" customHeight="1" spans="1:7">
      <c r="A472" s="47"/>
      <c r="B472" s="379" t="s">
        <v>291</v>
      </c>
      <c r="C472" s="380"/>
      <c r="D472" s="50" t="s">
        <v>290</v>
      </c>
      <c r="E472" s="363">
        <v>83.7</v>
      </c>
      <c r="F472" s="360">
        <f>主材!D22</f>
        <v>5.77</v>
      </c>
      <c r="G472" s="362">
        <f>E472*F472</f>
        <v>482.95</v>
      </c>
    </row>
    <row r="473" hidden="1" customHeight="1" spans="1:7">
      <c r="A473" s="47" t="s">
        <v>41</v>
      </c>
      <c r="B473" s="379" t="s">
        <v>248</v>
      </c>
      <c r="C473" s="380"/>
      <c r="D473" s="50"/>
      <c r="E473" s="360"/>
      <c r="F473" s="360"/>
      <c r="G473" s="362">
        <f>SUM(G474:G480)</f>
        <v>2595.8</v>
      </c>
    </row>
    <row r="474" hidden="1" customHeight="1" spans="1:7">
      <c r="A474" s="47"/>
      <c r="B474" s="379" t="s">
        <v>547</v>
      </c>
      <c r="C474" s="380"/>
      <c r="D474" s="50" t="s">
        <v>395</v>
      </c>
      <c r="E474" s="360">
        <v>0.5</v>
      </c>
      <c r="F474" s="364">
        <f>主材!M7</f>
        <v>2143</v>
      </c>
      <c r="G474" s="362">
        <f t="shared" ref="G474:G479" si="14">E474*F474</f>
        <v>1071.5</v>
      </c>
    </row>
    <row r="475" hidden="1" customHeight="1" spans="1:7">
      <c r="A475" s="47"/>
      <c r="B475" s="379" t="s">
        <v>634</v>
      </c>
      <c r="C475" s="380"/>
      <c r="D475" s="50" t="s">
        <v>323</v>
      </c>
      <c r="E475" s="360">
        <v>6</v>
      </c>
      <c r="F475" s="360">
        <v>4.5</v>
      </c>
      <c r="G475" s="362">
        <f t="shared" si="14"/>
        <v>27</v>
      </c>
    </row>
    <row r="476" hidden="1" customHeight="1" spans="1:7">
      <c r="A476" s="47"/>
      <c r="B476" s="379" t="s">
        <v>613</v>
      </c>
      <c r="C476" s="380"/>
      <c r="D476" s="50" t="s">
        <v>323</v>
      </c>
      <c r="E476" s="360">
        <v>23</v>
      </c>
      <c r="F476" s="360">
        <v>7.03</v>
      </c>
      <c r="G476" s="362">
        <f t="shared" si="14"/>
        <v>161.69</v>
      </c>
    </row>
    <row r="477" hidden="1" customHeight="1" spans="1:7">
      <c r="A477" s="47"/>
      <c r="B477" s="379" t="s">
        <v>635</v>
      </c>
      <c r="C477" s="380"/>
      <c r="D477" s="50" t="s">
        <v>161</v>
      </c>
      <c r="E477" s="399">
        <v>100</v>
      </c>
      <c r="F477" s="400"/>
      <c r="G477" s="362">
        <f t="shared" si="14"/>
        <v>0</v>
      </c>
    </row>
    <row r="478" hidden="1" customHeight="1" spans="1:7">
      <c r="A478" s="47"/>
      <c r="B478" s="379" t="s">
        <v>636</v>
      </c>
      <c r="C478" s="380"/>
      <c r="D478" s="50" t="s">
        <v>395</v>
      </c>
      <c r="E478" s="364">
        <v>1</v>
      </c>
      <c r="F478" s="360">
        <f>混凝土单价!M12</f>
        <v>0</v>
      </c>
      <c r="G478" s="362">
        <f t="shared" si="14"/>
        <v>0</v>
      </c>
    </row>
    <row r="479" hidden="1" customHeight="1" spans="1:7">
      <c r="A479" s="47"/>
      <c r="B479" s="379" t="s">
        <v>637</v>
      </c>
      <c r="C479" s="380"/>
      <c r="D479" s="50" t="s">
        <v>395</v>
      </c>
      <c r="E479" s="364">
        <v>21</v>
      </c>
      <c r="F479" s="360">
        <v>60</v>
      </c>
      <c r="G479" s="362">
        <f t="shared" si="14"/>
        <v>1260</v>
      </c>
    </row>
    <row r="480" hidden="1" customHeight="1" spans="1:7">
      <c r="A480" s="47"/>
      <c r="B480" s="379" t="s">
        <v>397</v>
      </c>
      <c r="C480" s="380"/>
      <c r="D480" s="50" t="s">
        <v>293</v>
      </c>
      <c r="E480" s="363">
        <v>3</v>
      </c>
      <c r="F480" s="360">
        <f>SUM(G474:G479)</f>
        <v>2520.19</v>
      </c>
      <c r="G480" s="362">
        <f>E480*F480/100</f>
        <v>75.61</v>
      </c>
    </row>
    <row r="481" hidden="1" customHeight="1" spans="1:7">
      <c r="A481" s="47" t="s">
        <v>46</v>
      </c>
      <c r="B481" s="379" t="s">
        <v>314</v>
      </c>
      <c r="C481" s="380"/>
      <c r="D481" s="50"/>
      <c r="E481" s="360"/>
      <c r="F481" s="360"/>
      <c r="G481" s="362">
        <f>SUM(G482:G484)</f>
        <v>433.51</v>
      </c>
    </row>
    <row r="482" hidden="1" customHeight="1" spans="1:7">
      <c r="A482" s="47"/>
      <c r="B482" s="379" t="s">
        <v>638</v>
      </c>
      <c r="C482" s="380"/>
      <c r="D482" s="50" t="s">
        <v>316</v>
      </c>
      <c r="E482" s="360">
        <v>20</v>
      </c>
      <c r="F482" s="360">
        <f>机械!E39</f>
        <v>13.02</v>
      </c>
      <c r="G482" s="362">
        <f>E482*F482</f>
        <v>260.4</v>
      </c>
    </row>
    <row r="483" hidden="1" customHeight="1" spans="1:7">
      <c r="A483" s="47"/>
      <c r="B483" s="379" t="s">
        <v>639</v>
      </c>
      <c r="C483" s="380"/>
      <c r="D483" s="50" t="s">
        <v>316</v>
      </c>
      <c r="E483" s="360">
        <v>35</v>
      </c>
      <c r="F483" s="360">
        <f>机械!E38</f>
        <v>3.82</v>
      </c>
      <c r="G483" s="362">
        <f>E483*F483</f>
        <v>133.7</v>
      </c>
    </row>
    <row r="484" hidden="1" customHeight="1" spans="1:7">
      <c r="A484" s="47"/>
      <c r="B484" s="379" t="s">
        <v>370</v>
      </c>
      <c r="C484" s="380"/>
      <c r="D484" s="50" t="s">
        <v>293</v>
      </c>
      <c r="E484" s="364">
        <v>10</v>
      </c>
      <c r="F484" s="360">
        <f>SUM(G482:G483)</f>
        <v>394.1</v>
      </c>
      <c r="G484" s="362">
        <f>E484*F484/100</f>
        <v>39.41</v>
      </c>
    </row>
    <row r="485" hidden="1" customHeight="1" spans="1:7">
      <c r="A485" s="47" t="s">
        <v>133</v>
      </c>
      <c r="B485" s="379" t="s">
        <v>294</v>
      </c>
      <c r="C485" s="380"/>
      <c r="D485" s="50"/>
      <c r="E485" s="365">
        <f>G469</f>
        <v>5093.38</v>
      </c>
      <c r="F485" s="366">
        <f>费率!K4</f>
        <v>0.055</v>
      </c>
      <c r="G485" s="362">
        <f>E485*F485</f>
        <v>280.14</v>
      </c>
    </row>
    <row r="486" hidden="1" customHeight="1" spans="1:7">
      <c r="A486" s="47" t="s">
        <v>14</v>
      </c>
      <c r="B486" s="379" t="s">
        <v>295</v>
      </c>
      <c r="C486" s="380"/>
      <c r="D486" s="50"/>
      <c r="E486" s="360">
        <f>G470</f>
        <v>2064.07</v>
      </c>
      <c r="F486" s="368">
        <f>费率!K5</f>
        <v>0.7</v>
      </c>
      <c r="G486" s="362">
        <f>E486*F486</f>
        <v>1444.85</v>
      </c>
    </row>
    <row r="487" hidden="1" customHeight="1" spans="1:7">
      <c r="A487" s="47" t="s">
        <v>16</v>
      </c>
      <c r="B487" s="379" t="s">
        <v>296</v>
      </c>
      <c r="C487" s="380"/>
      <c r="D487" s="50"/>
      <c r="E487" s="360">
        <f>G468+G486</f>
        <v>6818.37</v>
      </c>
      <c r="F487" s="368">
        <f>费率!K6</f>
        <v>0.07</v>
      </c>
      <c r="G487" s="362">
        <f>E487*F487</f>
        <v>477.29</v>
      </c>
    </row>
    <row r="488" hidden="1" customHeight="1" spans="1:7">
      <c r="A488" s="47" t="s">
        <v>18</v>
      </c>
      <c r="B488" s="379" t="s">
        <v>254</v>
      </c>
      <c r="C488" s="380"/>
      <c r="D488" s="50"/>
      <c r="E488" s="360"/>
      <c r="F488" s="366"/>
      <c r="G488" s="362">
        <f>SUM(G489:G492)</f>
        <v>46000</v>
      </c>
    </row>
    <row r="489" hidden="1" customHeight="1" spans="1:7">
      <c r="A489" s="47"/>
      <c r="B489" s="379" t="s">
        <v>547</v>
      </c>
      <c r="C489" s="380"/>
      <c r="D489" s="50" t="s">
        <v>395</v>
      </c>
      <c r="E489" s="360">
        <f>E474</f>
        <v>0.5</v>
      </c>
      <c r="F489" s="367">
        <f>主材!N7</f>
        <v>0</v>
      </c>
      <c r="G489" s="362">
        <f t="shared" ref="G489:G494" si="15">E489*F489</f>
        <v>0</v>
      </c>
    </row>
    <row r="490" hidden="1" customHeight="1" spans="1:7">
      <c r="A490" s="47"/>
      <c r="B490" s="379" t="s">
        <v>405</v>
      </c>
      <c r="C490" s="380"/>
      <c r="D490" s="50" t="s">
        <v>158</v>
      </c>
      <c r="E490" s="360">
        <f>E478*混凝土单价!E12</f>
        <v>0</v>
      </c>
      <c r="F490" s="367">
        <f>主材!N6</f>
        <v>135.66</v>
      </c>
      <c r="G490" s="362">
        <f t="shared" si="15"/>
        <v>0</v>
      </c>
    </row>
    <row r="491" hidden="1" customHeight="1" spans="1:7">
      <c r="A491" s="47"/>
      <c r="B491" s="379" t="s">
        <v>396</v>
      </c>
      <c r="C491" s="380"/>
      <c r="D491" s="50" t="s">
        <v>395</v>
      </c>
      <c r="E491" s="360">
        <f>E478*混凝土单价!G12</f>
        <v>0</v>
      </c>
      <c r="F491" s="366"/>
      <c r="G491" s="362">
        <f t="shared" si="15"/>
        <v>0</v>
      </c>
    </row>
    <row r="492" hidden="1" customHeight="1" spans="1:7">
      <c r="A492" s="47"/>
      <c r="B492" s="379" t="s">
        <v>640</v>
      </c>
      <c r="C492" s="380"/>
      <c r="D492" s="50" t="s">
        <v>161</v>
      </c>
      <c r="E492" s="360">
        <f>E477</f>
        <v>100</v>
      </c>
      <c r="F492" s="401">
        <v>460</v>
      </c>
      <c r="G492" s="362">
        <f t="shared" si="15"/>
        <v>46000</v>
      </c>
    </row>
    <row r="493" hidden="1" customHeight="1" spans="1:7">
      <c r="A493" s="47" t="s">
        <v>20</v>
      </c>
      <c r="B493" s="379" t="s">
        <v>297</v>
      </c>
      <c r="C493" s="380"/>
      <c r="D493" s="50"/>
      <c r="E493" s="360">
        <f>G468+G486++G487+G488</f>
        <v>53295.66</v>
      </c>
      <c r="F493" s="366">
        <f>费率!K7</f>
        <v>0.09</v>
      </c>
      <c r="G493" s="362">
        <f t="shared" si="15"/>
        <v>4796.61</v>
      </c>
    </row>
    <row r="494" hidden="1" customHeight="1" spans="1:7">
      <c r="A494" s="47"/>
      <c r="B494" s="379" t="s">
        <v>298</v>
      </c>
      <c r="C494" s="380"/>
      <c r="D494" s="50"/>
      <c r="E494" s="360">
        <f>G468+G486+G487+G488+G493</f>
        <v>58092.27</v>
      </c>
      <c r="F494" s="368">
        <v>0.03</v>
      </c>
      <c r="G494" s="362">
        <f t="shared" si="15"/>
        <v>1742.77</v>
      </c>
    </row>
    <row r="495" hidden="1" customHeight="1" spans="1:7">
      <c r="A495" s="369"/>
      <c r="B495" s="381" t="s">
        <v>560</v>
      </c>
      <c r="C495" s="382"/>
      <c r="D495" s="370"/>
      <c r="E495" s="371"/>
      <c r="F495" s="370"/>
      <c r="G495" s="372">
        <f>G468+G486+G487+G488+G493+G494</f>
        <v>59835.04</v>
      </c>
    </row>
    <row r="496" ht="6.6" customHeight="1" spans="1:7">
      <c r="A496" s="373"/>
      <c r="B496" s="373"/>
      <c r="C496" s="373"/>
      <c r="D496" s="375"/>
      <c r="E496" s="374"/>
      <c r="F496" s="373"/>
      <c r="G496" s="374"/>
    </row>
    <row r="497" ht="17.45" customHeight="1" spans="1:7">
      <c r="A497" s="354" t="s">
        <v>274</v>
      </c>
      <c r="B497" s="354"/>
      <c r="C497" s="354"/>
      <c r="D497" s="354"/>
      <c r="E497" s="354"/>
      <c r="F497" s="354"/>
      <c r="G497" s="354"/>
    </row>
    <row r="498" ht="15.4" customHeight="1" spans="1:7">
      <c r="A498" s="42" t="s">
        <v>275</v>
      </c>
      <c r="B498" s="43"/>
      <c r="C498" s="43" t="s">
        <v>641</v>
      </c>
      <c r="D498" s="43" t="s">
        <v>276</v>
      </c>
      <c r="E498" s="355" t="s">
        <v>642</v>
      </c>
      <c r="F498" s="355"/>
      <c r="G498" s="356"/>
    </row>
    <row r="499" ht="15.4" customHeight="1" spans="1:7">
      <c r="A499" s="47" t="s">
        <v>278</v>
      </c>
      <c r="B499" s="48"/>
      <c r="C499" s="49" t="s">
        <v>643</v>
      </c>
      <c r="D499" s="49"/>
      <c r="E499" s="49"/>
      <c r="F499" s="50" t="s">
        <v>280</v>
      </c>
      <c r="G499" s="51" t="s">
        <v>644</v>
      </c>
    </row>
    <row r="500" ht="15.4" customHeight="1" spans="1:7">
      <c r="A500" s="358" t="s">
        <v>645</v>
      </c>
      <c r="B500" s="49"/>
      <c r="C500" s="49"/>
      <c r="D500" s="49"/>
      <c r="E500" s="49"/>
      <c r="F500" s="49"/>
      <c r="G500" s="359"/>
    </row>
    <row r="501" ht="15.4" customHeight="1" spans="1:7">
      <c r="A501" s="52" t="s">
        <v>646</v>
      </c>
      <c r="B501" s="53"/>
      <c r="C501" s="54"/>
      <c r="D501" s="54"/>
      <c r="E501" s="54"/>
      <c r="F501" s="54"/>
      <c r="G501" s="55"/>
    </row>
    <row r="502" ht="15.4" customHeight="1" spans="1:7">
      <c r="A502" s="47" t="s">
        <v>284</v>
      </c>
      <c r="B502" s="50" t="s">
        <v>233</v>
      </c>
      <c r="C502" s="50"/>
      <c r="D502" s="50" t="s">
        <v>88</v>
      </c>
      <c r="E502" s="360" t="s">
        <v>130</v>
      </c>
      <c r="F502" s="50" t="s">
        <v>285</v>
      </c>
      <c r="G502" s="51" t="s">
        <v>286</v>
      </c>
    </row>
    <row r="503" ht="15.4" customHeight="1" spans="1:7">
      <c r="A503" s="47" t="s">
        <v>9</v>
      </c>
      <c r="B503" s="361" t="s">
        <v>287</v>
      </c>
      <c r="C503" s="361"/>
      <c r="D503" s="50"/>
      <c r="E503" s="360"/>
      <c r="F503" s="360"/>
      <c r="G503" s="362">
        <f>G504+G516</f>
        <v>12747.46</v>
      </c>
    </row>
    <row r="504" ht="15.4" customHeight="1" spans="1:7">
      <c r="A504" s="47" t="s">
        <v>132</v>
      </c>
      <c r="B504" s="361" t="s">
        <v>288</v>
      </c>
      <c r="C504" s="361"/>
      <c r="D504" s="50"/>
      <c r="E504" s="360"/>
      <c r="F504" s="360"/>
      <c r="G504" s="362">
        <f>G505+G508+G513</f>
        <v>12163.61</v>
      </c>
    </row>
    <row r="505" ht="15.4" customHeight="1" spans="1:7">
      <c r="A505" s="47" t="s">
        <v>39</v>
      </c>
      <c r="B505" s="361" t="s">
        <v>247</v>
      </c>
      <c r="C505" s="361"/>
      <c r="D505" s="50"/>
      <c r="E505" s="360"/>
      <c r="F505" s="360"/>
      <c r="G505" s="362">
        <f>SUM(G506:G507)</f>
        <v>2231.3</v>
      </c>
    </row>
    <row r="506" ht="15.4" customHeight="1" spans="1:7">
      <c r="A506" s="47"/>
      <c r="B506" s="361" t="s">
        <v>289</v>
      </c>
      <c r="C506" s="361"/>
      <c r="D506" s="50" t="s">
        <v>290</v>
      </c>
      <c r="E506" s="363">
        <v>133</v>
      </c>
      <c r="F506" s="360">
        <f>主材!D21</f>
        <v>8.1</v>
      </c>
      <c r="G506" s="362">
        <f>E506*F506</f>
        <v>1077.3</v>
      </c>
    </row>
    <row r="507" ht="15.4" customHeight="1" spans="1:7">
      <c r="A507" s="47"/>
      <c r="B507" s="361" t="s">
        <v>291</v>
      </c>
      <c r="C507" s="361"/>
      <c r="D507" s="50" t="s">
        <v>290</v>
      </c>
      <c r="E507" s="363">
        <v>200</v>
      </c>
      <c r="F507" s="360">
        <f>主材!D22</f>
        <v>5.77</v>
      </c>
      <c r="G507" s="362">
        <f>E507*F507</f>
        <v>1154</v>
      </c>
    </row>
    <row r="508" ht="15.4" customHeight="1" spans="1:7">
      <c r="A508" s="47" t="s">
        <v>41</v>
      </c>
      <c r="B508" s="361" t="s">
        <v>248</v>
      </c>
      <c r="C508" s="361"/>
      <c r="D508" s="50"/>
      <c r="E508" s="360"/>
      <c r="F508" s="360"/>
      <c r="G508" s="362">
        <f>SUM(G509:G512)</f>
        <v>9444.65</v>
      </c>
    </row>
    <row r="509" ht="15.4" customHeight="1" spans="1:7">
      <c r="A509" s="47"/>
      <c r="B509" s="361" t="s">
        <v>521</v>
      </c>
      <c r="C509" s="361"/>
      <c r="D509" s="50" t="s">
        <v>395</v>
      </c>
      <c r="E509" s="360">
        <v>122</v>
      </c>
      <c r="F509" s="360">
        <f>主材!D14</f>
        <v>77.03</v>
      </c>
      <c r="G509" s="362">
        <f>E509*F509</f>
        <v>9397.66</v>
      </c>
    </row>
    <row r="510" ht="15.4" customHeight="1" spans="1:7">
      <c r="A510" s="47"/>
      <c r="B510" s="361"/>
      <c r="C510" s="361"/>
      <c r="D510" s="50"/>
      <c r="E510" s="360"/>
      <c r="F510" s="360"/>
      <c r="G510" s="362"/>
    </row>
    <row r="511" hidden="1" customHeight="1" spans="1:7">
      <c r="A511" s="47"/>
      <c r="B511" s="361" t="s">
        <v>647</v>
      </c>
      <c r="C511" s="361"/>
      <c r="D511" s="50" t="s">
        <v>395</v>
      </c>
      <c r="E511" s="360">
        <f>50-8*2.5</f>
        <v>30</v>
      </c>
      <c r="F511" s="360">
        <v>0</v>
      </c>
      <c r="G511" s="362">
        <f>E511*F511</f>
        <v>0</v>
      </c>
    </row>
    <row r="512" ht="15" customHeight="1" spans="1:7">
      <c r="A512" s="47"/>
      <c r="B512" s="361" t="s">
        <v>397</v>
      </c>
      <c r="C512" s="361"/>
      <c r="D512" s="50" t="s">
        <v>293</v>
      </c>
      <c r="E512" s="363">
        <v>0.5</v>
      </c>
      <c r="F512" s="360">
        <f>SUM(G509:G511)</f>
        <v>9397.66</v>
      </c>
      <c r="G512" s="362">
        <f>E512*F512/100</f>
        <v>46.99</v>
      </c>
    </row>
    <row r="513" ht="15" customHeight="1" spans="1:7">
      <c r="A513" s="47" t="s">
        <v>46</v>
      </c>
      <c r="B513" s="361" t="s">
        <v>314</v>
      </c>
      <c r="C513" s="361"/>
      <c r="D513" s="50"/>
      <c r="E513" s="360"/>
      <c r="F513" s="360"/>
      <c r="G513" s="362">
        <f>SUM(G514:G515)</f>
        <v>487.66</v>
      </c>
    </row>
    <row r="514" ht="15" customHeight="1" spans="1:7">
      <c r="A514" s="47"/>
      <c r="B514" s="361" t="s">
        <v>648</v>
      </c>
      <c r="C514" s="361"/>
      <c r="D514" s="50" t="s">
        <v>316</v>
      </c>
      <c r="E514" s="360">
        <v>7.6</v>
      </c>
      <c r="F514" s="360">
        <f>机械!E12</f>
        <v>63.53</v>
      </c>
      <c r="G514" s="362">
        <f>E514*F514</f>
        <v>482.83</v>
      </c>
    </row>
    <row r="515" ht="15" customHeight="1" spans="1:7">
      <c r="A515" s="47"/>
      <c r="B515" s="361" t="s">
        <v>370</v>
      </c>
      <c r="C515" s="361"/>
      <c r="D515" s="50" t="s">
        <v>293</v>
      </c>
      <c r="E515" s="364">
        <v>1</v>
      </c>
      <c r="F515" s="360">
        <f>SUM(G514:G514)</f>
        <v>482.83</v>
      </c>
      <c r="G515" s="362">
        <f>E515*F515/100</f>
        <v>4.83</v>
      </c>
    </row>
    <row r="516" ht="15" customHeight="1" spans="1:7">
      <c r="A516" s="47" t="s">
        <v>133</v>
      </c>
      <c r="B516" s="361" t="s">
        <v>294</v>
      </c>
      <c r="C516" s="361"/>
      <c r="D516" s="50"/>
      <c r="E516" s="365">
        <f>G504</f>
        <v>12163.61</v>
      </c>
      <c r="F516" s="366">
        <f>费率!J4</f>
        <v>0.048</v>
      </c>
      <c r="G516" s="362">
        <f>E516*F516</f>
        <v>583.85</v>
      </c>
    </row>
    <row r="517" ht="15" customHeight="1" spans="1:7">
      <c r="A517" s="47" t="s">
        <v>14</v>
      </c>
      <c r="B517" s="361" t="s">
        <v>295</v>
      </c>
      <c r="C517" s="361"/>
      <c r="D517" s="50"/>
      <c r="E517" s="360">
        <f>G503</f>
        <v>12747.46</v>
      </c>
      <c r="F517" s="366">
        <f>费率!J5</f>
        <v>0.0725</v>
      </c>
      <c r="G517" s="362">
        <f>E517*F517</f>
        <v>924.19</v>
      </c>
    </row>
    <row r="518" ht="15" customHeight="1" spans="1:7">
      <c r="A518" s="47" t="s">
        <v>16</v>
      </c>
      <c r="B518" s="361" t="s">
        <v>296</v>
      </c>
      <c r="C518" s="361"/>
      <c r="D518" s="50"/>
      <c r="E518" s="360">
        <f>G503+G517</f>
        <v>13671.65</v>
      </c>
      <c r="F518" s="366">
        <f>费率!J6</f>
        <v>0.07</v>
      </c>
      <c r="G518" s="362">
        <f>E518*F518</f>
        <v>957.02</v>
      </c>
    </row>
    <row r="519" ht="15" customHeight="1" spans="1:7">
      <c r="A519" s="47" t="s">
        <v>18</v>
      </c>
      <c r="B519" s="361" t="s">
        <v>254</v>
      </c>
      <c r="C519" s="361"/>
      <c r="D519" s="50"/>
      <c r="E519" s="360"/>
      <c r="F519" s="366"/>
      <c r="G519" s="362">
        <f>SUM(G520:G523)</f>
        <v>204.02</v>
      </c>
    </row>
    <row r="520" ht="15" hidden="1" customHeight="1" spans="1:7">
      <c r="A520" s="47"/>
      <c r="B520" s="361" t="s">
        <v>396</v>
      </c>
      <c r="C520" s="361"/>
      <c r="D520" s="50" t="s">
        <v>395</v>
      </c>
      <c r="E520" s="360">
        <f>E509</f>
        <v>122</v>
      </c>
      <c r="F520" s="360"/>
      <c r="G520" s="362">
        <f t="shared" ref="G520:G525" si="16">E520*F520</f>
        <v>0</v>
      </c>
    </row>
    <row r="521" ht="15" customHeight="1" spans="1:7">
      <c r="A521" s="47"/>
      <c r="B521" s="361"/>
      <c r="C521" s="361"/>
      <c r="D521" s="50"/>
      <c r="E521" s="360"/>
      <c r="F521" s="401"/>
      <c r="G521" s="362"/>
    </row>
    <row r="522" ht="15" customHeight="1" spans="1:7">
      <c r="A522" s="47"/>
      <c r="B522" s="379"/>
      <c r="C522" s="380"/>
      <c r="D522" s="50"/>
      <c r="E522" s="360"/>
      <c r="F522" s="401"/>
      <c r="G522" s="362"/>
    </row>
    <row r="523" ht="15" customHeight="1" spans="1:7">
      <c r="A523" s="47"/>
      <c r="B523" s="379" t="s">
        <v>317</v>
      </c>
      <c r="C523" s="380"/>
      <c r="D523" s="50" t="s">
        <v>323</v>
      </c>
      <c r="E523" s="360">
        <f>E514*机械!L12</f>
        <v>49.4</v>
      </c>
      <c r="F523" s="401">
        <f>主材!N13</f>
        <v>4.13</v>
      </c>
      <c r="G523" s="362">
        <f t="shared" si="16"/>
        <v>204.02</v>
      </c>
    </row>
    <row r="524" ht="15" customHeight="1" spans="1:7">
      <c r="A524" s="47" t="s">
        <v>20</v>
      </c>
      <c r="B524" s="361" t="s">
        <v>297</v>
      </c>
      <c r="C524" s="361"/>
      <c r="D524" s="50"/>
      <c r="E524" s="360">
        <f>G503+G517++G518+G519</f>
        <v>14832.69</v>
      </c>
      <c r="F524" s="366">
        <f>费率!J7</f>
        <v>0.09</v>
      </c>
      <c r="G524" s="362">
        <f t="shared" si="16"/>
        <v>1334.94</v>
      </c>
    </row>
    <row r="525" ht="15" customHeight="1" spans="1:7">
      <c r="A525" s="47"/>
      <c r="B525" s="361" t="s">
        <v>298</v>
      </c>
      <c r="C525" s="361"/>
      <c r="D525" s="50"/>
      <c r="E525" s="360">
        <f>G503+G517+G518+G519+G524</f>
        <v>16167.63</v>
      </c>
      <c r="F525" s="366">
        <v>0.03</v>
      </c>
      <c r="G525" s="362">
        <f t="shared" si="16"/>
        <v>485.03</v>
      </c>
    </row>
    <row r="526" ht="15" customHeight="1" spans="1:7">
      <c r="A526" s="369"/>
      <c r="B526" s="370" t="s">
        <v>560</v>
      </c>
      <c r="C526" s="370"/>
      <c r="D526" s="370"/>
      <c r="E526" s="371"/>
      <c r="F526" s="370"/>
      <c r="G526" s="372">
        <f>G503+G517+G518+G519+G524+G525</f>
        <v>16652.66</v>
      </c>
    </row>
    <row r="527" ht="15.4" customHeight="1" spans="1:7">
      <c r="A527" s="373"/>
      <c r="B527" s="373"/>
      <c r="C527" s="373"/>
      <c r="D527" s="373"/>
      <c r="E527" s="374"/>
      <c r="F527" s="373"/>
      <c r="G527" s="374"/>
    </row>
    <row r="528" ht="15.4" customHeight="1" spans="1:7">
      <c r="A528" s="383" t="s">
        <v>274</v>
      </c>
      <c r="B528" s="383"/>
      <c r="C528" s="383"/>
      <c r="D528" s="383"/>
      <c r="E528" s="383"/>
      <c r="F528" s="383"/>
      <c r="G528" s="383"/>
    </row>
    <row r="529" ht="15.4" customHeight="1" spans="1:7">
      <c r="A529" s="42" t="s">
        <v>275</v>
      </c>
      <c r="B529" s="43"/>
      <c r="C529" s="43" t="s">
        <v>376</v>
      </c>
      <c r="D529" s="43" t="s">
        <v>276</v>
      </c>
      <c r="E529" s="44" t="s">
        <v>649</v>
      </c>
      <c r="F529" s="45"/>
      <c r="G529" s="46"/>
    </row>
    <row r="530" ht="15.4" customHeight="1" spans="1:7">
      <c r="A530" s="47" t="s">
        <v>278</v>
      </c>
      <c r="B530" s="48"/>
      <c r="C530" s="49" t="s">
        <v>650</v>
      </c>
      <c r="D530" s="49"/>
      <c r="E530" s="49"/>
      <c r="F530" s="402" t="s">
        <v>280</v>
      </c>
      <c r="G530" s="51" t="s">
        <v>357</v>
      </c>
    </row>
    <row r="531" ht="15.4" customHeight="1" spans="1:7">
      <c r="A531" s="376" t="s">
        <v>651</v>
      </c>
      <c r="B531" s="377"/>
      <c r="C531" s="377"/>
      <c r="D531" s="377"/>
      <c r="E531" s="377"/>
      <c r="F531" s="377"/>
      <c r="G531" s="378"/>
    </row>
    <row r="532" ht="15.4" customHeight="1" spans="1:7">
      <c r="A532" s="52" t="s">
        <v>652</v>
      </c>
      <c r="B532" s="53"/>
      <c r="C532" s="54"/>
      <c r="D532" s="54"/>
      <c r="E532" s="54"/>
      <c r="F532" s="54"/>
      <c r="G532" s="55"/>
    </row>
    <row r="533" ht="15.4" customHeight="1" spans="1:7">
      <c r="A533" s="47" t="s">
        <v>284</v>
      </c>
      <c r="B533" s="50" t="s">
        <v>233</v>
      </c>
      <c r="C533" s="50"/>
      <c r="D533" s="50" t="s">
        <v>88</v>
      </c>
      <c r="E533" s="360" t="s">
        <v>130</v>
      </c>
      <c r="F533" s="50" t="s">
        <v>285</v>
      </c>
      <c r="G533" s="51" t="s">
        <v>286</v>
      </c>
    </row>
    <row r="534" ht="15.4" customHeight="1" spans="1:7">
      <c r="A534" s="47" t="s">
        <v>9</v>
      </c>
      <c r="B534" s="379" t="s">
        <v>287</v>
      </c>
      <c r="C534" s="380"/>
      <c r="D534" s="50"/>
      <c r="E534" s="360"/>
      <c r="F534" s="360"/>
      <c r="G534" s="362">
        <f>G535+G545</f>
        <v>2034.65</v>
      </c>
    </row>
    <row r="535" ht="15.4" customHeight="1" spans="1:7">
      <c r="A535" s="47" t="s">
        <v>132</v>
      </c>
      <c r="B535" s="379" t="s">
        <v>288</v>
      </c>
      <c r="C535" s="380"/>
      <c r="D535" s="50"/>
      <c r="E535" s="360"/>
      <c r="F535" s="360"/>
      <c r="G535" s="362">
        <f>G536+G539+G542</f>
        <v>1941.46</v>
      </c>
    </row>
    <row r="536" ht="15.4" customHeight="1" spans="1:7">
      <c r="A536" s="47" t="s">
        <v>39</v>
      </c>
      <c r="B536" s="379" t="s">
        <v>247</v>
      </c>
      <c r="C536" s="380"/>
      <c r="D536" s="50"/>
      <c r="E536" s="360"/>
      <c r="F536" s="360"/>
      <c r="G536" s="362">
        <f>SUM(G537:G538)</f>
        <v>1065.08</v>
      </c>
    </row>
    <row r="537" ht="15.4" customHeight="1" spans="1:7">
      <c r="A537" s="47"/>
      <c r="B537" s="379" t="s">
        <v>289</v>
      </c>
      <c r="C537" s="380"/>
      <c r="D537" s="50" t="s">
        <v>290</v>
      </c>
      <c r="E537" s="363">
        <f>19.8+3*9.9</f>
        <v>49.5</v>
      </c>
      <c r="F537" s="360">
        <f>主材!D21</f>
        <v>8.1</v>
      </c>
      <c r="G537" s="362">
        <f>E537*F537</f>
        <v>400.95</v>
      </c>
    </row>
    <row r="538" ht="15.4" customHeight="1" spans="1:7">
      <c r="A538" s="47"/>
      <c r="B538" s="379" t="s">
        <v>291</v>
      </c>
      <c r="C538" s="380"/>
      <c r="D538" s="50" t="s">
        <v>290</v>
      </c>
      <c r="E538" s="363">
        <f>46.1+3*23</f>
        <v>115.1</v>
      </c>
      <c r="F538" s="360">
        <f>主材!D22</f>
        <v>5.77</v>
      </c>
      <c r="G538" s="362">
        <f>E538*F538</f>
        <v>664.13</v>
      </c>
    </row>
    <row r="539" ht="15.4" customHeight="1" spans="1:7">
      <c r="A539" s="47" t="s">
        <v>41</v>
      </c>
      <c r="B539" s="379" t="s">
        <v>248</v>
      </c>
      <c r="C539" s="380"/>
      <c r="D539" s="50"/>
      <c r="E539" s="360"/>
      <c r="F539" s="360"/>
      <c r="G539" s="362">
        <f>SUM(G540:G541)</f>
        <v>843.36</v>
      </c>
    </row>
    <row r="540" ht="15.4" customHeight="1" spans="1:7">
      <c r="A540" s="47"/>
      <c r="B540" s="379" t="s">
        <v>653</v>
      </c>
      <c r="C540" s="380"/>
      <c r="D540" s="50" t="s">
        <v>395</v>
      </c>
      <c r="E540" s="360">
        <f>2.25+3*1.05</f>
        <v>5.4</v>
      </c>
      <c r="F540" s="360">
        <f>混凝土单价!M11</f>
        <v>144.61</v>
      </c>
      <c r="G540" s="362">
        <f>E540*F540</f>
        <v>780.89</v>
      </c>
    </row>
    <row r="541" ht="15.4" customHeight="1" spans="1:7">
      <c r="A541" s="47"/>
      <c r="B541" s="379" t="s">
        <v>397</v>
      </c>
      <c r="C541" s="380"/>
      <c r="D541" s="50" t="s">
        <v>293</v>
      </c>
      <c r="E541" s="364">
        <v>8</v>
      </c>
      <c r="F541" s="360">
        <f>SUM(G540:G540)</f>
        <v>780.89</v>
      </c>
      <c r="G541" s="362">
        <f>E541*F541/100</f>
        <v>62.47</v>
      </c>
    </row>
    <row r="542" ht="15.4" customHeight="1" spans="1:7">
      <c r="A542" s="47" t="s">
        <v>46</v>
      </c>
      <c r="B542" s="379" t="s">
        <v>314</v>
      </c>
      <c r="C542" s="380"/>
      <c r="D542" s="50"/>
      <c r="E542" s="360"/>
      <c r="F542" s="360"/>
      <c r="G542" s="362">
        <f>SUM(G543:G544)</f>
        <v>33.02</v>
      </c>
    </row>
    <row r="543" ht="15.4" customHeight="1" spans="1:7">
      <c r="A543" s="47"/>
      <c r="B543" s="379" t="s">
        <v>472</v>
      </c>
      <c r="C543" s="380"/>
      <c r="D543" s="50" t="s">
        <v>316</v>
      </c>
      <c r="E543" s="360">
        <f>5.1+3*2.55</f>
        <v>12.75</v>
      </c>
      <c r="F543" s="360">
        <f>机械!E29</f>
        <v>0.82</v>
      </c>
      <c r="G543" s="362">
        <f>E543*F543</f>
        <v>10.46</v>
      </c>
    </row>
    <row r="544" ht="15.4" customHeight="1" spans="1:7">
      <c r="A544" s="47"/>
      <c r="B544" s="379" t="s">
        <v>654</v>
      </c>
      <c r="C544" s="380"/>
      <c r="D544" s="50" t="s">
        <v>316</v>
      </c>
      <c r="E544" s="360">
        <f>0.38+3*0.19</f>
        <v>0.95</v>
      </c>
      <c r="F544" s="360">
        <f>机械!E16</f>
        <v>23.75</v>
      </c>
      <c r="G544" s="362">
        <f>E544*F544</f>
        <v>22.56</v>
      </c>
    </row>
    <row r="545" ht="15.4" customHeight="1" spans="1:7">
      <c r="A545" s="47" t="s">
        <v>133</v>
      </c>
      <c r="B545" s="379" t="s">
        <v>294</v>
      </c>
      <c r="C545" s="380"/>
      <c r="D545" s="50"/>
      <c r="E545" s="365">
        <f>G535</f>
        <v>1941.46</v>
      </c>
      <c r="F545" s="366">
        <f>费率!J4</f>
        <v>0.048</v>
      </c>
      <c r="G545" s="362">
        <f>E545*F545</f>
        <v>93.19</v>
      </c>
    </row>
    <row r="546" ht="15.4" customHeight="1" spans="1:7">
      <c r="A546" s="47" t="s">
        <v>14</v>
      </c>
      <c r="B546" s="379" t="s">
        <v>295</v>
      </c>
      <c r="C546" s="380"/>
      <c r="D546" s="50"/>
      <c r="E546" s="360">
        <f>G534</f>
        <v>2034.65</v>
      </c>
      <c r="F546" s="366">
        <f>费率!J5</f>
        <v>0.0725</v>
      </c>
      <c r="G546" s="362">
        <f>E546*F546</f>
        <v>147.51</v>
      </c>
    </row>
    <row r="547" ht="15.4" customHeight="1" spans="1:7">
      <c r="A547" s="47" t="s">
        <v>16</v>
      </c>
      <c r="B547" s="379" t="s">
        <v>296</v>
      </c>
      <c r="C547" s="380"/>
      <c r="D547" s="50"/>
      <c r="E547" s="360">
        <f>G534+G546</f>
        <v>2182.16</v>
      </c>
      <c r="F547" s="366">
        <f>费率!J6</f>
        <v>0.07</v>
      </c>
      <c r="G547" s="362">
        <f>E547*F547</f>
        <v>152.75</v>
      </c>
    </row>
    <row r="548" ht="15.4" customHeight="1" spans="1:7">
      <c r="A548" s="47" t="s">
        <v>18</v>
      </c>
      <c r="B548" s="379" t="s">
        <v>254</v>
      </c>
      <c r="C548" s="380"/>
      <c r="D548" s="50"/>
      <c r="E548" s="360"/>
      <c r="F548" s="366"/>
      <c r="G548" s="362">
        <f>SUM(G549:G550)</f>
        <v>191.28</v>
      </c>
    </row>
    <row r="549" ht="15.4" customHeight="1" spans="1:7">
      <c r="A549" s="47"/>
      <c r="B549" s="379" t="s">
        <v>405</v>
      </c>
      <c r="C549" s="380"/>
      <c r="D549" s="50" t="s">
        <v>158</v>
      </c>
      <c r="E549" s="360">
        <f>E540*混凝土单价!E11</f>
        <v>1.41</v>
      </c>
      <c r="F549" s="367">
        <f>主材!N6</f>
        <v>135.66</v>
      </c>
      <c r="G549" s="362">
        <f>E549*F549</f>
        <v>191.28</v>
      </c>
    </row>
    <row r="550" ht="15.4" customHeight="1" spans="1:7">
      <c r="A550" s="47"/>
      <c r="B550" s="379" t="s">
        <v>396</v>
      </c>
      <c r="C550" s="380"/>
      <c r="D550" s="50" t="s">
        <v>395</v>
      </c>
      <c r="E550" s="360">
        <f>E540*混凝土单价!G47</f>
        <v>0</v>
      </c>
      <c r="F550" s="366"/>
      <c r="G550" s="362">
        <f>E550*F550</f>
        <v>0</v>
      </c>
    </row>
    <row r="551" ht="15.4" customHeight="1" spans="1:7">
      <c r="A551" s="47" t="s">
        <v>20</v>
      </c>
      <c r="B551" s="379" t="s">
        <v>297</v>
      </c>
      <c r="C551" s="380"/>
      <c r="D551" s="50"/>
      <c r="E551" s="360">
        <f>G534+G546++G547+G548</f>
        <v>2526.19</v>
      </c>
      <c r="F551" s="366">
        <f>费率!J7</f>
        <v>0.09</v>
      </c>
      <c r="G551" s="362">
        <f>E551*F551</f>
        <v>227.36</v>
      </c>
    </row>
    <row r="552" ht="15.4" customHeight="1" spans="1:7">
      <c r="A552" s="47"/>
      <c r="B552" s="379" t="s">
        <v>298</v>
      </c>
      <c r="C552" s="380"/>
      <c r="D552" s="50"/>
      <c r="E552" s="360">
        <f>G534+G546+G547+G548+G551</f>
        <v>2753.55</v>
      </c>
      <c r="F552" s="366">
        <v>0.03</v>
      </c>
      <c r="G552" s="362">
        <f>E552*F552</f>
        <v>82.61</v>
      </c>
    </row>
    <row r="553" ht="15.4" customHeight="1" spans="1:7">
      <c r="A553" s="369"/>
      <c r="B553" s="381" t="s">
        <v>560</v>
      </c>
      <c r="C553" s="382"/>
      <c r="D553" s="370"/>
      <c r="E553" s="371"/>
      <c r="F553" s="370"/>
      <c r="G553" s="372">
        <f>G534+G546+G547+G548+G551+G552</f>
        <v>2836.16</v>
      </c>
    </row>
    <row r="554" ht="15.4" customHeight="1" spans="1:7">
      <c r="A554" s="373"/>
      <c r="B554" s="373"/>
      <c r="C554" s="373"/>
      <c r="D554" s="373"/>
      <c r="E554" s="374"/>
      <c r="F554" s="373"/>
      <c r="G554" s="374"/>
    </row>
    <row r="555" ht="15.4" customHeight="1" spans="1:6">
      <c r="A555" s="403"/>
      <c r="B555" s="404"/>
      <c r="C555" s="128"/>
      <c r="D555" s="128"/>
      <c r="E555" s="128"/>
      <c r="F555" s="128"/>
    </row>
    <row r="556" ht="15.4" customHeight="1" spans="1:7">
      <c r="A556" s="405" t="s">
        <v>274</v>
      </c>
      <c r="B556" s="405"/>
      <c r="C556" s="405"/>
      <c r="D556" s="405"/>
      <c r="E556" s="405"/>
      <c r="F556" s="405"/>
      <c r="G556" s="405"/>
    </row>
    <row r="557" ht="15.4" customHeight="1" spans="1:7">
      <c r="A557" s="42" t="s">
        <v>275</v>
      </c>
      <c r="B557" s="43"/>
      <c r="C557" s="43" t="s">
        <v>39</v>
      </c>
      <c r="D557" s="43" t="s">
        <v>276</v>
      </c>
      <c r="E557" s="355" t="s">
        <v>655</v>
      </c>
      <c r="F557" s="355"/>
      <c r="G557" s="356"/>
    </row>
    <row r="558" ht="15.4" customHeight="1" spans="1:7">
      <c r="A558" s="47" t="s">
        <v>278</v>
      </c>
      <c r="B558" s="48"/>
      <c r="C558" s="49" t="s">
        <v>656</v>
      </c>
      <c r="D558" s="49"/>
      <c r="E558" s="49"/>
      <c r="F558" s="402" t="s">
        <v>280</v>
      </c>
      <c r="G558" s="406" t="s">
        <v>281</v>
      </c>
    </row>
    <row r="559" ht="15.4" customHeight="1" spans="1:7">
      <c r="A559" s="358" t="s">
        <v>358</v>
      </c>
      <c r="B559" s="49"/>
      <c r="C559" s="49"/>
      <c r="D559" s="49"/>
      <c r="E559" s="49"/>
      <c r="F559" s="49"/>
      <c r="G559" s="359"/>
    </row>
    <row r="560" ht="15.4" customHeight="1" spans="1:7">
      <c r="A560" s="52" t="s">
        <v>657</v>
      </c>
      <c r="B560" s="53"/>
      <c r="C560" s="54"/>
      <c r="D560" s="54"/>
      <c r="E560" s="54"/>
      <c r="F560" s="54"/>
      <c r="G560" s="55"/>
    </row>
    <row r="561" ht="15.4" customHeight="1" spans="1:7">
      <c r="A561" s="47" t="s">
        <v>284</v>
      </c>
      <c r="B561" s="50" t="s">
        <v>233</v>
      </c>
      <c r="C561" s="50"/>
      <c r="D561" s="50" t="s">
        <v>88</v>
      </c>
      <c r="E561" s="360" t="s">
        <v>130</v>
      </c>
      <c r="F561" s="50" t="s">
        <v>285</v>
      </c>
      <c r="G561" s="51" t="s">
        <v>286</v>
      </c>
    </row>
    <row r="562" ht="15.4" customHeight="1" spans="1:7">
      <c r="A562" s="47" t="s">
        <v>9</v>
      </c>
      <c r="B562" s="361" t="s">
        <v>287</v>
      </c>
      <c r="C562" s="361"/>
      <c r="D562" s="50"/>
      <c r="E562" s="360"/>
      <c r="F562" s="360"/>
      <c r="G562" s="362">
        <f>G563+N36</f>
        <v>503.72</v>
      </c>
    </row>
    <row r="563" ht="15.4" customHeight="1" spans="1:7">
      <c r="A563" s="47" t="s">
        <v>132</v>
      </c>
      <c r="B563" s="361" t="s">
        <v>288</v>
      </c>
      <c r="C563" s="361"/>
      <c r="D563" s="50"/>
      <c r="E563" s="360"/>
      <c r="F563" s="360"/>
      <c r="G563" s="362">
        <f>G564+G566+G568</f>
        <v>503.72</v>
      </c>
    </row>
    <row r="564" ht="15.4" customHeight="1" spans="1:7">
      <c r="A564" s="47" t="s">
        <v>39</v>
      </c>
      <c r="B564" s="361" t="s">
        <v>247</v>
      </c>
      <c r="C564" s="361"/>
      <c r="D564" s="50"/>
      <c r="E564" s="360"/>
      <c r="F564" s="360"/>
      <c r="G564" s="362">
        <f>SUM(G565:G565)</f>
        <v>429.29</v>
      </c>
    </row>
    <row r="565" ht="15.4" customHeight="1" spans="1:7">
      <c r="A565" s="47"/>
      <c r="B565" s="361" t="s">
        <v>291</v>
      </c>
      <c r="C565" s="361"/>
      <c r="D565" s="50" t="s">
        <v>290</v>
      </c>
      <c r="E565" s="363">
        <v>74.4</v>
      </c>
      <c r="F565" s="360">
        <f>主材!D22</f>
        <v>5.77</v>
      </c>
      <c r="G565" s="362">
        <f>E565*F565</f>
        <v>429.29</v>
      </c>
    </row>
    <row r="566" ht="15.4" customHeight="1" spans="1:7">
      <c r="A566" s="47" t="s">
        <v>41</v>
      </c>
      <c r="B566" s="361" t="s">
        <v>248</v>
      </c>
      <c r="C566" s="361"/>
      <c r="D566" s="50"/>
      <c r="E566" s="360"/>
      <c r="F566" s="360"/>
      <c r="G566" s="362">
        <f>SUM(G567:G567)</f>
        <v>28.51</v>
      </c>
    </row>
    <row r="567" ht="15.4" customHeight="1" spans="1:7">
      <c r="A567" s="47"/>
      <c r="B567" s="361" t="s">
        <v>292</v>
      </c>
      <c r="C567" s="361"/>
      <c r="D567" s="50" t="s">
        <v>293</v>
      </c>
      <c r="E567" s="360">
        <v>6</v>
      </c>
      <c r="F567" s="360">
        <f>G564+G568</f>
        <v>475.21</v>
      </c>
      <c r="G567" s="362">
        <f>E567*F567/100</f>
        <v>28.51</v>
      </c>
    </row>
    <row r="568" ht="15.4" customHeight="1" spans="1:7">
      <c r="A568" s="47" t="s">
        <v>46</v>
      </c>
      <c r="B568" s="361" t="s">
        <v>314</v>
      </c>
      <c r="C568" s="361"/>
      <c r="D568" s="50"/>
      <c r="E568" s="360"/>
      <c r="F568" s="360"/>
      <c r="G568" s="362">
        <f>SUM(G569:G569)</f>
        <v>45.92</v>
      </c>
    </row>
    <row r="569" ht="15.4" customHeight="1" spans="1:7">
      <c r="A569" s="407"/>
      <c r="B569" s="408" t="s">
        <v>404</v>
      </c>
      <c r="C569" s="408"/>
      <c r="D569" s="370" t="s">
        <v>316</v>
      </c>
      <c r="E569" s="371">
        <v>56</v>
      </c>
      <c r="F569" s="371">
        <f>机械!E29</f>
        <v>0.82</v>
      </c>
      <c r="G569" s="372">
        <f>E569*F569</f>
        <v>45.92</v>
      </c>
    </row>
    <row r="570" ht="15.4" customHeight="1" spans="1:6">
      <c r="A570" s="403"/>
      <c r="B570" s="409"/>
      <c r="C570" s="403"/>
      <c r="D570" s="403"/>
      <c r="E570" s="128"/>
      <c r="F570" s="128"/>
    </row>
    <row r="571" ht="15.4" customHeight="1" spans="1:7">
      <c r="A571" s="405" t="s">
        <v>274</v>
      </c>
      <c r="B571" s="405"/>
      <c r="C571" s="405"/>
      <c r="D571" s="405"/>
      <c r="E571" s="405"/>
      <c r="F571" s="405"/>
      <c r="G571" s="405"/>
    </row>
    <row r="572" ht="15.4" customHeight="1" spans="1:7">
      <c r="A572" s="42" t="s">
        <v>275</v>
      </c>
      <c r="B572" s="43"/>
      <c r="C572" s="43" t="s">
        <v>39</v>
      </c>
      <c r="D572" s="43" t="s">
        <v>276</v>
      </c>
      <c r="E572" s="355" t="s">
        <v>658</v>
      </c>
      <c r="F572" s="355"/>
      <c r="G572" s="356"/>
    </row>
    <row r="573" ht="15.4" customHeight="1" spans="1:7">
      <c r="A573" s="47" t="s">
        <v>278</v>
      </c>
      <c r="B573" s="48"/>
      <c r="C573" s="49" t="s">
        <v>656</v>
      </c>
      <c r="D573" s="49"/>
      <c r="E573" s="49"/>
      <c r="F573" s="402" t="s">
        <v>280</v>
      </c>
      <c r="G573" s="406" t="s">
        <v>281</v>
      </c>
    </row>
    <row r="574" ht="15.4" customHeight="1" spans="1:7">
      <c r="A574" s="358" t="s">
        <v>358</v>
      </c>
      <c r="B574" s="49"/>
      <c r="C574" s="49"/>
      <c r="D574" s="49"/>
      <c r="E574" s="49"/>
      <c r="F574" s="49"/>
      <c r="G574" s="359"/>
    </row>
    <row r="575" ht="15.4" customHeight="1" spans="1:7">
      <c r="A575" s="52" t="s">
        <v>659</v>
      </c>
      <c r="B575" s="53"/>
      <c r="C575" s="54"/>
      <c r="D575" s="54"/>
      <c r="E575" s="54"/>
      <c r="F575" s="54"/>
      <c r="G575" s="55"/>
    </row>
    <row r="576" ht="15.4" customHeight="1" spans="1:7">
      <c r="A576" s="47" t="s">
        <v>284</v>
      </c>
      <c r="B576" s="50" t="s">
        <v>233</v>
      </c>
      <c r="C576" s="50"/>
      <c r="D576" s="50" t="s">
        <v>88</v>
      </c>
      <c r="E576" s="360" t="s">
        <v>130</v>
      </c>
      <c r="F576" s="50" t="s">
        <v>285</v>
      </c>
      <c r="G576" s="51" t="s">
        <v>286</v>
      </c>
    </row>
    <row r="577" ht="15.4" customHeight="1" spans="1:7">
      <c r="A577" s="47" t="s">
        <v>9</v>
      </c>
      <c r="B577" s="361" t="s">
        <v>287</v>
      </c>
      <c r="C577" s="361"/>
      <c r="D577" s="50"/>
      <c r="E577" s="360"/>
      <c r="F577" s="360"/>
      <c r="G577" s="362">
        <f>G578</f>
        <v>271.42</v>
      </c>
    </row>
    <row r="578" ht="15.4" customHeight="1" spans="1:7">
      <c r="A578" s="47" t="s">
        <v>132</v>
      </c>
      <c r="B578" s="361" t="s">
        <v>288</v>
      </c>
      <c r="C578" s="361"/>
      <c r="D578" s="50"/>
      <c r="E578" s="360"/>
      <c r="F578" s="360"/>
      <c r="G578" s="362">
        <f>G579+G581</f>
        <v>271.42</v>
      </c>
    </row>
    <row r="579" ht="15.4" customHeight="1" spans="1:7">
      <c r="A579" s="47" t="s">
        <v>39</v>
      </c>
      <c r="B579" s="361" t="s">
        <v>247</v>
      </c>
      <c r="C579" s="361"/>
      <c r="D579" s="50"/>
      <c r="E579" s="360"/>
      <c r="F579" s="360"/>
      <c r="G579" s="362">
        <f>SUM(G580:G580)</f>
        <v>226.18</v>
      </c>
    </row>
    <row r="580" ht="15.4" customHeight="1" spans="1:7">
      <c r="A580" s="47"/>
      <c r="B580" s="361" t="s">
        <v>291</v>
      </c>
      <c r="C580" s="361"/>
      <c r="D580" s="50" t="s">
        <v>290</v>
      </c>
      <c r="E580" s="363">
        <v>39.2</v>
      </c>
      <c r="F580" s="360">
        <f>主材!D22</f>
        <v>5.77</v>
      </c>
      <c r="G580" s="362">
        <f>E580*F580</f>
        <v>226.18</v>
      </c>
    </row>
    <row r="581" ht="15.4" customHeight="1" spans="1:7">
      <c r="A581" s="47" t="s">
        <v>41</v>
      </c>
      <c r="B581" s="361" t="s">
        <v>248</v>
      </c>
      <c r="C581" s="361"/>
      <c r="D581" s="50"/>
      <c r="E581" s="360"/>
      <c r="F581" s="360"/>
      <c r="G581" s="362">
        <f>SUM(G582:G582)</f>
        <v>45.24</v>
      </c>
    </row>
    <row r="582" ht="15.4" customHeight="1" spans="1:7">
      <c r="A582" s="407"/>
      <c r="B582" s="408" t="s">
        <v>292</v>
      </c>
      <c r="C582" s="408"/>
      <c r="D582" s="370" t="s">
        <v>293</v>
      </c>
      <c r="E582" s="371">
        <v>20</v>
      </c>
      <c r="F582" s="371">
        <f>G579</f>
        <v>226.18</v>
      </c>
      <c r="G582" s="372">
        <f>E582*F582/100</f>
        <v>45.24</v>
      </c>
    </row>
    <row r="583" ht="15.4" customHeight="1" spans="1:6">
      <c r="A583" s="403"/>
      <c r="B583" s="409"/>
      <c r="C583" s="403"/>
      <c r="D583" s="403"/>
      <c r="E583" s="128"/>
      <c r="F583" s="128"/>
    </row>
    <row r="584" ht="15.4" customHeight="1" spans="1:7">
      <c r="A584" s="405" t="s">
        <v>274</v>
      </c>
      <c r="B584" s="405"/>
      <c r="C584" s="405"/>
      <c r="D584" s="405"/>
      <c r="E584" s="405"/>
      <c r="F584" s="405"/>
      <c r="G584" s="405"/>
    </row>
    <row r="585" ht="15.4" customHeight="1" spans="1:7">
      <c r="A585" s="42" t="s">
        <v>275</v>
      </c>
      <c r="B585" s="43"/>
      <c r="C585" s="43" t="s">
        <v>39</v>
      </c>
      <c r="D585" s="43" t="s">
        <v>276</v>
      </c>
      <c r="E585" s="355" t="s">
        <v>660</v>
      </c>
      <c r="F585" s="355"/>
      <c r="G585" s="356"/>
    </row>
    <row r="586" ht="15.4" customHeight="1" spans="1:7">
      <c r="A586" s="47" t="s">
        <v>278</v>
      </c>
      <c r="B586" s="48"/>
      <c r="C586" s="49" t="s">
        <v>661</v>
      </c>
      <c r="D586" s="49"/>
      <c r="E586" s="49"/>
      <c r="F586" s="402" t="s">
        <v>280</v>
      </c>
      <c r="G586" s="406" t="s">
        <v>281</v>
      </c>
    </row>
    <row r="587" ht="15.4" customHeight="1" spans="1:7">
      <c r="A587" s="358" t="s">
        <v>662</v>
      </c>
      <c r="B587" s="49"/>
      <c r="C587" s="49"/>
      <c r="D587" s="49"/>
      <c r="E587" s="49"/>
      <c r="F587" s="49"/>
      <c r="G587" s="359"/>
    </row>
    <row r="588" ht="15.4" customHeight="1" spans="1:7">
      <c r="A588" s="52" t="s">
        <v>663</v>
      </c>
      <c r="B588" s="53"/>
      <c r="C588" s="54"/>
      <c r="D588" s="54"/>
      <c r="E588" s="54"/>
      <c r="F588" s="54"/>
      <c r="G588" s="55"/>
    </row>
    <row r="589" ht="15.4" customHeight="1" spans="1:7">
      <c r="A589" s="47" t="s">
        <v>284</v>
      </c>
      <c r="B589" s="50" t="s">
        <v>233</v>
      </c>
      <c r="C589" s="50"/>
      <c r="D589" s="50" t="s">
        <v>88</v>
      </c>
      <c r="E589" s="360" t="s">
        <v>130</v>
      </c>
      <c r="F589" s="50" t="s">
        <v>285</v>
      </c>
      <c r="G589" s="51" t="s">
        <v>286</v>
      </c>
    </row>
    <row r="590" ht="15.4" customHeight="1" spans="1:7">
      <c r="A590" s="47" t="s">
        <v>9</v>
      </c>
      <c r="B590" s="361" t="s">
        <v>287</v>
      </c>
      <c r="C590" s="361"/>
      <c r="D590" s="50"/>
      <c r="E590" s="360"/>
      <c r="F590" s="360"/>
      <c r="G590" s="362">
        <f>G591</f>
        <v>1439.31</v>
      </c>
    </row>
    <row r="591" ht="15.4" customHeight="1" spans="1:7">
      <c r="A591" s="47" t="s">
        <v>132</v>
      </c>
      <c r="B591" s="361" t="s">
        <v>288</v>
      </c>
      <c r="C591" s="361"/>
      <c r="D591" s="50"/>
      <c r="E591" s="360"/>
      <c r="F591" s="360"/>
      <c r="G591" s="362">
        <f>G592+G595+G597</f>
        <v>1439.31</v>
      </c>
    </row>
    <row r="592" ht="15.4" customHeight="1" spans="1:7">
      <c r="A592" s="47" t="s">
        <v>39</v>
      </c>
      <c r="B592" s="361" t="s">
        <v>247</v>
      </c>
      <c r="C592" s="361"/>
      <c r="D592" s="50"/>
      <c r="E592" s="360"/>
      <c r="F592" s="360"/>
      <c r="G592" s="362">
        <f>SUM(G593:G594)</f>
        <v>640.92</v>
      </c>
    </row>
    <row r="593" ht="15.4" customHeight="1" spans="1:7">
      <c r="A593" s="47"/>
      <c r="B593" s="361" t="s">
        <v>289</v>
      </c>
      <c r="C593" s="361"/>
      <c r="D593" s="50" t="s">
        <v>290</v>
      </c>
      <c r="E593" s="360">
        <v>67.8</v>
      </c>
      <c r="F593" s="360">
        <f>主材!D21</f>
        <v>8.1</v>
      </c>
      <c r="G593" s="362">
        <f>E593*F593</f>
        <v>549.18</v>
      </c>
    </row>
    <row r="594" ht="15.4" customHeight="1" spans="1:7">
      <c r="A594" s="47"/>
      <c r="B594" s="361" t="s">
        <v>291</v>
      </c>
      <c r="C594" s="361"/>
      <c r="D594" s="50" t="s">
        <v>290</v>
      </c>
      <c r="E594" s="363">
        <v>15.9</v>
      </c>
      <c r="F594" s="360">
        <f>主材!D22</f>
        <v>5.77</v>
      </c>
      <c r="G594" s="362">
        <f>E594*F594</f>
        <v>91.74</v>
      </c>
    </row>
    <row r="595" ht="15.4" customHeight="1" spans="1:7">
      <c r="A595" s="47" t="s">
        <v>41</v>
      </c>
      <c r="B595" s="361" t="s">
        <v>248</v>
      </c>
      <c r="C595" s="361"/>
      <c r="D595" s="50"/>
      <c r="E595" s="360"/>
      <c r="F595" s="360"/>
      <c r="G595" s="362">
        <f>SUM(G596:G596)</f>
        <v>81.47</v>
      </c>
    </row>
    <row r="596" ht="15.4" customHeight="1" spans="1:7">
      <c r="A596" s="47"/>
      <c r="B596" s="361" t="s">
        <v>292</v>
      </c>
      <c r="C596" s="361"/>
      <c r="D596" s="50" t="s">
        <v>293</v>
      </c>
      <c r="E596" s="360">
        <v>6</v>
      </c>
      <c r="F596" s="360">
        <f>G592+G597</f>
        <v>1357.84</v>
      </c>
      <c r="G596" s="362">
        <f>E596*F596/100</f>
        <v>81.47</v>
      </c>
    </row>
    <row r="597" ht="15.4" customHeight="1" spans="1:7">
      <c r="A597" s="410">
        <v>3</v>
      </c>
      <c r="B597" s="361" t="s">
        <v>314</v>
      </c>
      <c r="C597" s="361"/>
      <c r="D597" s="397"/>
      <c r="E597" s="411"/>
      <c r="F597" s="360"/>
      <c r="G597" s="362">
        <f>SUM(G598:G599)</f>
        <v>716.92</v>
      </c>
    </row>
    <row r="598" ht="15.4" customHeight="1" spans="1:7">
      <c r="A598" s="410"/>
      <c r="B598" s="361" t="s">
        <v>664</v>
      </c>
      <c r="C598" s="361"/>
      <c r="D598" s="397" t="s">
        <v>316</v>
      </c>
      <c r="E598" s="412">
        <v>11.05</v>
      </c>
      <c r="F598" s="360">
        <f>机械!E30</f>
        <v>62.59</v>
      </c>
      <c r="G598" s="362">
        <f>E598*F598</f>
        <v>691.62</v>
      </c>
    </row>
    <row r="599" ht="15.4" customHeight="1" spans="1:7">
      <c r="A599" s="413"/>
      <c r="B599" s="408" t="s">
        <v>665</v>
      </c>
      <c r="C599" s="408"/>
      <c r="D599" s="414" t="s">
        <v>316</v>
      </c>
      <c r="E599" s="415">
        <v>11.05</v>
      </c>
      <c r="F599" s="371">
        <f>机械!E21</f>
        <v>2.29</v>
      </c>
      <c r="G599" s="372">
        <f>E599*F599</f>
        <v>25.3</v>
      </c>
    </row>
    <row r="600" ht="15.4" customHeight="1" spans="1:6">
      <c r="A600" s="403"/>
      <c r="B600" s="404"/>
      <c r="C600" s="403"/>
      <c r="D600" s="409"/>
      <c r="E600" s="403"/>
      <c r="F600" s="403"/>
    </row>
    <row r="601" ht="15.4" customHeight="1" spans="1:7">
      <c r="A601" s="405" t="s">
        <v>274</v>
      </c>
      <c r="B601" s="405"/>
      <c r="C601" s="405"/>
      <c r="D601" s="405"/>
      <c r="E601" s="405"/>
      <c r="F601" s="405"/>
      <c r="G601" s="405"/>
    </row>
    <row r="602" ht="15.4" customHeight="1" spans="1:7">
      <c r="A602" s="42" t="s">
        <v>275</v>
      </c>
      <c r="B602" s="43"/>
      <c r="C602" s="43" t="s">
        <v>39</v>
      </c>
      <c r="D602" s="43" t="s">
        <v>276</v>
      </c>
      <c r="E602" s="355" t="s">
        <v>666</v>
      </c>
      <c r="F602" s="355"/>
      <c r="G602" s="356"/>
    </row>
    <row r="603" ht="15.4" customHeight="1" spans="1:7">
      <c r="A603" s="47" t="s">
        <v>278</v>
      </c>
      <c r="B603" s="48"/>
      <c r="C603" s="49" t="s">
        <v>667</v>
      </c>
      <c r="D603" s="49"/>
      <c r="E603" s="49"/>
      <c r="F603" s="402" t="s">
        <v>280</v>
      </c>
      <c r="G603" s="406" t="s">
        <v>281</v>
      </c>
    </row>
    <row r="604" ht="15.4" customHeight="1" spans="1:7">
      <c r="A604" s="358" t="s">
        <v>668</v>
      </c>
      <c r="B604" s="49"/>
      <c r="C604" s="49"/>
      <c r="D604" s="49"/>
      <c r="E604" s="49"/>
      <c r="F604" s="49"/>
      <c r="G604" s="359"/>
    </row>
    <row r="605" ht="15.4" customHeight="1" spans="1:7">
      <c r="A605" s="52" t="s">
        <v>669</v>
      </c>
      <c r="B605" s="53"/>
      <c r="C605" s="54"/>
      <c r="D605" s="54"/>
      <c r="E605" s="54"/>
      <c r="F605" s="54"/>
      <c r="G605" s="55"/>
    </row>
    <row r="606" ht="15.4" customHeight="1" spans="1:7">
      <c r="A606" s="47" t="s">
        <v>284</v>
      </c>
      <c r="B606" s="50" t="s">
        <v>233</v>
      </c>
      <c r="C606" s="50"/>
      <c r="D606" s="50" t="s">
        <v>88</v>
      </c>
      <c r="E606" s="360" t="s">
        <v>130</v>
      </c>
      <c r="F606" s="50" t="s">
        <v>285</v>
      </c>
      <c r="G606" s="51" t="s">
        <v>286</v>
      </c>
    </row>
    <row r="607" ht="15.4" customHeight="1" spans="1:7">
      <c r="A607" s="47" t="s">
        <v>9</v>
      </c>
      <c r="B607" s="379" t="s">
        <v>287</v>
      </c>
      <c r="C607" s="380"/>
      <c r="D607" s="50"/>
      <c r="E607" s="360"/>
      <c r="F607" s="360"/>
      <c r="G607" s="362" t="e">
        <f>G608+G623</f>
        <v>#REF!</v>
      </c>
    </row>
    <row r="608" ht="15.4" customHeight="1" spans="1:7">
      <c r="A608" s="47" t="s">
        <v>132</v>
      </c>
      <c r="B608" s="379" t="s">
        <v>288</v>
      </c>
      <c r="C608" s="380"/>
      <c r="D608" s="50"/>
      <c r="E608" s="360"/>
      <c r="F608" s="360"/>
      <c r="G608" s="362" t="e">
        <f>G609+G612+G618</f>
        <v>#REF!</v>
      </c>
    </row>
    <row r="609" ht="15.4" customHeight="1" spans="1:7">
      <c r="A609" s="47" t="s">
        <v>39</v>
      </c>
      <c r="B609" s="379" t="s">
        <v>247</v>
      </c>
      <c r="C609" s="380"/>
      <c r="D609" s="50"/>
      <c r="E609" s="360"/>
      <c r="F609" s="360"/>
      <c r="G609" s="362">
        <f>SUM(G610:G611)</f>
        <v>13755.27</v>
      </c>
    </row>
    <row r="610" ht="15.4" customHeight="1" spans="1:7">
      <c r="A610" s="47"/>
      <c r="B610" s="379" t="s">
        <v>289</v>
      </c>
      <c r="C610" s="380"/>
      <c r="D610" s="50" t="s">
        <v>290</v>
      </c>
      <c r="E610" s="363">
        <v>1282.1</v>
      </c>
      <c r="F610" s="360">
        <f>主材!D21</f>
        <v>8.1</v>
      </c>
      <c r="G610" s="362">
        <f>E610*F610</f>
        <v>10385.01</v>
      </c>
    </row>
    <row r="611" ht="15.4" customHeight="1" spans="1:7">
      <c r="A611" s="47"/>
      <c r="B611" s="379" t="s">
        <v>291</v>
      </c>
      <c r="C611" s="380"/>
      <c r="D611" s="50" t="s">
        <v>290</v>
      </c>
      <c r="E611" s="363">
        <v>584.1</v>
      </c>
      <c r="F611" s="360">
        <f>主材!D22</f>
        <v>5.77</v>
      </c>
      <c r="G611" s="362">
        <f>E611*F611</f>
        <v>3370.26</v>
      </c>
    </row>
    <row r="612" ht="15.4" customHeight="1" spans="1:7">
      <c r="A612" s="47" t="s">
        <v>41</v>
      </c>
      <c r="B612" s="379" t="s">
        <v>248</v>
      </c>
      <c r="C612" s="380"/>
      <c r="D612" s="50"/>
      <c r="E612" s="360"/>
      <c r="F612" s="360"/>
      <c r="G612" s="362" t="e">
        <f>SUM(G613:G617)</f>
        <v>#REF!</v>
      </c>
    </row>
    <row r="613" ht="15.4" customHeight="1" spans="1:7">
      <c r="A613" s="416"/>
      <c r="B613" s="417" t="s">
        <v>548</v>
      </c>
      <c r="C613" s="418"/>
      <c r="D613" s="416" t="s">
        <v>670</v>
      </c>
      <c r="E613" s="416">
        <v>116.41</v>
      </c>
      <c r="F613" s="416">
        <v>4.2</v>
      </c>
      <c r="G613" s="416">
        <f>E613*F613</f>
        <v>488.92</v>
      </c>
    </row>
    <row r="614" ht="15.4" customHeight="1" spans="1:7">
      <c r="A614" s="416"/>
      <c r="B614" s="417" t="s">
        <v>583</v>
      </c>
      <c r="C614" s="418"/>
      <c r="D614" s="416" t="s">
        <v>670</v>
      </c>
      <c r="E614" s="416">
        <v>24.59</v>
      </c>
      <c r="F614" s="416">
        <v>2.9</v>
      </c>
      <c r="G614" s="416">
        <f>E614*F614</f>
        <v>71.31</v>
      </c>
    </row>
    <row r="615" ht="15.4" customHeight="1" spans="1:7">
      <c r="A615" s="416"/>
      <c r="B615" s="417" t="s">
        <v>671</v>
      </c>
      <c r="C615" s="418"/>
      <c r="D615" s="416" t="s">
        <v>395</v>
      </c>
      <c r="E615" s="416">
        <v>102</v>
      </c>
      <c r="F615" s="416">
        <f>混凝土单价!M8</f>
        <v>183.37</v>
      </c>
      <c r="G615" s="416">
        <f>E615*F615</f>
        <v>18703.74</v>
      </c>
    </row>
    <row r="616" ht="15.4" customHeight="1" spans="1:7">
      <c r="A616" s="416"/>
      <c r="B616" s="417" t="s">
        <v>672</v>
      </c>
      <c r="C616" s="418"/>
      <c r="D616" s="416" t="s">
        <v>395</v>
      </c>
      <c r="E616" s="416">
        <v>240</v>
      </c>
      <c r="F616" s="416" t="e">
        <f>[88]单价分析7!$M$11</f>
        <v>#REF!</v>
      </c>
      <c r="G616" s="416" t="e">
        <f>E616*F616</f>
        <v>#REF!</v>
      </c>
    </row>
    <row r="617" ht="15.4" customHeight="1" spans="1:7">
      <c r="A617" s="416"/>
      <c r="B617" s="417" t="s">
        <v>397</v>
      </c>
      <c r="C617" s="418"/>
      <c r="D617" s="416"/>
      <c r="E617" s="419">
        <v>0.01</v>
      </c>
      <c r="F617" s="416" t="e">
        <f>SUM(G613:G616)</f>
        <v>#REF!</v>
      </c>
      <c r="G617" s="416" t="e">
        <f>E617*F617</f>
        <v>#REF!</v>
      </c>
    </row>
    <row r="618" ht="15.4" customHeight="1" spans="1:7">
      <c r="A618" s="420">
        <v>3</v>
      </c>
      <c r="B618" s="417" t="s">
        <v>464</v>
      </c>
      <c r="C618" s="418"/>
      <c r="D618" s="416"/>
      <c r="E618" s="416"/>
      <c r="F618" s="416"/>
      <c r="G618" s="416">
        <f>SUM(G619:G622)</f>
        <v>638.66</v>
      </c>
    </row>
    <row r="619" ht="15.4" customHeight="1" spans="1:7">
      <c r="A619" s="416"/>
      <c r="B619" s="417" t="s">
        <v>673</v>
      </c>
      <c r="C619" s="418"/>
      <c r="D619" s="416" t="s">
        <v>316</v>
      </c>
      <c r="E619" s="416">
        <v>18.36</v>
      </c>
      <c r="F619" s="416">
        <f>机械!E16</f>
        <v>23.75</v>
      </c>
      <c r="G619" s="416">
        <f t="shared" ref="G619:G625" si="17">E619*F619</f>
        <v>436.05</v>
      </c>
    </row>
    <row r="620" ht="15.4" customHeight="1" spans="1:7">
      <c r="A620" s="416"/>
      <c r="B620" s="417" t="s">
        <v>674</v>
      </c>
      <c r="C620" s="418"/>
      <c r="D620" s="416" t="s">
        <v>316</v>
      </c>
      <c r="E620" s="416">
        <v>35.6</v>
      </c>
      <c r="F620" s="416">
        <f>机械!E19</f>
        <v>2.38</v>
      </c>
      <c r="G620" s="416">
        <f t="shared" si="17"/>
        <v>84.73</v>
      </c>
    </row>
    <row r="621" ht="15.4" customHeight="1" spans="1:7">
      <c r="A621" s="416"/>
      <c r="B621" s="417" t="s">
        <v>472</v>
      </c>
      <c r="C621" s="418"/>
      <c r="D621" s="416" t="s">
        <v>316</v>
      </c>
      <c r="E621" s="416">
        <v>92.8</v>
      </c>
      <c r="F621" s="416">
        <f>机械!E29</f>
        <v>0.82</v>
      </c>
      <c r="G621" s="416">
        <f t="shared" si="17"/>
        <v>76.1</v>
      </c>
    </row>
    <row r="622" ht="15.4" customHeight="1" spans="1:7">
      <c r="A622" s="416"/>
      <c r="B622" s="421" t="s">
        <v>370</v>
      </c>
      <c r="C622" s="421"/>
      <c r="D622" s="416"/>
      <c r="E622" s="419">
        <v>0.07</v>
      </c>
      <c r="F622" s="416">
        <f>SUM(G619:G621)</f>
        <v>596.88</v>
      </c>
      <c r="G622" s="416">
        <f t="shared" si="17"/>
        <v>41.78</v>
      </c>
    </row>
    <row r="623" ht="15.4" customHeight="1" spans="1:7">
      <c r="A623" s="420" t="s">
        <v>133</v>
      </c>
      <c r="B623" s="422" t="s">
        <v>294</v>
      </c>
      <c r="C623" s="423"/>
      <c r="D623" s="416"/>
      <c r="E623" s="360" t="e">
        <f>G608</f>
        <v>#REF!</v>
      </c>
      <c r="F623" s="424">
        <f>费率!F4</f>
        <v>0.048</v>
      </c>
      <c r="G623" s="416" t="e">
        <f t="shared" si="17"/>
        <v>#REF!</v>
      </c>
    </row>
    <row r="624" ht="15.4" customHeight="1" spans="1:7">
      <c r="A624" s="47" t="s">
        <v>14</v>
      </c>
      <c r="B624" s="361" t="s">
        <v>295</v>
      </c>
      <c r="C624" s="361"/>
      <c r="D624" s="50"/>
      <c r="E624" s="360" t="e">
        <f>G607</f>
        <v>#REF!</v>
      </c>
      <c r="F624" s="366">
        <f>费率!F5</f>
        <v>0.07</v>
      </c>
      <c r="G624" s="362" t="e">
        <f t="shared" si="17"/>
        <v>#REF!</v>
      </c>
    </row>
    <row r="625" ht="15.4" customHeight="1" spans="1:7">
      <c r="A625" s="47" t="s">
        <v>16</v>
      </c>
      <c r="B625" s="361" t="s">
        <v>296</v>
      </c>
      <c r="C625" s="361"/>
      <c r="D625" s="50"/>
      <c r="E625" s="360" t="e">
        <f>G607+G624</f>
        <v>#REF!</v>
      </c>
      <c r="F625" s="366">
        <f>费率!F6</f>
        <v>0.07</v>
      </c>
      <c r="G625" s="362" t="e">
        <f t="shared" si="17"/>
        <v>#REF!</v>
      </c>
    </row>
    <row r="626" ht="15.4" customHeight="1" spans="1:7">
      <c r="A626" s="416" t="s">
        <v>18</v>
      </c>
      <c r="B626" s="421" t="s">
        <v>466</v>
      </c>
      <c r="C626" s="421"/>
      <c r="D626" s="416"/>
      <c r="E626" s="416"/>
      <c r="F626" s="416"/>
      <c r="G626" s="416">
        <f>SUM(G627:G629)</f>
        <v>7357.52</v>
      </c>
    </row>
    <row r="627" ht="15.4" customHeight="1" spans="1:7">
      <c r="A627" s="416"/>
      <c r="B627" s="416" t="s">
        <v>405</v>
      </c>
      <c r="C627" s="416"/>
      <c r="D627" s="416" t="s">
        <v>158</v>
      </c>
      <c r="E627" s="416">
        <f>E615*混凝土单价!E8</f>
        <v>34.68</v>
      </c>
      <c r="F627" s="416">
        <f>主材!N6</f>
        <v>135.66</v>
      </c>
      <c r="G627" s="416">
        <f>E627*F627</f>
        <v>4704.69</v>
      </c>
    </row>
    <row r="628" ht="15.4" customHeight="1" spans="1:7">
      <c r="A628" s="416"/>
      <c r="B628" s="416" t="s">
        <v>396</v>
      </c>
      <c r="C628" s="416"/>
      <c r="D628" s="416" t="s">
        <v>395</v>
      </c>
      <c r="E628" s="416">
        <f>E615*混凝土单价!G8</f>
        <v>54.06</v>
      </c>
      <c r="F628" s="416">
        <f>主材!N8</f>
        <v>37.93</v>
      </c>
      <c r="G628" s="416">
        <f>E628*F628</f>
        <v>2050.5</v>
      </c>
    </row>
    <row r="629" ht="15.4" customHeight="1" spans="1:7">
      <c r="A629" s="416"/>
      <c r="B629" s="416" t="s">
        <v>467</v>
      </c>
      <c r="C629" s="416"/>
      <c r="D629" s="416" t="s">
        <v>395</v>
      </c>
      <c r="E629" s="416">
        <f>E615*混凝土单价!I8</f>
        <v>85.68</v>
      </c>
      <c r="F629" s="416">
        <f>主材!N10</f>
        <v>7.03</v>
      </c>
      <c r="G629" s="416">
        <f>E629*F629</f>
        <v>602.33</v>
      </c>
    </row>
    <row r="630" ht="15.4" customHeight="1" spans="1:7">
      <c r="A630" s="47" t="s">
        <v>20</v>
      </c>
      <c r="B630" s="379" t="s">
        <v>297</v>
      </c>
      <c r="C630" s="380"/>
      <c r="D630" s="50"/>
      <c r="E630" s="360" t="e">
        <f>G626+G625+G624+G607</f>
        <v>#REF!</v>
      </c>
      <c r="F630" s="366">
        <f>费率!G7</f>
        <v>0.09</v>
      </c>
      <c r="G630" s="362" t="e">
        <f>E630*F630</f>
        <v>#REF!</v>
      </c>
    </row>
    <row r="631" ht="15.4" customHeight="1" spans="1:7">
      <c r="A631" s="47"/>
      <c r="B631" s="379" t="s">
        <v>675</v>
      </c>
      <c r="C631" s="380"/>
      <c r="D631" s="50"/>
      <c r="E631" s="360" t="e">
        <f>G630</f>
        <v>#REF!</v>
      </c>
      <c r="F631" s="366">
        <f>费率!F8</f>
        <v>0.03</v>
      </c>
      <c r="G631" s="362" t="e">
        <f>E631*F631</f>
        <v>#REF!</v>
      </c>
    </row>
    <row r="632" ht="15.4" customHeight="1" spans="1:7">
      <c r="A632" s="369"/>
      <c r="B632" s="381" t="s">
        <v>560</v>
      </c>
      <c r="C632" s="382"/>
      <c r="D632" s="370"/>
      <c r="E632" s="371"/>
      <c r="F632" s="370"/>
      <c r="G632" s="372" t="e">
        <f>G631+E630+G630</f>
        <v>#REF!</v>
      </c>
    </row>
    <row r="633" ht="15.4" customHeight="1" spans="1:7">
      <c r="A633" s="373"/>
      <c r="B633" s="373"/>
      <c r="C633" s="373"/>
      <c r="D633" s="373"/>
      <c r="E633" s="374"/>
      <c r="F633" s="373"/>
      <c r="G633" s="374"/>
    </row>
    <row r="634" ht="15.4" customHeight="1" spans="1:7">
      <c r="A634" s="405" t="s">
        <v>274</v>
      </c>
      <c r="B634" s="405"/>
      <c r="C634" s="405"/>
      <c r="D634" s="405"/>
      <c r="E634" s="405"/>
      <c r="F634" s="405"/>
      <c r="G634" s="405"/>
    </row>
    <row r="635" ht="15.4" customHeight="1" spans="1:7">
      <c r="A635" s="42" t="s">
        <v>275</v>
      </c>
      <c r="B635" s="43"/>
      <c r="C635" s="43" t="s">
        <v>39</v>
      </c>
      <c r="D635" s="43" t="s">
        <v>276</v>
      </c>
      <c r="E635" s="355" t="s">
        <v>676</v>
      </c>
      <c r="F635" s="355"/>
      <c r="G635" s="356"/>
    </row>
    <row r="636" ht="15.4" customHeight="1" spans="1:7">
      <c r="A636" s="47" t="s">
        <v>278</v>
      </c>
      <c r="B636" s="48"/>
      <c r="C636" s="49" t="s">
        <v>677</v>
      </c>
      <c r="D636" s="49"/>
      <c r="E636" s="49"/>
      <c r="F636" s="402" t="s">
        <v>280</v>
      </c>
      <c r="G636" s="406" t="s">
        <v>281</v>
      </c>
    </row>
    <row r="637" ht="15.4" customHeight="1" spans="1:7">
      <c r="A637" s="358" t="s">
        <v>668</v>
      </c>
      <c r="B637" s="49"/>
      <c r="C637" s="49"/>
      <c r="D637" s="49"/>
      <c r="E637" s="49"/>
      <c r="F637" s="49"/>
      <c r="G637" s="359"/>
    </row>
    <row r="638" ht="15.4" customHeight="1" spans="1:7">
      <c r="A638" s="52" t="s">
        <v>669</v>
      </c>
      <c r="B638" s="53"/>
      <c r="C638" s="54"/>
      <c r="D638" s="54"/>
      <c r="E638" s="54"/>
      <c r="F638" s="54"/>
      <c r="G638" s="55"/>
    </row>
    <row r="639" ht="15.4" customHeight="1" spans="1:7">
      <c r="A639" s="47" t="s">
        <v>284</v>
      </c>
      <c r="B639" s="50" t="s">
        <v>233</v>
      </c>
      <c r="C639" s="50"/>
      <c r="D639" s="50" t="s">
        <v>88</v>
      </c>
      <c r="E639" s="360" t="s">
        <v>130</v>
      </c>
      <c r="F639" s="50" t="s">
        <v>285</v>
      </c>
      <c r="G639" s="51" t="s">
        <v>286</v>
      </c>
    </row>
    <row r="640" ht="15.4" customHeight="1" spans="1:7">
      <c r="A640" s="47" t="s">
        <v>9</v>
      </c>
      <c r="B640" s="379" t="s">
        <v>287</v>
      </c>
      <c r="C640" s="380"/>
      <c r="D640" s="50"/>
      <c r="E640" s="360"/>
      <c r="F640" s="360"/>
      <c r="G640" s="362">
        <f>G641+G658</f>
        <v>44586.45</v>
      </c>
    </row>
    <row r="641" ht="15.4" customHeight="1" spans="1:7">
      <c r="A641" s="47" t="s">
        <v>132</v>
      </c>
      <c r="B641" s="379" t="s">
        <v>288</v>
      </c>
      <c r="C641" s="380"/>
      <c r="D641" s="50"/>
      <c r="E641" s="360"/>
      <c r="F641" s="360"/>
      <c r="G641" s="362">
        <f>G642+G645+G652</f>
        <v>42544.32</v>
      </c>
    </row>
    <row r="642" ht="15.4" customHeight="1" spans="1:7">
      <c r="A642" s="47" t="s">
        <v>39</v>
      </c>
      <c r="B642" s="379" t="s">
        <v>247</v>
      </c>
      <c r="C642" s="380"/>
      <c r="D642" s="50"/>
      <c r="E642" s="360"/>
      <c r="F642" s="360"/>
      <c r="G642" s="362">
        <f>SUM(G643:G644)</f>
        <v>20800.11</v>
      </c>
    </row>
    <row r="643" ht="15.4" customHeight="1" spans="1:7">
      <c r="A643" s="47"/>
      <c r="B643" s="379" t="s">
        <v>289</v>
      </c>
      <c r="C643" s="380"/>
      <c r="D643" s="50" t="s">
        <v>290</v>
      </c>
      <c r="E643" s="363">
        <v>1938.7</v>
      </c>
      <c r="F643" s="360">
        <f>主材!D21</f>
        <v>8.1</v>
      </c>
      <c r="G643" s="362">
        <f>E643*F643</f>
        <v>15703.47</v>
      </c>
    </row>
    <row r="644" ht="15.4" customHeight="1" spans="1:7">
      <c r="A644" s="47"/>
      <c r="B644" s="379" t="s">
        <v>291</v>
      </c>
      <c r="C644" s="380"/>
      <c r="D644" s="50" t="s">
        <v>290</v>
      </c>
      <c r="E644" s="363">
        <v>883.3</v>
      </c>
      <c r="F644" s="360">
        <f>主材!D22</f>
        <v>5.77</v>
      </c>
      <c r="G644" s="362">
        <f>E644*F644</f>
        <v>5096.64</v>
      </c>
    </row>
    <row r="645" ht="15.4" customHeight="1" spans="1:7">
      <c r="A645" s="47" t="s">
        <v>41</v>
      </c>
      <c r="B645" s="379" t="s">
        <v>248</v>
      </c>
      <c r="C645" s="380"/>
      <c r="D645" s="50"/>
      <c r="E645" s="360"/>
      <c r="F645" s="360"/>
      <c r="G645" s="362">
        <f>SUM(G646:G651)</f>
        <v>20187.15</v>
      </c>
    </row>
    <row r="646" ht="15.4" customHeight="1" spans="1:7">
      <c r="A646" s="416"/>
      <c r="B646" s="417" t="s">
        <v>548</v>
      </c>
      <c r="C646" s="418"/>
      <c r="D646" s="416" t="s">
        <v>670</v>
      </c>
      <c r="E646" s="416">
        <v>153.08</v>
      </c>
      <c r="F646" s="416">
        <v>4.2</v>
      </c>
      <c r="G646" s="416">
        <f t="shared" ref="G646:G651" si="18">E646*F646</f>
        <v>642.94</v>
      </c>
    </row>
    <row r="647" ht="15.4" customHeight="1" spans="1:7">
      <c r="A647" s="416"/>
      <c r="B647" s="417" t="s">
        <v>583</v>
      </c>
      <c r="C647" s="418"/>
      <c r="D647" s="416" t="s">
        <v>670</v>
      </c>
      <c r="E647" s="416">
        <v>32.34</v>
      </c>
      <c r="F647" s="416">
        <v>2.9</v>
      </c>
      <c r="G647" s="416">
        <f t="shared" si="18"/>
        <v>93.79</v>
      </c>
    </row>
    <row r="648" ht="15.4" customHeight="1" spans="1:7">
      <c r="A648" s="416"/>
      <c r="B648" s="425" t="s">
        <v>584</v>
      </c>
      <c r="C648" s="426"/>
      <c r="D648" s="416" t="s">
        <v>395</v>
      </c>
      <c r="E648" s="416">
        <v>1</v>
      </c>
      <c r="F648" s="416">
        <f>混凝土单价!M10</f>
        <v>135.51</v>
      </c>
      <c r="G648" s="416">
        <f t="shared" si="18"/>
        <v>135.51</v>
      </c>
    </row>
    <row r="649" ht="15.4" customHeight="1" spans="1:7">
      <c r="A649" s="416"/>
      <c r="B649" s="417" t="s">
        <v>678</v>
      </c>
      <c r="C649" s="418"/>
      <c r="D649" s="416" t="s">
        <v>395</v>
      </c>
      <c r="E649" s="416">
        <v>102</v>
      </c>
      <c r="F649" s="416">
        <f>混凝土单价!M6</f>
        <v>177.12</v>
      </c>
      <c r="G649" s="416">
        <f t="shared" si="18"/>
        <v>18066.24</v>
      </c>
    </row>
    <row r="650" ht="15.4" customHeight="1" spans="1:7">
      <c r="A650" s="416"/>
      <c r="B650" s="417" t="s">
        <v>672</v>
      </c>
      <c r="C650" s="418"/>
      <c r="D650" s="416" t="s">
        <v>395</v>
      </c>
      <c r="E650" s="416">
        <v>240</v>
      </c>
      <c r="F650" s="416">
        <f>主材!D18</f>
        <v>4.37</v>
      </c>
      <c r="G650" s="416">
        <f t="shared" si="18"/>
        <v>1048.8</v>
      </c>
    </row>
    <row r="651" ht="15.4" customHeight="1" spans="1:7">
      <c r="A651" s="416"/>
      <c r="B651" s="417" t="s">
        <v>397</v>
      </c>
      <c r="C651" s="418"/>
      <c r="D651" s="416" t="s">
        <v>293</v>
      </c>
      <c r="E651" s="419">
        <v>0.01</v>
      </c>
      <c r="F651" s="416">
        <f>SUM(G646:G650)</f>
        <v>19987.28</v>
      </c>
      <c r="G651" s="416">
        <f t="shared" si="18"/>
        <v>199.87</v>
      </c>
    </row>
    <row r="652" ht="15.4" customHeight="1" spans="1:7">
      <c r="A652" s="420">
        <v>3</v>
      </c>
      <c r="B652" s="417" t="s">
        <v>464</v>
      </c>
      <c r="C652" s="418"/>
      <c r="D652" s="416"/>
      <c r="E652" s="416"/>
      <c r="F652" s="416"/>
      <c r="G652" s="416">
        <f>SUM(G653:G657)</f>
        <v>1557.06</v>
      </c>
    </row>
    <row r="653" ht="15.4" customHeight="1" spans="1:7">
      <c r="A653" s="416"/>
      <c r="B653" s="417" t="s">
        <v>673</v>
      </c>
      <c r="C653" s="418"/>
      <c r="D653" s="416" t="s">
        <v>316</v>
      </c>
      <c r="E653" s="416">
        <v>18.36</v>
      </c>
      <c r="F653" s="416">
        <f>机械!E48</f>
        <v>17.01</v>
      </c>
      <c r="G653" s="416">
        <f>E653*F653</f>
        <v>312.3</v>
      </c>
    </row>
    <row r="654" ht="15.4" customHeight="1" spans="1:7">
      <c r="A654" s="416"/>
      <c r="B654" s="417" t="s">
        <v>679</v>
      </c>
      <c r="C654" s="418"/>
      <c r="D654" s="416" t="s">
        <v>316</v>
      </c>
      <c r="E654" s="416">
        <v>44</v>
      </c>
      <c r="F654" s="416">
        <f>机械!E51</f>
        <v>22.18</v>
      </c>
      <c r="G654" s="416">
        <f>E654*F654</f>
        <v>975.92</v>
      </c>
    </row>
    <row r="655" ht="15.4" customHeight="1" spans="1:7">
      <c r="A655" s="416"/>
      <c r="B655" s="425" t="s">
        <v>556</v>
      </c>
      <c r="C655" s="426"/>
      <c r="D655" s="416" t="s">
        <v>316</v>
      </c>
      <c r="E655" s="416">
        <v>1.84</v>
      </c>
      <c r="F655" s="416">
        <f>机械!E23</f>
        <v>49.39</v>
      </c>
      <c r="G655" s="416">
        <f>F655*E655</f>
        <v>90.88</v>
      </c>
    </row>
    <row r="656" ht="15.4" customHeight="1" spans="1:7">
      <c r="A656" s="416"/>
      <c r="B656" s="417" t="s">
        <v>472</v>
      </c>
      <c r="C656" s="418"/>
      <c r="D656" s="416" t="s">
        <v>316</v>
      </c>
      <c r="E656" s="416">
        <v>92.8</v>
      </c>
      <c r="F656" s="416">
        <f>机械!E29</f>
        <v>0.82</v>
      </c>
      <c r="G656" s="416">
        <f>E656*F656</f>
        <v>76.1</v>
      </c>
    </row>
    <row r="657" ht="15.4" customHeight="1" spans="1:7">
      <c r="A657" s="416"/>
      <c r="B657" s="421" t="s">
        <v>370</v>
      </c>
      <c r="C657" s="421"/>
      <c r="D657" s="416"/>
      <c r="E657" s="419">
        <v>0.07</v>
      </c>
      <c r="F657" s="416">
        <f>SUM(G653:G656)</f>
        <v>1455.2</v>
      </c>
      <c r="G657" s="416">
        <f>E657*F657</f>
        <v>101.86</v>
      </c>
    </row>
    <row r="658" ht="15.4" customHeight="1" spans="1:7">
      <c r="A658" s="420" t="s">
        <v>133</v>
      </c>
      <c r="B658" s="422" t="s">
        <v>294</v>
      </c>
      <c r="C658" s="423"/>
      <c r="D658" s="416"/>
      <c r="E658" s="360">
        <f>G641</f>
        <v>42544.32</v>
      </c>
      <c r="F658" s="424">
        <f>费率!F4</f>
        <v>0.048</v>
      </c>
      <c r="G658" s="416">
        <f>E658*F658</f>
        <v>2042.13</v>
      </c>
    </row>
    <row r="659" ht="15.4" customHeight="1" spans="1:7">
      <c r="A659" s="47" t="s">
        <v>14</v>
      </c>
      <c r="B659" s="361" t="s">
        <v>295</v>
      </c>
      <c r="C659" s="361"/>
      <c r="D659" s="50"/>
      <c r="E659" s="360">
        <f>G640</f>
        <v>44586.45</v>
      </c>
      <c r="F659" s="366">
        <f>费率!F5</f>
        <v>0.07</v>
      </c>
      <c r="G659" s="362">
        <f>E659*F659</f>
        <v>3121.05</v>
      </c>
    </row>
    <row r="660" ht="15.4" customHeight="1" spans="1:7">
      <c r="A660" s="47" t="s">
        <v>16</v>
      </c>
      <c r="B660" s="361" t="s">
        <v>296</v>
      </c>
      <c r="C660" s="361"/>
      <c r="D660" s="50"/>
      <c r="E660" s="360">
        <f>G640+G659</f>
        <v>47707.5</v>
      </c>
      <c r="F660" s="366">
        <f>费率!F6</f>
        <v>0.07</v>
      </c>
      <c r="G660" s="362">
        <f>E660*F660</f>
        <v>3339.53</v>
      </c>
    </row>
    <row r="661" ht="15.4" customHeight="1" spans="1:7">
      <c r="A661" s="416" t="s">
        <v>18</v>
      </c>
      <c r="B661" s="421" t="s">
        <v>466</v>
      </c>
      <c r="C661" s="421"/>
      <c r="D661" s="416"/>
      <c r="E661" s="416"/>
      <c r="F661" s="416"/>
      <c r="G661" s="416">
        <f>SUM(G662:G665)</f>
        <v>7091.72</v>
      </c>
    </row>
    <row r="662" ht="15.4" customHeight="1" spans="1:7">
      <c r="A662" s="416"/>
      <c r="B662" s="416" t="s">
        <v>405</v>
      </c>
      <c r="C662" s="416"/>
      <c r="D662" s="416" t="s">
        <v>158</v>
      </c>
      <c r="E662" s="427">
        <f>E649*混凝土单价!E6</f>
        <v>31.62</v>
      </c>
      <c r="F662" s="416">
        <f>主材!N6</f>
        <v>135.66</v>
      </c>
      <c r="G662" s="416">
        <f t="shared" ref="G662:G667" si="19">E662*F662</f>
        <v>4289.57</v>
      </c>
    </row>
    <row r="663" ht="15.4" customHeight="1" spans="1:7">
      <c r="A663" s="416"/>
      <c r="B663" s="416" t="s">
        <v>396</v>
      </c>
      <c r="C663" s="416"/>
      <c r="D663" s="416" t="s">
        <v>395</v>
      </c>
      <c r="E663" s="427">
        <f>E649*混凝土单价!G6</f>
        <v>56.1</v>
      </c>
      <c r="F663" s="416">
        <f>主材!N8</f>
        <v>37.93</v>
      </c>
      <c r="G663" s="416">
        <f t="shared" si="19"/>
        <v>2127.87</v>
      </c>
    </row>
    <row r="664" ht="15.4" customHeight="1" spans="1:7">
      <c r="A664" s="416"/>
      <c r="B664" s="416" t="s">
        <v>467</v>
      </c>
      <c r="C664" s="416"/>
      <c r="D664" s="416" t="s">
        <v>395</v>
      </c>
      <c r="E664" s="427">
        <f>E649*混凝土单价!I6</f>
        <v>85.68</v>
      </c>
      <c r="F664" s="416">
        <f>主材!N10</f>
        <v>7.03</v>
      </c>
      <c r="G664" s="416">
        <f t="shared" si="19"/>
        <v>602.33</v>
      </c>
    </row>
    <row r="665" ht="15.4" customHeight="1" spans="1:7">
      <c r="A665" s="428"/>
      <c r="B665" s="416" t="s">
        <v>522</v>
      </c>
      <c r="C665" s="416"/>
      <c r="D665" s="416" t="s">
        <v>670</v>
      </c>
      <c r="E665" s="427">
        <f>E655*机械!K23</f>
        <v>13.25</v>
      </c>
      <c r="F665" s="416">
        <f>主材!D17-3.075</f>
        <v>5.43</v>
      </c>
      <c r="G665" s="416">
        <f t="shared" si="19"/>
        <v>71.95</v>
      </c>
    </row>
    <row r="666" ht="15.4" customHeight="1" spans="1:7">
      <c r="A666" s="47" t="s">
        <v>20</v>
      </c>
      <c r="B666" s="379" t="s">
        <v>297</v>
      </c>
      <c r="C666" s="380"/>
      <c r="D666" s="50"/>
      <c r="E666" s="360">
        <f>G661+G660+G659+G640</f>
        <v>58138.75</v>
      </c>
      <c r="F666" s="366">
        <f>费率!F7</f>
        <v>0.09</v>
      </c>
      <c r="G666" s="362">
        <f t="shared" si="19"/>
        <v>5232.49</v>
      </c>
    </row>
    <row r="667" ht="15.4" customHeight="1" spans="1:7">
      <c r="A667" s="47"/>
      <c r="B667" s="379" t="s">
        <v>675</v>
      </c>
      <c r="C667" s="380"/>
      <c r="D667" s="50"/>
      <c r="E667" s="360">
        <f>G640+G659+G660+G661+G666</f>
        <v>63371.24</v>
      </c>
      <c r="F667" s="366">
        <f>费率!G8</f>
        <v>0.03</v>
      </c>
      <c r="G667" s="362">
        <f t="shared" si="19"/>
        <v>1901.14</v>
      </c>
    </row>
    <row r="668" ht="15.4" customHeight="1" spans="1:7">
      <c r="A668" s="369"/>
      <c r="B668" s="381" t="s">
        <v>560</v>
      </c>
      <c r="C668" s="382"/>
      <c r="D668" s="370"/>
      <c r="E668" s="371"/>
      <c r="F668" s="370"/>
      <c r="G668" s="372">
        <f>G667+E666+G666</f>
        <v>65272.38</v>
      </c>
    </row>
    <row r="669" ht="20.45" customHeight="1" spans="1:6">
      <c r="A669" s="403"/>
      <c r="B669" s="404"/>
      <c r="C669" s="403"/>
      <c r="D669" s="409"/>
      <c r="E669" s="403"/>
      <c r="F669" s="403"/>
    </row>
    <row r="670" ht="19.9" customHeight="1" spans="1:7">
      <c r="A670" s="354" t="s">
        <v>274</v>
      </c>
      <c r="B670" s="354"/>
      <c r="C670" s="354"/>
      <c r="D670" s="354"/>
      <c r="E670" s="354"/>
      <c r="F670" s="354"/>
      <c r="G670" s="354"/>
    </row>
    <row r="671" ht="19.9" customHeight="1" spans="1:7">
      <c r="A671" s="42" t="s">
        <v>275</v>
      </c>
      <c r="B671" s="43"/>
      <c r="C671" s="43" t="s">
        <v>680</v>
      </c>
      <c r="D671" s="43" t="s">
        <v>276</v>
      </c>
      <c r="E671" s="355" t="s">
        <v>681</v>
      </c>
      <c r="F671" s="355"/>
      <c r="G671" s="356"/>
    </row>
    <row r="672" ht="19.9" customHeight="1" spans="1:7">
      <c r="A672" s="47" t="s">
        <v>278</v>
      </c>
      <c r="B672" s="48"/>
      <c r="C672" s="49" t="s">
        <v>682</v>
      </c>
      <c r="D672" s="49"/>
      <c r="E672" s="49"/>
      <c r="F672" s="402" t="s">
        <v>280</v>
      </c>
      <c r="G672" s="406" t="s">
        <v>281</v>
      </c>
    </row>
    <row r="673" ht="19.9" customHeight="1" spans="1:7">
      <c r="A673" s="358" t="s">
        <v>683</v>
      </c>
      <c r="B673" s="49"/>
      <c r="C673" s="49"/>
      <c r="D673" s="49"/>
      <c r="E673" s="49"/>
      <c r="F673" s="49"/>
      <c r="G673" s="359"/>
    </row>
    <row r="674" ht="19.9" customHeight="1" spans="1:7">
      <c r="A674" s="52" t="s">
        <v>684</v>
      </c>
      <c r="B674" s="53"/>
      <c r="C674" s="54"/>
      <c r="D674" s="54"/>
      <c r="E674" s="54"/>
      <c r="F674" s="54"/>
      <c r="G674" s="55"/>
    </row>
    <row r="675" ht="19.9" customHeight="1" spans="1:7">
      <c r="A675" s="47" t="s">
        <v>284</v>
      </c>
      <c r="B675" s="50" t="s">
        <v>233</v>
      </c>
      <c r="C675" s="50"/>
      <c r="D675" s="50" t="s">
        <v>88</v>
      </c>
      <c r="E675" s="360" t="s">
        <v>130</v>
      </c>
      <c r="F675" s="50" t="s">
        <v>285</v>
      </c>
      <c r="G675" s="51" t="s">
        <v>286</v>
      </c>
    </row>
    <row r="676" ht="19.9" customHeight="1" spans="1:7">
      <c r="A676" s="47" t="s">
        <v>9</v>
      </c>
      <c r="B676" s="361" t="s">
        <v>287</v>
      </c>
      <c r="C676" s="361"/>
      <c r="D676" s="50"/>
      <c r="E676" s="360"/>
      <c r="F676" s="360"/>
      <c r="G676" s="362">
        <f>G677+G689</f>
        <v>55762.57</v>
      </c>
    </row>
    <row r="677" ht="19.9" customHeight="1" spans="1:7">
      <c r="A677" s="47" t="s">
        <v>132</v>
      </c>
      <c r="B677" s="361" t="s">
        <v>288</v>
      </c>
      <c r="C677" s="361"/>
      <c r="D677" s="50"/>
      <c r="E677" s="360"/>
      <c r="F677" s="360"/>
      <c r="G677" s="362">
        <f>G678+G681+G685+G688</f>
        <v>53208.56</v>
      </c>
    </row>
    <row r="678" ht="19.9" customHeight="1" spans="1:8">
      <c r="A678" s="47" t="s">
        <v>39</v>
      </c>
      <c r="B678" s="361" t="s">
        <v>247</v>
      </c>
      <c r="C678" s="361"/>
      <c r="D678" s="50"/>
      <c r="E678" s="360"/>
      <c r="F678" s="360"/>
      <c r="G678" s="362">
        <f>SUM(G679:G680)</f>
        <v>8877.82</v>
      </c>
      <c r="H678" s="384"/>
    </row>
    <row r="679" ht="19.9" customHeight="1" spans="1:7">
      <c r="A679" s="47"/>
      <c r="B679" s="361" t="s">
        <v>289</v>
      </c>
      <c r="C679" s="361"/>
      <c r="D679" s="50" t="s">
        <v>290</v>
      </c>
      <c r="E679" s="360">
        <f>855.6-(855.6-818.4)/(0.21-0.14)*(0.17-0.14)</f>
        <v>839.66</v>
      </c>
      <c r="F679" s="360">
        <f>主材!D21</f>
        <v>8.1</v>
      </c>
      <c r="G679" s="362">
        <f>E679*F679</f>
        <v>6801.25</v>
      </c>
    </row>
    <row r="680" ht="19.9" customHeight="1" spans="1:7">
      <c r="A680" s="47"/>
      <c r="B680" s="361" t="s">
        <v>291</v>
      </c>
      <c r="C680" s="361"/>
      <c r="D680" s="50" t="s">
        <v>290</v>
      </c>
      <c r="E680" s="360">
        <f>366.7-(366.7-350.8)/(0.21-0.14)*(0.17-0.14)</f>
        <v>359.89</v>
      </c>
      <c r="F680" s="360">
        <f>主材!D22</f>
        <v>5.77</v>
      </c>
      <c r="G680" s="362">
        <f>E680*F680</f>
        <v>2076.57</v>
      </c>
    </row>
    <row r="681" ht="19.9" customHeight="1" spans="1:7">
      <c r="A681" s="47" t="s">
        <v>41</v>
      </c>
      <c r="B681" s="361" t="s">
        <v>248</v>
      </c>
      <c r="C681" s="361"/>
      <c r="D681" s="50"/>
      <c r="E681" s="360"/>
      <c r="F681" s="360"/>
      <c r="G681" s="362">
        <f>SUM(G682:G684)</f>
        <v>42245.33</v>
      </c>
    </row>
    <row r="682" ht="19.9" customHeight="1" spans="1:7">
      <c r="A682" s="429"/>
      <c r="B682" s="421" t="s">
        <v>685</v>
      </c>
      <c r="C682" s="421"/>
      <c r="D682" s="416" t="s">
        <v>395</v>
      </c>
      <c r="E682" s="360">
        <f>90-(90-84.3)/(0.21-0.14)*(0.17-0.14)</f>
        <v>87.56</v>
      </c>
      <c r="F682" s="416">
        <f>G641/100</f>
        <v>425.44</v>
      </c>
      <c r="G682" s="430">
        <f>E682*F682</f>
        <v>37251.53</v>
      </c>
    </row>
    <row r="683" ht="19.9" customHeight="1" spans="1:8">
      <c r="A683" s="429"/>
      <c r="B683" s="421" t="s">
        <v>686</v>
      </c>
      <c r="C683" s="421"/>
      <c r="D683" s="416" t="s">
        <v>395</v>
      </c>
      <c r="E683" s="360">
        <f>23.7+(29.4-23.7)/(0.21-0.14)*(0.17-0.14)</f>
        <v>26.14</v>
      </c>
      <c r="F683" s="427">
        <f>混凝土单价!M7</f>
        <v>183</v>
      </c>
      <c r="G683" s="430">
        <f>E683*F683</f>
        <v>4783.62</v>
      </c>
      <c r="H683" s="384">
        <f>E682+E683</f>
        <v>113.7</v>
      </c>
    </row>
    <row r="684" ht="19.9" customHeight="1" spans="1:8">
      <c r="A684" s="429"/>
      <c r="B684" s="421" t="s">
        <v>397</v>
      </c>
      <c r="C684" s="421"/>
      <c r="D684" s="416" t="s">
        <v>293</v>
      </c>
      <c r="E684" s="419">
        <v>0.005</v>
      </c>
      <c r="F684" s="416">
        <f>SUM(G682:G683)</f>
        <v>42035.15</v>
      </c>
      <c r="G684" s="430">
        <f>E684*F684</f>
        <v>210.18</v>
      </c>
      <c r="H684" s="128">
        <f>E683/E682</f>
        <v>0.298538145271814</v>
      </c>
    </row>
    <row r="685" ht="19.9" customHeight="1" spans="1:7">
      <c r="A685" s="431">
        <v>3</v>
      </c>
      <c r="B685" s="421" t="s">
        <v>464</v>
      </c>
      <c r="C685" s="421"/>
      <c r="D685" s="416"/>
      <c r="E685" s="416"/>
      <c r="F685" s="416"/>
      <c r="G685" s="430">
        <f>SUM(G686:G687)</f>
        <v>155.59</v>
      </c>
    </row>
    <row r="686" ht="19.9" customHeight="1" spans="1:7">
      <c r="A686" s="429"/>
      <c r="B686" s="421" t="s">
        <v>673</v>
      </c>
      <c r="C686" s="421"/>
      <c r="D686" s="416" t="s">
        <v>316</v>
      </c>
      <c r="E686" s="360">
        <f>2.95+(3.92-2.95)/(0.21-0.14)*(0.17-0.14)</f>
        <v>3.37</v>
      </c>
      <c r="F686" s="416">
        <f>机械!E43</f>
        <v>16.75</v>
      </c>
      <c r="G686" s="430">
        <f>E686*F686</f>
        <v>56.45</v>
      </c>
    </row>
    <row r="687" ht="19.9" customHeight="1" spans="1:7">
      <c r="A687" s="429"/>
      <c r="B687" s="421" t="s">
        <v>472</v>
      </c>
      <c r="C687" s="421"/>
      <c r="D687" s="416" t="s">
        <v>316</v>
      </c>
      <c r="E687" s="360">
        <f>120.33+(121.66-120.33)/(0.21-0.14)*(0.17-0.14)</f>
        <v>120.9</v>
      </c>
      <c r="F687" s="416">
        <f>机械!E29</f>
        <v>0.82</v>
      </c>
      <c r="G687" s="430">
        <f>E687*F687</f>
        <v>99.14</v>
      </c>
    </row>
    <row r="688" ht="19.9" customHeight="1" spans="1:7">
      <c r="A688" s="431">
        <v>4</v>
      </c>
      <c r="B688" s="421" t="s">
        <v>687</v>
      </c>
      <c r="C688" s="421"/>
      <c r="D688" s="416" t="s">
        <v>395</v>
      </c>
      <c r="E688" s="360">
        <f>90-(90-84.3)/(0.21-0.14)*(0.17-0.14)</f>
        <v>87.56</v>
      </c>
      <c r="F688" s="416">
        <f>G328/100</f>
        <v>22.04</v>
      </c>
      <c r="G688" s="430">
        <f t="shared" ref="G688:G691" si="20">E688*F688</f>
        <v>1929.82</v>
      </c>
    </row>
    <row r="689" ht="19.9" customHeight="1" spans="1:7">
      <c r="A689" s="431" t="s">
        <v>133</v>
      </c>
      <c r="B689" s="421" t="s">
        <v>294</v>
      </c>
      <c r="C689" s="421"/>
      <c r="D689" s="416"/>
      <c r="E689" s="360">
        <f>G677</f>
        <v>53208.56</v>
      </c>
      <c r="F689" s="424">
        <f>费率!F4</f>
        <v>0.048</v>
      </c>
      <c r="G689" s="430">
        <f t="shared" si="20"/>
        <v>2554.01</v>
      </c>
    </row>
    <row r="690" ht="19.9" customHeight="1" spans="1:7">
      <c r="A690" s="47" t="s">
        <v>14</v>
      </c>
      <c r="B690" s="361" t="s">
        <v>295</v>
      </c>
      <c r="C690" s="361"/>
      <c r="D690" s="50"/>
      <c r="E690" s="360">
        <f>G676</f>
        <v>55762.57</v>
      </c>
      <c r="F690" s="366">
        <f>费率!F5</f>
        <v>0.07</v>
      </c>
      <c r="G690" s="362">
        <f t="shared" si="20"/>
        <v>3903.38</v>
      </c>
    </row>
    <row r="691" ht="19.9" customHeight="1" spans="1:7">
      <c r="A691" s="47" t="s">
        <v>16</v>
      </c>
      <c r="B691" s="361" t="s">
        <v>296</v>
      </c>
      <c r="C691" s="361"/>
      <c r="D691" s="50"/>
      <c r="E691" s="360">
        <f>G676+G690</f>
        <v>59665.95</v>
      </c>
      <c r="F691" s="366">
        <f>费率!G6</f>
        <v>0.07</v>
      </c>
      <c r="G691" s="362">
        <f t="shared" si="20"/>
        <v>4176.62</v>
      </c>
    </row>
    <row r="692" ht="19.9" customHeight="1" spans="1:7">
      <c r="A692" s="429" t="s">
        <v>18</v>
      </c>
      <c r="B692" s="421" t="s">
        <v>466</v>
      </c>
      <c r="C692" s="421"/>
      <c r="D692" s="416"/>
      <c r="E692" s="416"/>
      <c r="F692" s="416"/>
      <c r="G692" s="430">
        <f>SUM(G693:G697)</f>
        <v>8682.66</v>
      </c>
    </row>
    <row r="693" ht="19.9" customHeight="1" spans="1:7">
      <c r="A693" s="429"/>
      <c r="B693" s="421" t="s">
        <v>405</v>
      </c>
      <c r="C693" s="421"/>
      <c r="D693" s="416" t="s">
        <v>158</v>
      </c>
      <c r="E693" s="427">
        <f>E662/100*E682+E683*混凝土单价!E7</f>
        <v>36.73</v>
      </c>
      <c r="F693" s="416">
        <f>主材!N6</f>
        <v>135.66</v>
      </c>
      <c r="G693" s="430">
        <f t="shared" ref="G693:G699" si="21">E693*F693</f>
        <v>4982.79</v>
      </c>
    </row>
    <row r="694" ht="19.9" customHeight="1" spans="1:9">
      <c r="A694" s="429"/>
      <c r="B694" s="421" t="s">
        <v>396</v>
      </c>
      <c r="C694" s="421"/>
      <c r="D694" s="416" t="s">
        <v>395</v>
      </c>
      <c r="E694" s="427">
        <f>E663/100*E682+E683*混凝土单价!G7</f>
        <v>64.9</v>
      </c>
      <c r="F694" s="416">
        <f>主材!N8</f>
        <v>37.93</v>
      </c>
      <c r="G694" s="430">
        <f t="shared" si="21"/>
        <v>2461.66</v>
      </c>
      <c r="I694" s="128">
        <v>75.16</v>
      </c>
    </row>
    <row r="695" ht="19.9" customHeight="1" spans="1:7">
      <c r="A695" s="429"/>
      <c r="B695" s="421" t="s">
        <v>467</v>
      </c>
      <c r="C695" s="421"/>
      <c r="D695" s="416" t="s">
        <v>395</v>
      </c>
      <c r="E695" s="427">
        <f>E664/100*E682+E683*混凝土单价!I7</f>
        <v>94.3</v>
      </c>
      <c r="F695" s="416">
        <f>主材!N10</f>
        <v>7.03</v>
      </c>
      <c r="G695" s="430">
        <f t="shared" si="21"/>
        <v>662.93</v>
      </c>
    </row>
    <row r="696" ht="19.9" customHeight="1" spans="1:7">
      <c r="A696" s="47"/>
      <c r="B696" s="361" t="s">
        <v>317</v>
      </c>
      <c r="C696" s="361"/>
      <c r="D696" s="50" t="s">
        <v>323</v>
      </c>
      <c r="E696" s="432">
        <f>E339/100*E682</f>
        <v>124.04</v>
      </c>
      <c r="F696" s="367">
        <f>主材!N13</f>
        <v>4.13</v>
      </c>
      <c r="G696" s="362">
        <f t="shared" si="21"/>
        <v>512.29</v>
      </c>
    </row>
    <row r="697" ht="19.9" customHeight="1" spans="1:7">
      <c r="A697" s="47"/>
      <c r="B697" s="361" t="s">
        <v>522</v>
      </c>
      <c r="C697" s="361"/>
      <c r="D697" s="50" t="s">
        <v>323</v>
      </c>
      <c r="E697" s="432">
        <f>E665/100*E682</f>
        <v>11.6</v>
      </c>
      <c r="F697" s="367">
        <f>主材!N14</f>
        <v>5.43</v>
      </c>
      <c r="G697" s="362">
        <f t="shared" si="21"/>
        <v>62.99</v>
      </c>
    </row>
    <row r="698" ht="19.9" customHeight="1" spans="1:7">
      <c r="A698" s="47" t="s">
        <v>20</v>
      </c>
      <c r="B698" s="361" t="s">
        <v>297</v>
      </c>
      <c r="C698" s="361"/>
      <c r="D698" s="50"/>
      <c r="E698" s="360">
        <f>G692+G691+G690+G676</f>
        <v>72525.23</v>
      </c>
      <c r="F698" s="366">
        <f>费率!G7</f>
        <v>0.09</v>
      </c>
      <c r="G698" s="362">
        <f t="shared" si="21"/>
        <v>6527.27</v>
      </c>
    </row>
    <row r="699" ht="19.9" customHeight="1" spans="1:9">
      <c r="A699" s="47"/>
      <c r="B699" s="361" t="s">
        <v>675</v>
      </c>
      <c r="C699" s="361"/>
      <c r="D699" s="50"/>
      <c r="E699" s="360">
        <f>G676+G690+G691+G692+G698</f>
        <v>79052.5</v>
      </c>
      <c r="F699" s="366">
        <f>费率!F8</f>
        <v>0.03</v>
      </c>
      <c r="G699" s="362">
        <f t="shared" si="21"/>
        <v>2371.58</v>
      </c>
      <c r="I699" s="384"/>
    </row>
    <row r="700" ht="19.9" customHeight="1" spans="1:7">
      <c r="A700" s="369"/>
      <c r="B700" s="370" t="s">
        <v>560</v>
      </c>
      <c r="C700" s="370"/>
      <c r="D700" s="370"/>
      <c r="E700" s="371"/>
      <c r="F700" s="370"/>
      <c r="G700" s="433">
        <f>G699+E698+G698</f>
        <v>81424.08</v>
      </c>
    </row>
    <row r="701" ht="139.9" customHeight="1"/>
    <row r="702" ht="24.6" customHeight="1" spans="1:7">
      <c r="A702" s="354" t="s">
        <v>274</v>
      </c>
      <c r="B702" s="354"/>
      <c r="C702" s="354"/>
      <c r="D702" s="354"/>
      <c r="E702" s="354"/>
      <c r="F702" s="354"/>
      <c r="G702" s="354"/>
    </row>
    <row r="703" ht="22.15" customHeight="1" spans="1:7">
      <c r="A703" s="42" t="s">
        <v>275</v>
      </c>
      <c r="B703" s="43"/>
      <c r="C703" s="43" t="s">
        <v>688</v>
      </c>
      <c r="D703" s="43" t="s">
        <v>276</v>
      </c>
      <c r="E703" s="355" t="s">
        <v>689</v>
      </c>
      <c r="F703" s="355"/>
      <c r="G703" s="356"/>
    </row>
    <row r="704" ht="22.15" customHeight="1" spans="1:7">
      <c r="A704" s="47" t="s">
        <v>278</v>
      </c>
      <c r="B704" s="48"/>
      <c r="C704" s="49" t="s">
        <v>690</v>
      </c>
      <c r="D704" s="49"/>
      <c r="E704" s="49"/>
      <c r="F704" s="402" t="s">
        <v>280</v>
      </c>
      <c r="G704" s="406" t="s">
        <v>281</v>
      </c>
    </row>
    <row r="705" ht="22.15" customHeight="1" spans="1:7">
      <c r="A705" s="358" t="s">
        <v>683</v>
      </c>
      <c r="B705" s="49"/>
      <c r="C705" s="49"/>
      <c r="D705" s="49"/>
      <c r="E705" s="49"/>
      <c r="F705" s="49"/>
      <c r="G705" s="359"/>
    </row>
    <row r="706" ht="22.15" customHeight="1" spans="1:7">
      <c r="A706" s="52" t="s">
        <v>684</v>
      </c>
      <c r="B706" s="53"/>
      <c r="C706" s="54"/>
      <c r="D706" s="54"/>
      <c r="E706" s="54"/>
      <c r="F706" s="54"/>
      <c r="G706" s="55"/>
    </row>
    <row r="707" ht="22.15" customHeight="1" spans="1:7">
      <c r="A707" s="47" t="s">
        <v>284</v>
      </c>
      <c r="B707" s="50" t="s">
        <v>233</v>
      </c>
      <c r="C707" s="50"/>
      <c r="D707" s="50" t="s">
        <v>88</v>
      </c>
      <c r="E707" s="360" t="s">
        <v>130</v>
      </c>
      <c r="F707" s="50" t="s">
        <v>285</v>
      </c>
      <c r="G707" s="51" t="s">
        <v>286</v>
      </c>
    </row>
    <row r="708" ht="22.15" customHeight="1" spans="1:7">
      <c r="A708" s="47" t="s">
        <v>9</v>
      </c>
      <c r="B708" s="361" t="s">
        <v>287</v>
      </c>
      <c r="C708" s="361"/>
      <c r="D708" s="50"/>
      <c r="E708" s="360"/>
      <c r="F708" s="360"/>
      <c r="G708" s="362">
        <f>G709+G721</f>
        <v>57296.36</v>
      </c>
    </row>
    <row r="709" ht="22.15" customHeight="1" spans="1:7">
      <c r="A709" s="47" t="s">
        <v>132</v>
      </c>
      <c r="B709" s="361" t="s">
        <v>288</v>
      </c>
      <c r="C709" s="361"/>
      <c r="D709" s="50"/>
      <c r="E709" s="360"/>
      <c r="F709" s="360"/>
      <c r="G709" s="362">
        <f>G710+G713+G717+G720</f>
        <v>54672.1</v>
      </c>
    </row>
    <row r="710" ht="22.15" customHeight="1" spans="1:7">
      <c r="A710" s="47" t="s">
        <v>39</v>
      </c>
      <c r="B710" s="361" t="s">
        <v>247</v>
      </c>
      <c r="C710" s="361"/>
      <c r="D710" s="50"/>
      <c r="E710" s="360"/>
      <c r="F710" s="360"/>
      <c r="G710" s="362">
        <f>SUM(G711:G712)</f>
        <v>9176.43</v>
      </c>
    </row>
    <row r="711" ht="22.15" customHeight="1" spans="1:7">
      <c r="A711" s="47"/>
      <c r="B711" s="361" t="s">
        <v>289</v>
      </c>
      <c r="C711" s="361"/>
      <c r="D711" s="50" t="s">
        <v>290</v>
      </c>
      <c r="E711" s="360">
        <v>867.9</v>
      </c>
      <c r="F711" s="360">
        <f>主材!D21</f>
        <v>8.1</v>
      </c>
      <c r="G711" s="362">
        <f>E711*F711</f>
        <v>7029.99</v>
      </c>
    </row>
    <row r="712" ht="22.15" customHeight="1" spans="1:7">
      <c r="A712" s="47"/>
      <c r="B712" s="361" t="s">
        <v>291</v>
      </c>
      <c r="C712" s="361"/>
      <c r="D712" s="50" t="s">
        <v>290</v>
      </c>
      <c r="E712" s="360">
        <v>372</v>
      </c>
      <c r="F712" s="360">
        <f>主材!D22</f>
        <v>5.77</v>
      </c>
      <c r="G712" s="362">
        <f>E712*F712</f>
        <v>2146.44</v>
      </c>
    </row>
    <row r="713" ht="22.15" customHeight="1" spans="1:7">
      <c r="A713" s="47" t="s">
        <v>41</v>
      </c>
      <c r="B713" s="361" t="s">
        <v>248</v>
      </c>
      <c r="C713" s="361"/>
      <c r="D713" s="50"/>
      <c r="E713" s="360"/>
      <c r="F713" s="360"/>
      <c r="G713" s="362">
        <f>SUM(G714:G716)</f>
        <v>43327.14</v>
      </c>
    </row>
    <row r="714" ht="22.15" customHeight="1" spans="1:7">
      <c r="A714" s="429"/>
      <c r="B714" s="421" t="s">
        <v>685</v>
      </c>
      <c r="C714" s="421"/>
      <c r="D714" s="416" t="s">
        <v>395</v>
      </c>
      <c r="E714" s="360">
        <v>92</v>
      </c>
      <c r="F714" s="416">
        <f>G641/100</f>
        <v>425.44</v>
      </c>
      <c r="G714" s="430">
        <f>E714*F714</f>
        <v>39140.48</v>
      </c>
    </row>
    <row r="715" ht="22.15" customHeight="1" spans="1:8">
      <c r="A715" s="429"/>
      <c r="B715" s="421" t="s">
        <v>686</v>
      </c>
      <c r="C715" s="421"/>
      <c r="D715" s="416" t="s">
        <v>395</v>
      </c>
      <c r="E715" s="360">
        <v>21.7</v>
      </c>
      <c r="F715" s="427">
        <f>混凝土单价!M7</f>
        <v>183</v>
      </c>
      <c r="G715" s="430">
        <f>E715*F715</f>
        <v>3971.1</v>
      </c>
      <c r="H715" s="384">
        <f>E714+E715</f>
        <v>113.7</v>
      </c>
    </row>
    <row r="716" ht="22.15" customHeight="1" spans="1:8">
      <c r="A716" s="429"/>
      <c r="B716" s="421" t="s">
        <v>397</v>
      </c>
      <c r="C716" s="421"/>
      <c r="D716" s="416" t="s">
        <v>293</v>
      </c>
      <c r="E716" s="419">
        <v>0.005</v>
      </c>
      <c r="F716" s="416">
        <f>SUM(G714:G715)</f>
        <v>43111.58</v>
      </c>
      <c r="G716" s="430">
        <f>E716*F716</f>
        <v>215.56</v>
      </c>
      <c r="H716" s="128">
        <f>E715/E714</f>
        <v>0.235869565217391</v>
      </c>
    </row>
    <row r="717" ht="22.15" customHeight="1" spans="1:7">
      <c r="A717" s="431">
        <v>3</v>
      </c>
      <c r="B717" s="421" t="s">
        <v>464</v>
      </c>
      <c r="C717" s="421"/>
      <c r="D717" s="416"/>
      <c r="E717" s="416"/>
      <c r="F717" s="416"/>
      <c r="G717" s="430">
        <f>SUM(G718:G719)</f>
        <v>140.85</v>
      </c>
    </row>
    <row r="718" ht="22.15" customHeight="1" spans="1:7">
      <c r="A718" s="429"/>
      <c r="B718" s="421" t="s">
        <v>673</v>
      </c>
      <c r="C718" s="421"/>
      <c r="D718" s="416" t="s">
        <v>316</v>
      </c>
      <c r="E718" s="360">
        <v>2.56</v>
      </c>
      <c r="F718" s="416">
        <f>机械!E43</f>
        <v>16.75</v>
      </c>
      <c r="G718" s="430">
        <f>E718*F718</f>
        <v>42.88</v>
      </c>
    </row>
    <row r="719" ht="22.15" customHeight="1" spans="1:7">
      <c r="A719" s="429"/>
      <c r="B719" s="421" t="s">
        <v>472</v>
      </c>
      <c r="C719" s="421"/>
      <c r="D719" s="416" t="s">
        <v>316</v>
      </c>
      <c r="E719" s="360">
        <v>119.47</v>
      </c>
      <c r="F719" s="416">
        <f>机械!E29</f>
        <v>0.82</v>
      </c>
      <c r="G719" s="430">
        <f>E719*F719</f>
        <v>97.97</v>
      </c>
    </row>
    <row r="720" ht="22.15" customHeight="1" spans="1:7">
      <c r="A720" s="431">
        <v>4</v>
      </c>
      <c r="B720" s="421" t="s">
        <v>687</v>
      </c>
      <c r="C720" s="421"/>
      <c r="D720" s="416" t="s">
        <v>395</v>
      </c>
      <c r="E720" s="360">
        <v>92</v>
      </c>
      <c r="F720" s="416">
        <f>G328/100</f>
        <v>22.04</v>
      </c>
      <c r="G720" s="430">
        <f>F720*E720</f>
        <v>2027.68</v>
      </c>
    </row>
    <row r="721" ht="22.15" customHeight="1" spans="1:7">
      <c r="A721" s="431" t="s">
        <v>133</v>
      </c>
      <c r="B721" s="421" t="s">
        <v>294</v>
      </c>
      <c r="C721" s="421"/>
      <c r="D721" s="416"/>
      <c r="E721" s="360">
        <f>G709</f>
        <v>54672.1</v>
      </c>
      <c r="F721" s="424">
        <f>费率!F4</f>
        <v>0.048</v>
      </c>
      <c r="G721" s="430">
        <f>E721*F721</f>
        <v>2624.26</v>
      </c>
    </row>
    <row r="722" ht="22.15" customHeight="1" spans="1:7">
      <c r="A722" s="47" t="s">
        <v>14</v>
      </c>
      <c r="B722" s="361" t="s">
        <v>295</v>
      </c>
      <c r="C722" s="361"/>
      <c r="D722" s="50"/>
      <c r="E722" s="360">
        <f>G708</f>
        <v>57296.36</v>
      </c>
      <c r="F722" s="424">
        <f>费率!F5</f>
        <v>0.07</v>
      </c>
      <c r="G722" s="362">
        <f>E722*F722</f>
        <v>4010.75</v>
      </c>
    </row>
    <row r="723" ht="22.15" customHeight="1" spans="1:7">
      <c r="A723" s="47" t="s">
        <v>16</v>
      </c>
      <c r="B723" s="361" t="s">
        <v>296</v>
      </c>
      <c r="C723" s="361"/>
      <c r="D723" s="50"/>
      <c r="E723" s="360">
        <f>G708+G722</f>
        <v>61307.11</v>
      </c>
      <c r="F723" s="424">
        <f>费率!F6</f>
        <v>0.07</v>
      </c>
      <c r="G723" s="362">
        <f>E723*F723</f>
        <v>4291.5</v>
      </c>
    </row>
    <row r="724" ht="22.15" customHeight="1" spans="1:7">
      <c r="A724" s="429" t="s">
        <v>18</v>
      </c>
      <c r="B724" s="421" t="s">
        <v>466</v>
      </c>
      <c r="C724" s="421"/>
      <c r="D724" s="416"/>
      <c r="E724" s="416"/>
      <c r="F724" s="416"/>
      <c r="G724" s="430">
        <f>SUM(G725:G729)</f>
        <v>8690.71</v>
      </c>
    </row>
    <row r="725" ht="22.15" customHeight="1" spans="1:7">
      <c r="A725" s="429"/>
      <c r="B725" s="416" t="s">
        <v>405</v>
      </c>
      <c r="C725" s="416"/>
      <c r="D725" s="416" t="s">
        <v>158</v>
      </c>
      <c r="E725" s="427">
        <f>E662/100*E714+E715*混凝土单价!E7</f>
        <v>36.6</v>
      </c>
      <c r="F725" s="416">
        <f>主材!N6</f>
        <v>135.66</v>
      </c>
      <c r="G725" s="430">
        <f t="shared" ref="G725:G731" si="22">E725*F725</f>
        <v>4965.16</v>
      </c>
    </row>
    <row r="726" ht="22.15" customHeight="1" spans="1:7">
      <c r="A726" s="429"/>
      <c r="B726" s="416" t="s">
        <v>396</v>
      </c>
      <c r="C726" s="416"/>
      <c r="D726" s="416" t="s">
        <v>395</v>
      </c>
      <c r="E726" s="427">
        <f>E663/100*E714+E715*混凝土单价!G7</f>
        <v>64.71</v>
      </c>
      <c r="F726" s="416">
        <f>主材!N8</f>
        <v>37.93</v>
      </c>
      <c r="G726" s="430">
        <f t="shared" si="22"/>
        <v>2454.45</v>
      </c>
    </row>
    <row r="727" ht="22.15" customHeight="1" spans="1:7">
      <c r="A727" s="429"/>
      <c r="B727" s="416" t="s">
        <v>467</v>
      </c>
      <c r="C727" s="416"/>
      <c r="D727" s="416" t="s">
        <v>395</v>
      </c>
      <c r="E727" s="427">
        <f>E664/100*E714+E715*混凝土单价!I7</f>
        <v>94.83</v>
      </c>
      <c r="F727" s="416">
        <f>主材!N10</f>
        <v>7.03</v>
      </c>
      <c r="G727" s="430">
        <f t="shared" si="22"/>
        <v>666.65</v>
      </c>
    </row>
    <row r="728" ht="22.15" customHeight="1" spans="1:7">
      <c r="A728" s="429"/>
      <c r="B728" s="50" t="s">
        <v>317</v>
      </c>
      <c r="C728" s="50"/>
      <c r="D728" s="50" t="s">
        <v>323</v>
      </c>
      <c r="E728" s="432">
        <f>E339/100*E714</f>
        <v>130.33</v>
      </c>
      <c r="F728" s="367">
        <f>主材!N13</f>
        <v>4.13</v>
      </c>
      <c r="G728" s="362">
        <f t="shared" si="22"/>
        <v>538.26</v>
      </c>
    </row>
    <row r="729" ht="22.15" customHeight="1" spans="1:7">
      <c r="A729" s="429"/>
      <c r="B729" s="50" t="s">
        <v>522</v>
      </c>
      <c r="C729" s="50"/>
      <c r="D729" s="50" t="s">
        <v>323</v>
      </c>
      <c r="E729" s="432">
        <f>E665/100*E714</f>
        <v>12.19</v>
      </c>
      <c r="F729" s="367">
        <f>主材!N14</f>
        <v>5.43</v>
      </c>
      <c r="G729" s="362">
        <f t="shared" si="22"/>
        <v>66.19</v>
      </c>
    </row>
    <row r="730" ht="22.15" customHeight="1" spans="1:7">
      <c r="A730" s="47" t="s">
        <v>20</v>
      </c>
      <c r="B730" s="361" t="s">
        <v>297</v>
      </c>
      <c r="C730" s="361"/>
      <c r="D730" s="50"/>
      <c r="E730" s="360">
        <f>G724+G723+G722+G708</f>
        <v>74289.32</v>
      </c>
      <c r="F730" s="366">
        <f>费率!F7</f>
        <v>0.09</v>
      </c>
      <c r="G730" s="362">
        <f t="shared" si="22"/>
        <v>6686.04</v>
      </c>
    </row>
    <row r="731" ht="22.15" customHeight="1" spans="1:7">
      <c r="A731" s="47"/>
      <c r="B731" s="361" t="s">
        <v>675</v>
      </c>
      <c r="C731" s="361"/>
      <c r="D731" s="50"/>
      <c r="E731" s="360">
        <f>G708+G722+G723+G724+G730</f>
        <v>80975.36</v>
      </c>
      <c r="F731" s="366">
        <f>费率!F8</f>
        <v>0.03</v>
      </c>
      <c r="G731" s="362">
        <f t="shared" si="22"/>
        <v>2429.26</v>
      </c>
    </row>
    <row r="732" ht="22.15" customHeight="1" spans="1:7">
      <c r="A732" s="369"/>
      <c r="B732" s="370" t="s">
        <v>560</v>
      </c>
      <c r="C732" s="370"/>
      <c r="D732" s="370"/>
      <c r="E732" s="371"/>
      <c r="F732" s="370"/>
      <c r="G732" s="433">
        <f>G731+E730+G730</f>
        <v>83404.62</v>
      </c>
    </row>
    <row r="733" ht="81" customHeight="1"/>
    <row r="734" ht="19.9" customHeight="1" spans="1:7">
      <c r="A734" s="405" t="s">
        <v>274</v>
      </c>
      <c r="B734" s="405"/>
      <c r="C734" s="405"/>
      <c r="D734" s="405"/>
      <c r="E734" s="405"/>
      <c r="F734" s="405"/>
      <c r="G734" s="405"/>
    </row>
    <row r="735" ht="19.15" customHeight="1" spans="1:7">
      <c r="A735" s="42" t="s">
        <v>275</v>
      </c>
      <c r="B735" s="43"/>
      <c r="C735" s="43" t="s">
        <v>691</v>
      </c>
      <c r="D735" s="43" t="s">
        <v>276</v>
      </c>
      <c r="E735" s="355" t="s">
        <v>692</v>
      </c>
      <c r="F735" s="355"/>
      <c r="G735" s="356"/>
    </row>
    <row r="736" ht="19.15" customHeight="1" spans="1:7">
      <c r="A736" s="47" t="s">
        <v>278</v>
      </c>
      <c r="B736" s="48"/>
      <c r="C736" s="49" t="s">
        <v>693</v>
      </c>
      <c r="D736" s="49"/>
      <c r="E736" s="49"/>
      <c r="F736" s="402" t="s">
        <v>280</v>
      </c>
      <c r="G736" s="406" t="s">
        <v>281</v>
      </c>
    </row>
    <row r="737" ht="19.15" customHeight="1" spans="1:7">
      <c r="A737" s="358" t="s">
        <v>694</v>
      </c>
      <c r="B737" s="49"/>
      <c r="C737" s="49"/>
      <c r="D737" s="49"/>
      <c r="E737" s="49"/>
      <c r="F737" s="49"/>
      <c r="G737" s="359"/>
    </row>
    <row r="738" ht="19.15" customHeight="1" spans="1:7">
      <c r="A738" s="52" t="s">
        <v>695</v>
      </c>
      <c r="B738" s="53"/>
      <c r="C738" s="54"/>
      <c r="D738" s="54"/>
      <c r="E738" s="54"/>
      <c r="F738" s="54"/>
      <c r="G738" s="55"/>
    </row>
    <row r="739" ht="19.15" customHeight="1" spans="1:7">
      <c r="A739" s="47" t="s">
        <v>284</v>
      </c>
      <c r="B739" s="50" t="s">
        <v>233</v>
      </c>
      <c r="C739" s="50"/>
      <c r="D739" s="50" t="s">
        <v>88</v>
      </c>
      <c r="E739" s="360" t="s">
        <v>130</v>
      </c>
      <c r="F739" s="50" t="s">
        <v>285</v>
      </c>
      <c r="G739" s="51" t="s">
        <v>286</v>
      </c>
    </row>
    <row r="740" ht="19.15" customHeight="1" spans="1:7">
      <c r="A740" s="47" t="s">
        <v>9</v>
      </c>
      <c r="B740" s="379" t="s">
        <v>287</v>
      </c>
      <c r="C740" s="380"/>
      <c r="D740" s="50"/>
      <c r="E740" s="360"/>
      <c r="F740" s="360"/>
      <c r="G740" s="362">
        <f>G741+G760</f>
        <v>50115</v>
      </c>
    </row>
    <row r="741" ht="19.15" customHeight="1" spans="1:7">
      <c r="A741" s="47" t="s">
        <v>132</v>
      </c>
      <c r="B741" s="379" t="s">
        <v>288</v>
      </c>
      <c r="C741" s="380"/>
      <c r="D741" s="50"/>
      <c r="E741" s="360"/>
      <c r="F741" s="360"/>
      <c r="G741" s="362">
        <f>G742+G745+G751+G757</f>
        <v>47819.66</v>
      </c>
    </row>
    <row r="742" ht="19.15" customHeight="1" spans="1:7">
      <c r="A742" s="47" t="s">
        <v>39</v>
      </c>
      <c r="B742" s="379" t="s">
        <v>247</v>
      </c>
      <c r="C742" s="380"/>
      <c r="D742" s="50"/>
      <c r="E742" s="360"/>
      <c r="F742" s="360"/>
      <c r="G742" s="362">
        <f>SUM(G743:G744)</f>
        <v>18601.99</v>
      </c>
    </row>
    <row r="743" ht="19.15" customHeight="1" spans="1:7">
      <c r="A743" s="47"/>
      <c r="B743" s="379" t="s">
        <v>289</v>
      </c>
      <c r="C743" s="380"/>
      <c r="D743" s="50" t="s">
        <v>290</v>
      </c>
      <c r="E743" s="360">
        <v>696.4</v>
      </c>
      <c r="F743" s="360">
        <f>主材!D21</f>
        <v>8.1</v>
      </c>
      <c r="G743" s="362">
        <f>E743*F743</f>
        <v>5640.84</v>
      </c>
    </row>
    <row r="744" ht="19.15" customHeight="1" spans="1:7">
      <c r="A744" s="47"/>
      <c r="B744" s="379" t="s">
        <v>291</v>
      </c>
      <c r="C744" s="380"/>
      <c r="D744" s="50" t="s">
        <v>290</v>
      </c>
      <c r="E744" s="360">
        <v>2246.3</v>
      </c>
      <c r="F744" s="360">
        <f>主材!D22</f>
        <v>5.77</v>
      </c>
      <c r="G744" s="362">
        <f>E744*F744</f>
        <v>12961.15</v>
      </c>
    </row>
    <row r="745" ht="19.15" customHeight="1" spans="1:7">
      <c r="A745" s="47" t="s">
        <v>41</v>
      </c>
      <c r="B745" s="379" t="s">
        <v>248</v>
      </c>
      <c r="C745" s="380"/>
      <c r="D745" s="50"/>
      <c r="E745" s="360"/>
      <c r="F745" s="360"/>
      <c r="G745" s="362">
        <f>SUM(G746:G750)</f>
        <v>25960.14</v>
      </c>
    </row>
    <row r="746" ht="19.15" customHeight="1" spans="1:7">
      <c r="A746" s="416"/>
      <c r="B746" s="417" t="s">
        <v>696</v>
      </c>
      <c r="C746" s="418"/>
      <c r="D746" s="416" t="s">
        <v>395</v>
      </c>
      <c r="E746" s="360">
        <v>2.76</v>
      </c>
      <c r="F746" s="416">
        <f>主材!D8</f>
        <v>2143.4</v>
      </c>
      <c r="G746" s="416">
        <f>E746*F746</f>
        <v>5915.78</v>
      </c>
    </row>
    <row r="747" ht="19.15" customHeight="1" spans="1:7">
      <c r="A747" s="416"/>
      <c r="B747" s="417" t="s">
        <v>697</v>
      </c>
      <c r="C747" s="418"/>
      <c r="D747" s="416" t="s">
        <v>323</v>
      </c>
      <c r="E747" s="360">
        <v>10</v>
      </c>
      <c r="F747" s="416">
        <v>4.5</v>
      </c>
      <c r="G747" s="416">
        <f>E747*F747</f>
        <v>45</v>
      </c>
    </row>
    <row r="748" ht="19.15" customHeight="1" spans="1:7">
      <c r="A748" s="416"/>
      <c r="B748" s="425" t="s">
        <v>698</v>
      </c>
      <c r="C748" s="426"/>
      <c r="D748" s="416" t="s">
        <v>395</v>
      </c>
      <c r="E748" s="360">
        <v>102</v>
      </c>
      <c r="F748" s="416">
        <f>混凝土单价!M8</f>
        <v>183.37</v>
      </c>
      <c r="G748" s="416">
        <f>E748*F748</f>
        <v>18703.74</v>
      </c>
    </row>
    <row r="749" ht="19.15" customHeight="1" spans="1:7">
      <c r="A749" s="416"/>
      <c r="B749" s="425" t="s">
        <v>672</v>
      </c>
      <c r="C749" s="426"/>
      <c r="D749" s="416" t="s">
        <v>395</v>
      </c>
      <c r="E749" s="360">
        <v>180</v>
      </c>
      <c r="F749" s="416">
        <f>主材!D18</f>
        <v>4.37</v>
      </c>
      <c r="G749" s="416">
        <f>E749*F749</f>
        <v>786.6</v>
      </c>
    </row>
    <row r="750" ht="19.15" customHeight="1" spans="1:7">
      <c r="A750" s="416"/>
      <c r="B750" s="417" t="s">
        <v>397</v>
      </c>
      <c r="C750" s="418"/>
      <c r="D750" s="416" t="s">
        <v>293</v>
      </c>
      <c r="E750" s="419">
        <v>0.02</v>
      </c>
      <c r="F750" s="416">
        <f>SUM(G746:G749)</f>
        <v>25451.12</v>
      </c>
      <c r="G750" s="416">
        <f>E750*F750</f>
        <v>509.02</v>
      </c>
    </row>
    <row r="751" ht="19.15" customHeight="1" spans="1:7">
      <c r="A751" s="420">
        <v>3</v>
      </c>
      <c r="B751" s="417" t="s">
        <v>464</v>
      </c>
      <c r="C751" s="418"/>
      <c r="D751" s="416"/>
      <c r="E751" s="416"/>
      <c r="F751" s="416"/>
      <c r="G751" s="416">
        <f>SUM(G752:G756)</f>
        <v>2467.03</v>
      </c>
    </row>
    <row r="752" ht="19.15" customHeight="1" spans="1:7">
      <c r="A752" s="420"/>
      <c r="B752" s="425" t="s">
        <v>621</v>
      </c>
      <c r="C752" s="426"/>
      <c r="D752" s="416" t="s">
        <v>316</v>
      </c>
      <c r="E752" s="416">
        <v>17.7</v>
      </c>
      <c r="F752" s="416">
        <f>机械!E31</f>
        <v>95.14</v>
      </c>
      <c r="G752" s="416">
        <f>F752*E752</f>
        <v>1683.98</v>
      </c>
    </row>
    <row r="753" ht="19.15" customHeight="1" spans="1:7">
      <c r="A753" s="416"/>
      <c r="B753" s="417" t="s">
        <v>673</v>
      </c>
      <c r="C753" s="418"/>
      <c r="D753" s="416" t="s">
        <v>316</v>
      </c>
      <c r="E753" s="360">
        <v>18.36</v>
      </c>
      <c r="F753" s="416">
        <f>机械!E43</f>
        <v>16.75</v>
      </c>
      <c r="G753" s="416">
        <f>F753*E753</f>
        <v>307.53</v>
      </c>
    </row>
    <row r="754" ht="19.15" customHeight="1" spans="1:7">
      <c r="A754" s="416"/>
      <c r="B754" s="425" t="s">
        <v>699</v>
      </c>
      <c r="C754" s="426"/>
      <c r="D754" s="416" t="s">
        <v>316</v>
      </c>
      <c r="E754" s="360">
        <v>44</v>
      </c>
      <c r="F754" s="416">
        <f>机械!E17</f>
        <v>1.81</v>
      </c>
      <c r="G754" s="416">
        <f>F754*E754</f>
        <v>79.64</v>
      </c>
    </row>
    <row r="755" ht="19.15" customHeight="1" spans="1:7">
      <c r="A755" s="416"/>
      <c r="B755" s="417" t="s">
        <v>700</v>
      </c>
      <c r="C755" s="418"/>
      <c r="D755" s="416" t="s">
        <v>316</v>
      </c>
      <c r="E755" s="360">
        <v>1.5</v>
      </c>
      <c r="F755" s="416">
        <f>机械!E23</f>
        <v>49.39</v>
      </c>
      <c r="G755" s="416">
        <f>F755*E755</f>
        <v>74.09</v>
      </c>
    </row>
    <row r="756" ht="19.15" customHeight="1" spans="1:7">
      <c r="A756" s="416"/>
      <c r="B756" s="425" t="s">
        <v>370</v>
      </c>
      <c r="C756" s="426"/>
      <c r="D756" s="416" t="s">
        <v>293</v>
      </c>
      <c r="E756" s="434">
        <v>0.15</v>
      </c>
      <c r="F756" s="416">
        <f>SUM(G752:G755)</f>
        <v>2145.24</v>
      </c>
      <c r="G756" s="416">
        <f>F756*E756</f>
        <v>321.79</v>
      </c>
    </row>
    <row r="757" ht="19.15" customHeight="1" spans="1:7">
      <c r="A757" s="420">
        <v>4</v>
      </c>
      <c r="B757" s="421" t="s">
        <v>250</v>
      </c>
      <c r="C757" s="421"/>
      <c r="D757" s="128"/>
      <c r="E757" s="360"/>
      <c r="F757" s="416"/>
      <c r="G757" s="416">
        <f>G758+G759</f>
        <v>790.5</v>
      </c>
    </row>
    <row r="758" ht="19.15" customHeight="1" spans="1:7">
      <c r="A758" s="420"/>
      <c r="B758" s="425" t="s">
        <v>558</v>
      </c>
      <c r="C758" s="426"/>
      <c r="D758" s="416" t="s">
        <v>395</v>
      </c>
      <c r="E758" s="360">
        <v>102</v>
      </c>
      <c r="F758" s="416">
        <f>G562/100</f>
        <v>5.04</v>
      </c>
      <c r="G758" s="416">
        <f>F758*E758</f>
        <v>514.08</v>
      </c>
    </row>
    <row r="759" ht="19.15" customHeight="1" spans="1:7">
      <c r="A759" s="420"/>
      <c r="B759" s="425" t="s">
        <v>559</v>
      </c>
      <c r="C759" s="426"/>
      <c r="D759" s="416" t="s">
        <v>395</v>
      </c>
      <c r="E759" s="360">
        <v>102</v>
      </c>
      <c r="F759" s="416">
        <f>G577/100</f>
        <v>2.71</v>
      </c>
      <c r="G759" s="416">
        <f>F759*E759</f>
        <v>276.42</v>
      </c>
    </row>
    <row r="760" ht="19.15" customHeight="1" spans="1:7">
      <c r="A760" s="420" t="s">
        <v>133</v>
      </c>
      <c r="B760" s="422" t="s">
        <v>294</v>
      </c>
      <c r="C760" s="423"/>
      <c r="D760" s="416"/>
      <c r="E760" s="360">
        <f>G741</f>
        <v>47819.66</v>
      </c>
      <c r="F760" s="435">
        <f>费率!F4</f>
        <v>0.048</v>
      </c>
      <c r="G760" s="416">
        <f>E760*F760</f>
        <v>2295.34</v>
      </c>
    </row>
    <row r="761" ht="19.15" customHeight="1" spans="1:7">
      <c r="A761" s="47" t="s">
        <v>14</v>
      </c>
      <c r="B761" s="361" t="s">
        <v>295</v>
      </c>
      <c r="C761" s="361"/>
      <c r="D761" s="50"/>
      <c r="E761" s="360">
        <f>G740</f>
        <v>50115</v>
      </c>
      <c r="F761" s="435">
        <f>费率!F5</f>
        <v>0.07</v>
      </c>
      <c r="G761" s="362">
        <f>E761*F761</f>
        <v>3508.05</v>
      </c>
    </row>
    <row r="762" ht="19.15" customHeight="1" spans="1:7">
      <c r="A762" s="47" t="s">
        <v>16</v>
      </c>
      <c r="B762" s="361" t="s">
        <v>296</v>
      </c>
      <c r="C762" s="361"/>
      <c r="D762" s="50"/>
      <c r="E762" s="360">
        <f>G740+G761</f>
        <v>53623.05</v>
      </c>
      <c r="F762" s="435">
        <f>费率!F6</f>
        <v>0.07</v>
      </c>
      <c r="G762" s="362">
        <f>E762*F762</f>
        <v>3753.61</v>
      </c>
    </row>
    <row r="763" ht="19.15" customHeight="1" spans="1:7">
      <c r="A763" s="416" t="s">
        <v>18</v>
      </c>
      <c r="B763" s="421" t="s">
        <v>466</v>
      </c>
      <c r="C763" s="421"/>
      <c r="D763" s="416"/>
      <c r="E763" s="416"/>
      <c r="F763" s="416"/>
      <c r="G763" s="416">
        <f>SUM(G764:G767)</f>
        <v>7416.16</v>
      </c>
    </row>
    <row r="764" ht="19.15" customHeight="1" spans="1:7">
      <c r="A764" s="416"/>
      <c r="B764" s="421" t="s">
        <v>405</v>
      </c>
      <c r="C764" s="421"/>
      <c r="D764" s="416" t="s">
        <v>158</v>
      </c>
      <c r="E764" s="416">
        <f>E748*混凝土单价!E8</f>
        <v>34.68</v>
      </c>
      <c r="F764" s="416">
        <f>主材!N6</f>
        <v>135.66</v>
      </c>
      <c r="G764" s="416">
        <f t="shared" ref="G764:G769" si="23">E764*F764</f>
        <v>4704.69</v>
      </c>
    </row>
    <row r="765" ht="19.15" customHeight="1" spans="1:7">
      <c r="A765" s="416"/>
      <c r="B765" s="421" t="s">
        <v>396</v>
      </c>
      <c r="C765" s="421"/>
      <c r="D765" s="416" t="s">
        <v>395</v>
      </c>
      <c r="E765" s="416">
        <f>E748*混凝土单价!G8</f>
        <v>54.06</v>
      </c>
      <c r="F765" s="416">
        <f>主材!N8</f>
        <v>37.93</v>
      </c>
      <c r="G765" s="416">
        <f t="shared" si="23"/>
        <v>2050.5</v>
      </c>
    </row>
    <row r="766" ht="19.15" customHeight="1" spans="1:7">
      <c r="A766" s="416"/>
      <c r="B766" s="421" t="s">
        <v>467</v>
      </c>
      <c r="C766" s="421"/>
      <c r="D766" s="416" t="s">
        <v>395</v>
      </c>
      <c r="E766" s="416">
        <f>E748*混凝土单价!I8</f>
        <v>85.68</v>
      </c>
      <c r="F766" s="416">
        <f>主材!N10</f>
        <v>7.03</v>
      </c>
      <c r="G766" s="416">
        <f t="shared" si="23"/>
        <v>602.33</v>
      </c>
    </row>
    <row r="767" ht="19.15" customHeight="1" spans="1:7">
      <c r="A767" s="428"/>
      <c r="B767" s="379" t="s">
        <v>522</v>
      </c>
      <c r="C767" s="380"/>
      <c r="D767" s="50" t="s">
        <v>323</v>
      </c>
      <c r="E767" s="360">
        <f>E755*机械!K23</f>
        <v>10.8</v>
      </c>
      <c r="F767" s="367">
        <f>主材!N14</f>
        <v>5.43</v>
      </c>
      <c r="G767" s="416">
        <f t="shared" si="23"/>
        <v>58.64</v>
      </c>
    </row>
    <row r="768" ht="19.15" customHeight="1" spans="1:7">
      <c r="A768" s="47" t="s">
        <v>20</v>
      </c>
      <c r="B768" s="379" t="s">
        <v>297</v>
      </c>
      <c r="C768" s="380"/>
      <c r="D768" s="50"/>
      <c r="E768" s="360">
        <f>G763+G762+G761+G740</f>
        <v>64792.82</v>
      </c>
      <c r="F768" s="366">
        <f>费率!G7</f>
        <v>0.09</v>
      </c>
      <c r="G768" s="362">
        <f t="shared" si="23"/>
        <v>5831.35</v>
      </c>
    </row>
    <row r="769" ht="19.15" customHeight="1" spans="1:7">
      <c r="A769" s="47"/>
      <c r="B769" s="379" t="s">
        <v>675</v>
      </c>
      <c r="C769" s="380"/>
      <c r="D769" s="50"/>
      <c r="E769" s="360">
        <f>G740+G761+G762+G763+G768</f>
        <v>70624.17</v>
      </c>
      <c r="F769" s="366">
        <f>费率!G8</f>
        <v>0.03</v>
      </c>
      <c r="G769" s="362">
        <f t="shared" si="23"/>
        <v>2118.73</v>
      </c>
    </row>
    <row r="770" ht="19.15" customHeight="1" spans="1:7">
      <c r="A770" s="369"/>
      <c r="B770" s="381" t="s">
        <v>560</v>
      </c>
      <c r="C770" s="382"/>
      <c r="D770" s="370"/>
      <c r="E770" s="371"/>
      <c r="F770" s="370"/>
      <c r="G770" s="372">
        <f>G769+E768+G768</f>
        <v>72742.9</v>
      </c>
    </row>
    <row r="771" ht="32.45" customHeight="1"/>
    <row r="772" ht="19.9" customHeight="1" spans="1:7">
      <c r="A772" s="354" t="s">
        <v>274</v>
      </c>
      <c r="B772" s="354"/>
      <c r="C772" s="354"/>
      <c r="D772" s="354"/>
      <c r="E772" s="354"/>
      <c r="F772" s="354"/>
      <c r="G772" s="354"/>
    </row>
    <row r="773" ht="17.65" customHeight="1" spans="1:7">
      <c r="A773" s="42" t="s">
        <v>275</v>
      </c>
      <c r="B773" s="43"/>
      <c r="C773" s="43" t="s">
        <v>701</v>
      </c>
      <c r="D773" s="43" t="s">
        <v>276</v>
      </c>
      <c r="E773" s="355" t="s">
        <v>702</v>
      </c>
      <c r="F773" s="355"/>
      <c r="G773" s="356"/>
    </row>
    <row r="774" ht="17.65" customHeight="1" spans="1:7">
      <c r="A774" s="47" t="s">
        <v>278</v>
      </c>
      <c r="B774" s="48"/>
      <c r="C774" s="49" t="s">
        <v>703</v>
      </c>
      <c r="D774" s="49"/>
      <c r="E774" s="49"/>
      <c r="F774" s="402" t="s">
        <v>280</v>
      </c>
      <c r="G774" s="406" t="s">
        <v>281</v>
      </c>
    </row>
    <row r="775" ht="17.65" customHeight="1" spans="1:7">
      <c r="A775" s="358" t="s">
        <v>704</v>
      </c>
      <c r="B775" s="49"/>
      <c r="C775" s="49"/>
      <c r="D775" s="49"/>
      <c r="E775" s="49"/>
      <c r="F775" s="49"/>
      <c r="G775" s="359"/>
    </row>
    <row r="776" ht="17.65" customHeight="1" spans="1:7">
      <c r="A776" s="52" t="s">
        <v>705</v>
      </c>
      <c r="B776" s="53"/>
      <c r="C776" s="54"/>
      <c r="D776" s="54"/>
      <c r="E776" s="54"/>
      <c r="F776" s="54"/>
      <c r="G776" s="55"/>
    </row>
    <row r="777" ht="17.65" customHeight="1" spans="1:7">
      <c r="A777" s="47" t="s">
        <v>284</v>
      </c>
      <c r="B777" s="50" t="s">
        <v>233</v>
      </c>
      <c r="C777" s="50"/>
      <c r="D777" s="50" t="s">
        <v>88</v>
      </c>
      <c r="E777" s="360" t="s">
        <v>130</v>
      </c>
      <c r="F777" s="50" t="s">
        <v>285</v>
      </c>
      <c r="G777" s="51" t="s">
        <v>286</v>
      </c>
    </row>
    <row r="778" ht="17.65" customHeight="1" spans="1:7">
      <c r="A778" s="47" t="s">
        <v>9</v>
      </c>
      <c r="B778" s="361" t="s">
        <v>287</v>
      </c>
      <c r="C778" s="361"/>
      <c r="D778" s="50"/>
      <c r="E778" s="360"/>
      <c r="F778" s="360"/>
      <c r="G778" s="362">
        <f>G779+G801</f>
        <v>63840.72</v>
      </c>
    </row>
    <row r="779" ht="17.65" customHeight="1" spans="1:7">
      <c r="A779" s="47" t="s">
        <v>132</v>
      </c>
      <c r="B779" s="361" t="s">
        <v>288</v>
      </c>
      <c r="C779" s="361"/>
      <c r="D779" s="50"/>
      <c r="E779" s="360"/>
      <c r="F779" s="360"/>
      <c r="G779" s="362">
        <f>G780+G783+G792+G798</f>
        <v>60916.72</v>
      </c>
    </row>
    <row r="780" ht="17.65" customHeight="1" spans="1:7">
      <c r="A780" s="47" t="s">
        <v>39</v>
      </c>
      <c r="B780" s="361" t="s">
        <v>247</v>
      </c>
      <c r="C780" s="361"/>
      <c r="D780" s="50"/>
      <c r="E780" s="360"/>
      <c r="F780" s="360"/>
      <c r="G780" s="362">
        <f>SUM(G781:G782)</f>
        <v>2595.24</v>
      </c>
    </row>
    <row r="781" ht="17.65" customHeight="1" spans="1:7">
      <c r="A781" s="47"/>
      <c r="B781" s="361" t="s">
        <v>289</v>
      </c>
      <c r="C781" s="361"/>
      <c r="D781" s="50" t="s">
        <v>290</v>
      </c>
      <c r="E781" s="360">
        <v>320.4</v>
      </c>
      <c r="F781" s="360">
        <f>主材!D21</f>
        <v>8.1</v>
      </c>
      <c r="G781" s="362">
        <f>E781*F781</f>
        <v>2595.24</v>
      </c>
    </row>
    <row r="782" ht="17.65" customHeight="1" spans="1:7">
      <c r="A782" s="47"/>
      <c r="B782" s="361" t="s">
        <v>291</v>
      </c>
      <c r="C782" s="361"/>
      <c r="D782" s="50" t="s">
        <v>290</v>
      </c>
      <c r="E782" s="360">
        <v>0</v>
      </c>
      <c r="F782" s="360">
        <f>主材!D22</f>
        <v>5.77</v>
      </c>
      <c r="G782" s="362">
        <f>E782*F782</f>
        <v>0</v>
      </c>
    </row>
    <row r="783" ht="17.65" customHeight="1" spans="1:7">
      <c r="A783" s="47" t="s">
        <v>41</v>
      </c>
      <c r="B783" s="361" t="s">
        <v>248</v>
      </c>
      <c r="C783" s="361"/>
      <c r="D783" s="50"/>
      <c r="E783" s="360"/>
      <c r="F783" s="360"/>
      <c r="G783" s="362">
        <f>SUM(G784:G791)</f>
        <v>52829.78</v>
      </c>
    </row>
    <row r="784" ht="17.65" customHeight="1" spans="1:7">
      <c r="A784" s="429"/>
      <c r="B784" s="421" t="s">
        <v>706</v>
      </c>
      <c r="C784" s="421"/>
      <c r="D784" s="416" t="s">
        <v>395</v>
      </c>
      <c r="E784" s="360">
        <v>0.63</v>
      </c>
      <c r="F784" s="416">
        <f>主材!M7</f>
        <v>2143.4</v>
      </c>
      <c r="G784" s="430">
        <f t="shared" ref="G784:G791" si="24">E784*F784</f>
        <v>1350.34</v>
      </c>
    </row>
    <row r="785" ht="17.65" customHeight="1" spans="1:7">
      <c r="A785" s="429"/>
      <c r="B785" s="421" t="s">
        <v>707</v>
      </c>
      <c r="C785" s="421"/>
      <c r="D785" s="416" t="s">
        <v>395</v>
      </c>
      <c r="E785" s="360">
        <v>0.62</v>
      </c>
      <c r="F785" s="416">
        <f>F784</f>
        <v>2143.4</v>
      </c>
      <c r="G785" s="430">
        <f t="shared" si="24"/>
        <v>1328.91</v>
      </c>
    </row>
    <row r="786" ht="17.65" customHeight="1" spans="1:7">
      <c r="A786" s="429"/>
      <c r="B786" s="421" t="s">
        <v>708</v>
      </c>
      <c r="C786" s="421"/>
      <c r="D786" s="416" t="s">
        <v>323</v>
      </c>
      <c r="E786" s="360">
        <v>71</v>
      </c>
      <c r="F786" s="416">
        <v>5</v>
      </c>
      <c r="G786" s="430">
        <f t="shared" si="24"/>
        <v>355</v>
      </c>
    </row>
    <row r="787" ht="17.65" customHeight="1" spans="1:7">
      <c r="A787" s="429"/>
      <c r="B787" s="421" t="s">
        <v>552</v>
      </c>
      <c r="C787" s="421"/>
      <c r="D787" s="416" t="s">
        <v>323</v>
      </c>
      <c r="E787" s="360">
        <v>27</v>
      </c>
      <c r="F787" s="416">
        <v>6.15</v>
      </c>
      <c r="G787" s="430">
        <f t="shared" si="24"/>
        <v>166.05</v>
      </c>
    </row>
    <row r="788" ht="17.65" customHeight="1" spans="1:7">
      <c r="A788" s="429"/>
      <c r="B788" s="421" t="s">
        <v>709</v>
      </c>
      <c r="C788" s="421"/>
      <c r="D788" s="416" t="s">
        <v>395</v>
      </c>
      <c r="E788" s="360">
        <v>100</v>
      </c>
      <c r="F788" s="416">
        <f>G741/100</f>
        <v>478.2</v>
      </c>
      <c r="G788" s="430">
        <f t="shared" si="24"/>
        <v>47820</v>
      </c>
    </row>
    <row r="789" ht="17.65" customHeight="1" spans="1:7">
      <c r="A789" s="429"/>
      <c r="B789" s="421" t="s">
        <v>698</v>
      </c>
      <c r="C789" s="421"/>
      <c r="D789" s="416" t="s">
        <v>395</v>
      </c>
      <c r="E789" s="360">
        <v>7.4</v>
      </c>
      <c r="F789" s="416">
        <f>混凝土单价!M8</f>
        <v>183.37</v>
      </c>
      <c r="G789" s="430">
        <f t="shared" si="24"/>
        <v>1356.94</v>
      </c>
    </row>
    <row r="790" ht="17.65" customHeight="1" spans="1:7">
      <c r="A790" s="429"/>
      <c r="B790" s="421" t="s">
        <v>408</v>
      </c>
      <c r="C790" s="421"/>
      <c r="D790" s="416" t="s">
        <v>395</v>
      </c>
      <c r="E790" s="360">
        <v>1.4</v>
      </c>
      <c r="F790" s="416">
        <f>混凝土单价!M10</f>
        <v>135.51</v>
      </c>
      <c r="G790" s="430">
        <f t="shared" si="24"/>
        <v>189.71</v>
      </c>
    </row>
    <row r="791" ht="17.65" customHeight="1" spans="1:7">
      <c r="A791" s="429"/>
      <c r="B791" s="421" t="s">
        <v>397</v>
      </c>
      <c r="C791" s="421"/>
      <c r="D791" s="416" t="s">
        <v>293</v>
      </c>
      <c r="E791" s="419">
        <v>0.005</v>
      </c>
      <c r="F791" s="416">
        <f>SUM(G784:G790)</f>
        <v>52566.95</v>
      </c>
      <c r="G791" s="430">
        <f t="shared" si="24"/>
        <v>262.83</v>
      </c>
    </row>
    <row r="792" ht="17.65" customHeight="1" spans="1:7">
      <c r="A792" s="431">
        <v>3</v>
      </c>
      <c r="B792" s="421" t="s">
        <v>464</v>
      </c>
      <c r="C792" s="421"/>
      <c r="D792" s="416"/>
      <c r="E792" s="416"/>
      <c r="F792" s="416"/>
      <c r="G792" s="430">
        <f>SUM(G793:G797)</f>
        <v>2024.4</v>
      </c>
    </row>
    <row r="793" ht="17.65" customHeight="1" spans="1:7">
      <c r="A793" s="429"/>
      <c r="B793" s="421" t="s">
        <v>673</v>
      </c>
      <c r="C793" s="421"/>
      <c r="D793" s="416" t="s">
        <v>316</v>
      </c>
      <c r="E793" s="360">
        <v>1.37</v>
      </c>
      <c r="F793" s="416">
        <f>机械!E43</f>
        <v>16.75</v>
      </c>
      <c r="G793" s="430">
        <f>F793*E793</f>
        <v>22.95</v>
      </c>
    </row>
    <row r="794" ht="17.65" customHeight="1" spans="1:7">
      <c r="A794" s="429"/>
      <c r="B794" s="421" t="s">
        <v>472</v>
      </c>
      <c r="C794" s="421"/>
      <c r="D794" s="416" t="s">
        <v>316</v>
      </c>
      <c r="E794" s="360">
        <v>6.88</v>
      </c>
      <c r="F794" s="416">
        <f>机械!E29</f>
        <v>0.82</v>
      </c>
      <c r="G794" s="430">
        <f>F794*E794</f>
        <v>5.64</v>
      </c>
    </row>
    <row r="795" ht="17.65" customHeight="1" spans="1:7">
      <c r="A795" s="429"/>
      <c r="B795" s="421" t="s">
        <v>710</v>
      </c>
      <c r="C795" s="421"/>
      <c r="D795" s="416" t="s">
        <v>316</v>
      </c>
      <c r="E795" s="360">
        <v>17.5</v>
      </c>
      <c r="F795" s="416">
        <f>机械!E35</f>
        <v>92.88</v>
      </c>
      <c r="G795" s="430">
        <f>F795*E795</f>
        <v>1625.4</v>
      </c>
    </row>
    <row r="796" ht="17.65" customHeight="1" spans="1:7">
      <c r="A796" s="429"/>
      <c r="B796" s="421" t="s">
        <v>711</v>
      </c>
      <c r="C796" s="421"/>
      <c r="D796" s="416" t="s">
        <v>316</v>
      </c>
      <c r="E796" s="360">
        <v>43.47</v>
      </c>
      <c r="F796" s="416">
        <f>机械!E47</f>
        <v>8.06</v>
      </c>
      <c r="G796" s="430">
        <f>F796*E796</f>
        <v>350.37</v>
      </c>
    </row>
    <row r="797" ht="17.65" customHeight="1" spans="1:7">
      <c r="A797" s="429"/>
      <c r="B797" s="421" t="s">
        <v>370</v>
      </c>
      <c r="C797" s="421"/>
      <c r="D797" s="416" t="s">
        <v>293</v>
      </c>
      <c r="E797" s="434">
        <v>0.01</v>
      </c>
      <c r="F797" s="416">
        <f>SUM(G793:G796)</f>
        <v>2004.36</v>
      </c>
      <c r="G797" s="430">
        <f>F797*E797</f>
        <v>20.04</v>
      </c>
    </row>
    <row r="798" ht="17.65" customHeight="1" spans="1:7">
      <c r="A798" s="431">
        <v>4</v>
      </c>
      <c r="B798" s="421" t="s">
        <v>250</v>
      </c>
      <c r="C798" s="421"/>
      <c r="D798" s="436"/>
      <c r="E798" s="360"/>
      <c r="F798" s="416"/>
      <c r="G798" s="430">
        <f>G799+G800</f>
        <v>3467.3</v>
      </c>
    </row>
    <row r="799" ht="17.65" customHeight="1" spans="1:7">
      <c r="A799" s="431"/>
      <c r="B799" s="421" t="s">
        <v>594</v>
      </c>
      <c r="C799" s="421"/>
      <c r="D799" s="416" t="s">
        <v>395</v>
      </c>
      <c r="E799" s="360">
        <v>100</v>
      </c>
      <c r="F799" s="416">
        <f>G351/100</f>
        <v>34.3</v>
      </c>
      <c r="G799" s="430">
        <f>F799*E799</f>
        <v>3430</v>
      </c>
    </row>
    <row r="800" ht="17.65" customHeight="1" spans="1:7">
      <c r="A800" s="431"/>
      <c r="B800" s="421" t="s">
        <v>558</v>
      </c>
      <c r="C800" s="421"/>
      <c r="D800" s="416" t="s">
        <v>395</v>
      </c>
      <c r="E800" s="360">
        <v>7.4</v>
      </c>
      <c r="F800" s="416">
        <f>G562/100</f>
        <v>5.04</v>
      </c>
      <c r="G800" s="430">
        <f>F800*E800</f>
        <v>37.3</v>
      </c>
    </row>
    <row r="801" ht="17.65" customHeight="1" spans="1:7">
      <c r="A801" s="431" t="s">
        <v>133</v>
      </c>
      <c r="B801" s="421" t="s">
        <v>294</v>
      </c>
      <c r="C801" s="421"/>
      <c r="D801" s="416"/>
      <c r="E801" s="360">
        <f>G779</f>
        <v>60916.72</v>
      </c>
      <c r="F801" s="424">
        <f>费率!F4</f>
        <v>0.048</v>
      </c>
      <c r="G801" s="430">
        <f>E801*F801</f>
        <v>2924</v>
      </c>
    </row>
    <row r="802" ht="17.65" customHeight="1" spans="1:7">
      <c r="A802" s="47" t="s">
        <v>14</v>
      </c>
      <c r="B802" s="361" t="s">
        <v>295</v>
      </c>
      <c r="C802" s="361"/>
      <c r="D802" s="50"/>
      <c r="E802" s="360">
        <f>G778</f>
        <v>63840.72</v>
      </c>
      <c r="F802" s="424">
        <f>费率!F5</f>
        <v>0.07</v>
      </c>
      <c r="G802" s="362">
        <f>E802*F802</f>
        <v>4468.85</v>
      </c>
    </row>
    <row r="803" ht="17.65" customHeight="1" spans="1:7">
      <c r="A803" s="47" t="s">
        <v>16</v>
      </c>
      <c r="B803" s="361" t="s">
        <v>296</v>
      </c>
      <c r="C803" s="361"/>
      <c r="D803" s="50"/>
      <c r="E803" s="360">
        <f>G778+G802</f>
        <v>68309.57</v>
      </c>
      <c r="F803" s="424">
        <f>费率!F6</f>
        <v>0.07</v>
      </c>
      <c r="G803" s="362">
        <f>E803*F803</f>
        <v>4781.67</v>
      </c>
    </row>
    <row r="804" ht="17.65" customHeight="1" spans="1:7">
      <c r="A804" s="429" t="s">
        <v>18</v>
      </c>
      <c r="B804" s="421" t="s">
        <v>466</v>
      </c>
      <c r="C804" s="421"/>
      <c r="D804" s="416"/>
      <c r="E804" s="416"/>
      <c r="F804" s="416"/>
      <c r="G804" s="430">
        <f>SUM(G805:G809)</f>
        <v>12053.41</v>
      </c>
    </row>
    <row r="805" ht="17.65" customHeight="1" spans="1:7">
      <c r="A805" s="429"/>
      <c r="B805" s="421" t="s">
        <v>405</v>
      </c>
      <c r="C805" s="421"/>
      <c r="D805" s="416" t="s">
        <v>158</v>
      </c>
      <c r="E805" s="416">
        <f>(E788+E789)*混凝土单价!E8+E790*混凝土单价!E11</f>
        <v>36.88</v>
      </c>
      <c r="F805" s="416">
        <f>主材!N6</f>
        <v>135.66</v>
      </c>
      <c r="G805" s="430">
        <f t="shared" ref="G805:G811" si="25">E805*F805</f>
        <v>5003.14</v>
      </c>
    </row>
    <row r="806" ht="17.65" customHeight="1" spans="1:7">
      <c r="A806" s="429"/>
      <c r="B806" s="421" t="s">
        <v>396</v>
      </c>
      <c r="C806" s="421"/>
      <c r="D806" s="416" t="s">
        <v>395</v>
      </c>
      <c r="E806" s="416">
        <v>114.92</v>
      </c>
      <c r="F806" s="416">
        <f>主材!N8</f>
        <v>37.93</v>
      </c>
      <c r="G806" s="430">
        <f t="shared" si="25"/>
        <v>4358.92</v>
      </c>
    </row>
    <row r="807" ht="17.65" customHeight="1" spans="1:7">
      <c r="A807" s="429"/>
      <c r="B807" s="421" t="s">
        <v>467</v>
      </c>
      <c r="C807" s="421"/>
      <c r="D807" s="416" t="s">
        <v>395</v>
      </c>
      <c r="E807" s="416">
        <v>107.4</v>
      </c>
      <c r="F807" s="416">
        <f>主材!N10</f>
        <v>7.03</v>
      </c>
      <c r="G807" s="430">
        <f t="shared" si="25"/>
        <v>755.02</v>
      </c>
    </row>
    <row r="808" ht="17.65" customHeight="1" spans="1:7">
      <c r="A808" s="429"/>
      <c r="B808" s="361" t="s">
        <v>522</v>
      </c>
      <c r="C808" s="361"/>
      <c r="D808" s="50" t="s">
        <v>323</v>
      </c>
      <c r="E808" s="360">
        <v>87.1</v>
      </c>
      <c r="F808" s="367">
        <f>主材!N14</f>
        <v>5.43</v>
      </c>
      <c r="G808" s="430">
        <f t="shared" si="25"/>
        <v>472.95</v>
      </c>
    </row>
    <row r="809" ht="17.65" customHeight="1" spans="1:7">
      <c r="A809" s="429"/>
      <c r="B809" s="361" t="s">
        <v>317</v>
      </c>
      <c r="C809" s="361"/>
      <c r="D809" s="50" t="s">
        <v>323</v>
      </c>
      <c r="E809" s="360">
        <v>354.33</v>
      </c>
      <c r="F809" s="367">
        <f>主材!N13</f>
        <v>4.13</v>
      </c>
      <c r="G809" s="430">
        <f t="shared" si="25"/>
        <v>1463.38</v>
      </c>
    </row>
    <row r="810" ht="17.65" customHeight="1" spans="1:7">
      <c r="A810" s="47" t="s">
        <v>20</v>
      </c>
      <c r="B810" s="361" t="s">
        <v>297</v>
      </c>
      <c r="C810" s="361"/>
      <c r="D810" s="50"/>
      <c r="E810" s="360">
        <f>G804+G803+G802+G778</f>
        <v>85144.65</v>
      </c>
      <c r="F810" s="366">
        <f>费率!F7</f>
        <v>0.09</v>
      </c>
      <c r="G810" s="362">
        <f t="shared" si="25"/>
        <v>7663.02</v>
      </c>
    </row>
    <row r="811" ht="17.65" customHeight="1" spans="1:7">
      <c r="A811" s="47"/>
      <c r="B811" s="361" t="s">
        <v>675</v>
      </c>
      <c r="C811" s="361"/>
      <c r="D811" s="50"/>
      <c r="E811" s="360">
        <f>G778+G802+G803+G804+G810</f>
        <v>92807.67</v>
      </c>
      <c r="F811" s="366">
        <f>费率!F8</f>
        <v>0.03</v>
      </c>
      <c r="G811" s="362">
        <f t="shared" si="25"/>
        <v>2784.23</v>
      </c>
    </row>
    <row r="812" ht="17.65" customHeight="1" spans="1:7">
      <c r="A812" s="369"/>
      <c r="B812" s="370" t="s">
        <v>560</v>
      </c>
      <c r="C812" s="370"/>
      <c r="D812" s="370"/>
      <c r="E812" s="371"/>
      <c r="F812" s="370"/>
      <c r="G812" s="372">
        <f>G811+E810+G810</f>
        <v>95591.9</v>
      </c>
    </row>
    <row r="813" ht="42" customHeight="1"/>
    <row r="814" ht="23.45" customHeight="1" spans="1:7">
      <c r="A814" s="405" t="s">
        <v>274</v>
      </c>
      <c r="B814" s="405"/>
      <c r="C814" s="405"/>
      <c r="D814" s="405"/>
      <c r="E814" s="405"/>
      <c r="F814" s="405"/>
      <c r="G814" s="405"/>
    </row>
    <row r="815" ht="18.4" customHeight="1" spans="1:7">
      <c r="A815" s="42" t="s">
        <v>275</v>
      </c>
      <c r="B815" s="43"/>
      <c r="C815" s="43" t="s">
        <v>712</v>
      </c>
      <c r="D815" s="43" t="s">
        <v>276</v>
      </c>
      <c r="E815" s="355" t="s">
        <v>713</v>
      </c>
      <c r="F815" s="355"/>
      <c r="G815" s="356"/>
    </row>
    <row r="816" ht="18.4" customHeight="1" spans="1:7">
      <c r="A816" s="47" t="s">
        <v>278</v>
      </c>
      <c r="B816" s="48"/>
      <c r="C816" s="49" t="s">
        <v>714</v>
      </c>
      <c r="D816" s="49"/>
      <c r="E816" s="49"/>
      <c r="F816" s="402" t="s">
        <v>280</v>
      </c>
      <c r="G816" s="406" t="s">
        <v>281</v>
      </c>
    </row>
    <row r="817" ht="18.4" customHeight="1" spans="1:7">
      <c r="A817" s="358"/>
      <c r="B817" s="49"/>
      <c r="C817" s="49"/>
      <c r="D817" s="49"/>
      <c r="E817" s="49"/>
      <c r="F817" s="49"/>
      <c r="G817" s="359"/>
    </row>
    <row r="818" ht="18.4" customHeight="1" spans="1:7">
      <c r="A818" s="52" t="s">
        <v>715</v>
      </c>
      <c r="B818" s="53"/>
      <c r="C818" s="54"/>
      <c r="D818" s="54"/>
      <c r="E818" s="54"/>
      <c r="F818" s="54"/>
      <c r="G818" s="55"/>
    </row>
    <row r="819" ht="18.4" customHeight="1" spans="1:7">
      <c r="A819" s="47" t="s">
        <v>284</v>
      </c>
      <c r="B819" s="50" t="s">
        <v>233</v>
      </c>
      <c r="C819" s="50"/>
      <c r="D819" s="50" t="s">
        <v>88</v>
      </c>
      <c r="E819" s="360" t="s">
        <v>130</v>
      </c>
      <c r="F819" s="50" t="s">
        <v>285</v>
      </c>
      <c r="G819" s="51" t="s">
        <v>286</v>
      </c>
    </row>
    <row r="820" ht="18.4" customHeight="1" spans="1:7">
      <c r="A820" s="47" t="s">
        <v>9</v>
      </c>
      <c r="B820" s="379" t="s">
        <v>287</v>
      </c>
      <c r="C820" s="380"/>
      <c r="D820" s="50"/>
      <c r="E820" s="360"/>
      <c r="F820" s="360"/>
      <c r="G820" s="362">
        <f>G821+G843</f>
        <v>117456.23</v>
      </c>
    </row>
    <row r="821" ht="18.4" customHeight="1" spans="1:7">
      <c r="A821" s="47" t="s">
        <v>132</v>
      </c>
      <c r="B821" s="379" t="s">
        <v>288</v>
      </c>
      <c r="C821" s="380"/>
      <c r="D821" s="50"/>
      <c r="E821" s="360"/>
      <c r="F821" s="360"/>
      <c r="G821" s="362">
        <f>G822+G825+G836</f>
        <v>112076.56</v>
      </c>
    </row>
    <row r="822" ht="18.4" customHeight="1" spans="1:7">
      <c r="A822" s="47" t="s">
        <v>39</v>
      </c>
      <c r="B822" s="379" t="s">
        <v>247</v>
      </c>
      <c r="C822" s="380"/>
      <c r="D822" s="50"/>
      <c r="E822" s="360"/>
      <c r="F822" s="360"/>
      <c r="G822" s="362">
        <f>SUM(G823:G824)</f>
        <v>68069.21</v>
      </c>
    </row>
    <row r="823" ht="18.4" customHeight="1" spans="1:7">
      <c r="A823" s="47"/>
      <c r="B823" s="379" t="s">
        <v>289</v>
      </c>
      <c r="C823" s="380"/>
      <c r="D823" s="50" t="s">
        <v>290</v>
      </c>
      <c r="E823" s="360">
        <v>6344.5</v>
      </c>
      <c r="F823" s="360">
        <f>主材!D21</f>
        <v>8.1</v>
      </c>
      <c r="G823" s="362">
        <f>E823*F823</f>
        <v>51390.45</v>
      </c>
    </row>
    <row r="824" ht="18.4" customHeight="1" spans="1:7">
      <c r="A824" s="47"/>
      <c r="B824" s="379" t="s">
        <v>291</v>
      </c>
      <c r="C824" s="380"/>
      <c r="D824" s="50" t="s">
        <v>290</v>
      </c>
      <c r="E824" s="360">
        <v>2890.6</v>
      </c>
      <c r="F824" s="360">
        <f>主材!D22</f>
        <v>5.77</v>
      </c>
      <c r="G824" s="362">
        <f>E824*F824</f>
        <v>16678.76</v>
      </c>
    </row>
    <row r="825" ht="18.4" customHeight="1" spans="1:7">
      <c r="A825" s="47" t="s">
        <v>41</v>
      </c>
      <c r="B825" s="379" t="s">
        <v>248</v>
      </c>
      <c r="C825" s="380"/>
      <c r="D825" s="50"/>
      <c r="E825" s="360"/>
      <c r="F825" s="360"/>
      <c r="G825" s="362">
        <f>SUM(G826:G835)</f>
        <v>43044.83</v>
      </c>
    </row>
    <row r="826" ht="18.4" customHeight="1" spans="1:7">
      <c r="A826" s="416"/>
      <c r="B826" s="417" t="s">
        <v>696</v>
      </c>
      <c r="C826" s="418"/>
      <c r="D826" s="416" t="s">
        <v>395</v>
      </c>
      <c r="E826" s="360">
        <v>1.63</v>
      </c>
      <c r="F826" s="416">
        <f>主材!D8</f>
        <v>2143.4</v>
      </c>
      <c r="G826" s="416">
        <f t="shared" ref="G826:G835" si="26">E826*F826</f>
        <v>3493.74</v>
      </c>
    </row>
    <row r="827" ht="18.4" customHeight="1" spans="1:7">
      <c r="A827" s="416"/>
      <c r="B827" s="417" t="s">
        <v>716</v>
      </c>
      <c r="C827" s="418"/>
      <c r="D827" s="416" t="s">
        <v>323</v>
      </c>
      <c r="E827" s="360">
        <v>633.6</v>
      </c>
      <c r="F827" s="416">
        <v>5</v>
      </c>
      <c r="G827" s="416">
        <f t="shared" si="26"/>
        <v>3168</v>
      </c>
    </row>
    <row r="828" ht="18.4" customHeight="1" spans="1:7">
      <c r="A828" s="416"/>
      <c r="B828" s="425" t="s">
        <v>717</v>
      </c>
      <c r="C828" s="426"/>
      <c r="D828" s="416" t="s">
        <v>323</v>
      </c>
      <c r="E828" s="360">
        <v>1378</v>
      </c>
      <c r="F828" s="416">
        <v>5.5</v>
      </c>
      <c r="G828" s="416">
        <f t="shared" si="26"/>
        <v>7579</v>
      </c>
    </row>
    <row r="829" ht="18.4" customHeight="1" spans="1:7">
      <c r="A829" s="416"/>
      <c r="B829" s="425" t="s">
        <v>718</v>
      </c>
      <c r="C829" s="426"/>
      <c r="D829" s="416" t="s">
        <v>323</v>
      </c>
      <c r="E829" s="360">
        <v>256</v>
      </c>
      <c r="F829" s="416">
        <v>5.5</v>
      </c>
      <c r="G829" s="416">
        <f t="shared" si="26"/>
        <v>1408</v>
      </c>
    </row>
    <row r="830" ht="18.4" customHeight="1" spans="1:7">
      <c r="A830" s="416"/>
      <c r="B830" s="425" t="s">
        <v>719</v>
      </c>
      <c r="C830" s="426"/>
      <c r="D830" s="416" t="s">
        <v>323</v>
      </c>
      <c r="E830" s="360">
        <v>400</v>
      </c>
      <c r="F830" s="416">
        <v>6</v>
      </c>
      <c r="G830" s="416">
        <f t="shared" si="26"/>
        <v>2400</v>
      </c>
    </row>
    <row r="831" ht="18.4" customHeight="1" spans="1:7">
      <c r="A831" s="416"/>
      <c r="B831" s="425" t="s">
        <v>551</v>
      </c>
      <c r="C831" s="426"/>
      <c r="D831" s="416" t="s">
        <v>323</v>
      </c>
      <c r="E831" s="360">
        <v>652</v>
      </c>
      <c r="F831" s="416">
        <v>6.5</v>
      </c>
      <c r="G831" s="416">
        <f t="shared" si="26"/>
        <v>4238</v>
      </c>
    </row>
    <row r="832" ht="18.4" customHeight="1" spans="1:7">
      <c r="A832" s="416"/>
      <c r="B832" s="425" t="s">
        <v>552</v>
      </c>
      <c r="C832" s="426"/>
      <c r="D832" s="416" t="s">
        <v>323</v>
      </c>
      <c r="E832" s="360">
        <v>2.28</v>
      </c>
      <c r="F832" s="416">
        <v>6.15</v>
      </c>
      <c r="G832" s="416">
        <f t="shared" si="26"/>
        <v>14.02</v>
      </c>
    </row>
    <row r="833" ht="18.4" customHeight="1" spans="1:7">
      <c r="A833" s="416"/>
      <c r="B833" s="425" t="s">
        <v>698</v>
      </c>
      <c r="C833" s="426"/>
      <c r="D833" s="416" t="s">
        <v>395</v>
      </c>
      <c r="E833" s="360">
        <v>102</v>
      </c>
      <c r="F833" s="416">
        <f>混凝土单价!M8</f>
        <v>183.37</v>
      </c>
      <c r="G833" s="416">
        <f t="shared" si="26"/>
        <v>18703.74</v>
      </c>
    </row>
    <row r="834" ht="18.4" customHeight="1" spans="1:7">
      <c r="A834" s="416"/>
      <c r="B834" s="425" t="s">
        <v>672</v>
      </c>
      <c r="C834" s="426"/>
      <c r="D834" s="416" t="s">
        <v>395</v>
      </c>
      <c r="E834" s="360">
        <v>180</v>
      </c>
      <c r="F834" s="416">
        <f>主材!D18</f>
        <v>4.37</v>
      </c>
      <c r="G834" s="416">
        <f t="shared" si="26"/>
        <v>786.6</v>
      </c>
    </row>
    <row r="835" ht="18.4" customHeight="1" spans="1:7">
      <c r="A835" s="416"/>
      <c r="B835" s="417" t="s">
        <v>397</v>
      </c>
      <c r="C835" s="418"/>
      <c r="D835" s="416" t="s">
        <v>293</v>
      </c>
      <c r="E835" s="419">
        <v>0.03</v>
      </c>
      <c r="F835" s="416">
        <f>SUM(G826:G834)</f>
        <v>41791.1</v>
      </c>
      <c r="G835" s="416">
        <f t="shared" si="26"/>
        <v>1253.73</v>
      </c>
    </row>
    <row r="836" ht="18.4" customHeight="1" spans="1:7">
      <c r="A836" s="420">
        <v>3</v>
      </c>
      <c r="B836" s="417" t="s">
        <v>464</v>
      </c>
      <c r="C836" s="418"/>
      <c r="D836" s="416"/>
      <c r="E836" s="416"/>
      <c r="F836" s="416"/>
      <c r="G836" s="416">
        <f>SUM(G837:G842)</f>
        <v>962.52</v>
      </c>
    </row>
    <row r="837" ht="18.4" customHeight="1" spans="1:7">
      <c r="A837" s="420"/>
      <c r="B837" s="425" t="s">
        <v>556</v>
      </c>
      <c r="C837" s="426"/>
      <c r="D837" s="416" t="s">
        <v>316</v>
      </c>
      <c r="E837" s="416">
        <v>7.01</v>
      </c>
      <c r="F837" s="416">
        <f>机械!E23</f>
        <v>49.39</v>
      </c>
      <c r="G837" s="416">
        <f t="shared" ref="G837:G842" si="27">F837*E837</f>
        <v>346.22</v>
      </c>
    </row>
    <row r="838" ht="18.4" customHeight="1" spans="1:7">
      <c r="A838" s="420"/>
      <c r="B838" s="425" t="s">
        <v>711</v>
      </c>
      <c r="C838" s="426"/>
      <c r="D838" s="416" t="s">
        <v>316</v>
      </c>
      <c r="E838" s="416">
        <v>3.41</v>
      </c>
      <c r="F838" s="416">
        <f>机械!E47</f>
        <v>8.06</v>
      </c>
      <c r="G838" s="416">
        <f t="shared" si="27"/>
        <v>27.48</v>
      </c>
    </row>
    <row r="839" ht="18.4" customHeight="1" spans="1:7">
      <c r="A839" s="416"/>
      <c r="B839" s="417" t="s">
        <v>673</v>
      </c>
      <c r="C839" s="418"/>
      <c r="D839" s="416" t="s">
        <v>316</v>
      </c>
      <c r="E839" s="360">
        <v>18.36</v>
      </c>
      <c r="F839" s="416">
        <f>机械!E43</f>
        <v>16.75</v>
      </c>
      <c r="G839" s="416">
        <f t="shared" si="27"/>
        <v>307.53</v>
      </c>
    </row>
    <row r="840" ht="18.4" customHeight="1" spans="1:7">
      <c r="A840" s="416"/>
      <c r="B840" s="425" t="s">
        <v>699</v>
      </c>
      <c r="C840" s="426"/>
      <c r="D840" s="416" t="s">
        <v>316</v>
      </c>
      <c r="E840" s="360">
        <v>44</v>
      </c>
      <c r="F840" s="416">
        <f>机械!E17</f>
        <v>1.81</v>
      </c>
      <c r="G840" s="416">
        <f t="shared" si="27"/>
        <v>79.64</v>
      </c>
    </row>
    <row r="841" ht="18.4" customHeight="1" spans="1:7">
      <c r="A841" s="416"/>
      <c r="B841" s="417" t="s">
        <v>472</v>
      </c>
      <c r="C841" s="418"/>
      <c r="D841" s="416" t="s">
        <v>316</v>
      </c>
      <c r="E841" s="360">
        <v>92.8</v>
      </c>
      <c r="F841" s="416">
        <f>机械!E29</f>
        <v>0.82</v>
      </c>
      <c r="G841" s="416">
        <f t="shared" si="27"/>
        <v>76.1</v>
      </c>
    </row>
    <row r="842" ht="18.4" customHeight="1" spans="1:7">
      <c r="A842" s="416"/>
      <c r="B842" s="425" t="s">
        <v>370</v>
      </c>
      <c r="C842" s="426"/>
      <c r="D842" s="416" t="s">
        <v>293</v>
      </c>
      <c r="E842" s="434">
        <v>0.15</v>
      </c>
      <c r="F842" s="416">
        <f>SUM(G837:G841)</f>
        <v>836.97</v>
      </c>
      <c r="G842" s="416">
        <f t="shared" si="27"/>
        <v>125.55</v>
      </c>
    </row>
    <row r="843" ht="18.4" customHeight="1" spans="1:7">
      <c r="A843" s="420" t="s">
        <v>133</v>
      </c>
      <c r="B843" s="422" t="s">
        <v>294</v>
      </c>
      <c r="C843" s="423"/>
      <c r="D843" s="416"/>
      <c r="E843" s="360">
        <f>G821</f>
        <v>112076.56</v>
      </c>
      <c r="F843" s="424">
        <f>费率!F4</f>
        <v>0.048</v>
      </c>
      <c r="G843" s="416">
        <f>E843*F843</f>
        <v>5379.67</v>
      </c>
    </row>
    <row r="844" ht="18.4" customHeight="1" spans="1:7">
      <c r="A844" s="47" t="s">
        <v>14</v>
      </c>
      <c r="B844" s="361" t="s">
        <v>295</v>
      </c>
      <c r="C844" s="361"/>
      <c r="D844" s="50"/>
      <c r="E844" s="360">
        <f>G820</f>
        <v>117456.23</v>
      </c>
      <c r="F844" s="424">
        <f>费率!F5</f>
        <v>0.07</v>
      </c>
      <c r="G844" s="362">
        <f>E844*F844</f>
        <v>8221.94</v>
      </c>
    </row>
    <row r="845" ht="18.4" customHeight="1" spans="1:7">
      <c r="A845" s="47" t="s">
        <v>16</v>
      </c>
      <c r="B845" s="361" t="s">
        <v>296</v>
      </c>
      <c r="C845" s="361"/>
      <c r="D845" s="50"/>
      <c r="E845" s="360">
        <f>G820+G844</f>
        <v>125678.17</v>
      </c>
      <c r="F845" s="424">
        <f>费率!F6</f>
        <v>0.07</v>
      </c>
      <c r="G845" s="362">
        <f>E845*F845</f>
        <v>8797.47</v>
      </c>
    </row>
    <row r="846" ht="18.4" customHeight="1" spans="1:7">
      <c r="A846" s="416" t="s">
        <v>18</v>
      </c>
      <c r="B846" s="421" t="s">
        <v>466</v>
      </c>
      <c r="C846" s="421"/>
      <c r="D846" s="416"/>
      <c r="E846" s="416"/>
      <c r="F846" s="416"/>
      <c r="G846" s="416">
        <f>SUM(G847:G850)</f>
        <v>7631.57</v>
      </c>
    </row>
    <row r="847" ht="18.4" customHeight="1" spans="1:7">
      <c r="A847" s="416"/>
      <c r="B847" s="421" t="s">
        <v>405</v>
      </c>
      <c r="C847" s="421"/>
      <c r="D847" s="416" t="s">
        <v>158</v>
      </c>
      <c r="E847" s="416">
        <f>E833*混凝土单价!E8</f>
        <v>34.68</v>
      </c>
      <c r="F847" s="416">
        <f>主材!N6</f>
        <v>135.66</v>
      </c>
      <c r="G847" s="416">
        <f t="shared" ref="G847:G852" si="28">E847*F847</f>
        <v>4704.69</v>
      </c>
    </row>
    <row r="848" ht="18.4" customHeight="1" spans="1:7">
      <c r="A848" s="416"/>
      <c r="B848" s="421" t="s">
        <v>396</v>
      </c>
      <c r="C848" s="421"/>
      <c r="D848" s="416" t="s">
        <v>395</v>
      </c>
      <c r="E848" s="416">
        <f>E833*混凝土单价!G8</f>
        <v>54.06</v>
      </c>
      <c r="F848" s="416">
        <f>主材!N8</f>
        <v>37.93</v>
      </c>
      <c r="G848" s="416">
        <f t="shared" si="28"/>
        <v>2050.5</v>
      </c>
    </row>
    <row r="849" ht="18.4" customHeight="1" spans="1:7">
      <c r="A849" s="416"/>
      <c r="B849" s="421" t="s">
        <v>467</v>
      </c>
      <c r="C849" s="421"/>
      <c r="D849" s="416" t="s">
        <v>395</v>
      </c>
      <c r="E849" s="416">
        <f>E833*混凝土单价!I8</f>
        <v>85.68</v>
      </c>
      <c r="F849" s="416">
        <f>主材!N10</f>
        <v>7.03</v>
      </c>
      <c r="G849" s="416">
        <f t="shared" si="28"/>
        <v>602.33</v>
      </c>
    </row>
    <row r="850" ht="18.4" customHeight="1" spans="1:7">
      <c r="A850" s="428"/>
      <c r="B850" s="379" t="s">
        <v>522</v>
      </c>
      <c r="C850" s="380"/>
      <c r="D850" s="50" t="s">
        <v>323</v>
      </c>
      <c r="E850" s="360">
        <f>E837*机械!K23</f>
        <v>50.47</v>
      </c>
      <c r="F850" s="367">
        <f>主材!N14</f>
        <v>5.43</v>
      </c>
      <c r="G850" s="416">
        <f t="shared" si="28"/>
        <v>274.05</v>
      </c>
    </row>
    <row r="851" ht="18.4" customHeight="1" spans="1:7">
      <c r="A851" s="47" t="s">
        <v>20</v>
      </c>
      <c r="B851" s="379" t="s">
        <v>297</v>
      </c>
      <c r="C851" s="380"/>
      <c r="D851" s="50"/>
      <c r="E851" s="360">
        <f>G846+G845+G844+G820</f>
        <v>142107.21</v>
      </c>
      <c r="F851" s="366">
        <f>费率!F7</f>
        <v>0.09</v>
      </c>
      <c r="G851" s="362">
        <f t="shared" si="28"/>
        <v>12789.65</v>
      </c>
    </row>
    <row r="852" ht="18.4" customHeight="1" spans="1:7">
      <c r="A852" s="47"/>
      <c r="B852" s="379" t="s">
        <v>675</v>
      </c>
      <c r="C852" s="380"/>
      <c r="D852" s="50"/>
      <c r="E852" s="360">
        <f>G820+G844+G845+G846+G851</f>
        <v>154896.86</v>
      </c>
      <c r="F852" s="366">
        <f>费率!F8</f>
        <v>0.03</v>
      </c>
      <c r="G852" s="362">
        <f t="shared" si="28"/>
        <v>4646.91</v>
      </c>
    </row>
    <row r="853" ht="18.4" customHeight="1" spans="1:7">
      <c r="A853" s="369"/>
      <c r="B853" s="381" t="s">
        <v>560</v>
      </c>
      <c r="C853" s="382"/>
      <c r="D853" s="370"/>
      <c r="E853" s="371"/>
      <c r="F853" s="370"/>
      <c r="G853" s="372">
        <f>G852+E851+G851</f>
        <v>159543.77</v>
      </c>
    </row>
    <row r="854" ht="38.45" customHeight="1"/>
    <row r="855" ht="19.9" customHeight="1" spans="1:15">
      <c r="A855" s="354" t="s">
        <v>274</v>
      </c>
      <c r="B855" s="354"/>
      <c r="C855" s="354"/>
      <c r="D855" s="354"/>
      <c r="E855" s="354"/>
      <c r="F855" s="354"/>
      <c r="G855" s="354"/>
      <c r="J855" s="443"/>
      <c r="K855" s="443"/>
      <c r="L855" s="443"/>
      <c r="M855" s="443"/>
      <c r="N855" s="443"/>
      <c r="O855" s="443"/>
    </row>
    <row r="856" ht="19.9" customHeight="1" spans="1:15">
      <c r="A856" s="42" t="s">
        <v>275</v>
      </c>
      <c r="B856" s="43"/>
      <c r="C856" s="43" t="s">
        <v>720</v>
      </c>
      <c r="D856" s="43" t="s">
        <v>276</v>
      </c>
      <c r="E856" s="355" t="s">
        <v>721</v>
      </c>
      <c r="F856" s="355"/>
      <c r="G856" s="356"/>
      <c r="J856" s="444"/>
      <c r="K856" s="445"/>
      <c r="L856" s="446"/>
      <c r="M856" s="444"/>
      <c r="N856" s="446"/>
      <c r="O856" s="446"/>
    </row>
    <row r="857" ht="19.9" customHeight="1" spans="1:15">
      <c r="A857" s="47" t="s">
        <v>278</v>
      </c>
      <c r="B857" s="48"/>
      <c r="C857" s="49" t="s">
        <v>722</v>
      </c>
      <c r="D857" s="49"/>
      <c r="E857" s="49"/>
      <c r="F857" s="402" t="s">
        <v>280</v>
      </c>
      <c r="G857" s="406" t="s">
        <v>281</v>
      </c>
      <c r="J857" s="444"/>
      <c r="K857" s="446"/>
      <c r="L857" s="446"/>
      <c r="M857" s="444"/>
      <c r="N857" s="446"/>
      <c r="O857" s="446"/>
    </row>
    <row r="858" ht="19.9" customHeight="1" spans="1:15">
      <c r="A858" s="358" t="s">
        <v>723</v>
      </c>
      <c r="B858" s="49"/>
      <c r="C858" s="49"/>
      <c r="D858" s="49"/>
      <c r="E858" s="49"/>
      <c r="F858" s="49"/>
      <c r="G858" s="359"/>
      <c r="J858" s="444"/>
      <c r="K858" s="444"/>
      <c r="L858" s="444"/>
      <c r="M858" s="444"/>
      <c r="N858" s="444"/>
      <c r="O858" s="444"/>
    </row>
    <row r="859" ht="19.9" customHeight="1" spans="1:15">
      <c r="A859" s="52" t="s">
        <v>724</v>
      </c>
      <c r="B859" s="53"/>
      <c r="C859" s="54"/>
      <c r="D859" s="54"/>
      <c r="E859" s="54"/>
      <c r="F859" s="54"/>
      <c r="G859" s="55"/>
      <c r="J859" s="444"/>
      <c r="K859" s="444"/>
      <c r="L859" s="444"/>
      <c r="M859" s="444"/>
      <c r="N859" s="444"/>
      <c r="O859" s="444"/>
    </row>
    <row r="860" ht="19.9" customHeight="1" spans="1:15">
      <c r="A860" s="47" t="s">
        <v>284</v>
      </c>
      <c r="B860" s="50" t="s">
        <v>233</v>
      </c>
      <c r="C860" s="50"/>
      <c r="D860" s="50" t="s">
        <v>88</v>
      </c>
      <c r="E860" s="360" t="s">
        <v>130</v>
      </c>
      <c r="F860" s="50" t="s">
        <v>285</v>
      </c>
      <c r="G860" s="51" t="s">
        <v>286</v>
      </c>
      <c r="J860" s="444"/>
      <c r="K860" s="444"/>
      <c r="L860" s="444"/>
      <c r="M860" s="444"/>
      <c r="N860" s="444"/>
      <c r="O860" s="444"/>
    </row>
    <row r="861" ht="19.9" customHeight="1" spans="1:15">
      <c r="A861" s="47" t="s">
        <v>9</v>
      </c>
      <c r="B861" s="361" t="s">
        <v>287</v>
      </c>
      <c r="C861" s="361"/>
      <c r="D861" s="50"/>
      <c r="E861" s="360"/>
      <c r="F861" s="360"/>
      <c r="G861" s="362">
        <f>G862+G875</f>
        <v>132568.92</v>
      </c>
      <c r="J861" s="444"/>
      <c r="K861" s="444"/>
      <c r="L861" s="444"/>
      <c r="M861" s="444"/>
      <c r="N861" s="444"/>
      <c r="O861" s="444"/>
    </row>
    <row r="862" ht="19.9" customHeight="1" spans="1:15">
      <c r="A862" s="47" t="s">
        <v>132</v>
      </c>
      <c r="B862" s="361" t="s">
        <v>288</v>
      </c>
      <c r="C862" s="361"/>
      <c r="D862" s="50"/>
      <c r="E862" s="360"/>
      <c r="F862" s="360"/>
      <c r="G862" s="362">
        <f>G863+G866+G870+G873</f>
        <v>126497.06</v>
      </c>
      <c r="J862" s="444"/>
      <c r="K862" s="444"/>
      <c r="L862" s="444"/>
      <c r="M862" s="444"/>
      <c r="N862" s="444"/>
      <c r="O862" s="444"/>
    </row>
    <row r="863" ht="19.9" customHeight="1" spans="1:15">
      <c r="A863" s="47" t="s">
        <v>39</v>
      </c>
      <c r="B863" s="361" t="s">
        <v>247</v>
      </c>
      <c r="C863" s="361"/>
      <c r="D863" s="50"/>
      <c r="E863" s="360"/>
      <c r="F863" s="360"/>
      <c r="G863" s="362">
        <f>SUM(G864:G865)</f>
        <v>5953.5</v>
      </c>
      <c r="J863" s="444"/>
      <c r="K863" s="444"/>
      <c r="L863" s="444"/>
      <c r="M863" s="444"/>
      <c r="N863" s="444"/>
      <c r="O863" s="444"/>
    </row>
    <row r="864" ht="19.9" customHeight="1" spans="1:15">
      <c r="A864" s="47"/>
      <c r="B864" s="361" t="s">
        <v>289</v>
      </c>
      <c r="C864" s="361"/>
      <c r="D864" s="50" t="s">
        <v>290</v>
      </c>
      <c r="E864" s="360">
        <v>735</v>
      </c>
      <c r="F864" s="360">
        <f>主材!D21</f>
        <v>8.1</v>
      </c>
      <c r="G864" s="362">
        <f>E864*F864</f>
        <v>5953.5</v>
      </c>
      <c r="J864" s="444"/>
      <c r="K864" s="444"/>
      <c r="L864" s="444"/>
      <c r="M864" s="444"/>
      <c r="N864" s="444"/>
      <c r="O864" s="444"/>
    </row>
    <row r="865" ht="19.9" customHeight="1" spans="1:15">
      <c r="A865" s="47"/>
      <c r="B865" s="361" t="s">
        <v>291</v>
      </c>
      <c r="C865" s="361"/>
      <c r="D865" s="50" t="s">
        <v>290</v>
      </c>
      <c r="E865" s="360">
        <v>0</v>
      </c>
      <c r="F865" s="360">
        <f>主材!D22</f>
        <v>5.77</v>
      </c>
      <c r="G865" s="362">
        <f>E865*F865</f>
        <v>0</v>
      </c>
      <c r="J865" s="444"/>
      <c r="K865" s="444"/>
      <c r="L865" s="444"/>
      <c r="M865" s="444"/>
      <c r="N865" s="444"/>
      <c r="O865" s="444"/>
    </row>
    <row r="866" ht="19.9" customHeight="1" spans="1:15">
      <c r="A866" s="47" t="s">
        <v>41</v>
      </c>
      <c r="B866" s="361" t="s">
        <v>248</v>
      </c>
      <c r="C866" s="361"/>
      <c r="D866" s="50"/>
      <c r="E866" s="360"/>
      <c r="F866" s="360"/>
      <c r="G866" s="362">
        <f>SUM(G867:G869)</f>
        <v>114080.65</v>
      </c>
      <c r="J866" s="444"/>
      <c r="K866" s="444"/>
      <c r="L866" s="444"/>
      <c r="M866" s="444"/>
      <c r="N866" s="444"/>
      <c r="O866" s="444"/>
    </row>
    <row r="867" ht="19.9" customHeight="1" spans="1:15">
      <c r="A867" s="429"/>
      <c r="B867" s="421" t="s">
        <v>706</v>
      </c>
      <c r="C867" s="421"/>
      <c r="D867" s="416" t="s">
        <v>395</v>
      </c>
      <c r="E867" s="360">
        <v>0.67</v>
      </c>
      <c r="F867" s="416">
        <f>主材!M7</f>
        <v>2143.4</v>
      </c>
      <c r="G867" s="430">
        <f>E867*F867</f>
        <v>1436.08</v>
      </c>
      <c r="J867" s="444"/>
      <c r="K867" s="444"/>
      <c r="L867" s="444"/>
      <c r="M867" s="444"/>
      <c r="N867" s="444"/>
      <c r="O867" s="444"/>
    </row>
    <row r="868" ht="19.9" customHeight="1" spans="1:15">
      <c r="A868" s="429"/>
      <c r="B868" s="421" t="s">
        <v>709</v>
      </c>
      <c r="C868" s="421"/>
      <c r="D868" s="416" t="s">
        <v>395</v>
      </c>
      <c r="E868" s="360">
        <v>100</v>
      </c>
      <c r="F868" s="416">
        <f>G821/100</f>
        <v>1120.77</v>
      </c>
      <c r="G868" s="430">
        <f>E868*F868</f>
        <v>112077</v>
      </c>
      <c r="J868" s="444"/>
      <c r="K868" s="444"/>
      <c r="L868" s="444"/>
      <c r="M868" s="444"/>
      <c r="N868" s="444"/>
      <c r="O868" s="444"/>
    </row>
    <row r="869" ht="19.9" customHeight="1" spans="1:15">
      <c r="A869" s="429"/>
      <c r="B869" s="421" t="s">
        <v>397</v>
      </c>
      <c r="C869" s="421"/>
      <c r="D869" s="416" t="s">
        <v>293</v>
      </c>
      <c r="E869" s="419">
        <v>0.005</v>
      </c>
      <c r="F869" s="416">
        <f>SUM(G867:G868)</f>
        <v>113513.08</v>
      </c>
      <c r="G869" s="430">
        <f>E869*F869</f>
        <v>567.57</v>
      </c>
      <c r="J869" s="444"/>
      <c r="K869" s="444"/>
      <c r="L869" s="444"/>
      <c r="M869" s="444"/>
      <c r="N869" s="444"/>
      <c r="O869" s="444"/>
    </row>
    <row r="870" ht="19.9" customHeight="1" spans="1:15">
      <c r="A870" s="431">
        <v>3</v>
      </c>
      <c r="B870" s="421" t="s">
        <v>464</v>
      </c>
      <c r="C870" s="421"/>
      <c r="D870" s="416"/>
      <c r="E870" s="416"/>
      <c r="F870" s="416"/>
      <c r="G870" s="430">
        <f>SUM(G871:G872)</f>
        <v>2177.91</v>
      </c>
      <c r="J870" s="444"/>
      <c r="K870" s="444"/>
      <c r="L870" s="444"/>
      <c r="M870" s="444"/>
      <c r="N870" s="444"/>
      <c r="O870" s="444"/>
    </row>
    <row r="871" ht="19.9" customHeight="1" spans="1:15">
      <c r="A871" s="429"/>
      <c r="B871" s="421" t="s">
        <v>725</v>
      </c>
      <c r="C871" s="421"/>
      <c r="D871" s="416" t="s">
        <v>316</v>
      </c>
      <c r="E871" s="360">
        <v>17.5</v>
      </c>
      <c r="F871" s="416">
        <f>机械!E36</f>
        <v>123.22</v>
      </c>
      <c r="G871" s="430">
        <f>F871*E871</f>
        <v>2156.35</v>
      </c>
      <c r="J871" s="444"/>
      <c r="K871" s="444"/>
      <c r="L871" s="444"/>
      <c r="M871" s="444"/>
      <c r="N871" s="444"/>
      <c r="O871" s="444"/>
    </row>
    <row r="872" ht="19.9" customHeight="1" spans="1:15">
      <c r="A872" s="429"/>
      <c r="B872" s="421" t="s">
        <v>370</v>
      </c>
      <c r="C872" s="421"/>
      <c r="D872" s="416" t="s">
        <v>293</v>
      </c>
      <c r="E872" s="434">
        <v>0.01</v>
      </c>
      <c r="F872" s="416">
        <f>SUM(G871:G871)</f>
        <v>2156.35</v>
      </c>
      <c r="G872" s="430">
        <f>F872*E872</f>
        <v>21.56</v>
      </c>
      <c r="J872" s="444"/>
      <c r="K872" s="444"/>
      <c r="L872" s="444"/>
      <c r="M872" s="444"/>
      <c r="N872" s="444"/>
      <c r="O872" s="444"/>
    </row>
    <row r="873" ht="19.9" customHeight="1" spans="1:15">
      <c r="A873" s="431">
        <v>4</v>
      </c>
      <c r="B873" s="421" t="s">
        <v>250</v>
      </c>
      <c r="C873" s="421"/>
      <c r="D873" s="436"/>
      <c r="E873" s="360"/>
      <c r="F873" s="416"/>
      <c r="G873" s="430">
        <f>G874</f>
        <v>4285</v>
      </c>
      <c r="J873" s="444"/>
      <c r="K873" s="444"/>
      <c r="L873" s="444"/>
      <c r="M873" s="447"/>
      <c r="N873" s="444"/>
      <c r="O873" s="444"/>
    </row>
    <row r="874" ht="19.9" customHeight="1" spans="1:15">
      <c r="A874" s="431"/>
      <c r="B874" s="421" t="s">
        <v>594</v>
      </c>
      <c r="C874" s="421"/>
      <c r="D874" s="416" t="s">
        <v>395</v>
      </c>
      <c r="E874" s="360">
        <v>100</v>
      </c>
      <c r="F874" s="416">
        <f>O351/100</f>
        <v>42.85</v>
      </c>
      <c r="G874" s="430">
        <f>F874*E874</f>
        <v>4285</v>
      </c>
      <c r="J874" s="444"/>
      <c r="K874" s="444"/>
      <c r="L874" s="444"/>
      <c r="M874" s="444"/>
      <c r="N874" s="444"/>
      <c r="O874" s="444"/>
    </row>
    <row r="875" ht="19.9" customHeight="1" spans="1:15">
      <c r="A875" s="431" t="s">
        <v>133</v>
      </c>
      <c r="B875" s="421" t="s">
        <v>294</v>
      </c>
      <c r="C875" s="421"/>
      <c r="D875" s="416"/>
      <c r="E875" s="360">
        <f>G862</f>
        <v>126497.06</v>
      </c>
      <c r="F875" s="424">
        <f>费率!F4</f>
        <v>0.048</v>
      </c>
      <c r="G875" s="430">
        <f>E875*F875</f>
        <v>6071.86</v>
      </c>
      <c r="J875" s="444"/>
      <c r="K875" s="444"/>
      <c r="L875" s="444"/>
      <c r="M875" s="444"/>
      <c r="N875" s="444"/>
      <c r="O875" s="444"/>
    </row>
    <row r="876" ht="19.9" customHeight="1" spans="1:15">
      <c r="A876" s="47" t="s">
        <v>14</v>
      </c>
      <c r="B876" s="361" t="s">
        <v>295</v>
      </c>
      <c r="C876" s="361"/>
      <c r="D876" s="50"/>
      <c r="E876" s="360">
        <f>G861</f>
        <v>132568.92</v>
      </c>
      <c r="F876" s="424">
        <f>费率!F5</f>
        <v>0.07</v>
      </c>
      <c r="G876" s="362">
        <f>E876*F876</f>
        <v>9279.82</v>
      </c>
      <c r="J876" s="444"/>
      <c r="K876" s="444"/>
      <c r="L876" s="444"/>
      <c r="M876" s="444"/>
      <c r="N876" s="444"/>
      <c r="O876" s="444"/>
    </row>
    <row r="877" ht="19.9" customHeight="1" spans="1:15">
      <c r="A877" s="47" t="s">
        <v>16</v>
      </c>
      <c r="B877" s="361" t="s">
        <v>296</v>
      </c>
      <c r="C877" s="361"/>
      <c r="D877" s="50"/>
      <c r="E877" s="360">
        <f>G861+G876</f>
        <v>141848.74</v>
      </c>
      <c r="F877" s="424">
        <f>费率!F6</f>
        <v>0.07</v>
      </c>
      <c r="G877" s="362">
        <f>E877*F877</f>
        <v>9929.41</v>
      </c>
      <c r="J877" s="444"/>
      <c r="K877" s="444"/>
      <c r="L877" s="444"/>
      <c r="M877" s="444"/>
      <c r="N877" s="444"/>
      <c r="O877" s="444"/>
    </row>
    <row r="878" ht="19.9" customHeight="1" spans="1:15">
      <c r="A878" s="429" t="s">
        <v>18</v>
      </c>
      <c r="B878" s="421" t="s">
        <v>466</v>
      </c>
      <c r="C878" s="421"/>
      <c r="D878" s="416"/>
      <c r="E878" s="416"/>
      <c r="F878" s="416"/>
      <c r="G878" s="430">
        <f>SUM(G879:G883)</f>
        <v>10156.33</v>
      </c>
      <c r="J878" s="444"/>
      <c r="K878" s="444"/>
      <c r="L878" s="444"/>
      <c r="M878" s="444"/>
      <c r="N878" s="444"/>
      <c r="O878" s="444"/>
    </row>
    <row r="879" ht="19.9" customHeight="1" spans="1:15">
      <c r="A879" s="429"/>
      <c r="B879" s="416" t="s">
        <v>405</v>
      </c>
      <c r="C879" s="416"/>
      <c r="D879" s="416" t="s">
        <v>158</v>
      </c>
      <c r="E879" s="416">
        <f>E847</f>
        <v>34.68</v>
      </c>
      <c r="F879" s="416">
        <f>主材!N6</f>
        <v>135.66</v>
      </c>
      <c r="G879" s="430">
        <f t="shared" ref="G879:G885" si="29">E879*F879</f>
        <v>4704.69</v>
      </c>
      <c r="J879" s="444"/>
      <c r="K879" s="444"/>
      <c r="L879" s="444"/>
      <c r="M879" s="447"/>
      <c r="N879" s="444"/>
      <c r="O879" s="444"/>
    </row>
    <row r="880" ht="19.9" customHeight="1" spans="1:15">
      <c r="A880" s="429"/>
      <c r="B880" s="416" t="s">
        <v>396</v>
      </c>
      <c r="C880" s="416"/>
      <c r="D880" s="416" t="s">
        <v>395</v>
      </c>
      <c r="E880" s="416">
        <f>E848</f>
        <v>54.06</v>
      </c>
      <c r="F880" s="416">
        <f>主材!N8</f>
        <v>37.93</v>
      </c>
      <c r="G880" s="430">
        <f t="shared" si="29"/>
        <v>2050.5</v>
      </c>
      <c r="J880" s="444"/>
      <c r="K880" s="444"/>
      <c r="L880" s="444"/>
      <c r="M880" s="447"/>
      <c r="N880" s="444"/>
      <c r="O880" s="444"/>
    </row>
    <row r="881" ht="19.9" customHeight="1" spans="1:15">
      <c r="A881" s="429"/>
      <c r="B881" s="416" t="s">
        <v>467</v>
      </c>
      <c r="C881" s="416"/>
      <c r="D881" s="416" t="s">
        <v>395</v>
      </c>
      <c r="E881" s="416">
        <f>E849</f>
        <v>85.68</v>
      </c>
      <c r="F881" s="416">
        <f>主材!N10</f>
        <v>7.03</v>
      </c>
      <c r="G881" s="430">
        <f t="shared" si="29"/>
        <v>602.33</v>
      </c>
      <c r="J881" s="444"/>
      <c r="K881" s="444"/>
      <c r="L881" s="444"/>
      <c r="M881" s="447"/>
      <c r="N881" s="444"/>
      <c r="O881" s="444"/>
    </row>
    <row r="882" ht="19.9" customHeight="1" spans="1:15">
      <c r="A882" s="429"/>
      <c r="B882" s="50" t="s">
        <v>522</v>
      </c>
      <c r="C882" s="50"/>
      <c r="D882" s="50" t="s">
        <v>323</v>
      </c>
      <c r="E882" s="416">
        <f>E850+E369</f>
        <v>125.87</v>
      </c>
      <c r="F882" s="367">
        <f>主材!N14</f>
        <v>5.43</v>
      </c>
      <c r="G882" s="430">
        <f t="shared" si="29"/>
        <v>683.47</v>
      </c>
      <c r="J882" s="444"/>
      <c r="K882" s="444"/>
      <c r="L882" s="444"/>
      <c r="M882" s="447"/>
      <c r="N882" s="444"/>
      <c r="O882" s="444"/>
    </row>
    <row r="883" ht="19.9" customHeight="1" spans="1:15">
      <c r="A883" s="429"/>
      <c r="B883" s="50" t="s">
        <v>317</v>
      </c>
      <c r="C883" s="50"/>
      <c r="D883" s="50" t="s">
        <v>323</v>
      </c>
      <c r="E883" s="360">
        <v>512.19</v>
      </c>
      <c r="F883" s="367">
        <f>主材!N13</f>
        <v>4.13</v>
      </c>
      <c r="G883" s="430">
        <f t="shared" si="29"/>
        <v>2115.34</v>
      </c>
      <c r="J883" s="444"/>
      <c r="K883" s="444"/>
      <c r="L883" s="444"/>
      <c r="M883" s="447"/>
      <c r="N883" s="444"/>
      <c r="O883" s="444"/>
    </row>
    <row r="884" ht="19.9" customHeight="1" spans="1:15">
      <c r="A884" s="47" t="s">
        <v>20</v>
      </c>
      <c r="B884" s="361" t="s">
        <v>297</v>
      </c>
      <c r="C884" s="361"/>
      <c r="D884" s="50"/>
      <c r="E884" s="360">
        <f>G878+G877+G876+G861</f>
        <v>161934.48</v>
      </c>
      <c r="F884" s="366">
        <f>费率!F7</f>
        <v>0.09</v>
      </c>
      <c r="G884" s="362">
        <f t="shared" si="29"/>
        <v>14574.1</v>
      </c>
      <c r="J884" s="444"/>
      <c r="K884" s="444"/>
      <c r="L884" s="444"/>
      <c r="M884" s="444"/>
      <c r="N884" s="444"/>
      <c r="O884" s="444"/>
    </row>
    <row r="885" ht="19.9" customHeight="1" spans="1:15">
      <c r="A885" s="47"/>
      <c r="B885" s="361" t="s">
        <v>675</v>
      </c>
      <c r="C885" s="361"/>
      <c r="D885" s="50"/>
      <c r="E885" s="360">
        <f>G861+G876+G877+G878+G884</f>
        <v>176508.58</v>
      </c>
      <c r="F885" s="366">
        <f>费率!F8</f>
        <v>0.03</v>
      </c>
      <c r="G885" s="362">
        <f t="shared" si="29"/>
        <v>5295.26</v>
      </c>
      <c r="I885" s="384"/>
      <c r="J885" s="444"/>
      <c r="K885" s="444"/>
      <c r="L885" s="444"/>
      <c r="M885" s="444"/>
      <c r="N885" s="444"/>
      <c r="O885" s="444"/>
    </row>
    <row r="886" ht="19.9" customHeight="1" spans="1:15">
      <c r="A886" s="369"/>
      <c r="B886" s="370" t="s">
        <v>560</v>
      </c>
      <c r="C886" s="370"/>
      <c r="D886" s="370"/>
      <c r="E886" s="371"/>
      <c r="F886" s="370"/>
      <c r="G886" s="372">
        <f>G885+E884+G884</f>
        <v>181803.84</v>
      </c>
      <c r="J886" s="444"/>
      <c r="K886" s="444"/>
      <c r="L886" s="444"/>
      <c r="M886" s="444"/>
      <c r="N886" s="444"/>
      <c r="O886" s="444"/>
    </row>
    <row r="887" ht="123" customHeight="1" spans="10:15">
      <c r="J887" s="444"/>
      <c r="K887" s="444"/>
      <c r="L887" s="444"/>
      <c r="M887" s="444"/>
      <c r="N887" s="444"/>
      <c r="O887" s="444"/>
    </row>
    <row r="888" ht="19.9" customHeight="1" spans="1:15">
      <c r="A888" s="354" t="s">
        <v>274</v>
      </c>
      <c r="B888" s="354"/>
      <c r="C888" s="354"/>
      <c r="D888" s="354"/>
      <c r="E888" s="354"/>
      <c r="F888" s="354"/>
      <c r="G888" s="354"/>
      <c r="J888" s="444"/>
      <c r="K888" s="444"/>
      <c r="L888" s="444"/>
      <c r="M888" s="444"/>
      <c r="N888" s="444"/>
      <c r="O888" s="444"/>
    </row>
    <row r="889" ht="19.9" customHeight="1" spans="1:15">
      <c r="A889" s="437" t="s">
        <v>275</v>
      </c>
      <c r="B889" s="438"/>
      <c r="C889" s="439">
        <v>40</v>
      </c>
      <c r="D889" s="438" t="s">
        <v>276</v>
      </c>
      <c r="E889" s="440" t="s">
        <v>262</v>
      </c>
      <c r="F889" s="440"/>
      <c r="G889" s="441"/>
      <c r="J889" s="444"/>
      <c r="K889" s="444"/>
      <c r="L889" s="444"/>
      <c r="M889" s="444"/>
      <c r="N889" s="444"/>
      <c r="O889" s="444"/>
    </row>
    <row r="890" ht="19.9" customHeight="1" spans="1:15">
      <c r="A890" s="429" t="s">
        <v>278</v>
      </c>
      <c r="B890" s="416"/>
      <c r="C890" s="421" t="s">
        <v>726</v>
      </c>
      <c r="D890" s="421"/>
      <c r="E890" s="421"/>
      <c r="F890" s="416" t="s">
        <v>280</v>
      </c>
      <c r="G890" s="430" t="s">
        <v>727</v>
      </c>
      <c r="J890" s="444"/>
      <c r="K890" s="444"/>
      <c r="L890" s="444"/>
      <c r="M890" s="444"/>
      <c r="N890" s="444"/>
      <c r="O890" s="444"/>
    </row>
    <row r="891" ht="19.9" customHeight="1" spans="1:15">
      <c r="A891" s="429" t="s">
        <v>456</v>
      </c>
      <c r="B891" s="421" t="s">
        <v>728</v>
      </c>
      <c r="C891" s="421"/>
      <c r="D891" s="421"/>
      <c r="E891" s="421"/>
      <c r="F891" s="421"/>
      <c r="G891" s="442"/>
      <c r="J891" s="444"/>
      <c r="K891" s="444"/>
      <c r="L891" s="444"/>
      <c r="M891" s="444"/>
      <c r="N891" s="444"/>
      <c r="O891" s="444"/>
    </row>
    <row r="892" ht="19.9" customHeight="1" spans="1:15">
      <c r="A892" s="429" t="s">
        <v>284</v>
      </c>
      <c r="B892" s="416" t="s">
        <v>458</v>
      </c>
      <c r="C892" s="416"/>
      <c r="D892" s="416" t="s">
        <v>88</v>
      </c>
      <c r="E892" s="416" t="s">
        <v>130</v>
      </c>
      <c r="F892" s="416" t="s">
        <v>144</v>
      </c>
      <c r="G892" s="430" t="s">
        <v>234</v>
      </c>
      <c r="J892" s="444"/>
      <c r="K892" s="444"/>
      <c r="L892" s="444"/>
      <c r="M892" s="444"/>
      <c r="N892" s="444"/>
      <c r="O892" s="444"/>
    </row>
    <row r="893" ht="19.9" customHeight="1" spans="1:15">
      <c r="A893" s="429" t="s">
        <v>9</v>
      </c>
      <c r="B893" s="416" t="s">
        <v>459</v>
      </c>
      <c r="C893" s="416"/>
      <c r="D893" s="416"/>
      <c r="E893" s="416"/>
      <c r="F893" s="416"/>
      <c r="G893" s="430">
        <f>G894+G910+G911</f>
        <v>2836.98</v>
      </c>
      <c r="J893" s="444"/>
      <c r="K893" s="444"/>
      <c r="L893" s="444"/>
      <c r="M893" s="444"/>
      <c r="N893" s="444"/>
      <c r="O893" s="444"/>
    </row>
    <row r="894" ht="19.9" customHeight="1" spans="1:15">
      <c r="A894" s="429">
        <v>1</v>
      </c>
      <c r="B894" s="416" t="s">
        <v>287</v>
      </c>
      <c r="C894" s="416"/>
      <c r="D894" s="416"/>
      <c r="E894" s="416"/>
      <c r="F894" s="416"/>
      <c r="G894" s="430">
        <f>G895+G898+G903</f>
        <v>2701.89</v>
      </c>
      <c r="J894" s="444"/>
      <c r="K894" s="444"/>
      <c r="L894" s="444"/>
      <c r="M894" s="444"/>
      <c r="N894" s="444"/>
      <c r="O894" s="444"/>
    </row>
    <row r="895" ht="19.9" customHeight="1" spans="1:15">
      <c r="A895" s="429" t="s">
        <v>460</v>
      </c>
      <c r="B895" s="416" t="s">
        <v>247</v>
      </c>
      <c r="C895" s="416"/>
      <c r="D895" s="416" t="s">
        <v>290</v>
      </c>
      <c r="E895" s="416">
        <f>SUM(E896:E897)</f>
        <v>307.5</v>
      </c>
      <c r="F895" s="416"/>
      <c r="G895" s="430">
        <f>SUM(G896:G897)</f>
        <v>1774.28</v>
      </c>
      <c r="J895" s="444"/>
      <c r="K895" s="444"/>
      <c r="L895" s="444"/>
      <c r="M895" s="444"/>
      <c r="N895" s="444"/>
      <c r="O895" s="444"/>
    </row>
    <row r="896" ht="19.9" customHeight="1" spans="1:15">
      <c r="A896" s="429"/>
      <c r="B896" s="416" t="s">
        <v>289</v>
      </c>
      <c r="C896" s="416"/>
      <c r="D896" s="416" t="s">
        <v>290</v>
      </c>
      <c r="E896" s="416"/>
      <c r="F896" s="416">
        <v>8.1</v>
      </c>
      <c r="G896" s="430">
        <f>E896*F896</f>
        <v>0</v>
      </c>
      <c r="J896" s="444"/>
      <c r="K896" s="444"/>
      <c r="L896" s="444"/>
      <c r="M896" s="447"/>
      <c r="N896" s="444"/>
      <c r="O896" s="444"/>
    </row>
    <row r="897" ht="19.9" customHeight="1" spans="1:15">
      <c r="A897" s="429"/>
      <c r="B897" s="416" t="s">
        <v>291</v>
      </c>
      <c r="C897" s="416"/>
      <c r="D897" s="416" t="s">
        <v>290</v>
      </c>
      <c r="E897" s="416">
        <v>307.5</v>
      </c>
      <c r="F897" s="416">
        <v>5.77</v>
      </c>
      <c r="G897" s="430">
        <f>E897*F897</f>
        <v>1774.28</v>
      </c>
      <c r="J897" s="444"/>
      <c r="K897" s="444"/>
      <c r="L897" s="444"/>
      <c r="M897" s="447"/>
      <c r="N897" s="444"/>
      <c r="O897" s="444"/>
    </row>
    <row r="898" ht="19.9" customHeight="1" spans="1:15">
      <c r="A898" s="429" t="s">
        <v>461</v>
      </c>
      <c r="B898" s="416" t="s">
        <v>248</v>
      </c>
      <c r="C898" s="416"/>
      <c r="D898" s="416"/>
      <c r="E898" s="416"/>
      <c r="F898" s="416"/>
      <c r="G898" s="430">
        <f>SUM(G899:G902)</f>
        <v>0</v>
      </c>
      <c r="J898" s="444"/>
      <c r="K898" s="446"/>
      <c r="L898" s="444"/>
      <c r="M898" s="444"/>
      <c r="N898" s="444"/>
      <c r="O898" s="446"/>
    </row>
    <row r="899" hidden="1" customHeight="1" spans="1:7">
      <c r="A899" s="429"/>
      <c r="B899" s="416"/>
      <c r="C899" s="416"/>
      <c r="D899" s="416"/>
      <c r="E899" s="416"/>
      <c r="F899" s="416"/>
      <c r="G899" s="430"/>
    </row>
    <row r="900" hidden="1" customHeight="1" spans="1:7">
      <c r="A900" s="429"/>
      <c r="B900" s="416"/>
      <c r="C900" s="416"/>
      <c r="D900" s="416"/>
      <c r="E900" s="416"/>
      <c r="F900" s="416"/>
      <c r="G900" s="430"/>
    </row>
    <row r="901" hidden="1" customHeight="1" spans="1:7">
      <c r="A901" s="429"/>
      <c r="B901" s="416"/>
      <c r="C901" s="416"/>
      <c r="D901" s="416"/>
      <c r="E901" s="416"/>
      <c r="F901" s="416"/>
      <c r="G901" s="430"/>
    </row>
    <row r="902" hidden="1" customHeight="1" spans="1:7">
      <c r="A902" s="429"/>
      <c r="B902" s="416"/>
      <c r="C902" s="416"/>
      <c r="D902" s="416"/>
      <c r="E902" s="416"/>
      <c r="F902" s="416"/>
      <c r="G902" s="430"/>
    </row>
    <row r="903" ht="19.9" customHeight="1" spans="1:15">
      <c r="A903" s="429" t="s">
        <v>729</v>
      </c>
      <c r="B903" s="416" t="s">
        <v>464</v>
      </c>
      <c r="C903" s="416"/>
      <c r="D903" s="416"/>
      <c r="E903" s="416"/>
      <c r="F903" s="416"/>
      <c r="G903" s="430">
        <f>SUM(G904:G909)</f>
        <v>927.61</v>
      </c>
      <c r="J903" s="443"/>
      <c r="K903" s="443"/>
      <c r="L903" s="443"/>
      <c r="M903" s="443"/>
      <c r="N903" s="443"/>
      <c r="O903" s="443"/>
    </row>
    <row r="904" ht="19.9" customHeight="1" spans="1:15">
      <c r="A904" s="429"/>
      <c r="B904" s="416" t="s">
        <v>730</v>
      </c>
      <c r="C904" s="416"/>
      <c r="D904" s="416" t="s">
        <v>316</v>
      </c>
      <c r="E904" s="416">
        <v>3.48</v>
      </c>
      <c r="F904" s="416">
        <f>机械!E4</f>
        <v>122.94</v>
      </c>
      <c r="G904" s="430">
        <f>E904*F904</f>
        <v>427.83</v>
      </c>
      <c r="J904" s="444"/>
      <c r="K904" s="445"/>
      <c r="L904" s="445"/>
      <c r="M904" s="444"/>
      <c r="N904" s="446"/>
      <c r="O904" s="446"/>
    </row>
    <row r="905" ht="19.9" customHeight="1" spans="1:15">
      <c r="A905" s="429"/>
      <c r="B905" s="416" t="s">
        <v>328</v>
      </c>
      <c r="C905" s="416"/>
      <c r="D905" s="416" t="s">
        <v>316</v>
      </c>
      <c r="E905" s="416">
        <v>6.66</v>
      </c>
      <c r="F905" s="416">
        <f>机械!E6</f>
        <v>68.41</v>
      </c>
      <c r="G905" s="430">
        <f>E905*F905</f>
        <v>455.61</v>
      </c>
      <c r="J905" s="444"/>
      <c r="K905" s="446"/>
      <c r="L905" s="446"/>
      <c r="M905" s="444"/>
      <c r="N905" s="446"/>
      <c r="O905" s="446"/>
    </row>
    <row r="906" ht="19.9" customHeight="1" spans="1:15">
      <c r="A906" s="429"/>
      <c r="B906" s="416" t="s">
        <v>370</v>
      </c>
      <c r="C906" s="416"/>
      <c r="D906" s="416" t="s">
        <v>293</v>
      </c>
      <c r="E906" s="416">
        <v>0.05</v>
      </c>
      <c r="F906" s="416">
        <f>G904+G905</f>
        <v>883.44</v>
      </c>
      <c r="G906" s="430">
        <f>E906*F906</f>
        <v>44.17</v>
      </c>
      <c r="J906" s="444"/>
      <c r="K906" s="454"/>
      <c r="L906" s="454"/>
      <c r="M906" s="454"/>
      <c r="N906" s="454"/>
      <c r="O906" s="454"/>
    </row>
    <row r="907" hidden="1" customHeight="1" spans="1:15">
      <c r="A907" s="429"/>
      <c r="B907" s="416"/>
      <c r="C907" s="416"/>
      <c r="D907" s="416"/>
      <c r="E907" s="416"/>
      <c r="F907" s="416"/>
      <c r="G907" s="430"/>
      <c r="J907" s="444"/>
      <c r="K907" s="444"/>
      <c r="L907" s="444"/>
      <c r="M907" s="444"/>
      <c r="N907" s="444"/>
      <c r="O907" s="444"/>
    </row>
    <row r="908" hidden="1" customHeight="1" spans="1:15">
      <c r="A908" s="429"/>
      <c r="B908" s="416"/>
      <c r="C908" s="416"/>
      <c r="D908" s="416"/>
      <c r="E908" s="416"/>
      <c r="F908" s="416"/>
      <c r="G908" s="430"/>
      <c r="J908" s="444"/>
      <c r="K908" s="444"/>
      <c r="L908" s="444"/>
      <c r="M908" s="444"/>
      <c r="N908" s="444"/>
      <c r="O908" s="444"/>
    </row>
    <row r="909" hidden="1" customHeight="1" spans="1:15">
      <c r="A909" s="429"/>
      <c r="B909" s="416"/>
      <c r="C909" s="416"/>
      <c r="D909" s="416"/>
      <c r="E909" s="416"/>
      <c r="F909" s="416"/>
      <c r="G909" s="430"/>
      <c r="J909" s="444"/>
      <c r="K909" s="444"/>
      <c r="L909" s="444"/>
      <c r="M909" s="444"/>
      <c r="N909" s="444"/>
      <c r="O909" s="444"/>
    </row>
    <row r="910" ht="19.9" customHeight="1" spans="1:15">
      <c r="A910" s="429">
        <v>2</v>
      </c>
      <c r="B910" s="416" t="s">
        <v>294</v>
      </c>
      <c r="C910" s="416"/>
      <c r="D910" s="416"/>
      <c r="E910" s="448">
        <v>0.05</v>
      </c>
      <c r="F910" s="416">
        <f>G894</f>
        <v>2701.89</v>
      </c>
      <c r="G910" s="430">
        <f>E910*F910</f>
        <v>135.09</v>
      </c>
      <c r="J910" s="444"/>
      <c r="K910" s="444"/>
      <c r="L910" s="444"/>
      <c r="M910" s="444"/>
      <c r="N910" s="444"/>
      <c r="O910" s="444"/>
    </row>
    <row r="911" ht="19.9" customHeight="1" spans="1:15">
      <c r="A911" s="429">
        <v>3</v>
      </c>
      <c r="B911" s="416" t="s">
        <v>731</v>
      </c>
      <c r="C911" s="416"/>
      <c r="D911" s="416"/>
      <c r="E911" s="448">
        <v>0</v>
      </c>
      <c r="F911" s="416">
        <f>F910</f>
        <v>2701.89</v>
      </c>
      <c r="G911" s="430">
        <f>E911*F911</f>
        <v>0</v>
      </c>
      <c r="J911" s="444"/>
      <c r="K911" s="444"/>
      <c r="L911" s="444"/>
      <c r="M911" s="444"/>
      <c r="N911" s="444"/>
      <c r="O911" s="444"/>
    </row>
    <row r="912" ht="19.9" customHeight="1" spans="1:15">
      <c r="A912" s="429" t="s">
        <v>14</v>
      </c>
      <c r="B912" s="416" t="s">
        <v>295</v>
      </c>
      <c r="C912" s="416"/>
      <c r="D912" s="416"/>
      <c r="E912" s="448">
        <f>7%</f>
        <v>0.07</v>
      </c>
      <c r="F912" s="416">
        <f>G893</f>
        <v>2836.98</v>
      </c>
      <c r="G912" s="430">
        <f>F912*E912</f>
        <v>198.59</v>
      </c>
      <c r="J912" s="444"/>
      <c r="K912" s="444"/>
      <c r="L912" s="444"/>
      <c r="M912" s="444"/>
      <c r="N912" s="444"/>
      <c r="O912" s="444"/>
    </row>
    <row r="913" ht="19.9" customHeight="1" spans="1:15">
      <c r="A913" s="429" t="s">
        <v>16</v>
      </c>
      <c r="B913" s="416" t="s">
        <v>732</v>
      </c>
      <c r="C913" s="416"/>
      <c r="D913" s="416"/>
      <c r="E913" s="448">
        <v>0.07</v>
      </c>
      <c r="F913" s="416">
        <f>SUM(F912:G912)</f>
        <v>3035.57</v>
      </c>
      <c r="G913" s="430">
        <f>F913*E913</f>
        <v>212.49</v>
      </c>
      <c r="J913" s="444"/>
      <c r="K913" s="444"/>
      <c r="L913" s="444"/>
      <c r="M913" s="444"/>
      <c r="N913" s="444"/>
      <c r="O913" s="444"/>
    </row>
    <row r="914" ht="19.9" customHeight="1" spans="1:15">
      <c r="A914" s="429"/>
      <c r="B914" s="416" t="s">
        <v>465</v>
      </c>
      <c r="C914" s="416"/>
      <c r="D914" s="416"/>
      <c r="E914" s="449"/>
      <c r="F914" s="416"/>
      <c r="G914" s="430">
        <f>SUM(F913:G913)</f>
        <v>3248.06</v>
      </c>
      <c r="J914" s="444"/>
      <c r="K914" s="444"/>
      <c r="L914" s="444"/>
      <c r="M914" s="444"/>
      <c r="N914" s="444"/>
      <c r="O914" s="444"/>
    </row>
    <row r="915" ht="19.9" customHeight="1" spans="1:15">
      <c r="A915" s="429" t="s">
        <v>18</v>
      </c>
      <c r="B915" s="416" t="s">
        <v>466</v>
      </c>
      <c r="C915" s="416"/>
      <c r="D915" s="416"/>
      <c r="E915" s="416"/>
      <c r="F915" s="416"/>
      <c r="G915" s="430">
        <f>SUM(G916:G921)</f>
        <v>181.99</v>
      </c>
      <c r="J915" s="444"/>
      <c r="K915" s="444"/>
      <c r="L915" s="444"/>
      <c r="M915" s="444"/>
      <c r="N915" s="444"/>
      <c r="O915" s="444"/>
    </row>
    <row r="916" ht="19.9" hidden="1" customHeight="1" spans="1:15">
      <c r="A916" s="429"/>
      <c r="B916" s="416"/>
      <c r="C916" s="416"/>
      <c r="D916" s="416"/>
      <c r="E916" s="416"/>
      <c r="F916" s="416"/>
      <c r="G916" s="430"/>
      <c r="J916" s="444"/>
      <c r="K916" s="444"/>
      <c r="L916" s="444"/>
      <c r="M916" s="444"/>
      <c r="N916" s="444"/>
      <c r="O916" s="444"/>
    </row>
    <row r="917" ht="19.9" customHeight="1" spans="1:15">
      <c r="A917" s="429"/>
      <c r="B917" s="416" t="s">
        <v>317</v>
      </c>
      <c r="C917" s="416"/>
      <c r="D917" s="416" t="s">
        <v>733</v>
      </c>
      <c r="E917" s="416">
        <f>E904*机械!L4+混凝土!E905*机械!E898*机械!L6</f>
        <v>51.85</v>
      </c>
      <c r="F917" s="427">
        <v>3.51</v>
      </c>
      <c r="G917" s="430">
        <f>E917*F917</f>
        <v>181.99</v>
      </c>
      <c r="J917" s="444"/>
      <c r="K917" s="444"/>
      <c r="L917" s="444"/>
      <c r="M917" s="447"/>
      <c r="N917" s="444"/>
      <c r="O917" s="444"/>
    </row>
    <row r="918" ht="19.9" hidden="1" customHeight="1" spans="1:15">
      <c r="A918" s="429"/>
      <c r="B918" s="416"/>
      <c r="C918" s="416"/>
      <c r="D918" s="416"/>
      <c r="E918" s="416"/>
      <c r="F918" s="416"/>
      <c r="G918" s="430"/>
      <c r="J918" s="444"/>
      <c r="K918" s="444"/>
      <c r="L918" s="444"/>
      <c r="M918" s="444"/>
      <c r="N918" s="444"/>
      <c r="O918" s="444"/>
    </row>
    <row r="919" ht="19.9" hidden="1" customHeight="1" spans="1:15">
      <c r="A919" s="429"/>
      <c r="B919" s="416"/>
      <c r="C919" s="416"/>
      <c r="D919" s="416"/>
      <c r="E919" s="416"/>
      <c r="F919" s="416"/>
      <c r="G919" s="430"/>
      <c r="J919" s="444"/>
      <c r="K919" s="444"/>
      <c r="L919" s="444"/>
      <c r="M919" s="444"/>
      <c r="N919" s="444"/>
      <c r="O919" s="444"/>
    </row>
    <row r="920" ht="19.9" hidden="1" customHeight="1" spans="1:15">
      <c r="A920" s="429"/>
      <c r="B920" s="416"/>
      <c r="C920" s="416"/>
      <c r="D920" s="416"/>
      <c r="E920" s="416"/>
      <c r="F920" s="416"/>
      <c r="G920" s="430"/>
      <c r="J920" s="444"/>
      <c r="K920" s="444"/>
      <c r="L920" s="444"/>
      <c r="M920" s="444"/>
      <c r="N920" s="444"/>
      <c r="O920" s="444"/>
    </row>
    <row r="921" ht="19.9" hidden="1" customHeight="1" spans="1:15">
      <c r="A921" s="429"/>
      <c r="B921" s="416"/>
      <c r="C921" s="416"/>
      <c r="D921" s="416"/>
      <c r="E921" s="416"/>
      <c r="F921" s="416"/>
      <c r="G921" s="430"/>
      <c r="J921" s="444"/>
      <c r="K921" s="444"/>
      <c r="L921" s="444"/>
      <c r="M921" s="447"/>
      <c r="N921" s="444"/>
      <c r="O921" s="444"/>
    </row>
    <row r="922" ht="19.9" customHeight="1" spans="1:15">
      <c r="A922" s="429" t="s">
        <v>20</v>
      </c>
      <c r="B922" s="416" t="s">
        <v>297</v>
      </c>
      <c r="C922" s="416"/>
      <c r="D922" s="416"/>
      <c r="E922" s="449">
        <f>费率!F7</f>
        <v>0.09</v>
      </c>
      <c r="F922" s="416">
        <f>G914+G915</f>
        <v>3430.05</v>
      </c>
      <c r="G922" s="430">
        <f>F922*E922</f>
        <v>308.7</v>
      </c>
      <c r="J922" s="444"/>
      <c r="K922" s="444"/>
      <c r="L922" s="444"/>
      <c r="M922" s="444"/>
      <c r="N922" s="444"/>
      <c r="O922" s="444"/>
    </row>
    <row r="923" ht="19.9" customHeight="1" spans="1:15">
      <c r="A923" s="429" t="s">
        <v>23</v>
      </c>
      <c r="B923" s="416" t="s">
        <v>298</v>
      </c>
      <c r="C923" s="416"/>
      <c r="D923" s="416"/>
      <c r="E923" s="449">
        <v>0.03</v>
      </c>
      <c r="F923" s="416">
        <f>SUM(F922:G922)</f>
        <v>3738.75</v>
      </c>
      <c r="G923" s="430">
        <f>E923*F923</f>
        <v>112.16</v>
      </c>
      <c r="J923" s="444"/>
      <c r="K923" s="444"/>
      <c r="L923" s="444"/>
      <c r="M923" s="444"/>
      <c r="N923" s="444"/>
      <c r="O923" s="444"/>
    </row>
    <row r="924" ht="19.9" customHeight="1" spans="1:15">
      <c r="A924" s="450" t="s">
        <v>25</v>
      </c>
      <c r="B924" s="451" t="s">
        <v>121</v>
      </c>
      <c r="C924" s="451"/>
      <c r="D924" s="451"/>
      <c r="E924" s="451"/>
      <c r="F924" s="451"/>
      <c r="G924" s="452">
        <f>SUM(F923:G923)</f>
        <v>3850.91</v>
      </c>
      <c r="J924" s="444"/>
      <c r="K924" s="444"/>
      <c r="L924" s="444"/>
      <c r="M924" s="444"/>
      <c r="N924" s="444"/>
      <c r="O924" s="444"/>
    </row>
    <row r="925" ht="261" customHeight="1" spans="10:15">
      <c r="J925" s="444"/>
      <c r="K925" s="444"/>
      <c r="L925" s="444"/>
      <c r="M925" s="447"/>
      <c r="N925" s="444"/>
      <c r="O925" s="444"/>
    </row>
    <row r="926" ht="19.9" customHeight="1" spans="1:15">
      <c r="A926" s="453" t="s">
        <v>274</v>
      </c>
      <c r="B926" s="453"/>
      <c r="C926" s="453"/>
      <c r="D926" s="453"/>
      <c r="E926" s="453"/>
      <c r="F926" s="453"/>
      <c r="G926" s="453"/>
      <c r="J926" s="444"/>
      <c r="K926" s="444"/>
      <c r="L926" s="444"/>
      <c r="M926" s="447"/>
      <c r="N926" s="444"/>
      <c r="O926" s="444"/>
    </row>
    <row r="927" ht="16.9" customHeight="1" spans="1:15">
      <c r="A927" s="42" t="s">
        <v>275</v>
      </c>
      <c r="B927" s="43"/>
      <c r="C927" s="43" t="s">
        <v>734</v>
      </c>
      <c r="D927" s="43" t="s">
        <v>276</v>
      </c>
      <c r="E927" s="355" t="s">
        <v>265</v>
      </c>
      <c r="F927" s="355"/>
      <c r="G927" s="356"/>
      <c r="J927" s="444"/>
      <c r="K927" s="444"/>
      <c r="L927" s="444"/>
      <c r="M927" s="447"/>
      <c r="N927" s="444"/>
      <c r="O927" s="444"/>
    </row>
    <row r="928" ht="16.9" customHeight="1" spans="1:15">
      <c r="A928" s="47" t="s">
        <v>278</v>
      </c>
      <c r="B928" s="48"/>
      <c r="C928" s="49" t="s">
        <v>735</v>
      </c>
      <c r="D928" s="49"/>
      <c r="E928" s="49"/>
      <c r="F928" s="50" t="s">
        <v>280</v>
      </c>
      <c r="G928" s="51" t="s">
        <v>281</v>
      </c>
      <c r="J928" s="444"/>
      <c r="K928" s="444"/>
      <c r="L928" s="444"/>
      <c r="M928" s="447"/>
      <c r="N928" s="444"/>
      <c r="O928" s="444"/>
    </row>
    <row r="929" ht="16.9" customHeight="1" spans="1:15">
      <c r="A929" s="358" t="s">
        <v>736</v>
      </c>
      <c r="B929" s="49"/>
      <c r="C929" s="49"/>
      <c r="D929" s="49"/>
      <c r="E929" s="49"/>
      <c r="F929" s="49"/>
      <c r="G929" s="359"/>
      <c r="J929" s="444"/>
      <c r="K929" s="444"/>
      <c r="L929" s="444"/>
      <c r="M929" s="444"/>
      <c r="N929" s="444"/>
      <c r="O929" s="444"/>
    </row>
    <row r="930" ht="16.9" customHeight="1" spans="1:15">
      <c r="A930" s="52" t="s">
        <v>546</v>
      </c>
      <c r="B930" s="53"/>
      <c r="C930" s="54"/>
      <c r="D930" s="54"/>
      <c r="E930" s="54"/>
      <c r="F930" s="54"/>
      <c r="G930" s="55"/>
      <c r="J930" s="444"/>
      <c r="K930" s="444"/>
      <c r="L930" s="444"/>
      <c r="M930" s="444"/>
      <c r="N930" s="444"/>
      <c r="O930" s="444"/>
    </row>
    <row r="931" ht="16.9" customHeight="1" spans="1:15">
      <c r="A931" s="47" t="s">
        <v>284</v>
      </c>
      <c r="B931" s="50" t="s">
        <v>233</v>
      </c>
      <c r="C931" s="50"/>
      <c r="D931" s="50" t="s">
        <v>88</v>
      </c>
      <c r="E931" s="360" t="s">
        <v>130</v>
      </c>
      <c r="F931" s="50" t="s">
        <v>285</v>
      </c>
      <c r="G931" s="51" t="s">
        <v>286</v>
      </c>
      <c r="J931" s="444"/>
      <c r="K931" s="444"/>
      <c r="L931" s="444"/>
      <c r="M931" s="455"/>
      <c r="N931" s="444"/>
      <c r="O931" s="444"/>
    </row>
    <row r="932" ht="16.9" customHeight="1" spans="1:15">
      <c r="A932" s="47" t="s">
        <v>9</v>
      </c>
      <c r="B932" s="361" t="s">
        <v>287</v>
      </c>
      <c r="C932" s="361"/>
      <c r="D932" s="50"/>
      <c r="E932" s="360"/>
      <c r="F932" s="360"/>
      <c r="G932" s="362">
        <f>G933+G958</f>
        <v>30369.72</v>
      </c>
      <c r="J932" s="444"/>
      <c r="K932" s="444"/>
      <c r="L932" s="444"/>
      <c r="M932" s="455"/>
      <c r="N932" s="444"/>
      <c r="O932" s="444"/>
    </row>
    <row r="933" ht="16.9" customHeight="1" spans="1:15">
      <c r="A933" s="47" t="s">
        <v>132</v>
      </c>
      <c r="B933" s="361" t="s">
        <v>288</v>
      </c>
      <c r="C933" s="361"/>
      <c r="D933" s="50"/>
      <c r="E933" s="360"/>
      <c r="F933" s="360"/>
      <c r="G933" s="362">
        <f>G934+G937+G947+G955</f>
        <v>28978.74</v>
      </c>
      <c r="J933" s="444"/>
      <c r="K933" s="444"/>
      <c r="L933" s="444"/>
      <c r="M933" s="444"/>
      <c r="N933" s="444"/>
      <c r="O933" s="444"/>
    </row>
    <row r="934" ht="16.9" customHeight="1" spans="1:15">
      <c r="A934" s="47" t="s">
        <v>39</v>
      </c>
      <c r="B934" s="361" t="s">
        <v>247</v>
      </c>
      <c r="C934" s="361"/>
      <c r="D934" s="50"/>
      <c r="E934" s="360"/>
      <c r="F934" s="360"/>
      <c r="G934" s="362">
        <f>SUM(G935:G936)</f>
        <v>7221.66</v>
      </c>
      <c r="J934" s="444"/>
      <c r="K934" s="444"/>
      <c r="L934" s="444"/>
      <c r="M934" s="444"/>
      <c r="N934" s="444"/>
      <c r="O934" s="444"/>
    </row>
    <row r="935" ht="16.9" customHeight="1" spans="1:15">
      <c r="A935" s="47"/>
      <c r="B935" s="361" t="s">
        <v>289</v>
      </c>
      <c r="C935" s="361"/>
      <c r="D935" s="50" t="s">
        <v>290</v>
      </c>
      <c r="E935" s="363">
        <v>620.8</v>
      </c>
      <c r="F935" s="360">
        <f>主材!D21</f>
        <v>8.1</v>
      </c>
      <c r="G935" s="362">
        <f>E935*F935</f>
        <v>5028.48</v>
      </c>
      <c r="J935" s="444"/>
      <c r="K935" s="444"/>
      <c r="L935" s="444"/>
      <c r="M935" s="444"/>
      <c r="N935" s="444"/>
      <c r="O935" s="444"/>
    </row>
    <row r="936" ht="16.9" customHeight="1" spans="1:15">
      <c r="A936" s="47"/>
      <c r="B936" s="361" t="s">
        <v>291</v>
      </c>
      <c r="C936" s="361"/>
      <c r="D936" s="50" t="s">
        <v>290</v>
      </c>
      <c r="E936" s="363">
        <v>380.1</v>
      </c>
      <c r="F936" s="360">
        <f>主材!D22</f>
        <v>5.77</v>
      </c>
      <c r="G936" s="362">
        <f>E936*F936</f>
        <v>2193.18</v>
      </c>
      <c r="J936" s="444"/>
      <c r="K936" s="444"/>
      <c r="L936" s="444"/>
      <c r="M936" s="444"/>
      <c r="N936" s="444"/>
      <c r="O936" s="444"/>
    </row>
    <row r="937" ht="16.9" customHeight="1" spans="1:15">
      <c r="A937" s="47" t="s">
        <v>41</v>
      </c>
      <c r="B937" s="361" t="s">
        <v>248</v>
      </c>
      <c r="C937" s="361"/>
      <c r="D937" s="50"/>
      <c r="E937" s="360"/>
      <c r="F937" s="360"/>
      <c r="G937" s="362">
        <f>SUM(G938:G946)</f>
        <v>20283.33</v>
      </c>
      <c r="J937" s="444"/>
      <c r="K937" s="444"/>
      <c r="L937" s="444"/>
      <c r="M937" s="447"/>
      <c r="N937" s="444"/>
      <c r="O937" s="444"/>
    </row>
    <row r="938" ht="16.9" customHeight="1" spans="1:15">
      <c r="A938" s="47"/>
      <c r="B938" s="361" t="s">
        <v>547</v>
      </c>
      <c r="C938" s="361"/>
      <c r="D938" s="50" t="s">
        <v>395</v>
      </c>
      <c r="E938" s="360">
        <v>0.03</v>
      </c>
      <c r="F938" s="360">
        <f>主材!D8</f>
        <v>2143.4</v>
      </c>
      <c r="G938" s="362">
        <f>E938*F938</f>
        <v>64.3</v>
      </c>
      <c r="J938" s="444"/>
      <c r="K938" s="444"/>
      <c r="L938" s="444"/>
      <c r="M938" s="447"/>
      <c r="N938" s="444"/>
      <c r="O938" s="444"/>
    </row>
    <row r="939" ht="16.9" customHeight="1" spans="1:15">
      <c r="A939" s="47"/>
      <c r="B939" s="361" t="s">
        <v>548</v>
      </c>
      <c r="C939" s="361"/>
      <c r="D939" s="50" t="s">
        <v>323</v>
      </c>
      <c r="E939" s="360">
        <v>0.98</v>
      </c>
      <c r="F939" s="360">
        <v>5</v>
      </c>
      <c r="G939" s="362">
        <f t="shared" ref="G939:G945" si="30">E939*F939</f>
        <v>4.9</v>
      </c>
      <c r="J939" s="444"/>
      <c r="K939" s="446"/>
      <c r="L939" s="444"/>
      <c r="M939" s="444"/>
      <c r="N939" s="444"/>
      <c r="O939" s="446"/>
    </row>
    <row r="940" ht="16.9" customHeight="1" spans="1:7">
      <c r="A940" s="47"/>
      <c r="B940" s="361" t="s">
        <v>549</v>
      </c>
      <c r="C940" s="361"/>
      <c r="D940" s="50" t="s">
        <v>323</v>
      </c>
      <c r="E940" s="360">
        <v>2.34</v>
      </c>
      <c r="F940" s="360">
        <v>5.5</v>
      </c>
      <c r="G940" s="362">
        <f t="shared" si="30"/>
        <v>12.87</v>
      </c>
    </row>
    <row r="941" ht="16.9" customHeight="1" spans="1:7">
      <c r="A941" s="47"/>
      <c r="B941" s="361" t="s">
        <v>550</v>
      </c>
      <c r="C941" s="361"/>
      <c r="D941" s="50" t="s">
        <v>323</v>
      </c>
      <c r="E941" s="360">
        <v>3.14</v>
      </c>
      <c r="F941" s="360">
        <v>5.5</v>
      </c>
      <c r="G941" s="362">
        <f t="shared" si="30"/>
        <v>17.27</v>
      </c>
    </row>
    <row r="942" ht="16.9" customHeight="1" spans="1:7">
      <c r="A942" s="47"/>
      <c r="B942" s="361" t="s">
        <v>551</v>
      </c>
      <c r="C942" s="361"/>
      <c r="D942" s="50" t="s">
        <v>323</v>
      </c>
      <c r="E942" s="360">
        <v>3.65</v>
      </c>
      <c r="F942" s="360">
        <v>6.5</v>
      </c>
      <c r="G942" s="362">
        <f t="shared" si="30"/>
        <v>23.73</v>
      </c>
    </row>
    <row r="943" ht="16.9" customHeight="1" spans="1:7">
      <c r="A943" s="47"/>
      <c r="B943" s="361" t="s">
        <v>552</v>
      </c>
      <c r="C943" s="361"/>
      <c r="D943" s="50" t="s">
        <v>323</v>
      </c>
      <c r="E943" s="360">
        <v>0.08</v>
      </c>
      <c r="F943" s="360">
        <v>6.15</v>
      </c>
      <c r="G943" s="362">
        <f t="shared" si="30"/>
        <v>0.49</v>
      </c>
    </row>
    <row r="944" ht="16.9" customHeight="1" spans="1:7">
      <c r="A944" s="47"/>
      <c r="B944" s="361" t="s">
        <v>568</v>
      </c>
      <c r="C944" s="361"/>
      <c r="D944" s="50" t="s">
        <v>395</v>
      </c>
      <c r="E944" s="364">
        <v>103</v>
      </c>
      <c r="F944" s="360">
        <f>混凝土单价!M9</f>
        <v>189.62</v>
      </c>
      <c r="G944" s="362">
        <f t="shared" si="30"/>
        <v>19530.86</v>
      </c>
    </row>
    <row r="945" ht="16.9" customHeight="1" spans="1:7">
      <c r="A945" s="47"/>
      <c r="B945" s="361" t="s">
        <v>554</v>
      </c>
      <c r="C945" s="361"/>
      <c r="D945" s="50" t="s">
        <v>395</v>
      </c>
      <c r="E945" s="364">
        <v>120</v>
      </c>
      <c r="F945" s="363">
        <f>主材!D18</f>
        <v>4.4</v>
      </c>
      <c r="G945" s="362">
        <f t="shared" si="30"/>
        <v>528</v>
      </c>
    </row>
    <row r="946" ht="16.9" customHeight="1" spans="1:7">
      <c r="A946" s="47"/>
      <c r="B946" s="361" t="s">
        <v>397</v>
      </c>
      <c r="C946" s="361"/>
      <c r="D946" s="50" t="s">
        <v>293</v>
      </c>
      <c r="E946" s="363">
        <v>0.5</v>
      </c>
      <c r="F946" s="360">
        <f>SUM(G938:G945)</f>
        <v>20182.42</v>
      </c>
      <c r="G946" s="362">
        <f>E946*F946/100</f>
        <v>100.91</v>
      </c>
    </row>
    <row r="947" ht="16.9" customHeight="1" spans="1:7">
      <c r="A947" s="47" t="s">
        <v>46</v>
      </c>
      <c r="B947" s="361" t="s">
        <v>314</v>
      </c>
      <c r="C947" s="361"/>
      <c r="D947" s="50"/>
      <c r="E947" s="360"/>
      <c r="F947" s="360"/>
      <c r="G947" s="362">
        <f>SUM(G948:G954)</f>
        <v>675.5</v>
      </c>
    </row>
    <row r="948" ht="16.9" customHeight="1" spans="1:7">
      <c r="A948" s="47"/>
      <c r="B948" s="361" t="s">
        <v>556</v>
      </c>
      <c r="C948" s="361"/>
      <c r="D948" s="50" t="s">
        <v>316</v>
      </c>
      <c r="E948" s="360">
        <v>0.08</v>
      </c>
      <c r="F948" s="360">
        <f>机械!E23</f>
        <v>49.39</v>
      </c>
      <c r="G948" s="362">
        <f t="shared" ref="G948:G953" si="31">E948*F948</f>
        <v>3.95</v>
      </c>
    </row>
    <row r="949" ht="16.9" customHeight="1" spans="1:7">
      <c r="A949" s="47"/>
      <c r="B949" s="361" t="s">
        <v>569</v>
      </c>
      <c r="C949" s="361"/>
      <c r="D949" s="50" t="s">
        <v>316</v>
      </c>
      <c r="E949" s="360">
        <v>0.12</v>
      </c>
      <c r="F949" s="360">
        <f>机械!E33</f>
        <v>62.33</v>
      </c>
      <c r="G949" s="362">
        <f t="shared" si="31"/>
        <v>7.48</v>
      </c>
    </row>
    <row r="950" ht="16.9" customHeight="1" spans="1:7">
      <c r="A950" s="47"/>
      <c r="B950" s="361" t="s">
        <v>557</v>
      </c>
      <c r="C950" s="361"/>
      <c r="D950" s="50" t="s">
        <v>316</v>
      </c>
      <c r="E950" s="360">
        <v>0.12</v>
      </c>
      <c r="F950" s="360">
        <f>机械!E47</f>
        <v>8.06</v>
      </c>
      <c r="G950" s="362">
        <f t="shared" si="31"/>
        <v>0.97</v>
      </c>
    </row>
    <row r="951" ht="16.9" customHeight="1" spans="1:7">
      <c r="A951" s="47"/>
      <c r="B951" s="361" t="s">
        <v>403</v>
      </c>
      <c r="C951" s="361"/>
      <c r="D951" s="50" t="s">
        <v>316</v>
      </c>
      <c r="E951" s="360">
        <v>18.54</v>
      </c>
      <c r="F951" s="360">
        <f>机械!E42</f>
        <v>26.45</v>
      </c>
      <c r="G951" s="362">
        <f t="shared" si="31"/>
        <v>490.38</v>
      </c>
    </row>
    <row r="952" ht="16.9" customHeight="1" spans="1:7">
      <c r="A952" s="47"/>
      <c r="B952" s="361" t="s">
        <v>555</v>
      </c>
      <c r="C952" s="361"/>
      <c r="D952" s="50" t="s">
        <v>316</v>
      </c>
      <c r="E952" s="360">
        <v>40.05</v>
      </c>
      <c r="F952" s="360">
        <f>机械!E17</f>
        <v>1.81</v>
      </c>
      <c r="G952" s="362">
        <f t="shared" si="31"/>
        <v>72.49</v>
      </c>
    </row>
    <row r="953" ht="16.9" customHeight="1" spans="1:7">
      <c r="A953" s="47"/>
      <c r="B953" s="361" t="s">
        <v>404</v>
      </c>
      <c r="C953" s="361"/>
      <c r="D953" s="50" t="s">
        <v>316</v>
      </c>
      <c r="E953" s="360">
        <v>83</v>
      </c>
      <c r="F953" s="360">
        <f>机械!E29</f>
        <v>0.82</v>
      </c>
      <c r="G953" s="362">
        <f t="shared" si="31"/>
        <v>68.06</v>
      </c>
    </row>
    <row r="954" ht="16.9" customHeight="1" spans="1:7">
      <c r="A954" s="47"/>
      <c r="B954" s="361" t="s">
        <v>370</v>
      </c>
      <c r="C954" s="361"/>
      <c r="D954" s="50" t="s">
        <v>293</v>
      </c>
      <c r="E954" s="360">
        <v>5</v>
      </c>
      <c r="F954" s="360">
        <f>SUM(G948:G953)</f>
        <v>643.33</v>
      </c>
      <c r="G954" s="362">
        <f>E954*F954/100</f>
        <v>32.17</v>
      </c>
    </row>
    <row r="955" ht="16.9" customHeight="1" spans="1:7">
      <c r="A955" s="47" t="s">
        <v>305</v>
      </c>
      <c r="B955" s="361" t="s">
        <v>250</v>
      </c>
      <c r="C955" s="361"/>
      <c r="D955" s="50"/>
      <c r="E955" s="360"/>
      <c r="F955" s="360"/>
      <c r="G955" s="362">
        <f>SUM(G956:G957)</f>
        <v>798.25</v>
      </c>
    </row>
    <row r="956" ht="16.9" customHeight="1" spans="1:7">
      <c r="A956" s="47"/>
      <c r="B956" s="361" t="s">
        <v>558</v>
      </c>
      <c r="C956" s="361"/>
      <c r="D956" s="50" t="s">
        <v>395</v>
      </c>
      <c r="E956" s="360">
        <v>103</v>
      </c>
      <c r="F956" s="360">
        <f>G562/100</f>
        <v>5.04</v>
      </c>
      <c r="G956" s="362">
        <f>E956*F956</f>
        <v>519.12</v>
      </c>
    </row>
    <row r="957" ht="16.9" customHeight="1" spans="1:7">
      <c r="A957" s="47"/>
      <c r="B957" s="361" t="s">
        <v>559</v>
      </c>
      <c r="C957" s="361"/>
      <c r="D957" s="50" t="s">
        <v>395</v>
      </c>
      <c r="E957" s="360">
        <v>103</v>
      </c>
      <c r="F957" s="360">
        <f>G577/100</f>
        <v>2.71</v>
      </c>
      <c r="G957" s="362">
        <f>E957*F957</f>
        <v>279.13</v>
      </c>
    </row>
    <row r="958" ht="16.9" customHeight="1" spans="1:7">
      <c r="A958" s="47" t="s">
        <v>133</v>
      </c>
      <c r="B958" s="361" t="s">
        <v>294</v>
      </c>
      <c r="C958" s="361"/>
      <c r="D958" s="50"/>
      <c r="E958" s="365">
        <f>G933</f>
        <v>28978.74</v>
      </c>
      <c r="F958" s="366">
        <f>费率!F4</f>
        <v>0.048</v>
      </c>
      <c r="G958" s="362">
        <f>E958*F958</f>
        <v>1390.98</v>
      </c>
    </row>
    <row r="959" ht="16.9" customHeight="1" spans="1:7">
      <c r="A959" s="47" t="s">
        <v>14</v>
      </c>
      <c r="B959" s="361" t="s">
        <v>295</v>
      </c>
      <c r="C959" s="361"/>
      <c r="D959" s="50"/>
      <c r="E959" s="360">
        <f>G932</f>
        <v>30369.72</v>
      </c>
      <c r="F959" s="366">
        <f>费率!F5</f>
        <v>0.07</v>
      </c>
      <c r="G959" s="362">
        <f>E959*F959</f>
        <v>2125.88</v>
      </c>
    </row>
    <row r="960" ht="16.9" customHeight="1" spans="1:7">
      <c r="A960" s="47" t="s">
        <v>16</v>
      </c>
      <c r="B960" s="361" t="s">
        <v>296</v>
      </c>
      <c r="C960" s="361"/>
      <c r="D960" s="50"/>
      <c r="E960" s="360">
        <f>G932+G959</f>
        <v>32495.6</v>
      </c>
      <c r="F960" s="366">
        <f>费率!F6</f>
        <v>0.07</v>
      </c>
      <c r="G960" s="362">
        <f>E960*F960</f>
        <v>2274.69</v>
      </c>
    </row>
    <row r="961" ht="16.9" customHeight="1" spans="1:7">
      <c r="A961" s="47" t="s">
        <v>18</v>
      </c>
      <c r="B961" s="361" t="s">
        <v>254</v>
      </c>
      <c r="C961" s="361"/>
      <c r="D961" s="50"/>
      <c r="E961" s="360"/>
      <c r="F961" s="366"/>
      <c r="G961" s="362">
        <f>SUM(G962:G966)</f>
        <v>7777.6</v>
      </c>
    </row>
    <row r="962" ht="16.9" customHeight="1" spans="1:7">
      <c r="A962" s="47"/>
      <c r="B962" s="361"/>
      <c r="C962" s="361"/>
      <c r="D962" s="50"/>
      <c r="E962" s="360"/>
      <c r="F962" s="367"/>
      <c r="G962" s="362"/>
    </row>
    <row r="963" ht="16.9" customHeight="1" spans="1:7">
      <c r="A963" s="47"/>
      <c r="B963" s="361" t="s">
        <v>405</v>
      </c>
      <c r="C963" s="361"/>
      <c r="D963" s="50" t="s">
        <v>158</v>
      </c>
      <c r="E963" s="360">
        <f>E944*混凝土单价!E9</f>
        <v>38.11</v>
      </c>
      <c r="F963" s="367">
        <f>主材!N6</f>
        <v>135.66</v>
      </c>
      <c r="G963" s="362">
        <f t="shared" ref="G963:G968" si="32">E963*F963</f>
        <v>5170</v>
      </c>
    </row>
    <row r="964" ht="16.9" customHeight="1" spans="1:7">
      <c r="A964" s="47"/>
      <c r="B964" s="361" t="s">
        <v>396</v>
      </c>
      <c r="C964" s="361"/>
      <c r="D964" s="50" t="s">
        <v>395</v>
      </c>
      <c r="E964" s="360">
        <f>E944*混凝土单价!G9</f>
        <v>52.53</v>
      </c>
      <c r="F964" s="367">
        <f>主材!N8</f>
        <v>37.93</v>
      </c>
      <c r="G964" s="362">
        <f t="shared" si="32"/>
        <v>1992.46</v>
      </c>
    </row>
    <row r="965" ht="16.9" customHeight="1" spans="1:7">
      <c r="A965" s="47"/>
      <c r="B965" s="361" t="s">
        <v>467</v>
      </c>
      <c r="C965" s="361"/>
      <c r="D965" s="50" t="s">
        <v>395</v>
      </c>
      <c r="E965" s="360">
        <f>E944*混凝土单价!I9</f>
        <v>86.52</v>
      </c>
      <c r="F965" s="367">
        <f>主材!N10</f>
        <v>7.03</v>
      </c>
      <c r="G965" s="362">
        <f t="shared" si="32"/>
        <v>608.24</v>
      </c>
    </row>
    <row r="966" ht="16.9" customHeight="1" spans="1:7">
      <c r="A966" s="47"/>
      <c r="B966" s="361" t="s">
        <v>522</v>
      </c>
      <c r="C966" s="361"/>
      <c r="D966" s="50" t="s">
        <v>323</v>
      </c>
      <c r="E966" s="360">
        <f>E948*7.2+E949*5.8</f>
        <v>1.27</v>
      </c>
      <c r="F966" s="367">
        <f>主材!N14</f>
        <v>5.43</v>
      </c>
      <c r="G966" s="362">
        <f t="shared" si="32"/>
        <v>6.9</v>
      </c>
    </row>
    <row r="967" ht="16.9" customHeight="1" spans="1:7">
      <c r="A967" s="47" t="s">
        <v>20</v>
      </c>
      <c r="B967" s="361" t="s">
        <v>297</v>
      </c>
      <c r="C967" s="361"/>
      <c r="D967" s="50"/>
      <c r="E967" s="360">
        <f>G932+G959++G960+G961</f>
        <v>42547.89</v>
      </c>
      <c r="F967" s="366">
        <f>费率!F7</f>
        <v>0.09</v>
      </c>
      <c r="G967" s="362">
        <f t="shared" si="32"/>
        <v>3829.31</v>
      </c>
    </row>
    <row r="968" ht="16.9" customHeight="1" spans="1:7">
      <c r="A968" s="47"/>
      <c r="B968" s="361" t="s">
        <v>298</v>
      </c>
      <c r="C968" s="361"/>
      <c r="D968" s="50"/>
      <c r="E968" s="360">
        <f>G932+G959+G960+G961+G967</f>
        <v>46377.2</v>
      </c>
      <c r="F968" s="366">
        <f>费率!F8</f>
        <v>0.03</v>
      </c>
      <c r="G968" s="362">
        <f t="shared" si="32"/>
        <v>1391.32</v>
      </c>
    </row>
    <row r="969" ht="16.9" customHeight="1" spans="1:7">
      <c r="A969" s="369"/>
      <c r="B969" s="370" t="s">
        <v>560</v>
      </c>
      <c r="C969" s="370"/>
      <c r="D969" s="370"/>
      <c r="E969" s="371"/>
      <c r="F969" s="370"/>
      <c r="G969" s="372">
        <f>G932+G959+G960+G961+G967+G968</f>
        <v>47768.52</v>
      </c>
    </row>
    <row r="971" customHeight="1" spans="1:7">
      <c r="A971" s="354" t="s">
        <v>274</v>
      </c>
      <c r="B971" s="354"/>
      <c r="C971" s="354"/>
      <c r="D971" s="354"/>
      <c r="E971" s="354"/>
      <c r="F971" s="354"/>
      <c r="G971" s="354"/>
    </row>
    <row r="972" customHeight="1" spans="1:7">
      <c r="A972" s="42" t="s">
        <v>275</v>
      </c>
      <c r="B972" s="43"/>
      <c r="C972" s="43" t="s">
        <v>737</v>
      </c>
      <c r="D972" s="43" t="s">
        <v>276</v>
      </c>
      <c r="E972" s="355" t="s">
        <v>738</v>
      </c>
      <c r="F972" s="355"/>
      <c r="G972" s="356"/>
    </row>
    <row r="973" customHeight="1" spans="1:7">
      <c r="A973" s="47" t="s">
        <v>278</v>
      </c>
      <c r="B973" s="48"/>
      <c r="C973" s="49" t="s">
        <v>739</v>
      </c>
      <c r="D973" s="49"/>
      <c r="E973" s="49"/>
      <c r="F973" s="50" t="s">
        <v>280</v>
      </c>
      <c r="G973" s="51" t="s">
        <v>357</v>
      </c>
    </row>
    <row r="974" customHeight="1" spans="1:7">
      <c r="A974" s="358" t="s">
        <v>358</v>
      </c>
      <c r="B974" s="49"/>
      <c r="C974" s="49"/>
      <c r="D974" s="49"/>
      <c r="E974" s="49"/>
      <c r="F974" s="49"/>
      <c r="G974" s="359"/>
    </row>
    <row r="975" customHeight="1" spans="1:7">
      <c r="A975" s="52" t="s">
        <v>627</v>
      </c>
      <c r="B975" s="53"/>
      <c r="C975" s="54"/>
      <c r="D975" s="54"/>
      <c r="E975" s="54"/>
      <c r="F975" s="54"/>
      <c r="G975" s="55"/>
    </row>
    <row r="976" customHeight="1" spans="1:7">
      <c r="A976" s="47" t="s">
        <v>284</v>
      </c>
      <c r="B976" s="50" t="s">
        <v>233</v>
      </c>
      <c r="C976" s="50"/>
      <c r="D976" s="50" t="s">
        <v>88</v>
      </c>
      <c r="E976" s="360" t="s">
        <v>130</v>
      </c>
      <c r="F976" s="50" t="s">
        <v>285</v>
      </c>
      <c r="G976" s="51" t="s">
        <v>286</v>
      </c>
    </row>
    <row r="977" customHeight="1" spans="1:7">
      <c r="A977" s="47" t="s">
        <v>9</v>
      </c>
      <c r="B977" s="361" t="s">
        <v>287</v>
      </c>
      <c r="C977" s="361"/>
      <c r="D977" s="50"/>
      <c r="E977" s="360"/>
      <c r="F977" s="360"/>
      <c r="G977" s="362">
        <f>G978+G987</f>
        <v>5576.55</v>
      </c>
    </row>
    <row r="978" customHeight="1" spans="1:7">
      <c r="A978" s="47" t="s">
        <v>132</v>
      </c>
      <c r="B978" s="361" t="s">
        <v>288</v>
      </c>
      <c r="C978" s="361"/>
      <c r="D978" s="50"/>
      <c r="E978" s="360"/>
      <c r="F978" s="360"/>
      <c r="G978" s="362">
        <f>G979+G982</f>
        <v>5321.14</v>
      </c>
    </row>
    <row r="979" customHeight="1" spans="1:7">
      <c r="A979" s="47" t="s">
        <v>39</v>
      </c>
      <c r="B979" s="361" t="s">
        <v>247</v>
      </c>
      <c r="C979" s="361"/>
      <c r="D979" s="50"/>
      <c r="E979" s="360"/>
      <c r="F979" s="360"/>
      <c r="G979" s="362">
        <f>SUM(G980:G981)</f>
        <v>2264.12</v>
      </c>
    </row>
    <row r="980" customHeight="1" spans="1:7">
      <c r="A980" s="47"/>
      <c r="B980" s="361" t="s">
        <v>289</v>
      </c>
      <c r="C980" s="361"/>
      <c r="D980" s="50" t="s">
        <v>290</v>
      </c>
      <c r="E980" s="363">
        <v>218.9</v>
      </c>
      <c r="F980" s="360">
        <f>人工!D4</f>
        <v>8.1</v>
      </c>
      <c r="G980" s="362">
        <f>E980*F980</f>
        <v>1773.09</v>
      </c>
    </row>
    <row r="981" customHeight="1" spans="1:7">
      <c r="A981" s="47"/>
      <c r="B981" s="361" t="s">
        <v>291</v>
      </c>
      <c r="C981" s="361"/>
      <c r="D981" s="50" t="s">
        <v>290</v>
      </c>
      <c r="E981" s="363">
        <v>85.1</v>
      </c>
      <c r="F981" s="360">
        <f>人工!D5</f>
        <v>5.77</v>
      </c>
      <c r="G981" s="362">
        <f>E981*F981</f>
        <v>491.03</v>
      </c>
    </row>
    <row r="982" customHeight="1" spans="1:7">
      <c r="A982" s="47" t="s">
        <v>41</v>
      </c>
      <c r="B982" s="361" t="s">
        <v>248</v>
      </c>
      <c r="C982" s="361"/>
      <c r="D982" s="50"/>
      <c r="E982" s="360"/>
      <c r="F982" s="360"/>
      <c r="G982" s="362">
        <f>SUM(G983:G986)</f>
        <v>3057.02</v>
      </c>
    </row>
    <row r="983" customHeight="1" spans="1:7">
      <c r="A983" s="47"/>
      <c r="B983" s="361" t="s">
        <v>628</v>
      </c>
      <c r="C983" s="361"/>
      <c r="D983" s="50" t="s">
        <v>158</v>
      </c>
      <c r="E983" s="360">
        <v>0.79</v>
      </c>
      <c r="F983" s="364">
        <v>3300</v>
      </c>
      <c r="G983" s="362">
        <f>E983*F983</f>
        <v>2607</v>
      </c>
    </row>
    <row r="984" customHeight="1" spans="1:7">
      <c r="A984" s="47"/>
      <c r="B984" s="361" t="s">
        <v>405</v>
      </c>
      <c r="C984" s="361"/>
      <c r="D984" s="50" t="s">
        <v>158</v>
      </c>
      <c r="E984" s="360">
        <v>0.85</v>
      </c>
      <c r="F984" s="364">
        <f>主材!M6</f>
        <v>255</v>
      </c>
      <c r="G984" s="362">
        <f>E984*F984</f>
        <v>216.75</v>
      </c>
    </row>
    <row r="985" customHeight="1" spans="1:7">
      <c r="A985" s="47"/>
      <c r="B985" s="361" t="s">
        <v>462</v>
      </c>
      <c r="C985" s="361"/>
      <c r="D985" s="50" t="s">
        <v>395</v>
      </c>
      <c r="E985" s="360">
        <v>2.9</v>
      </c>
      <c r="F985" s="360">
        <f>主材!M8</f>
        <v>70</v>
      </c>
      <c r="G985" s="362">
        <f>E985*F985</f>
        <v>203</v>
      </c>
    </row>
    <row r="986" customHeight="1" spans="1:7">
      <c r="A986" s="47"/>
      <c r="B986" s="361" t="s">
        <v>397</v>
      </c>
      <c r="C986" s="361"/>
      <c r="D986" s="50" t="s">
        <v>293</v>
      </c>
      <c r="E986" s="364">
        <v>1</v>
      </c>
      <c r="F986" s="360">
        <f>SUM(G983:G985)</f>
        <v>3026.75</v>
      </c>
      <c r="G986" s="362">
        <f>E986*F986/100</f>
        <v>30.27</v>
      </c>
    </row>
    <row r="987" customHeight="1" spans="1:7">
      <c r="A987" s="47" t="s">
        <v>133</v>
      </c>
      <c r="B987" s="361" t="s">
        <v>294</v>
      </c>
      <c r="C987" s="361"/>
      <c r="D987" s="50"/>
      <c r="E987" s="365">
        <f>G978</f>
        <v>5321.14</v>
      </c>
      <c r="F987" s="366">
        <f>费率!F4</f>
        <v>0.048</v>
      </c>
      <c r="G987" s="362">
        <f>E987*F987</f>
        <v>255.41</v>
      </c>
    </row>
    <row r="988" customHeight="1" spans="1:7">
      <c r="A988" s="47" t="s">
        <v>14</v>
      </c>
      <c r="B988" s="361" t="s">
        <v>295</v>
      </c>
      <c r="C988" s="361"/>
      <c r="D988" s="50"/>
      <c r="E988" s="360">
        <f>G977</f>
        <v>5576.55</v>
      </c>
      <c r="F988" s="366">
        <f>费率!F5</f>
        <v>0.07</v>
      </c>
      <c r="G988" s="362">
        <f>E988*F988</f>
        <v>390.36</v>
      </c>
    </row>
    <row r="989" customHeight="1" spans="1:7">
      <c r="A989" s="47" t="s">
        <v>16</v>
      </c>
      <c r="B989" s="361" t="s">
        <v>296</v>
      </c>
      <c r="C989" s="361"/>
      <c r="D989" s="50"/>
      <c r="E989" s="360">
        <f>G977+G988</f>
        <v>5966.91</v>
      </c>
      <c r="F989" s="366">
        <f>费率!F6</f>
        <v>0.07</v>
      </c>
      <c r="G989" s="362">
        <f>E989*F989</f>
        <v>417.68</v>
      </c>
    </row>
    <row r="990" customHeight="1" spans="1:7">
      <c r="A990" s="47" t="s">
        <v>18</v>
      </c>
      <c r="B990" s="361" t="s">
        <v>254</v>
      </c>
      <c r="C990" s="361"/>
      <c r="D990" s="50"/>
      <c r="E990" s="360"/>
      <c r="F990" s="366"/>
      <c r="G990" s="362">
        <f>SUM(G991:G992)</f>
        <v>225.31</v>
      </c>
    </row>
    <row r="991" customHeight="1" spans="1:7">
      <c r="A991" s="47"/>
      <c r="B991" s="361" t="s">
        <v>405</v>
      </c>
      <c r="C991" s="361"/>
      <c r="D991" s="50" t="s">
        <v>158</v>
      </c>
      <c r="E991" s="360">
        <f>E984</f>
        <v>0.85</v>
      </c>
      <c r="F991" s="367">
        <f>主材!N6</f>
        <v>135.66</v>
      </c>
      <c r="G991" s="362">
        <f>E991*F991</f>
        <v>115.31</v>
      </c>
    </row>
    <row r="992" customHeight="1" spans="1:7">
      <c r="A992" s="47"/>
      <c r="B992" s="361" t="s">
        <v>462</v>
      </c>
      <c r="C992" s="361"/>
      <c r="D992" s="50" t="s">
        <v>395</v>
      </c>
      <c r="E992" s="360">
        <f>E985</f>
        <v>2.9</v>
      </c>
      <c r="F992" s="367">
        <f>主材!N8</f>
        <v>37.93</v>
      </c>
      <c r="G992" s="362">
        <f>E992*F992</f>
        <v>110</v>
      </c>
    </row>
    <row r="993" customHeight="1" spans="1:7">
      <c r="A993" s="47" t="s">
        <v>20</v>
      </c>
      <c r="B993" s="361" t="s">
        <v>297</v>
      </c>
      <c r="C993" s="361"/>
      <c r="D993" s="50"/>
      <c r="E993" s="360">
        <f>G977+G988++G989+G990</f>
        <v>6609.9</v>
      </c>
      <c r="F993" s="366">
        <f>费率!F7</f>
        <v>0.09</v>
      </c>
      <c r="G993" s="362">
        <f>E993*F993</f>
        <v>594.89</v>
      </c>
    </row>
    <row r="994" customHeight="1" spans="1:7">
      <c r="A994" s="47"/>
      <c r="B994" s="361" t="s">
        <v>298</v>
      </c>
      <c r="C994" s="361"/>
      <c r="D994" s="50"/>
      <c r="E994" s="360">
        <f>G977+G988+G989+G990+G993</f>
        <v>7204.79</v>
      </c>
      <c r="F994" s="366">
        <f>费率!F8</f>
        <v>0.03</v>
      </c>
      <c r="G994" s="362">
        <f>E994*F994</f>
        <v>216.14</v>
      </c>
    </row>
    <row r="995" customHeight="1" spans="1:7">
      <c r="A995" s="369"/>
      <c r="B995" s="370" t="s">
        <v>560</v>
      </c>
      <c r="C995" s="370"/>
      <c r="D995" s="370"/>
      <c r="E995" s="371"/>
      <c r="F995" s="370"/>
      <c r="G995" s="372">
        <f>G977+G988+G989+G990+G993+G994</f>
        <v>7420.93</v>
      </c>
    </row>
    <row r="997" customHeight="1" spans="1:7">
      <c r="A997" s="354" t="s">
        <v>274</v>
      </c>
      <c r="B997" s="354"/>
      <c r="C997" s="354"/>
      <c r="D997" s="354"/>
      <c r="E997" s="354"/>
      <c r="F997" s="354"/>
      <c r="G997" s="354"/>
    </row>
    <row r="998" customHeight="1" spans="1:7">
      <c r="A998" s="42" t="s">
        <v>275</v>
      </c>
      <c r="B998" s="43"/>
      <c r="C998" s="43" t="s">
        <v>740</v>
      </c>
      <c r="D998" s="43" t="s">
        <v>276</v>
      </c>
      <c r="E998" s="355" t="s">
        <v>741</v>
      </c>
      <c r="F998" s="355"/>
      <c r="G998" s="356"/>
    </row>
    <row r="999" customHeight="1" spans="1:7">
      <c r="A999" s="47" t="s">
        <v>278</v>
      </c>
      <c r="B999" s="48"/>
      <c r="C999" s="49" t="s">
        <v>742</v>
      </c>
      <c r="D999" s="49"/>
      <c r="E999" s="49"/>
      <c r="F999" s="50" t="s">
        <v>280</v>
      </c>
      <c r="G999" s="51" t="s">
        <v>631</v>
      </c>
    </row>
    <row r="1000" customHeight="1" spans="1:7">
      <c r="A1000" s="358" t="s">
        <v>358</v>
      </c>
      <c r="B1000" s="49"/>
      <c r="C1000" s="49"/>
      <c r="D1000" s="49"/>
      <c r="E1000" s="49"/>
      <c r="F1000" s="49"/>
      <c r="G1000" s="359"/>
    </row>
    <row r="1001" customHeight="1" spans="1:7">
      <c r="A1001" s="52" t="s">
        <v>627</v>
      </c>
      <c r="B1001" s="53"/>
      <c r="C1001" s="54"/>
      <c r="D1001" s="54"/>
      <c r="E1001" s="54"/>
      <c r="F1001" s="54"/>
      <c r="G1001" s="55"/>
    </row>
    <row r="1002" customHeight="1" spans="1:7">
      <c r="A1002" s="47" t="s">
        <v>284</v>
      </c>
      <c r="B1002" s="50" t="s">
        <v>233</v>
      </c>
      <c r="C1002" s="50"/>
      <c r="D1002" s="50" t="s">
        <v>88</v>
      </c>
      <c r="E1002" s="360" t="s">
        <v>130</v>
      </c>
      <c r="F1002" s="50" t="s">
        <v>285</v>
      </c>
      <c r="G1002" s="51" t="s">
        <v>286</v>
      </c>
    </row>
    <row r="1003" customHeight="1" spans="1:7">
      <c r="A1003" s="47" t="s">
        <v>9</v>
      </c>
      <c r="B1003" s="361" t="s">
        <v>287</v>
      </c>
      <c r="C1003" s="361"/>
      <c r="D1003" s="50"/>
      <c r="E1003" s="360"/>
      <c r="F1003" s="360"/>
      <c r="G1003" s="362">
        <f>G1004+G1011</f>
        <v>13333.85</v>
      </c>
    </row>
    <row r="1004" customHeight="1" spans="1:7">
      <c r="A1004" s="47" t="s">
        <v>132</v>
      </c>
      <c r="B1004" s="361" t="s">
        <v>288</v>
      </c>
      <c r="C1004" s="361"/>
      <c r="D1004" s="50"/>
      <c r="E1004" s="360"/>
      <c r="F1004" s="360"/>
      <c r="G1004" s="362">
        <f>G1005+G1008</f>
        <v>12723.14</v>
      </c>
    </row>
    <row r="1005" customHeight="1" spans="1:7">
      <c r="A1005" s="47" t="s">
        <v>39</v>
      </c>
      <c r="B1005" s="361" t="s">
        <v>247</v>
      </c>
      <c r="C1005" s="361"/>
      <c r="D1005" s="50"/>
      <c r="E1005" s="360"/>
      <c r="F1005" s="360"/>
      <c r="G1005" s="362">
        <f>SUM(G1006:G1007)</f>
        <v>1279.84</v>
      </c>
    </row>
    <row r="1006" customHeight="1" spans="1:7">
      <c r="A1006" s="47"/>
      <c r="B1006" s="361" t="s">
        <v>289</v>
      </c>
      <c r="C1006" s="361"/>
      <c r="D1006" s="50" t="s">
        <v>290</v>
      </c>
      <c r="E1006" s="363">
        <v>123.1</v>
      </c>
      <c r="F1006" s="360">
        <f>人工!D4</f>
        <v>8.1</v>
      </c>
      <c r="G1006" s="362">
        <f>E1006*F1006</f>
        <v>997.11</v>
      </c>
    </row>
    <row r="1007" customHeight="1" spans="1:7">
      <c r="A1007" s="47"/>
      <c r="B1007" s="361" t="s">
        <v>291</v>
      </c>
      <c r="C1007" s="361"/>
      <c r="D1007" s="50" t="s">
        <v>290</v>
      </c>
      <c r="E1007" s="363">
        <v>49</v>
      </c>
      <c r="F1007" s="360">
        <f>人工!D5</f>
        <v>5.77</v>
      </c>
      <c r="G1007" s="362">
        <f>E1007*F1007</f>
        <v>282.73</v>
      </c>
    </row>
    <row r="1008" customHeight="1" spans="1:7">
      <c r="A1008" s="47" t="s">
        <v>41</v>
      </c>
      <c r="B1008" s="361" t="s">
        <v>248</v>
      </c>
      <c r="C1008" s="361"/>
      <c r="D1008" s="50"/>
      <c r="E1008" s="360"/>
      <c r="F1008" s="360"/>
      <c r="G1008" s="362">
        <f>SUM(G1009:G1010)</f>
        <v>11443.3</v>
      </c>
    </row>
    <row r="1009" customHeight="1" spans="1:7">
      <c r="A1009" s="47"/>
      <c r="B1009" s="361" t="s">
        <v>743</v>
      </c>
      <c r="C1009" s="361"/>
      <c r="D1009" s="50" t="s">
        <v>161</v>
      </c>
      <c r="E1009" s="360">
        <v>103</v>
      </c>
      <c r="F1009" s="364">
        <v>110</v>
      </c>
      <c r="G1009" s="362">
        <f>E1009*F1009</f>
        <v>11330</v>
      </c>
    </row>
    <row r="1010" customHeight="1" spans="1:7">
      <c r="A1010" s="47"/>
      <c r="B1010" s="361" t="s">
        <v>397</v>
      </c>
      <c r="C1010" s="361"/>
      <c r="D1010" s="50" t="s">
        <v>293</v>
      </c>
      <c r="E1010" s="364">
        <v>1</v>
      </c>
      <c r="F1010" s="360">
        <f>SUM(G1009:G1009)</f>
        <v>11330</v>
      </c>
      <c r="G1010" s="362">
        <f>E1010*F1010/100</f>
        <v>113.3</v>
      </c>
    </row>
    <row r="1011" customHeight="1" spans="1:7">
      <c r="A1011" s="47" t="s">
        <v>133</v>
      </c>
      <c r="B1011" s="361" t="s">
        <v>294</v>
      </c>
      <c r="C1011" s="361"/>
      <c r="D1011" s="50"/>
      <c r="E1011" s="365">
        <f>G1004</f>
        <v>12723.14</v>
      </c>
      <c r="F1011" s="366">
        <f>费率!F4</f>
        <v>0.048</v>
      </c>
      <c r="G1011" s="362">
        <f>E1011*F1011</f>
        <v>610.71</v>
      </c>
    </row>
    <row r="1012" customHeight="1" spans="1:7">
      <c r="A1012" s="47" t="s">
        <v>14</v>
      </c>
      <c r="B1012" s="361" t="s">
        <v>295</v>
      </c>
      <c r="C1012" s="361"/>
      <c r="D1012" s="50"/>
      <c r="E1012" s="360">
        <f>G1003</f>
        <v>13333.85</v>
      </c>
      <c r="F1012" s="368">
        <f>费率!F5</f>
        <v>0.07</v>
      </c>
      <c r="G1012" s="362">
        <f>E1012*F1012</f>
        <v>933.37</v>
      </c>
    </row>
    <row r="1013" customHeight="1" spans="1:7">
      <c r="A1013" s="47" t="s">
        <v>16</v>
      </c>
      <c r="B1013" s="361" t="s">
        <v>296</v>
      </c>
      <c r="C1013" s="361"/>
      <c r="D1013" s="50"/>
      <c r="E1013" s="360">
        <f>G1003+G1012</f>
        <v>14267.22</v>
      </c>
      <c r="F1013" s="368">
        <f>费率!F6</f>
        <v>0.07</v>
      </c>
      <c r="G1013" s="362">
        <f>E1013*F1013</f>
        <v>998.71</v>
      </c>
    </row>
    <row r="1014" customHeight="1" spans="1:7">
      <c r="A1014" s="47" t="s">
        <v>18</v>
      </c>
      <c r="B1014" s="361" t="s">
        <v>254</v>
      </c>
      <c r="C1014" s="361"/>
      <c r="D1014" s="50"/>
      <c r="E1014" s="360"/>
      <c r="F1014" s="366"/>
      <c r="G1014" s="362">
        <v>0</v>
      </c>
    </row>
    <row r="1015" customHeight="1" spans="1:7">
      <c r="A1015" s="47" t="s">
        <v>20</v>
      </c>
      <c r="B1015" s="361" t="s">
        <v>297</v>
      </c>
      <c r="C1015" s="361"/>
      <c r="D1015" s="50"/>
      <c r="E1015" s="360">
        <f>G1003+G1012++G1013+G1014</f>
        <v>15265.93</v>
      </c>
      <c r="F1015" s="366">
        <f>费率!F7</f>
        <v>0.09</v>
      </c>
      <c r="G1015" s="362">
        <f>E1015*F1015</f>
        <v>1373.93</v>
      </c>
    </row>
    <row r="1016" customHeight="1" spans="1:7">
      <c r="A1016" s="47"/>
      <c r="B1016" s="361" t="s">
        <v>298</v>
      </c>
      <c r="C1016" s="361"/>
      <c r="D1016" s="50"/>
      <c r="E1016" s="360">
        <f>G1003+G1012+G1013+G1014+G1015</f>
        <v>16639.86</v>
      </c>
      <c r="F1016" s="368">
        <f>费率!F8</f>
        <v>0.03</v>
      </c>
      <c r="G1016" s="362">
        <f>E1016*F1016</f>
        <v>499.2</v>
      </c>
    </row>
    <row r="1017" customHeight="1" spans="1:7">
      <c r="A1017" s="369"/>
      <c r="B1017" s="370" t="s">
        <v>560</v>
      </c>
      <c r="C1017" s="370"/>
      <c r="D1017" s="370"/>
      <c r="E1017" s="371"/>
      <c r="F1017" s="370"/>
      <c r="G1017" s="372">
        <f>G1003+G1012+G1013+G1014+G1015+G1016</f>
        <v>17139.06</v>
      </c>
    </row>
    <row r="1019" ht="21.6" customHeight="1" spans="1:7">
      <c r="A1019" s="354" t="s">
        <v>274</v>
      </c>
      <c r="B1019" s="354"/>
      <c r="C1019" s="354"/>
      <c r="D1019" s="354"/>
      <c r="E1019" s="354"/>
      <c r="F1019" s="354"/>
      <c r="G1019" s="354"/>
    </row>
    <row r="1020" ht="22.9" customHeight="1" spans="1:7">
      <c r="A1020" s="42" t="s">
        <v>275</v>
      </c>
      <c r="B1020" s="43"/>
      <c r="C1020" s="43" t="s">
        <v>744</v>
      </c>
      <c r="D1020" s="43" t="s">
        <v>276</v>
      </c>
      <c r="E1020" s="355" t="s">
        <v>745</v>
      </c>
      <c r="F1020" s="355"/>
      <c r="G1020" s="356"/>
    </row>
    <row r="1021" ht="22.9" customHeight="1" spans="1:7">
      <c r="A1021" s="47" t="s">
        <v>278</v>
      </c>
      <c r="B1021" s="48"/>
      <c r="C1021" s="49" t="s">
        <v>610</v>
      </c>
      <c r="D1021" s="49"/>
      <c r="E1021" s="49"/>
      <c r="F1021" s="50" t="s">
        <v>280</v>
      </c>
      <c r="G1021" s="51" t="s">
        <v>158</v>
      </c>
    </row>
    <row r="1022" ht="22.9" customHeight="1" spans="1:7">
      <c r="A1022" s="358" t="s">
        <v>611</v>
      </c>
      <c r="B1022" s="49"/>
      <c r="C1022" s="49"/>
      <c r="D1022" s="49"/>
      <c r="E1022" s="49"/>
      <c r="F1022" s="49"/>
      <c r="G1022" s="359"/>
    </row>
    <row r="1023" ht="22.9" customHeight="1" spans="1:7">
      <c r="A1023" s="52" t="s">
        <v>612</v>
      </c>
      <c r="B1023" s="53"/>
      <c r="C1023" s="54"/>
      <c r="D1023" s="54"/>
      <c r="E1023" s="54"/>
      <c r="F1023" s="54"/>
      <c r="G1023" s="55"/>
    </row>
    <row r="1024" ht="22.9" customHeight="1" spans="1:7">
      <c r="A1024" s="47" t="s">
        <v>284</v>
      </c>
      <c r="B1024" s="50" t="s">
        <v>233</v>
      </c>
      <c r="C1024" s="50"/>
      <c r="D1024" s="50" t="s">
        <v>88</v>
      </c>
      <c r="E1024" s="360" t="s">
        <v>130</v>
      </c>
      <c r="F1024" s="50" t="s">
        <v>285</v>
      </c>
      <c r="G1024" s="51" t="s">
        <v>286</v>
      </c>
    </row>
    <row r="1025" ht="22.9" customHeight="1" spans="1:7">
      <c r="A1025" s="47" t="s">
        <v>9</v>
      </c>
      <c r="B1025" s="361" t="s">
        <v>287</v>
      </c>
      <c r="C1025" s="361"/>
      <c r="D1025" s="50"/>
      <c r="E1025" s="360"/>
      <c r="F1025" s="360"/>
      <c r="G1025" s="362">
        <f>G1026+G1038</f>
        <v>6639.28</v>
      </c>
    </row>
    <row r="1026" ht="22.9" customHeight="1" spans="1:7">
      <c r="A1026" s="47" t="s">
        <v>132</v>
      </c>
      <c r="B1026" s="361" t="s">
        <v>288</v>
      </c>
      <c r="C1026" s="361"/>
      <c r="D1026" s="50"/>
      <c r="E1026" s="360"/>
      <c r="F1026" s="360"/>
      <c r="G1026" s="362">
        <f>G1027+G1030+G1035</f>
        <v>6335.19</v>
      </c>
    </row>
    <row r="1027" ht="22.9" customHeight="1" spans="1:7">
      <c r="A1027" s="47" t="s">
        <v>39</v>
      </c>
      <c r="B1027" s="361" t="s">
        <v>247</v>
      </c>
      <c r="C1027" s="361"/>
      <c r="D1027" s="50"/>
      <c r="E1027" s="360"/>
      <c r="F1027" s="360"/>
      <c r="G1027" s="362">
        <f>SUM(G1028:G1029)</f>
        <v>1046.18</v>
      </c>
    </row>
    <row r="1028" ht="22.9" customHeight="1" spans="1:7">
      <c r="A1028" s="47"/>
      <c r="B1028" s="361" t="s">
        <v>289</v>
      </c>
      <c r="C1028" s="361"/>
      <c r="D1028" s="50" t="s">
        <v>290</v>
      </c>
      <c r="E1028" s="363">
        <v>103.3</v>
      </c>
      <c r="F1028" s="360">
        <f>人工!D4</f>
        <v>8.1</v>
      </c>
      <c r="G1028" s="362">
        <f>E1028*F1028</f>
        <v>836.73</v>
      </c>
    </row>
    <row r="1029" ht="22.9" customHeight="1" spans="1:7">
      <c r="A1029" s="47"/>
      <c r="B1029" s="361" t="s">
        <v>291</v>
      </c>
      <c r="C1029" s="361"/>
      <c r="D1029" s="50" t="s">
        <v>290</v>
      </c>
      <c r="E1029" s="363">
        <v>36.3</v>
      </c>
      <c r="F1029" s="360">
        <f>人工!D5</f>
        <v>5.77</v>
      </c>
      <c r="G1029" s="362">
        <f>E1029*F1029</f>
        <v>209.45</v>
      </c>
    </row>
    <row r="1030" ht="22.9" customHeight="1" spans="1:7">
      <c r="A1030" s="47" t="s">
        <v>41</v>
      </c>
      <c r="B1030" s="361" t="s">
        <v>248</v>
      </c>
      <c r="C1030" s="361"/>
      <c r="D1030" s="50"/>
      <c r="E1030" s="360"/>
      <c r="F1030" s="360"/>
      <c r="G1030" s="362">
        <f>SUM(G1031:G1034)</f>
        <v>5108.55</v>
      </c>
    </row>
    <row r="1031" ht="22.9" customHeight="1" spans="1:7">
      <c r="A1031" s="47"/>
      <c r="B1031" s="361" t="s">
        <v>746</v>
      </c>
      <c r="C1031" s="361"/>
      <c r="D1031" s="50" t="s">
        <v>158</v>
      </c>
      <c r="E1031" s="360">
        <v>1.02</v>
      </c>
      <c r="F1031" s="360">
        <v>4791</v>
      </c>
      <c r="G1031" s="362">
        <f>E1031*F1031</f>
        <v>4886.82</v>
      </c>
    </row>
    <row r="1032" ht="22.9" customHeight="1" spans="1:7">
      <c r="A1032" s="47"/>
      <c r="B1032" s="361" t="s">
        <v>583</v>
      </c>
      <c r="C1032" s="361"/>
      <c r="D1032" s="50" t="s">
        <v>323</v>
      </c>
      <c r="E1032" s="360">
        <v>1.01</v>
      </c>
      <c r="F1032" s="360">
        <v>4.56</v>
      </c>
      <c r="G1032" s="362">
        <f>E1032*F1032</f>
        <v>4.61</v>
      </c>
    </row>
    <row r="1033" ht="22.9" customHeight="1" spans="1:7">
      <c r="A1033" s="47"/>
      <c r="B1033" s="361" t="s">
        <v>552</v>
      </c>
      <c r="C1033" s="361"/>
      <c r="D1033" s="50" t="s">
        <v>323</v>
      </c>
      <c r="E1033" s="360">
        <v>36</v>
      </c>
      <c r="F1033" s="360">
        <v>5.97</v>
      </c>
      <c r="G1033" s="362">
        <f>E1033*F1033</f>
        <v>214.92</v>
      </c>
    </row>
    <row r="1034" ht="22.9" customHeight="1" spans="1:7">
      <c r="A1034" s="47"/>
      <c r="B1034" s="361" t="s">
        <v>397</v>
      </c>
      <c r="C1034" s="361"/>
      <c r="D1034" s="50" t="s">
        <v>293</v>
      </c>
      <c r="E1034" s="360">
        <v>1</v>
      </c>
      <c r="F1034" s="360">
        <f>SUM(G1032:G1033)</f>
        <v>219.53</v>
      </c>
      <c r="G1034" s="362">
        <f>E1034*F1034/100</f>
        <v>2.2</v>
      </c>
    </row>
    <row r="1035" ht="22.9" customHeight="1" spans="1:7">
      <c r="A1035" s="47" t="s">
        <v>46</v>
      </c>
      <c r="B1035" s="361" t="s">
        <v>314</v>
      </c>
      <c r="C1035" s="361"/>
      <c r="D1035" s="50"/>
      <c r="E1035" s="360"/>
      <c r="F1035" s="360"/>
      <c r="G1035" s="362">
        <f>SUM(G1036:G1037)</f>
        <v>180.46</v>
      </c>
    </row>
    <row r="1036" ht="22.9" customHeight="1" spans="1:7">
      <c r="A1036" s="47"/>
      <c r="B1036" s="361" t="s">
        <v>618</v>
      </c>
      <c r="C1036" s="361"/>
      <c r="D1036" s="50" t="s">
        <v>316</v>
      </c>
      <c r="E1036" s="360">
        <v>21.95</v>
      </c>
      <c r="F1036" s="360">
        <f>机械!E47</f>
        <v>8.06</v>
      </c>
      <c r="G1036" s="362">
        <f t="shared" ref="G1036" si="33">E1036*F1036</f>
        <v>176.92</v>
      </c>
    </row>
    <row r="1037" ht="22.9" customHeight="1" spans="1:7">
      <c r="A1037" s="47"/>
      <c r="B1037" s="361" t="s">
        <v>370</v>
      </c>
      <c r="C1037" s="361"/>
      <c r="D1037" s="50" t="s">
        <v>293</v>
      </c>
      <c r="E1037" s="364">
        <v>2</v>
      </c>
      <c r="F1037" s="360">
        <f>SUM(G1036:G1036)</f>
        <v>176.92</v>
      </c>
      <c r="G1037" s="362">
        <f>E1037*F1037/100</f>
        <v>3.54</v>
      </c>
    </row>
    <row r="1038" ht="22.9" customHeight="1" spans="1:7">
      <c r="A1038" s="47" t="s">
        <v>133</v>
      </c>
      <c r="B1038" s="361" t="s">
        <v>294</v>
      </c>
      <c r="C1038" s="361"/>
      <c r="D1038" s="50"/>
      <c r="E1038" s="365">
        <f>G1026</f>
        <v>6335.19</v>
      </c>
      <c r="F1038" s="366">
        <f>费率!G4</f>
        <v>0.048</v>
      </c>
      <c r="G1038" s="362">
        <f>E1038*F1038</f>
        <v>304.09</v>
      </c>
    </row>
    <row r="1039" ht="22.9" customHeight="1" spans="1:7">
      <c r="A1039" s="47" t="s">
        <v>14</v>
      </c>
      <c r="B1039" s="361" t="s">
        <v>295</v>
      </c>
      <c r="C1039" s="361"/>
      <c r="D1039" s="50"/>
      <c r="E1039" s="360">
        <f>G1025</f>
        <v>6639.28</v>
      </c>
      <c r="F1039" s="366">
        <f>费率!G5</f>
        <v>0.05</v>
      </c>
      <c r="G1039" s="362">
        <f>E1039*F1039</f>
        <v>331.96</v>
      </c>
    </row>
    <row r="1040" ht="22.9" customHeight="1" spans="1:7">
      <c r="A1040" s="47" t="s">
        <v>16</v>
      </c>
      <c r="B1040" s="361" t="s">
        <v>296</v>
      </c>
      <c r="C1040" s="361"/>
      <c r="D1040" s="50"/>
      <c r="E1040" s="360">
        <f>G1025+G1039</f>
        <v>6971.24</v>
      </c>
      <c r="F1040" s="366">
        <f>费率!G6</f>
        <v>0.07</v>
      </c>
      <c r="G1040" s="362">
        <f>E1040*F1040</f>
        <v>487.99</v>
      </c>
    </row>
    <row r="1041" ht="22.9" customHeight="1" spans="1:7">
      <c r="A1041" s="47" t="s">
        <v>18</v>
      </c>
      <c r="B1041" s="361" t="s">
        <v>254</v>
      </c>
      <c r="C1041" s="361"/>
      <c r="D1041" s="50"/>
      <c r="E1041" s="360"/>
      <c r="F1041" s="366"/>
      <c r="G1041" s="362">
        <v>0</v>
      </c>
    </row>
    <row r="1042" ht="22.9" customHeight="1" spans="1:7">
      <c r="A1042" s="47" t="s">
        <v>20</v>
      </c>
      <c r="B1042" s="361" t="s">
        <v>297</v>
      </c>
      <c r="C1042" s="361"/>
      <c r="D1042" s="50"/>
      <c r="E1042" s="360">
        <f>G1025+G1039++G1040+G1041</f>
        <v>7459.23</v>
      </c>
      <c r="F1042" s="366">
        <f>费率!G7</f>
        <v>0.09</v>
      </c>
      <c r="G1042" s="362">
        <f>E1042*F1042</f>
        <v>671.33</v>
      </c>
    </row>
    <row r="1043" ht="22.9" customHeight="1" spans="1:7">
      <c r="A1043" s="47"/>
      <c r="B1043" s="361" t="s">
        <v>298</v>
      </c>
      <c r="C1043" s="361"/>
      <c r="D1043" s="50"/>
      <c r="E1043" s="360">
        <f>G1025+G1039+G1040+G1041+G1042</f>
        <v>8130.56</v>
      </c>
      <c r="F1043" s="366">
        <f>费率!G8</f>
        <v>0.03</v>
      </c>
      <c r="G1043" s="362">
        <f>E1043*F1043</f>
        <v>243.92</v>
      </c>
    </row>
    <row r="1044" ht="22.9" customHeight="1" spans="1:7">
      <c r="A1044" s="369"/>
      <c r="B1044" s="370" t="s">
        <v>560</v>
      </c>
      <c r="C1044" s="370"/>
      <c r="D1044" s="370"/>
      <c r="E1044" s="371"/>
      <c r="F1044" s="370"/>
      <c r="G1044" s="372">
        <f>G1025+G1039+G1040+G1041+G1042+G1043</f>
        <v>8374.48</v>
      </c>
    </row>
    <row r="1045" ht="73.15" customHeight="1"/>
    <row r="1046" ht="19.9" hidden="1" customHeight="1" spans="1:7">
      <c r="A1046" s="354" t="s">
        <v>274</v>
      </c>
      <c r="B1046" s="354"/>
      <c r="C1046" s="354"/>
      <c r="D1046" s="354"/>
      <c r="E1046" s="354"/>
      <c r="F1046" s="354"/>
      <c r="G1046" s="354"/>
    </row>
    <row r="1047" ht="15" hidden="1" customHeight="1" spans="1:7">
      <c r="A1047" s="42" t="s">
        <v>275</v>
      </c>
      <c r="B1047" s="43"/>
      <c r="C1047" s="43" t="s">
        <v>480</v>
      </c>
      <c r="D1047" s="43" t="s">
        <v>276</v>
      </c>
      <c r="E1047" s="355" t="s">
        <v>747</v>
      </c>
      <c r="F1047" s="355"/>
      <c r="G1047" s="356"/>
    </row>
    <row r="1048" ht="15" hidden="1" customHeight="1" spans="1:7">
      <c r="A1048" s="47" t="s">
        <v>278</v>
      </c>
      <c r="B1048" s="48"/>
      <c r="C1048" s="49" t="s">
        <v>690</v>
      </c>
      <c r="D1048" s="49"/>
      <c r="E1048" s="49"/>
      <c r="F1048" s="402" t="s">
        <v>280</v>
      </c>
      <c r="G1048" s="406" t="s">
        <v>281</v>
      </c>
    </row>
    <row r="1049" ht="15" hidden="1" customHeight="1" spans="1:7">
      <c r="A1049" s="358" t="s">
        <v>683</v>
      </c>
      <c r="B1049" s="49"/>
      <c r="C1049" s="49"/>
      <c r="D1049" s="49"/>
      <c r="E1049" s="49"/>
      <c r="F1049" s="49"/>
      <c r="G1049" s="359"/>
    </row>
    <row r="1050" ht="15" hidden="1" customHeight="1" spans="1:7">
      <c r="A1050" s="52" t="s">
        <v>684</v>
      </c>
      <c r="B1050" s="53"/>
      <c r="C1050" s="54"/>
      <c r="D1050" s="54"/>
      <c r="E1050" s="54"/>
      <c r="F1050" s="54"/>
      <c r="G1050" s="55"/>
    </row>
    <row r="1051" ht="15" hidden="1" customHeight="1" spans="1:7">
      <c r="A1051" s="47" t="s">
        <v>284</v>
      </c>
      <c r="B1051" s="50" t="s">
        <v>233</v>
      </c>
      <c r="C1051" s="50"/>
      <c r="D1051" s="50" t="s">
        <v>88</v>
      </c>
      <c r="E1051" s="360" t="s">
        <v>130</v>
      </c>
      <c r="F1051" s="50" t="s">
        <v>285</v>
      </c>
      <c r="G1051" s="51" t="s">
        <v>286</v>
      </c>
    </row>
    <row r="1052" ht="15" hidden="1" customHeight="1" spans="1:7">
      <c r="A1052" s="47" t="s">
        <v>9</v>
      </c>
      <c r="B1052" s="361" t="s">
        <v>287</v>
      </c>
      <c r="C1052" s="361"/>
      <c r="D1052" s="50"/>
      <c r="E1052" s="360"/>
      <c r="F1052" s="360"/>
      <c r="G1052" s="362">
        <f>G1053+G1063</f>
        <v>13831.42</v>
      </c>
    </row>
    <row r="1053" ht="15" hidden="1" customHeight="1" spans="1:7">
      <c r="A1053" s="47" t="s">
        <v>132</v>
      </c>
      <c r="B1053" s="361" t="s">
        <v>288</v>
      </c>
      <c r="C1053" s="361"/>
      <c r="D1053" s="50"/>
      <c r="E1053" s="360"/>
      <c r="F1053" s="360"/>
      <c r="G1053" s="362">
        <f>G1054+G1057+G1060</f>
        <v>13197.92</v>
      </c>
    </row>
    <row r="1054" ht="15" hidden="1" customHeight="1" spans="1:7">
      <c r="A1054" s="47" t="s">
        <v>39</v>
      </c>
      <c r="B1054" s="361" t="s">
        <v>247</v>
      </c>
      <c r="C1054" s="361"/>
      <c r="D1054" s="50"/>
      <c r="E1054" s="360"/>
      <c r="F1054" s="360"/>
      <c r="G1054" s="362">
        <f>SUM(G1055:G1056)</f>
        <v>9176.43</v>
      </c>
    </row>
    <row r="1055" ht="15" hidden="1" customHeight="1" spans="1:7">
      <c r="A1055" s="47"/>
      <c r="B1055" s="361" t="s">
        <v>289</v>
      </c>
      <c r="C1055" s="361"/>
      <c r="D1055" s="50" t="s">
        <v>290</v>
      </c>
      <c r="E1055" s="360">
        <v>867.9</v>
      </c>
      <c r="F1055" s="360">
        <f>人工!D4</f>
        <v>8.1</v>
      </c>
      <c r="G1055" s="362">
        <f>E1055*F1055</f>
        <v>7029.99</v>
      </c>
    </row>
    <row r="1056" ht="15" hidden="1" customHeight="1" spans="1:7">
      <c r="A1056" s="47"/>
      <c r="B1056" s="361" t="s">
        <v>291</v>
      </c>
      <c r="C1056" s="361"/>
      <c r="D1056" s="50" t="s">
        <v>290</v>
      </c>
      <c r="E1056" s="360">
        <v>372</v>
      </c>
      <c r="F1056" s="360">
        <f>人工!D5</f>
        <v>5.77</v>
      </c>
      <c r="G1056" s="362">
        <f>E1056*F1056</f>
        <v>2146.44</v>
      </c>
    </row>
    <row r="1057" ht="15" hidden="1" customHeight="1" spans="1:7">
      <c r="A1057" s="47" t="s">
        <v>41</v>
      </c>
      <c r="B1057" s="361" t="s">
        <v>248</v>
      </c>
      <c r="C1057" s="361"/>
      <c r="D1057" s="50"/>
      <c r="E1057" s="360"/>
      <c r="F1057" s="360"/>
      <c r="G1057" s="362">
        <f>SUM(G1058:G1059)</f>
        <v>3862.72</v>
      </c>
    </row>
    <row r="1058" ht="15" hidden="1" customHeight="1" spans="1:7">
      <c r="A1058" s="429"/>
      <c r="B1058" s="421" t="s">
        <v>686</v>
      </c>
      <c r="C1058" s="421"/>
      <c r="D1058" s="416" t="s">
        <v>395</v>
      </c>
      <c r="E1058" s="360">
        <v>21.7</v>
      </c>
      <c r="F1058" s="416">
        <f>混凝土单价!M6</f>
        <v>177.12</v>
      </c>
      <c r="G1058" s="430">
        <f>E1058*F1058</f>
        <v>3843.5</v>
      </c>
    </row>
    <row r="1059" ht="15" hidden="1" customHeight="1" spans="1:7">
      <c r="A1059" s="429"/>
      <c r="B1059" s="421" t="s">
        <v>397</v>
      </c>
      <c r="C1059" s="421"/>
      <c r="D1059" s="416" t="s">
        <v>293</v>
      </c>
      <c r="E1059" s="419">
        <v>0.005</v>
      </c>
      <c r="F1059" s="416">
        <f>SUM(G1058:G1058)</f>
        <v>3843.5</v>
      </c>
      <c r="G1059" s="430">
        <f>E1059*F1059</f>
        <v>19.22</v>
      </c>
    </row>
    <row r="1060" ht="15" hidden="1" customHeight="1" spans="1:7">
      <c r="A1060" s="431">
        <v>3</v>
      </c>
      <c r="B1060" s="421" t="s">
        <v>464</v>
      </c>
      <c r="C1060" s="421"/>
      <c r="D1060" s="416"/>
      <c r="E1060" s="416"/>
      <c r="F1060" s="416"/>
      <c r="G1060" s="430">
        <f>SUM(G1061:G1062)</f>
        <v>158.77</v>
      </c>
    </row>
    <row r="1061" ht="15" hidden="1" customHeight="1" spans="1:7">
      <c r="A1061" s="429"/>
      <c r="B1061" s="421" t="s">
        <v>673</v>
      </c>
      <c r="C1061" s="421"/>
      <c r="D1061" s="416" t="s">
        <v>316</v>
      </c>
      <c r="E1061" s="360">
        <v>2.56</v>
      </c>
      <c r="F1061" s="416">
        <f>机械!E16</f>
        <v>23.75</v>
      </c>
      <c r="G1061" s="430">
        <f>E1061*F1061</f>
        <v>60.8</v>
      </c>
    </row>
    <row r="1062" ht="15" hidden="1" customHeight="1" spans="1:7">
      <c r="A1062" s="429"/>
      <c r="B1062" s="421" t="s">
        <v>472</v>
      </c>
      <c r="C1062" s="421"/>
      <c r="D1062" s="416" t="s">
        <v>316</v>
      </c>
      <c r="E1062" s="360">
        <v>119.47</v>
      </c>
      <c r="F1062" s="416">
        <f>机械!E29</f>
        <v>0.82</v>
      </c>
      <c r="G1062" s="430">
        <f>E1062*F1062</f>
        <v>97.97</v>
      </c>
    </row>
    <row r="1063" ht="15" hidden="1" customHeight="1" spans="1:7">
      <c r="A1063" s="431" t="s">
        <v>133</v>
      </c>
      <c r="B1063" s="421" t="s">
        <v>294</v>
      </c>
      <c r="C1063" s="421"/>
      <c r="D1063" s="416"/>
      <c r="E1063" s="360">
        <f>G1053</f>
        <v>13197.92</v>
      </c>
      <c r="F1063" s="435">
        <f>费率!E4</f>
        <v>0.048</v>
      </c>
      <c r="G1063" s="430">
        <f>E1063*F1063</f>
        <v>633.5</v>
      </c>
    </row>
    <row r="1064" ht="15" hidden="1" customHeight="1" spans="1:7">
      <c r="A1064" s="47" t="s">
        <v>14</v>
      </c>
      <c r="B1064" s="361" t="s">
        <v>295</v>
      </c>
      <c r="C1064" s="361"/>
      <c r="D1064" s="50"/>
      <c r="E1064" s="360">
        <f>G1052</f>
        <v>13831.42</v>
      </c>
      <c r="F1064" s="435">
        <f>费率!E5</f>
        <v>0.085</v>
      </c>
      <c r="G1064" s="362">
        <f>E1064*F1064</f>
        <v>1175.67</v>
      </c>
    </row>
    <row r="1065" ht="15" hidden="1" customHeight="1" spans="1:7">
      <c r="A1065" s="47" t="s">
        <v>16</v>
      </c>
      <c r="B1065" s="361" t="s">
        <v>296</v>
      </c>
      <c r="C1065" s="361"/>
      <c r="D1065" s="50"/>
      <c r="E1065" s="360">
        <f>G1052+G1064</f>
        <v>15007.09</v>
      </c>
      <c r="F1065" s="435">
        <f>费率!E6</f>
        <v>0.07</v>
      </c>
      <c r="G1065" s="362">
        <f>E1065*F1065</f>
        <v>1050.5</v>
      </c>
    </row>
    <row r="1066" ht="15" hidden="1" customHeight="1" spans="1:7">
      <c r="A1066" s="429" t="s">
        <v>18</v>
      </c>
      <c r="B1066" s="421" t="s">
        <v>466</v>
      </c>
      <c r="C1066" s="421"/>
      <c r="D1066" s="416"/>
      <c r="E1066" s="416"/>
      <c r="F1066" s="416"/>
      <c r="G1066" s="430">
        <f>SUM(G1067:G1068)</f>
        <v>1573.04</v>
      </c>
    </row>
    <row r="1067" ht="15" hidden="1" customHeight="1" spans="1:7">
      <c r="A1067" s="429"/>
      <c r="B1067" s="416" t="s">
        <v>405</v>
      </c>
      <c r="C1067" s="416"/>
      <c r="D1067" s="416" t="s">
        <v>158</v>
      </c>
      <c r="E1067" s="416">
        <f>混凝土单价!E10*E1058</f>
        <v>4.86</v>
      </c>
      <c r="F1067" s="416">
        <f>主材!N6</f>
        <v>135.66</v>
      </c>
      <c r="G1067" s="430">
        <f t="shared" ref="G1067:G1070" si="34">E1067*F1067</f>
        <v>659.31</v>
      </c>
    </row>
    <row r="1068" ht="15" hidden="1" customHeight="1" spans="1:7">
      <c r="A1068" s="429"/>
      <c r="B1068" s="416" t="s">
        <v>396</v>
      </c>
      <c r="C1068" s="416"/>
      <c r="D1068" s="416" t="s">
        <v>395</v>
      </c>
      <c r="E1068" s="416">
        <f>E1058*混凝土单价!G10</f>
        <v>24.09</v>
      </c>
      <c r="F1068" s="416">
        <f>主材!N9</f>
        <v>37.93</v>
      </c>
      <c r="G1068" s="430">
        <f t="shared" si="34"/>
        <v>913.73</v>
      </c>
    </row>
    <row r="1069" ht="15" hidden="1" customHeight="1" spans="1:7">
      <c r="A1069" s="47" t="s">
        <v>20</v>
      </c>
      <c r="B1069" s="361" t="s">
        <v>297</v>
      </c>
      <c r="C1069" s="361"/>
      <c r="D1069" s="50"/>
      <c r="E1069" s="360">
        <f>G1066+G1065+G1064+G1052</f>
        <v>17630.63</v>
      </c>
      <c r="F1069" s="366">
        <f>费率!E7</f>
        <v>0.09</v>
      </c>
      <c r="G1069" s="362">
        <f t="shared" si="34"/>
        <v>1586.76</v>
      </c>
    </row>
    <row r="1070" ht="15" hidden="1" customHeight="1" spans="1:7">
      <c r="A1070" s="47"/>
      <c r="B1070" s="361" t="s">
        <v>675</v>
      </c>
      <c r="C1070" s="361"/>
      <c r="D1070" s="50"/>
      <c r="E1070" s="360">
        <f>G1069</f>
        <v>1586.76</v>
      </c>
      <c r="F1070" s="456">
        <f>费率!E8</f>
        <v>0.03</v>
      </c>
      <c r="G1070" s="362">
        <f t="shared" si="34"/>
        <v>47.6</v>
      </c>
    </row>
    <row r="1071" ht="15" hidden="1" customHeight="1" spans="1:7">
      <c r="A1071" s="369"/>
      <c r="B1071" s="370" t="s">
        <v>560</v>
      </c>
      <c r="C1071" s="370"/>
      <c r="D1071" s="370"/>
      <c r="E1071" s="371"/>
      <c r="F1071" s="370"/>
      <c r="G1071" s="372">
        <f>G1070+E1069+G1069</f>
        <v>19264.99</v>
      </c>
    </row>
    <row r="1072" hidden="1" customHeight="1"/>
    <row r="1073" ht="17.45" hidden="1" customHeight="1" spans="1:7">
      <c r="A1073" s="354" t="s">
        <v>274</v>
      </c>
      <c r="B1073" s="354"/>
      <c r="C1073" s="354"/>
      <c r="D1073" s="354"/>
      <c r="E1073" s="354"/>
      <c r="F1073" s="354"/>
      <c r="G1073" s="354"/>
    </row>
    <row r="1074" ht="15.4" hidden="1" customHeight="1" spans="1:7">
      <c r="A1074" s="42" t="s">
        <v>275</v>
      </c>
      <c r="B1074" s="43"/>
      <c r="C1074" s="43" t="s">
        <v>474</v>
      </c>
      <c r="D1074" s="43" t="s">
        <v>276</v>
      </c>
      <c r="E1074" s="355" t="s">
        <v>748</v>
      </c>
      <c r="F1074" s="355"/>
      <c r="G1074" s="356"/>
    </row>
    <row r="1075" ht="15.4" hidden="1" customHeight="1" spans="1:7">
      <c r="A1075" s="47" t="s">
        <v>278</v>
      </c>
      <c r="B1075" s="48"/>
      <c r="C1075" s="49" t="s">
        <v>749</v>
      </c>
      <c r="D1075" s="49"/>
      <c r="E1075" s="49"/>
      <c r="F1075" s="50" t="s">
        <v>280</v>
      </c>
      <c r="G1075" s="51" t="s">
        <v>644</v>
      </c>
    </row>
    <row r="1076" ht="15.4" hidden="1" customHeight="1" spans="1:7">
      <c r="A1076" s="358" t="s">
        <v>645</v>
      </c>
      <c r="B1076" s="49"/>
      <c r="C1076" s="49"/>
      <c r="D1076" s="49"/>
      <c r="E1076" s="49"/>
      <c r="F1076" s="49"/>
      <c r="G1076" s="359"/>
    </row>
    <row r="1077" ht="15.4" hidden="1" customHeight="1" spans="1:7">
      <c r="A1077" s="52" t="s">
        <v>646</v>
      </c>
      <c r="B1077" s="53"/>
      <c r="C1077" s="54"/>
      <c r="D1077" s="54"/>
      <c r="E1077" s="54"/>
      <c r="F1077" s="54"/>
      <c r="G1077" s="55"/>
    </row>
    <row r="1078" ht="15.4" hidden="1" customHeight="1" spans="1:7">
      <c r="A1078" s="47" t="s">
        <v>284</v>
      </c>
      <c r="B1078" s="50" t="s">
        <v>233</v>
      </c>
      <c r="C1078" s="50"/>
      <c r="D1078" s="50" t="s">
        <v>88</v>
      </c>
      <c r="E1078" s="360" t="s">
        <v>130</v>
      </c>
      <c r="F1078" s="50" t="s">
        <v>285</v>
      </c>
      <c r="G1078" s="51" t="s">
        <v>286</v>
      </c>
    </row>
    <row r="1079" ht="15.4" hidden="1" customHeight="1" spans="1:7">
      <c r="A1079" s="47" t="s">
        <v>9</v>
      </c>
      <c r="B1079" s="361" t="s">
        <v>287</v>
      </c>
      <c r="C1079" s="361"/>
      <c r="D1079" s="50"/>
      <c r="E1079" s="360"/>
      <c r="F1079" s="360"/>
      <c r="G1079" s="362">
        <f>G1080+G1089</f>
        <v>13283.55</v>
      </c>
    </row>
    <row r="1080" ht="15.4" hidden="1" customHeight="1" spans="1:7">
      <c r="A1080" s="47" t="s">
        <v>132</v>
      </c>
      <c r="B1080" s="361" t="s">
        <v>288</v>
      </c>
      <c r="C1080" s="361"/>
      <c r="D1080" s="50"/>
      <c r="E1080" s="360"/>
      <c r="F1080" s="360"/>
      <c r="G1080" s="362">
        <f>G1081+G1084+G1088</f>
        <v>12675.14</v>
      </c>
    </row>
    <row r="1081" ht="15.4" hidden="1" customHeight="1" spans="1:7">
      <c r="A1081" s="47" t="s">
        <v>39</v>
      </c>
      <c r="B1081" s="361" t="s">
        <v>247</v>
      </c>
      <c r="C1081" s="361"/>
      <c r="D1081" s="50"/>
      <c r="E1081" s="360"/>
      <c r="F1081" s="360"/>
      <c r="G1081" s="362">
        <f>SUM(G1082:G1083)</f>
        <v>5288.39</v>
      </c>
    </row>
    <row r="1082" ht="15.4" hidden="1" customHeight="1" spans="1:7">
      <c r="A1082" s="47"/>
      <c r="B1082" s="361" t="s">
        <v>289</v>
      </c>
      <c r="C1082" s="361"/>
      <c r="D1082" s="50" t="s">
        <v>290</v>
      </c>
      <c r="E1082" s="363">
        <v>44.9</v>
      </c>
      <c r="F1082" s="360">
        <f>人工!D4</f>
        <v>8.1</v>
      </c>
      <c r="G1082" s="362">
        <f>E1082*F1082</f>
        <v>363.69</v>
      </c>
    </row>
    <row r="1083" ht="15.4" hidden="1" customHeight="1" spans="1:7">
      <c r="A1083" s="47"/>
      <c r="B1083" s="361" t="s">
        <v>291</v>
      </c>
      <c r="C1083" s="361"/>
      <c r="D1083" s="50" t="s">
        <v>290</v>
      </c>
      <c r="E1083" s="363">
        <v>853.5</v>
      </c>
      <c r="F1083" s="360">
        <f>人工!D5</f>
        <v>5.77</v>
      </c>
      <c r="G1083" s="362">
        <f>E1083*F1083</f>
        <v>4924.7</v>
      </c>
    </row>
    <row r="1084" ht="15.4" hidden="1" customHeight="1" spans="1:7">
      <c r="A1084" s="47" t="s">
        <v>41</v>
      </c>
      <c r="B1084" s="361" t="s">
        <v>248</v>
      </c>
      <c r="C1084" s="361"/>
      <c r="D1084" s="50"/>
      <c r="E1084" s="360"/>
      <c r="F1084" s="360"/>
      <c r="G1084" s="362">
        <f>SUM(G1085:G1087)</f>
        <v>7386.75</v>
      </c>
    </row>
    <row r="1085" ht="15.4" hidden="1" customHeight="1" spans="1:7">
      <c r="A1085" s="47"/>
      <c r="B1085" s="361" t="s">
        <v>750</v>
      </c>
      <c r="C1085" s="361"/>
      <c r="D1085" s="50" t="s">
        <v>395</v>
      </c>
      <c r="E1085" s="360">
        <v>105</v>
      </c>
      <c r="F1085" s="360">
        <f>主材!M10</f>
        <v>70</v>
      </c>
      <c r="G1085" s="362">
        <f>E1085*F1085</f>
        <v>7350</v>
      </c>
    </row>
    <row r="1086" hidden="1" customHeight="1" spans="1:7">
      <c r="A1086" s="47"/>
      <c r="B1086" s="361" t="s">
        <v>647</v>
      </c>
      <c r="C1086" s="361"/>
      <c r="D1086" s="50" t="s">
        <v>395</v>
      </c>
      <c r="E1086" s="360">
        <f>50-8*2.5</f>
        <v>30</v>
      </c>
      <c r="F1086" s="360">
        <v>0</v>
      </c>
      <c r="G1086" s="362">
        <f>E1086*F1086</f>
        <v>0</v>
      </c>
    </row>
    <row r="1087" ht="15" hidden="1" customHeight="1" spans="1:7">
      <c r="A1087" s="47"/>
      <c r="B1087" s="361" t="s">
        <v>397</v>
      </c>
      <c r="C1087" s="361"/>
      <c r="D1087" s="50" t="s">
        <v>293</v>
      </c>
      <c r="E1087" s="363">
        <v>0.5</v>
      </c>
      <c r="F1087" s="360">
        <f>SUM(G1085:G1086)</f>
        <v>7350</v>
      </c>
      <c r="G1087" s="362">
        <f>E1087*F1087/100</f>
        <v>36.75</v>
      </c>
    </row>
    <row r="1088" ht="15" hidden="1" customHeight="1" spans="1:7">
      <c r="A1088" s="47" t="s">
        <v>46</v>
      </c>
      <c r="B1088" s="361" t="s">
        <v>314</v>
      </c>
      <c r="C1088" s="361"/>
      <c r="D1088" s="50"/>
      <c r="E1088" s="360"/>
      <c r="F1088" s="360"/>
      <c r="G1088" s="362"/>
    </row>
    <row r="1089" ht="15" hidden="1" customHeight="1" spans="1:7">
      <c r="A1089" s="47" t="s">
        <v>133</v>
      </c>
      <c r="B1089" s="361" t="s">
        <v>294</v>
      </c>
      <c r="C1089" s="361"/>
      <c r="D1089" s="50"/>
      <c r="E1089" s="365">
        <f>G1080</f>
        <v>12675.14</v>
      </c>
      <c r="F1089" s="366">
        <f>费率!J4</f>
        <v>0.048</v>
      </c>
      <c r="G1089" s="362">
        <f>E1089*F1089</f>
        <v>608.41</v>
      </c>
    </row>
    <row r="1090" ht="15" hidden="1" customHeight="1" spans="1:7">
      <c r="A1090" s="47" t="s">
        <v>14</v>
      </c>
      <c r="B1090" s="361" t="s">
        <v>295</v>
      </c>
      <c r="C1090" s="361"/>
      <c r="D1090" s="50"/>
      <c r="E1090" s="360">
        <f>G1081</f>
        <v>5288.39</v>
      </c>
      <c r="F1090" s="456">
        <f>费率!J5</f>
        <v>0.073</v>
      </c>
      <c r="G1090" s="362">
        <f>E1090*F1090</f>
        <v>386.05</v>
      </c>
    </row>
    <row r="1091" ht="15" hidden="1" customHeight="1" spans="1:7">
      <c r="A1091" s="47" t="s">
        <v>16</v>
      </c>
      <c r="B1091" s="361" t="s">
        <v>296</v>
      </c>
      <c r="C1091" s="361"/>
      <c r="D1091" s="50"/>
      <c r="E1091" s="360">
        <f>G1079+G1090</f>
        <v>13669.6</v>
      </c>
      <c r="F1091" s="456">
        <f>费率!J6</f>
        <v>0.07</v>
      </c>
      <c r="G1091" s="362">
        <f>E1091*F1091</f>
        <v>956.87</v>
      </c>
    </row>
    <row r="1092" ht="15" hidden="1" customHeight="1" spans="1:7">
      <c r="A1092" s="47" t="s">
        <v>18</v>
      </c>
      <c r="B1092" s="361" t="s">
        <v>254</v>
      </c>
      <c r="C1092" s="361"/>
      <c r="D1092" s="50"/>
      <c r="E1092" s="360"/>
      <c r="F1092" s="366"/>
      <c r="G1092" s="362">
        <f>G1095</f>
        <v>738.15</v>
      </c>
    </row>
    <row r="1093" ht="15" hidden="1" customHeight="1" spans="1:7">
      <c r="A1093" s="47"/>
      <c r="B1093" s="361" t="s">
        <v>396</v>
      </c>
      <c r="C1093" s="361"/>
      <c r="D1093" s="50" t="s">
        <v>395</v>
      </c>
      <c r="E1093" s="360" t="e">
        <f>#REF!</f>
        <v>#REF!</v>
      </c>
      <c r="F1093" s="366"/>
      <c r="G1093" s="362" t="e">
        <f>E1093*F1093</f>
        <v>#REF!</v>
      </c>
    </row>
    <row r="1094" ht="15" hidden="1" customHeight="1" spans="1:7">
      <c r="A1094" s="47"/>
      <c r="B1094" s="361" t="s">
        <v>394</v>
      </c>
      <c r="C1094" s="361"/>
      <c r="D1094" s="50" t="s">
        <v>395</v>
      </c>
      <c r="E1094" s="360">
        <f>E1085</f>
        <v>105</v>
      </c>
      <c r="F1094" s="401"/>
      <c r="G1094" s="362">
        <f>E1094*F1094</f>
        <v>0</v>
      </c>
    </row>
    <row r="1095" ht="15" hidden="1" customHeight="1" spans="1:7">
      <c r="A1095" s="47"/>
      <c r="B1095" s="361" t="s">
        <v>750</v>
      </c>
      <c r="C1095" s="361"/>
      <c r="D1095" s="50" t="s">
        <v>395</v>
      </c>
      <c r="E1095" s="360">
        <f>E1085</f>
        <v>105</v>
      </c>
      <c r="F1095" s="401">
        <f>主材!N10</f>
        <v>7.03</v>
      </c>
      <c r="G1095" s="362">
        <f>E1095*F1095</f>
        <v>738.15</v>
      </c>
    </row>
    <row r="1096" ht="15" hidden="1" customHeight="1" spans="1:7">
      <c r="A1096" s="47" t="s">
        <v>20</v>
      </c>
      <c r="B1096" s="361" t="s">
        <v>297</v>
      </c>
      <c r="C1096" s="361"/>
      <c r="D1096" s="50"/>
      <c r="E1096" s="360">
        <f>G1079+G1090++G1091+G1092</f>
        <v>15364.62</v>
      </c>
      <c r="F1096" s="366">
        <f>费率!J7</f>
        <v>0.09</v>
      </c>
      <c r="G1096" s="362">
        <f>E1096*F1096</f>
        <v>1382.82</v>
      </c>
    </row>
    <row r="1097" ht="15" hidden="1" customHeight="1" spans="1:7">
      <c r="A1097" s="47"/>
      <c r="B1097" s="361" t="s">
        <v>298</v>
      </c>
      <c r="C1097" s="361"/>
      <c r="D1097" s="50"/>
      <c r="E1097" s="360">
        <f>G1079+G1090+G1091+G1092+G1096</f>
        <v>16747.44</v>
      </c>
      <c r="F1097" s="456">
        <f>费率!J8</f>
        <v>0.03</v>
      </c>
      <c r="G1097" s="362">
        <f>E1097*F1097</f>
        <v>502.42</v>
      </c>
    </row>
    <row r="1098" ht="15" hidden="1" customHeight="1" spans="1:7">
      <c r="A1098" s="369"/>
      <c r="B1098" s="370" t="s">
        <v>560</v>
      </c>
      <c r="C1098" s="370"/>
      <c r="D1098" s="370"/>
      <c r="E1098" s="371"/>
      <c r="F1098" s="370"/>
      <c r="G1098" s="372">
        <f>G1079+G1090+G1091+G1092+G1096+G1097</f>
        <v>17249.86</v>
      </c>
    </row>
    <row r="1099" hidden="1" customHeight="1"/>
    <row r="1100" ht="23.45" customHeight="1" spans="1:7">
      <c r="A1100" s="41" t="s">
        <v>274</v>
      </c>
      <c r="B1100" s="41"/>
      <c r="C1100" s="41"/>
      <c r="D1100" s="41"/>
      <c r="E1100" s="41"/>
      <c r="F1100" s="41"/>
      <c r="G1100" s="41"/>
    </row>
    <row r="1101" ht="19.15" customHeight="1" spans="1:7">
      <c r="A1101" s="42" t="s">
        <v>275</v>
      </c>
      <c r="B1101" s="43"/>
      <c r="C1101" s="43" t="s">
        <v>751</v>
      </c>
      <c r="D1101" s="43" t="s">
        <v>276</v>
      </c>
      <c r="E1101" s="355" t="s">
        <v>752</v>
      </c>
      <c r="F1101" s="355"/>
      <c r="G1101" s="356"/>
    </row>
    <row r="1102" ht="19.15" customHeight="1" spans="1:7">
      <c r="A1102" s="47" t="s">
        <v>278</v>
      </c>
      <c r="B1102" s="48"/>
      <c r="C1102" s="49" t="s">
        <v>753</v>
      </c>
      <c r="D1102" s="49"/>
      <c r="E1102" s="49"/>
      <c r="F1102" s="50" t="s">
        <v>280</v>
      </c>
      <c r="G1102" s="51" t="s">
        <v>281</v>
      </c>
    </row>
    <row r="1103" ht="19.15" customHeight="1" spans="1:7">
      <c r="A1103" s="52" t="s">
        <v>546</v>
      </c>
      <c r="B1103" s="53"/>
      <c r="C1103" s="54"/>
      <c r="D1103" s="54"/>
      <c r="E1103" s="54"/>
      <c r="F1103" s="54"/>
      <c r="G1103" s="55"/>
    </row>
    <row r="1104" ht="19.15" customHeight="1" spans="1:7">
      <c r="A1104" s="457" t="s">
        <v>284</v>
      </c>
      <c r="B1104" s="65" t="s">
        <v>458</v>
      </c>
      <c r="C1104" s="65"/>
      <c r="D1104" s="65" t="s">
        <v>88</v>
      </c>
      <c r="E1104" s="65" t="s">
        <v>130</v>
      </c>
      <c r="F1104" s="65" t="s">
        <v>90</v>
      </c>
      <c r="G1104" s="458" t="s">
        <v>92</v>
      </c>
    </row>
    <row r="1105" ht="19.15" customHeight="1" spans="1:7">
      <c r="A1105" s="457" t="s">
        <v>9</v>
      </c>
      <c r="B1105" s="65" t="s">
        <v>459</v>
      </c>
      <c r="C1105" s="65"/>
      <c r="D1105" s="65"/>
      <c r="E1105" s="65"/>
      <c r="F1105" s="65"/>
      <c r="G1105" s="458">
        <f>G1106+G1127</f>
        <v>56216.35</v>
      </c>
    </row>
    <row r="1106" ht="19.15" customHeight="1" spans="1:7">
      <c r="A1106" s="457" t="s">
        <v>132</v>
      </c>
      <c r="B1106" s="65" t="s">
        <v>287</v>
      </c>
      <c r="C1106" s="65"/>
      <c r="D1106" s="65"/>
      <c r="E1106" s="65"/>
      <c r="F1106" s="65"/>
      <c r="G1106" s="458">
        <f>G1107+G1110+G1119+G1124</f>
        <v>53641.56</v>
      </c>
    </row>
    <row r="1107" ht="19.15" customHeight="1" spans="1:7">
      <c r="A1107" s="459">
        <v>1</v>
      </c>
      <c r="B1107" s="65" t="s">
        <v>247</v>
      </c>
      <c r="C1107" s="65"/>
      <c r="D1107" s="65"/>
      <c r="E1107" s="65"/>
      <c r="F1107" s="65"/>
      <c r="G1107" s="458">
        <f>SUM(G1108:G1109)</f>
        <v>20520.78</v>
      </c>
    </row>
    <row r="1108" ht="19.15" customHeight="1" spans="1:7">
      <c r="A1108" s="459"/>
      <c r="B1108" s="65" t="s">
        <v>289</v>
      </c>
      <c r="C1108" s="65"/>
      <c r="D1108" s="460" t="s">
        <v>290</v>
      </c>
      <c r="E1108" s="461">
        <v>1940.9</v>
      </c>
      <c r="F1108" s="61">
        <f>人工!D4</f>
        <v>8.1</v>
      </c>
      <c r="G1108" s="458">
        <f>F1108*E1108</f>
        <v>15721.29</v>
      </c>
    </row>
    <row r="1109" ht="19.15" customHeight="1" spans="1:7">
      <c r="A1109" s="459"/>
      <c r="B1109" s="65" t="s">
        <v>291</v>
      </c>
      <c r="C1109" s="65"/>
      <c r="D1109" s="460" t="s">
        <v>290</v>
      </c>
      <c r="E1109" s="461">
        <v>831.8</v>
      </c>
      <c r="F1109" s="61">
        <f>人工!D5</f>
        <v>5.77</v>
      </c>
      <c r="G1109" s="458">
        <f>F1109*E1109</f>
        <v>4799.49</v>
      </c>
    </row>
    <row r="1110" ht="19.15" customHeight="1" spans="1:7">
      <c r="A1110" s="459">
        <v>2</v>
      </c>
      <c r="B1110" s="65" t="s">
        <v>248</v>
      </c>
      <c r="C1110" s="65"/>
      <c r="D1110" s="462"/>
      <c r="E1110" s="463"/>
      <c r="F1110" s="65"/>
      <c r="G1110" s="458">
        <f>SUM(G1111:G1118)</f>
        <v>31613.77</v>
      </c>
    </row>
    <row r="1111" ht="19.15" customHeight="1" spans="1:7">
      <c r="A1111" s="459"/>
      <c r="B1111" s="65" t="s">
        <v>696</v>
      </c>
      <c r="C1111" s="65"/>
      <c r="D1111" s="462" t="s">
        <v>515</v>
      </c>
      <c r="E1111" s="461">
        <v>3.5</v>
      </c>
      <c r="F1111" s="61">
        <f>主材!M7</f>
        <v>2143.4</v>
      </c>
      <c r="G1111" s="458">
        <f t="shared" ref="G1111:G1118" si="35">E1111*F1111</f>
        <v>7501.9</v>
      </c>
    </row>
    <row r="1112" ht="19.15" customHeight="1" spans="1:7">
      <c r="A1112" s="459"/>
      <c r="B1112" s="65" t="s">
        <v>548</v>
      </c>
      <c r="C1112" s="65"/>
      <c r="D1112" s="462" t="s">
        <v>323</v>
      </c>
      <c r="E1112" s="461">
        <v>156.5</v>
      </c>
      <c r="F1112" s="61">
        <v>5</v>
      </c>
      <c r="G1112" s="458">
        <f t="shared" si="35"/>
        <v>782.5</v>
      </c>
    </row>
    <row r="1113" ht="19.15" customHeight="1" spans="1:7">
      <c r="A1113" s="459"/>
      <c r="B1113" s="65" t="s">
        <v>634</v>
      </c>
      <c r="C1113" s="65"/>
      <c r="D1113" s="462" t="s">
        <v>323</v>
      </c>
      <c r="E1113" s="461">
        <v>293.4</v>
      </c>
      <c r="F1113" s="61">
        <v>5.5</v>
      </c>
      <c r="G1113" s="458">
        <f t="shared" si="35"/>
        <v>1613.7</v>
      </c>
    </row>
    <row r="1114" ht="19.15" customHeight="1" spans="1:7">
      <c r="A1114" s="459"/>
      <c r="B1114" s="65" t="s">
        <v>718</v>
      </c>
      <c r="C1114" s="65"/>
      <c r="D1114" s="462" t="s">
        <v>323</v>
      </c>
      <c r="E1114" s="461">
        <v>236.1</v>
      </c>
      <c r="F1114" s="61">
        <v>5.5</v>
      </c>
      <c r="G1114" s="458">
        <f t="shared" si="35"/>
        <v>1298.55</v>
      </c>
    </row>
    <row r="1115" ht="19.15" customHeight="1" spans="1:7">
      <c r="A1115" s="459"/>
      <c r="B1115" s="65" t="s">
        <v>551</v>
      </c>
      <c r="C1115" s="65"/>
      <c r="D1115" s="462" t="s">
        <v>323</v>
      </c>
      <c r="E1115" s="461">
        <v>120</v>
      </c>
      <c r="F1115" s="61">
        <v>6.5</v>
      </c>
      <c r="G1115" s="458">
        <f t="shared" si="35"/>
        <v>780</v>
      </c>
    </row>
    <row r="1116" ht="19.15" customHeight="1" spans="1:7">
      <c r="A1116" s="459"/>
      <c r="B1116" s="65" t="s">
        <v>671</v>
      </c>
      <c r="C1116" s="65"/>
      <c r="D1116" s="462" t="s">
        <v>515</v>
      </c>
      <c r="E1116" s="464">
        <f>103</f>
        <v>103</v>
      </c>
      <c r="F1116" s="65">
        <f>混凝土单价!M8</f>
        <v>183.37</v>
      </c>
      <c r="G1116" s="458">
        <f t="shared" si="35"/>
        <v>18887.11</v>
      </c>
    </row>
    <row r="1117" ht="19.15" customHeight="1" spans="1:7">
      <c r="A1117" s="459"/>
      <c r="B1117" s="65" t="s">
        <v>672</v>
      </c>
      <c r="C1117" s="65"/>
      <c r="D1117" s="462" t="s">
        <v>515</v>
      </c>
      <c r="E1117" s="464">
        <f>100</f>
        <v>100</v>
      </c>
      <c r="F1117" s="65">
        <f>主材!D18</f>
        <v>4.37</v>
      </c>
      <c r="G1117" s="458">
        <f t="shared" si="35"/>
        <v>437</v>
      </c>
    </row>
    <row r="1118" ht="19.15" customHeight="1" spans="1:7">
      <c r="A1118" s="459"/>
      <c r="B1118" s="65" t="s">
        <v>397</v>
      </c>
      <c r="C1118" s="65"/>
      <c r="D1118" s="462" t="s">
        <v>293</v>
      </c>
      <c r="E1118" s="465">
        <v>0.01</v>
      </c>
      <c r="F1118" s="65">
        <f>SUM(G1111:G1117)</f>
        <v>31300.76</v>
      </c>
      <c r="G1118" s="458">
        <f t="shared" si="35"/>
        <v>313.01</v>
      </c>
    </row>
    <row r="1119" ht="19.15" customHeight="1" spans="1:7">
      <c r="A1119" s="459">
        <v>3</v>
      </c>
      <c r="B1119" s="65" t="s">
        <v>314</v>
      </c>
      <c r="C1119" s="65"/>
      <c r="D1119" s="460"/>
      <c r="E1119" s="460"/>
      <c r="F1119" s="460"/>
      <c r="G1119" s="458">
        <f>SUM(G1120:G1123)</f>
        <v>708.76</v>
      </c>
    </row>
    <row r="1120" ht="19.15" customHeight="1" spans="1:7">
      <c r="A1120" s="459"/>
      <c r="B1120" s="65" t="s">
        <v>754</v>
      </c>
      <c r="C1120" s="65"/>
      <c r="D1120" s="65" t="s">
        <v>316</v>
      </c>
      <c r="E1120" s="65">
        <v>37.2</v>
      </c>
      <c r="F1120" s="61">
        <f>机械!E17</f>
        <v>1.81</v>
      </c>
      <c r="G1120" s="458">
        <f t="shared" ref="G1120:G1126" si="36">F1120*E1120</f>
        <v>67.33</v>
      </c>
    </row>
    <row r="1121" ht="19.15" customHeight="1" spans="1:7">
      <c r="A1121" s="459"/>
      <c r="B1121" s="65" t="s">
        <v>755</v>
      </c>
      <c r="C1121" s="65"/>
      <c r="D1121" s="65" t="s">
        <v>316</v>
      </c>
      <c r="E1121" s="65">
        <v>18.54</v>
      </c>
      <c r="F1121" s="61">
        <f>机械!E16</f>
        <v>23.75</v>
      </c>
      <c r="G1121" s="458">
        <f t="shared" si="36"/>
        <v>440.33</v>
      </c>
    </row>
    <row r="1122" ht="19.15" customHeight="1" spans="1:7">
      <c r="A1122" s="459"/>
      <c r="B1122" s="65" t="s">
        <v>472</v>
      </c>
      <c r="C1122" s="65"/>
      <c r="D1122" s="65" t="s">
        <v>316</v>
      </c>
      <c r="E1122" s="65">
        <v>132.5</v>
      </c>
      <c r="F1122" s="61">
        <f>机械!E29</f>
        <v>0.82</v>
      </c>
      <c r="G1122" s="458">
        <f t="shared" si="36"/>
        <v>108.65</v>
      </c>
    </row>
    <row r="1123" ht="19.15" customHeight="1" spans="1:7">
      <c r="A1123" s="459"/>
      <c r="B1123" s="65" t="s">
        <v>370</v>
      </c>
      <c r="C1123" s="65"/>
      <c r="D1123" s="462" t="s">
        <v>293</v>
      </c>
      <c r="E1123" s="463">
        <v>0.15</v>
      </c>
      <c r="F1123" s="65">
        <f>SUM(G1120:G1122)</f>
        <v>616.31</v>
      </c>
      <c r="G1123" s="458">
        <f t="shared" si="36"/>
        <v>92.45</v>
      </c>
    </row>
    <row r="1124" ht="19.15" customHeight="1" spans="1:7">
      <c r="A1124" s="459">
        <v>4</v>
      </c>
      <c r="B1124" s="65" t="s">
        <v>756</v>
      </c>
      <c r="C1124" s="65"/>
      <c r="D1124" s="462"/>
      <c r="E1124" s="463"/>
      <c r="F1124" s="65"/>
      <c r="G1124" s="458">
        <f>G1125+G1126</f>
        <v>798.25</v>
      </c>
    </row>
    <row r="1125" ht="19.15" customHeight="1" spans="1:7">
      <c r="A1125" s="459"/>
      <c r="B1125" s="65" t="s">
        <v>558</v>
      </c>
      <c r="C1125" s="65"/>
      <c r="D1125" s="462" t="s">
        <v>515</v>
      </c>
      <c r="E1125" s="65">
        <v>103</v>
      </c>
      <c r="F1125" s="61">
        <f>$G$562/100</f>
        <v>5.04</v>
      </c>
      <c r="G1125" s="458">
        <f t="shared" si="36"/>
        <v>519.12</v>
      </c>
    </row>
    <row r="1126" ht="19.15" customHeight="1" spans="1:7">
      <c r="A1126" s="459"/>
      <c r="B1126" s="65" t="s">
        <v>559</v>
      </c>
      <c r="C1126" s="65"/>
      <c r="D1126" s="462" t="s">
        <v>515</v>
      </c>
      <c r="E1126" s="65">
        <v>103</v>
      </c>
      <c r="F1126" s="61">
        <f>$G$577/100</f>
        <v>2.71</v>
      </c>
      <c r="G1126" s="458">
        <f t="shared" si="36"/>
        <v>279.13</v>
      </c>
    </row>
    <row r="1127" ht="19.15" customHeight="1" spans="1:7">
      <c r="A1127" s="457" t="s">
        <v>133</v>
      </c>
      <c r="B1127" s="65" t="s">
        <v>294</v>
      </c>
      <c r="C1127" s="65"/>
      <c r="D1127" s="65"/>
      <c r="E1127" s="72">
        <f>费率!F4</f>
        <v>0.048</v>
      </c>
      <c r="F1127" s="65">
        <f>G1106</f>
        <v>53641.56</v>
      </c>
      <c r="G1127" s="458">
        <f>E1127*F1127</f>
        <v>2574.79</v>
      </c>
    </row>
    <row r="1128" ht="19.15" customHeight="1" spans="1:7">
      <c r="A1128" s="457" t="s">
        <v>14</v>
      </c>
      <c r="B1128" s="65" t="s">
        <v>295</v>
      </c>
      <c r="C1128" s="65"/>
      <c r="D1128" s="65"/>
      <c r="E1128" s="72">
        <f>费率!F5</f>
        <v>0.07</v>
      </c>
      <c r="F1128" s="65">
        <f>(G1105)</f>
        <v>56216.35</v>
      </c>
      <c r="G1128" s="458">
        <f>F1128*E1128</f>
        <v>3935.14</v>
      </c>
    </row>
    <row r="1129" ht="19.15" customHeight="1" spans="1:7">
      <c r="A1129" s="457" t="s">
        <v>16</v>
      </c>
      <c r="B1129" s="65" t="s">
        <v>757</v>
      </c>
      <c r="C1129" s="65"/>
      <c r="D1129" s="65"/>
      <c r="E1129" s="72">
        <f>费率!F6</f>
        <v>0.07</v>
      </c>
      <c r="F1129" s="65">
        <f>F1128+G1128</f>
        <v>60151.49</v>
      </c>
      <c r="G1129" s="458">
        <f>F1129*E1129</f>
        <v>4210.6</v>
      </c>
    </row>
    <row r="1130" ht="19.15" customHeight="1" spans="1:7">
      <c r="A1130" s="457" t="s">
        <v>18</v>
      </c>
      <c r="B1130" s="65" t="s">
        <v>758</v>
      </c>
      <c r="C1130" s="65"/>
      <c r="D1130" s="65" t="s">
        <v>759</v>
      </c>
      <c r="E1130" s="65"/>
      <c r="F1130" s="65"/>
      <c r="G1130" s="458">
        <f>SUM(G1131:G1134)</f>
        <v>7429.65</v>
      </c>
    </row>
    <row r="1131" ht="19.15" customHeight="1" spans="1:7">
      <c r="A1131" s="457"/>
      <c r="B1131" s="65"/>
      <c r="C1131" s="65"/>
      <c r="D1131" s="462"/>
      <c r="E1131" s="65"/>
      <c r="F1131" s="65"/>
      <c r="G1131" s="458"/>
    </row>
    <row r="1132" ht="19.15" customHeight="1" spans="1:7">
      <c r="A1132" s="457"/>
      <c r="B1132" s="65" t="s">
        <v>405</v>
      </c>
      <c r="C1132" s="65"/>
      <c r="D1132" s="65" t="s">
        <v>158</v>
      </c>
      <c r="E1132" s="65">
        <f>混凝土单价!E8*E1116</f>
        <v>35.02</v>
      </c>
      <c r="F1132" s="61">
        <f>主材!N6</f>
        <v>135.66</v>
      </c>
      <c r="G1132" s="458">
        <f>E1132*F1132</f>
        <v>4750.81</v>
      </c>
    </row>
    <row r="1133" ht="19.15" customHeight="1" spans="1:7">
      <c r="A1133" s="457"/>
      <c r="B1133" s="65" t="s">
        <v>396</v>
      </c>
      <c r="C1133" s="65"/>
      <c r="D1133" s="462" t="s">
        <v>515</v>
      </c>
      <c r="E1133" s="65">
        <f>E1116*混凝土单价!G8</f>
        <v>54.59</v>
      </c>
      <c r="F1133" s="61">
        <f>主材!N8</f>
        <v>37.93</v>
      </c>
      <c r="G1133" s="458">
        <f>E1133*F1133</f>
        <v>2070.6</v>
      </c>
    </row>
    <row r="1134" ht="19.15" customHeight="1" spans="1:7">
      <c r="A1134" s="457"/>
      <c r="B1134" s="65" t="s">
        <v>467</v>
      </c>
      <c r="C1134" s="65"/>
      <c r="D1134" s="462" t="s">
        <v>515</v>
      </c>
      <c r="E1134" s="65">
        <f>E1116*混凝土单价!I8</f>
        <v>86.52</v>
      </c>
      <c r="F1134" s="61">
        <f>主材!N10</f>
        <v>7.03</v>
      </c>
      <c r="G1134" s="458">
        <f>E1134*F1134</f>
        <v>608.24</v>
      </c>
    </row>
    <row r="1135" ht="19.15" customHeight="1" spans="1:7">
      <c r="A1135" s="457" t="s">
        <v>20</v>
      </c>
      <c r="B1135" s="65" t="s">
        <v>297</v>
      </c>
      <c r="C1135" s="65"/>
      <c r="D1135" s="65"/>
      <c r="E1135" s="465">
        <f>费率!F7</f>
        <v>0.09</v>
      </c>
      <c r="F1135" s="65">
        <f>(G1105+G1128+G1129)+G1130</f>
        <v>71791.74</v>
      </c>
      <c r="G1135" s="458">
        <f>E1135*F1135</f>
        <v>6461.26</v>
      </c>
    </row>
    <row r="1136" ht="19.15" customHeight="1" spans="1:7">
      <c r="A1136" s="457"/>
      <c r="B1136" s="65" t="s">
        <v>760</v>
      </c>
      <c r="C1136" s="65"/>
      <c r="D1136" s="65"/>
      <c r="E1136" s="465"/>
      <c r="F1136" s="65"/>
      <c r="G1136" s="458">
        <f>F1135+G1135</f>
        <v>78253</v>
      </c>
    </row>
    <row r="1137" ht="19.15" customHeight="1" spans="1:7">
      <c r="A1137" s="457" t="s">
        <v>23</v>
      </c>
      <c r="B1137" s="65" t="s">
        <v>761</v>
      </c>
      <c r="C1137" s="65"/>
      <c r="D1137" s="65"/>
      <c r="E1137" s="466">
        <f>费率!F8</f>
        <v>0.03</v>
      </c>
      <c r="F1137" s="65">
        <f>G1136</f>
        <v>78253</v>
      </c>
      <c r="G1137" s="458">
        <f>F1137*E1137</f>
        <v>2347.59</v>
      </c>
    </row>
    <row r="1138" ht="19.15" customHeight="1" spans="1:7">
      <c r="A1138" s="467"/>
      <c r="B1138" s="468" t="s">
        <v>121</v>
      </c>
      <c r="C1138" s="469"/>
      <c r="D1138" s="470"/>
      <c r="E1138" s="470"/>
      <c r="F1138" s="470"/>
      <c r="G1138" s="471">
        <f>F1137+G1137</f>
        <v>80600.59</v>
      </c>
    </row>
    <row r="1140" ht="19.9" customHeight="1" spans="1:7">
      <c r="A1140" s="41" t="s">
        <v>274</v>
      </c>
      <c r="B1140" s="41"/>
      <c r="C1140" s="41"/>
      <c r="D1140" s="41"/>
      <c r="E1140" s="41"/>
      <c r="F1140" s="41"/>
      <c r="G1140" s="41"/>
    </row>
    <row r="1141" ht="19.15" customHeight="1" spans="1:7">
      <c r="A1141" s="42" t="s">
        <v>275</v>
      </c>
      <c r="B1141" s="43"/>
      <c r="C1141" s="43" t="s">
        <v>762</v>
      </c>
      <c r="D1141" s="43" t="s">
        <v>276</v>
      </c>
      <c r="E1141" s="355" t="s">
        <v>763</v>
      </c>
      <c r="F1141" s="355"/>
      <c r="G1141" s="356"/>
    </row>
    <row r="1142" ht="19.15" customHeight="1" spans="1:7">
      <c r="A1142" s="47" t="s">
        <v>278</v>
      </c>
      <c r="B1142" s="48"/>
      <c r="C1142" s="49" t="s">
        <v>764</v>
      </c>
      <c r="D1142" s="49"/>
      <c r="E1142" s="49"/>
      <c r="F1142" s="50" t="s">
        <v>280</v>
      </c>
      <c r="G1142" s="51" t="s">
        <v>281</v>
      </c>
    </row>
    <row r="1143" ht="19.15" customHeight="1" spans="1:7">
      <c r="A1143" s="52" t="s">
        <v>546</v>
      </c>
      <c r="B1143" s="53"/>
      <c r="C1143" s="54"/>
      <c r="D1143" s="54"/>
      <c r="E1143" s="54"/>
      <c r="F1143" s="54"/>
      <c r="G1143" s="55"/>
    </row>
    <row r="1144" ht="19.15" customHeight="1" spans="1:7">
      <c r="A1144" s="457" t="s">
        <v>284</v>
      </c>
      <c r="B1144" s="65" t="s">
        <v>458</v>
      </c>
      <c r="C1144" s="65"/>
      <c r="D1144" s="65" t="s">
        <v>88</v>
      </c>
      <c r="E1144" s="65" t="s">
        <v>130</v>
      </c>
      <c r="F1144" s="65" t="s">
        <v>90</v>
      </c>
      <c r="G1144" s="458" t="s">
        <v>92</v>
      </c>
    </row>
    <row r="1145" ht="19.15" customHeight="1" spans="1:7">
      <c r="A1145" s="457" t="s">
        <v>9</v>
      </c>
      <c r="B1145" s="65" t="s">
        <v>459</v>
      </c>
      <c r="C1145" s="65"/>
      <c r="D1145" s="65"/>
      <c r="E1145" s="65"/>
      <c r="F1145" s="65"/>
      <c r="G1145" s="458">
        <f>G1146+G1167</f>
        <v>34149.61</v>
      </c>
    </row>
    <row r="1146" ht="19.15" customHeight="1" spans="1:7">
      <c r="A1146" s="457" t="s">
        <v>132</v>
      </c>
      <c r="B1146" s="65" t="s">
        <v>287</v>
      </c>
      <c r="C1146" s="65"/>
      <c r="D1146" s="65"/>
      <c r="E1146" s="65"/>
      <c r="F1146" s="65"/>
      <c r="G1146" s="458">
        <f>G1147+G1150+G1159+G1164</f>
        <v>32585.51</v>
      </c>
    </row>
    <row r="1147" ht="19.15" customHeight="1" spans="1:7">
      <c r="A1147" s="459">
        <v>1</v>
      </c>
      <c r="B1147" s="65" t="s">
        <v>247</v>
      </c>
      <c r="C1147" s="65"/>
      <c r="D1147" s="65"/>
      <c r="E1147" s="65"/>
      <c r="F1147" s="65"/>
      <c r="G1147" s="458">
        <f>SUM(G1148:G1149)</f>
        <v>9403.09</v>
      </c>
    </row>
    <row r="1148" ht="19.15" customHeight="1" spans="1:7">
      <c r="A1148" s="459"/>
      <c r="B1148" s="65" t="s">
        <v>289</v>
      </c>
      <c r="C1148" s="65"/>
      <c r="D1148" s="460" t="s">
        <v>290</v>
      </c>
      <c r="E1148" s="461">
        <v>889.4</v>
      </c>
      <c r="F1148" s="61">
        <f>人工!D4</f>
        <v>8.1</v>
      </c>
      <c r="G1148" s="458">
        <f>F1148*E1148</f>
        <v>7204.14</v>
      </c>
    </row>
    <row r="1149" ht="19.15" customHeight="1" spans="1:7">
      <c r="A1149" s="459"/>
      <c r="B1149" s="65" t="s">
        <v>291</v>
      </c>
      <c r="C1149" s="65"/>
      <c r="D1149" s="460" t="s">
        <v>290</v>
      </c>
      <c r="E1149" s="461">
        <v>381.1</v>
      </c>
      <c r="F1149" s="61">
        <f>人工!D5</f>
        <v>5.77</v>
      </c>
      <c r="G1149" s="458">
        <f>F1149*E1149</f>
        <v>2198.95</v>
      </c>
    </row>
    <row r="1150" ht="19.15" customHeight="1" spans="1:7">
      <c r="A1150" s="459">
        <v>2</v>
      </c>
      <c r="B1150" s="65" t="s">
        <v>248</v>
      </c>
      <c r="C1150" s="65"/>
      <c r="D1150" s="462"/>
      <c r="E1150" s="463"/>
      <c r="F1150" s="65"/>
      <c r="G1150" s="458">
        <f>SUM(G1151:G1158)</f>
        <v>21675.41</v>
      </c>
    </row>
    <row r="1151" ht="19.15" customHeight="1" spans="1:7">
      <c r="A1151" s="459"/>
      <c r="B1151" s="65" t="s">
        <v>696</v>
      </c>
      <c r="C1151" s="65"/>
      <c r="D1151" s="462" t="s">
        <v>515</v>
      </c>
      <c r="E1151" s="461">
        <v>0.4</v>
      </c>
      <c r="F1151" s="61">
        <f>主材!M7</f>
        <v>2143.4</v>
      </c>
      <c r="G1151" s="458">
        <f t="shared" ref="G1151:G1158" si="37">E1151*F1151</f>
        <v>857.36</v>
      </c>
    </row>
    <row r="1152" ht="19.15" customHeight="1" spans="1:7">
      <c r="A1152" s="459"/>
      <c r="B1152" s="65" t="s">
        <v>548</v>
      </c>
      <c r="C1152" s="65"/>
      <c r="D1152" s="462" t="s">
        <v>323</v>
      </c>
      <c r="E1152" s="461">
        <v>26.6</v>
      </c>
      <c r="F1152" s="61">
        <v>4.44</v>
      </c>
      <c r="G1152" s="458">
        <f t="shared" si="37"/>
        <v>118.1</v>
      </c>
    </row>
    <row r="1153" ht="19.15" customHeight="1" spans="1:7">
      <c r="A1153" s="459"/>
      <c r="B1153" s="65" t="s">
        <v>634</v>
      </c>
      <c r="C1153" s="65"/>
      <c r="D1153" s="462" t="s">
        <v>323</v>
      </c>
      <c r="E1153" s="461">
        <v>48.3</v>
      </c>
      <c r="F1153" s="61">
        <v>4.5</v>
      </c>
      <c r="G1153" s="458">
        <f t="shared" si="37"/>
        <v>217.35</v>
      </c>
    </row>
    <row r="1154" ht="19.15" customHeight="1" spans="1:7">
      <c r="A1154" s="459"/>
      <c r="B1154" s="65" t="s">
        <v>718</v>
      </c>
      <c r="C1154" s="65"/>
      <c r="D1154" s="462" t="s">
        <v>323</v>
      </c>
      <c r="E1154" s="461">
        <v>59.2</v>
      </c>
      <c r="F1154" s="61">
        <v>5.15</v>
      </c>
      <c r="G1154" s="458">
        <f t="shared" si="37"/>
        <v>304.88</v>
      </c>
    </row>
    <row r="1155" ht="19.15" customHeight="1" spans="1:7">
      <c r="A1155" s="459"/>
      <c r="B1155" s="65" t="s">
        <v>551</v>
      </c>
      <c r="C1155" s="65"/>
      <c r="D1155" s="462" t="s">
        <v>323</v>
      </c>
      <c r="E1155" s="461">
        <v>100</v>
      </c>
      <c r="F1155" s="61">
        <v>6.39</v>
      </c>
      <c r="G1155" s="458">
        <f t="shared" si="37"/>
        <v>639</v>
      </c>
    </row>
    <row r="1156" ht="19.15" customHeight="1" spans="1:7">
      <c r="A1156" s="459"/>
      <c r="B1156" s="65" t="s">
        <v>671</v>
      </c>
      <c r="C1156" s="65"/>
      <c r="D1156" s="462" t="s">
        <v>515</v>
      </c>
      <c r="E1156" s="464">
        <f>103</f>
        <v>103</v>
      </c>
      <c r="F1156" s="65">
        <f>混凝土单价!M8</f>
        <v>183.37</v>
      </c>
      <c r="G1156" s="458">
        <f t="shared" si="37"/>
        <v>18887.11</v>
      </c>
    </row>
    <row r="1157" ht="19.15" customHeight="1" spans="1:7">
      <c r="A1157" s="459"/>
      <c r="B1157" s="65" t="s">
        <v>672</v>
      </c>
      <c r="C1157" s="65"/>
      <c r="D1157" s="462" t="s">
        <v>515</v>
      </c>
      <c r="E1157" s="464">
        <f>100</f>
        <v>100</v>
      </c>
      <c r="F1157" s="65">
        <f>主材!D18</f>
        <v>4.37</v>
      </c>
      <c r="G1157" s="458">
        <f t="shared" si="37"/>
        <v>437</v>
      </c>
    </row>
    <row r="1158" ht="19.15" customHeight="1" spans="1:7">
      <c r="A1158" s="459"/>
      <c r="B1158" s="65" t="s">
        <v>397</v>
      </c>
      <c r="C1158" s="65"/>
      <c r="D1158" s="462" t="s">
        <v>293</v>
      </c>
      <c r="E1158" s="465">
        <v>0.01</v>
      </c>
      <c r="F1158" s="65">
        <f>SUM(G1151:G1157)</f>
        <v>21460.8</v>
      </c>
      <c r="G1158" s="458">
        <f t="shared" si="37"/>
        <v>214.61</v>
      </c>
    </row>
    <row r="1159" ht="19.15" customHeight="1" spans="1:7">
      <c r="A1159" s="459">
        <v>3</v>
      </c>
      <c r="B1159" s="65" t="s">
        <v>314</v>
      </c>
      <c r="C1159" s="65"/>
      <c r="D1159" s="460"/>
      <c r="E1159" s="460"/>
      <c r="F1159" s="460"/>
      <c r="G1159" s="458">
        <f>SUM(G1160:G1163)</f>
        <v>708.76</v>
      </c>
    </row>
    <row r="1160" ht="19.15" customHeight="1" spans="1:7">
      <c r="A1160" s="459"/>
      <c r="B1160" s="65" t="s">
        <v>754</v>
      </c>
      <c r="C1160" s="65"/>
      <c r="D1160" s="65" t="s">
        <v>316</v>
      </c>
      <c r="E1160" s="65">
        <v>37.2</v>
      </c>
      <c r="F1160" s="61">
        <f>机械!E17</f>
        <v>1.81</v>
      </c>
      <c r="G1160" s="458">
        <f>F1160*E1160</f>
        <v>67.33</v>
      </c>
    </row>
    <row r="1161" ht="19.15" customHeight="1" spans="1:7">
      <c r="A1161" s="459"/>
      <c r="B1161" s="65" t="s">
        <v>755</v>
      </c>
      <c r="C1161" s="65"/>
      <c r="D1161" s="65" t="s">
        <v>316</v>
      </c>
      <c r="E1161" s="65">
        <v>18.54</v>
      </c>
      <c r="F1161" s="61">
        <f>机械!E16</f>
        <v>23.75</v>
      </c>
      <c r="G1161" s="458">
        <f>F1161*E1161</f>
        <v>440.33</v>
      </c>
    </row>
    <row r="1162" ht="19.15" customHeight="1" spans="1:7">
      <c r="A1162" s="459"/>
      <c r="B1162" s="65" t="s">
        <v>472</v>
      </c>
      <c r="C1162" s="65"/>
      <c r="D1162" s="65" t="s">
        <v>316</v>
      </c>
      <c r="E1162" s="65">
        <v>132.5</v>
      </c>
      <c r="F1162" s="61">
        <f>机械!E29</f>
        <v>0.82</v>
      </c>
      <c r="G1162" s="458">
        <f>F1162*E1162</f>
        <v>108.65</v>
      </c>
    </row>
    <row r="1163" ht="19.15" customHeight="1" spans="1:7">
      <c r="A1163" s="459"/>
      <c r="B1163" s="65" t="s">
        <v>370</v>
      </c>
      <c r="C1163" s="65"/>
      <c r="D1163" s="462" t="s">
        <v>293</v>
      </c>
      <c r="E1163" s="463">
        <v>0.15</v>
      </c>
      <c r="F1163" s="65">
        <f>SUM(G1160:G1162)</f>
        <v>616.31</v>
      </c>
      <c r="G1163" s="458">
        <f>F1163*E1163</f>
        <v>92.45</v>
      </c>
    </row>
    <row r="1164" ht="19.15" customHeight="1" spans="1:7">
      <c r="A1164" s="459">
        <v>4</v>
      </c>
      <c r="B1164" s="65" t="s">
        <v>756</v>
      </c>
      <c r="C1164" s="65"/>
      <c r="D1164" s="462"/>
      <c r="E1164" s="463"/>
      <c r="F1164" s="65"/>
      <c r="G1164" s="458">
        <f>G1165+G1166</f>
        <v>798.25</v>
      </c>
    </row>
    <row r="1165" ht="19.15" customHeight="1" spans="1:7">
      <c r="A1165" s="459"/>
      <c r="B1165" s="65" t="s">
        <v>558</v>
      </c>
      <c r="C1165" s="65"/>
      <c r="D1165" s="462" t="s">
        <v>515</v>
      </c>
      <c r="E1165" s="65">
        <v>103</v>
      </c>
      <c r="F1165" s="61">
        <f>$G$562/100</f>
        <v>5.04</v>
      </c>
      <c r="G1165" s="458">
        <f>F1165*E1165</f>
        <v>519.12</v>
      </c>
    </row>
    <row r="1166" ht="19.15" customHeight="1" spans="1:7">
      <c r="A1166" s="459"/>
      <c r="B1166" s="65" t="s">
        <v>559</v>
      </c>
      <c r="C1166" s="65"/>
      <c r="D1166" s="462" t="s">
        <v>515</v>
      </c>
      <c r="E1166" s="65">
        <v>103</v>
      </c>
      <c r="F1166" s="61">
        <f>$G$577/100</f>
        <v>2.71</v>
      </c>
      <c r="G1166" s="458">
        <f>F1166*E1166</f>
        <v>279.13</v>
      </c>
    </row>
    <row r="1167" ht="19.15" customHeight="1" spans="1:7">
      <c r="A1167" s="457" t="s">
        <v>133</v>
      </c>
      <c r="B1167" s="65" t="s">
        <v>294</v>
      </c>
      <c r="C1167" s="65"/>
      <c r="D1167" s="65"/>
      <c r="E1167" s="72">
        <f>费率!F4</f>
        <v>0.048</v>
      </c>
      <c r="F1167" s="65">
        <f>G1146</f>
        <v>32585.51</v>
      </c>
      <c r="G1167" s="458">
        <f>E1167*F1167</f>
        <v>1564.1</v>
      </c>
    </row>
    <row r="1168" ht="19.15" customHeight="1" spans="1:7">
      <c r="A1168" s="457" t="s">
        <v>14</v>
      </c>
      <c r="B1168" s="65" t="s">
        <v>295</v>
      </c>
      <c r="C1168" s="65"/>
      <c r="D1168" s="65"/>
      <c r="E1168" s="72">
        <f>费率!F5</f>
        <v>0.07</v>
      </c>
      <c r="F1168" s="65">
        <f>(G1145)</f>
        <v>34149.61</v>
      </c>
      <c r="G1168" s="458">
        <f>F1168*E1168</f>
        <v>2390.47</v>
      </c>
    </row>
    <row r="1169" ht="19.15" customHeight="1" spans="1:7">
      <c r="A1169" s="457" t="s">
        <v>16</v>
      </c>
      <c r="B1169" s="65" t="s">
        <v>757</v>
      </c>
      <c r="C1169" s="65"/>
      <c r="D1169" s="65"/>
      <c r="E1169" s="72">
        <f>费率!F6</f>
        <v>0.07</v>
      </c>
      <c r="F1169" s="65">
        <f>F1168+G1168</f>
        <v>36540.08</v>
      </c>
      <c r="G1169" s="458">
        <f>F1169*E1169</f>
        <v>2557.81</v>
      </c>
    </row>
    <row r="1170" ht="19.15" customHeight="1" spans="1:7">
      <c r="A1170" s="457" t="s">
        <v>18</v>
      </c>
      <c r="B1170" s="65" t="s">
        <v>758</v>
      </c>
      <c r="C1170" s="65"/>
      <c r="D1170" s="65" t="s">
        <v>759</v>
      </c>
      <c r="E1170" s="65"/>
      <c r="F1170" s="65"/>
      <c r="G1170" s="458">
        <f>SUM(G1171:G1174)</f>
        <v>7429.65</v>
      </c>
    </row>
    <row r="1171" ht="19.15" customHeight="1" spans="1:7">
      <c r="A1171" s="457"/>
      <c r="B1171" s="65"/>
      <c r="C1171" s="65"/>
      <c r="D1171" s="462"/>
      <c r="E1171" s="65"/>
      <c r="F1171" s="65"/>
      <c r="G1171" s="458"/>
    </row>
    <row r="1172" ht="19.15" customHeight="1" spans="1:7">
      <c r="A1172" s="457"/>
      <c r="B1172" s="65" t="s">
        <v>405</v>
      </c>
      <c r="C1172" s="65"/>
      <c r="D1172" s="65" t="s">
        <v>158</v>
      </c>
      <c r="E1172" s="65">
        <f>E1156*混凝土单价!E8</f>
        <v>35.02</v>
      </c>
      <c r="F1172" s="61">
        <f>主材!N6</f>
        <v>135.66</v>
      </c>
      <c r="G1172" s="458">
        <f>E1172*F1172</f>
        <v>4750.81</v>
      </c>
    </row>
    <row r="1173" ht="19.15" customHeight="1" spans="1:7">
      <c r="A1173" s="457"/>
      <c r="B1173" s="65" t="s">
        <v>396</v>
      </c>
      <c r="C1173" s="65"/>
      <c r="D1173" s="462" t="s">
        <v>515</v>
      </c>
      <c r="E1173" s="65">
        <f>E1156*混凝土单价!G8</f>
        <v>54.59</v>
      </c>
      <c r="F1173" s="61">
        <f>主材!N8</f>
        <v>37.93</v>
      </c>
      <c r="G1173" s="458">
        <f>E1173*F1173</f>
        <v>2070.6</v>
      </c>
    </row>
    <row r="1174" ht="19.15" customHeight="1" spans="1:7">
      <c r="A1174" s="457"/>
      <c r="B1174" s="65" t="s">
        <v>467</v>
      </c>
      <c r="C1174" s="65"/>
      <c r="D1174" s="462" t="s">
        <v>515</v>
      </c>
      <c r="E1174" s="65">
        <f>E1156*混凝土单价!I8</f>
        <v>86.52</v>
      </c>
      <c r="F1174" s="61">
        <f>主材!N10</f>
        <v>7.03</v>
      </c>
      <c r="G1174" s="458">
        <f>E1174*F1174</f>
        <v>608.24</v>
      </c>
    </row>
    <row r="1175" ht="19.15" customHeight="1" spans="1:7">
      <c r="A1175" s="457" t="s">
        <v>20</v>
      </c>
      <c r="B1175" s="65" t="s">
        <v>297</v>
      </c>
      <c r="C1175" s="65"/>
      <c r="D1175" s="65"/>
      <c r="E1175" s="465">
        <f>费率!F7</f>
        <v>0.09</v>
      </c>
      <c r="F1175" s="65">
        <f>(G1145+G1168+G1169)+G1170</f>
        <v>46527.54</v>
      </c>
      <c r="G1175" s="458">
        <f>E1175*F1175</f>
        <v>4187.48</v>
      </c>
    </row>
    <row r="1176" ht="19.15" customHeight="1" spans="1:7">
      <c r="A1176" s="457"/>
      <c r="B1176" s="65" t="s">
        <v>760</v>
      </c>
      <c r="C1176" s="65"/>
      <c r="D1176" s="65"/>
      <c r="E1176" s="465"/>
      <c r="F1176" s="65"/>
      <c r="G1176" s="458">
        <f>F1175+G1175</f>
        <v>50715.02</v>
      </c>
    </row>
    <row r="1177" ht="19.15" customHeight="1" spans="1:7">
      <c r="A1177" s="457" t="s">
        <v>23</v>
      </c>
      <c r="B1177" s="65" t="s">
        <v>761</v>
      </c>
      <c r="C1177" s="65"/>
      <c r="D1177" s="65"/>
      <c r="E1177" s="466">
        <f>费率!F8</f>
        <v>0.03</v>
      </c>
      <c r="F1177" s="65">
        <f>G1176</f>
        <v>50715.02</v>
      </c>
      <c r="G1177" s="458">
        <f>F1177*E1177</f>
        <v>1521.45</v>
      </c>
    </row>
    <row r="1178" ht="19.15" customHeight="1" spans="1:7">
      <c r="A1178" s="467"/>
      <c r="B1178" s="472" t="s">
        <v>121</v>
      </c>
      <c r="C1178" s="472"/>
      <c r="D1178" s="470"/>
      <c r="E1178" s="470"/>
      <c r="F1178" s="470"/>
      <c r="G1178" s="471">
        <f>F1177+G1177</f>
        <v>52236.47</v>
      </c>
    </row>
    <row r="1180" ht="19.9" customHeight="1" spans="1:7">
      <c r="A1180" s="41" t="s">
        <v>274</v>
      </c>
      <c r="B1180" s="41"/>
      <c r="C1180" s="41"/>
      <c r="D1180" s="41"/>
      <c r="E1180" s="41"/>
      <c r="F1180" s="41"/>
      <c r="G1180" s="41"/>
    </row>
    <row r="1181" ht="18" customHeight="1" spans="1:7">
      <c r="A1181" s="42" t="s">
        <v>275</v>
      </c>
      <c r="B1181" s="43"/>
      <c r="C1181" s="43" t="s">
        <v>765</v>
      </c>
      <c r="D1181" s="43" t="s">
        <v>276</v>
      </c>
      <c r="E1181" s="355" t="s">
        <v>766</v>
      </c>
      <c r="F1181" s="355"/>
      <c r="G1181" s="356"/>
    </row>
    <row r="1182" ht="18" customHeight="1" spans="1:7">
      <c r="A1182" s="47" t="s">
        <v>278</v>
      </c>
      <c r="B1182" s="48"/>
      <c r="C1182" s="49" t="s">
        <v>544</v>
      </c>
      <c r="D1182" s="49"/>
      <c r="E1182" s="49"/>
      <c r="F1182" s="50" t="s">
        <v>280</v>
      </c>
      <c r="G1182" s="51" t="s">
        <v>281</v>
      </c>
    </row>
    <row r="1183" ht="18" customHeight="1" spans="1:7">
      <c r="A1183" s="52" t="s">
        <v>546</v>
      </c>
      <c r="B1183" s="53"/>
      <c r="C1183" s="54"/>
      <c r="D1183" s="54"/>
      <c r="E1183" s="54"/>
      <c r="F1183" s="54"/>
      <c r="G1183" s="55"/>
    </row>
    <row r="1184" ht="18" customHeight="1" spans="1:7">
      <c r="A1184" s="457" t="s">
        <v>284</v>
      </c>
      <c r="B1184" s="65" t="s">
        <v>458</v>
      </c>
      <c r="C1184" s="65"/>
      <c r="D1184" s="65" t="s">
        <v>88</v>
      </c>
      <c r="E1184" s="65" t="s">
        <v>130</v>
      </c>
      <c r="F1184" s="65" t="s">
        <v>90</v>
      </c>
      <c r="G1184" s="458" t="s">
        <v>92</v>
      </c>
    </row>
    <row r="1185" ht="18" customHeight="1" spans="1:7">
      <c r="A1185" s="457" t="s">
        <v>9</v>
      </c>
      <c r="B1185" s="65" t="s">
        <v>459</v>
      </c>
      <c r="C1185" s="65"/>
      <c r="D1185" s="65"/>
      <c r="E1185" s="65"/>
      <c r="F1185" s="65"/>
      <c r="G1185" s="458">
        <f>G1186+G1210</f>
        <v>40818.46</v>
      </c>
    </row>
    <row r="1186" ht="18" customHeight="1" spans="1:7">
      <c r="A1186" s="457" t="s">
        <v>132</v>
      </c>
      <c r="B1186" s="65" t="s">
        <v>287</v>
      </c>
      <c r="C1186" s="65"/>
      <c r="D1186" s="65"/>
      <c r="E1186" s="65"/>
      <c r="F1186" s="65"/>
      <c r="G1186" s="458">
        <f>G1187+G1190+G1200+G1207</f>
        <v>38948.91</v>
      </c>
    </row>
    <row r="1187" ht="18" customHeight="1" spans="1:7">
      <c r="A1187" s="459">
        <v>1</v>
      </c>
      <c r="B1187" s="65" t="s">
        <v>247</v>
      </c>
      <c r="C1187" s="65"/>
      <c r="D1187" s="65"/>
      <c r="E1187" s="65"/>
      <c r="F1187" s="65"/>
      <c r="G1187" s="458">
        <f>SUM(G1188:G1189)</f>
        <v>13059.4</v>
      </c>
    </row>
    <row r="1188" ht="18" customHeight="1" spans="1:7">
      <c r="A1188" s="459"/>
      <c r="B1188" s="65" t="s">
        <v>289</v>
      </c>
      <c r="C1188" s="65"/>
      <c r="D1188" s="460" t="s">
        <v>290</v>
      </c>
      <c r="E1188" s="461">
        <v>1271.2</v>
      </c>
      <c r="F1188" s="61">
        <f>人工!D4</f>
        <v>8.1</v>
      </c>
      <c r="G1188" s="458">
        <f>F1188*E1188</f>
        <v>10296.72</v>
      </c>
    </row>
    <row r="1189" ht="18" customHeight="1" spans="1:7">
      <c r="A1189" s="459"/>
      <c r="B1189" s="65" t="s">
        <v>291</v>
      </c>
      <c r="C1189" s="65"/>
      <c r="D1189" s="460" t="s">
        <v>290</v>
      </c>
      <c r="E1189" s="461">
        <v>478.8</v>
      </c>
      <c r="F1189" s="61">
        <f>人工!D5</f>
        <v>5.77</v>
      </c>
      <c r="G1189" s="458">
        <f>F1189*E1189</f>
        <v>2762.68</v>
      </c>
    </row>
    <row r="1190" ht="18" customHeight="1" spans="1:7">
      <c r="A1190" s="459">
        <v>2</v>
      </c>
      <c r="B1190" s="65" t="s">
        <v>248</v>
      </c>
      <c r="C1190" s="65"/>
      <c r="D1190" s="462"/>
      <c r="E1190" s="463"/>
      <c r="F1190" s="65"/>
      <c r="G1190" s="458">
        <f>SUM(G1191:G1199)</f>
        <v>24310.13</v>
      </c>
    </row>
    <row r="1191" ht="18" customHeight="1" spans="1:7">
      <c r="A1191" s="459"/>
      <c r="B1191" s="65" t="s">
        <v>696</v>
      </c>
      <c r="C1191" s="65"/>
      <c r="D1191" s="462" t="s">
        <v>515</v>
      </c>
      <c r="E1191" s="461">
        <v>0.98</v>
      </c>
      <c r="F1191" s="61">
        <f>主材!M7</f>
        <v>2143.4</v>
      </c>
      <c r="G1191" s="458">
        <f t="shared" ref="G1191:G1199" si="38">E1191*F1191</f>
        <v>2100.53</v>
      </c>
    </row>
    <row r="1192" ht="18" customHeight="1" spans="1:7">
      <c r="A1192" s="459"/>
      <c r="B1192" s="65" t="s">
        <v>548</v>
      </c>
      <c r="C1192" s="65"/>
      <c r="D1192" s="462" t="s">
        <v>323</v>
      </c>
      <c r="E1192" s="461">
        <v>103.85</v>
      </c>
      <c r="F1192" s="61">
        <v>4.44</v>
      </c>
      <c r="G1192" s="458">
        <f t="shared" si="38"/>
        <v>461.09</v>
      </c>
    </row>
    <row r="1193" ht="18" customHeight="1" spans="1:7">
      <c r="A1193" s="459"/>
      <c r="B1193" s="65" t="s">
        <v>634</v>
      </c>
      <c r="C1193" s="65"/>
      <c r="D1193" s="462" t="s">
        <v>323</v>
      </c>
      <c r="E1193" s="461">
        <v>73.88</v>
      </c>
      <c r="F1193" s="61">
        <v>4.5</v>
      </c>
      <c r="G1193" s="458">
        <f t="shared" si="38"/>
        <v>332.46</v>
      </c>
    </row>
    <row r="1194" ht="18" customHeight="1" spans="1:7">
      <c r="A1194" s="459"/>
      <c r="B1194" s="65" t="s">
        <v>718</v>
      </c>
      <c r="C1194" s="65"/>
      <c r="D1194" s="462" t="s">
        <v>323</v>
      </c>
      <c r="E1194" s="461">
        <v>48</v>
      </c>
      <c r="F1194" s="61">
        <v>5.15</v>
      </c>
      <c r="G1194" s="458">
        <f t="shared" si="38"/>
        <v>247.2</v>
      </c>
    </row>
    <row r="1195" ht="18" customHeight="1" spans="1:7">
      <c r="A1195" s="459"/>
      <c r="B1195" s="65" t="s">
        <v>551</v>
      </c>
      <c r="C1195" s="65"/>
      <c r="D1195" s="462" t="s">
        <v>323</v>
      </c>
      <c r="E1195" s="461">
        <v>328.9</v>
      </c>
      <c r="F1195" s="61">
        <v>6.39</v>
      </c>
      <c r="G1195" s="458">
        <f t="shared" si="38"/>
        <v>2101.67</v>
      </c>
    </row>
    <row r="1196" ht="18" customHeight="1" spans="1:7">
      <c r="A1196" s="459"/>
      <c r="B1196" s="65" t="s">
        <v>552</v>
      </c>
      <c r="C1196" s="65"/>
      <c r="D1196" s="462" t="s">
        <v>323</v>
      </c>
      <c r="E1196" s="461">
        <v>6.91</v>
      </c>
      <c r="F1196" s="65">
        <v>5.97</v>
      </c>
      <c r="G1196" s="458">
        <f t="shared" si="38"/>
        <v>41.25</v>
      </c>
    </row>
    <row r="1197" ht="18" customHeight="1" spans="1:7">
      <c r="A1197" s="459"/>
      <c r="B1197" s="65" t="s">
        <v>678</v>
      </c>
      <c r="C1197" s="65"/>
      <c r="D1197" s="462" t="s">
        <v>515</v>
      </c>
      <c r="E1197" s="464">
        <f>103</f>
        <v>103</v>
      </c>
      <c r="F1197" s="65">
        <f>混凝土单价!M6</f>
        <v>177.12</v>
      </c>
      <c r="G1197" s="458">
        <f t="shared" si="38"/>
        <v>18243.36</v>
      </c>
    </row>
    <row r="1198" ht="18" customHeight="1" spans="1:7">
      <c r="A1198" s="459"/>
      <c r="B1198" s="65" t="s">
        <v>672</v>
      </c>
      <c r="C1198" s="65"/>
      <c r="D1198" s="462" t="s">
        <v>515</v>
      </c>
      <c r="E1198" s="464">
        <v>70</v>
      </c>
      <c r="F1198" s="65">
        <f>主材!D18</f>
        <v>4.37</v>
      </c>
      <c r="G1198" s="458">
        <f t="shared" si="38"/>
        <v>305.9</v>
      </c>
    </row>
    <row r="1199" ht="18" customHeight="1" spans="1:7">
      <c r="A1199" s="459"/>
      <c r="B1199" s="65" t="s">
        <v>397</v>
      </c>
      <c r="C1199" s="65"/>
      <c r="D1199" s="462" t="s">
        <v>293</v>
      </c>
      <c r="E1199" s="465">
        <v>0.02</v>
      </c>
      <c r="F1199" s="65">
        <f>SUM(G1191:G1198)</f>
        <v>23833.46</v>
      </c>
      <c r="G1199" s="458">
        <f t="shared" si="38"/>
        <v>476.67</v>
      </c>
    </row>
    <row r="1200" ht="18" customHeight="1" spans="1:7">
      <c r="A1200" s="459">
        <v>3</v>
      </c>
      <c r="B1200" s="65" t="s">
        <v>314</v>
      </c>
      <c r="C1200" s="65"/>
      <c r="D1200" s="460"/>
      <c r="E1200" s="460"/>
      <c r="F1200" s="460"/>
      <c r="G1200" s="458">
        <f>SUM(G1201:G1206)</f>
        <v>781.13</v>
      </c>
    </row>
    <row r="1201" ht="18" customHeight="1" spans="1:7">
      <c r="A1201" s="459"/>
      <c r="B1201" s="65" t="s">
        <v>754</v>
      </c>
      <c r="C1201" s="65"/>
      <c r="D1201" s="65" t="s">
        <v>316</v>
      </c>
      <c r="E1201" s="65">
        <v>30</v>
      </c>
      <c r="F1201" s="61">
        <f>机械!E17</f>
        <v>1.81</v>
      </c>
      <c r="G1201" s="458">
        <f t="shared" ref="G1201:G1206" si="39">F1201*E1201</f>
        <v>54.3</v>
      </c>
    </row>
    <row r="1202" ht="18" customHeight="1" spans="1:7">
      <c r="A1202" s="459"/>
      <c r="B1202" s="65" t="s">
        <v>755</v>
      </c>
      <c r="C1202" s="65"/>
      <c r="D1202" s="65" t="s">
        <v>316</v>
      </c>
      <c r="E1202" s="65">
        <v>18.54</v>
      </c>
      <c r="F1202" s="61">
        <f>机械!E16</f>
        <v>23.75</v>
      </c>
      <c r="G1202" s="458">
        <f t="shared" si="39"/>
        <v>440.33</v>
      </c>
    </row>
    <row r="1203" ht="18" customHeight="1" spans="1:7">
      <c r="A1203" s="459"/>
      <c r="B1203" s="65" t="s">
        <v>472</v>
      </c>
      <c r="C1203" s="65"/>
      <c r="D1203" s="65" t="s">
        <v>316</v>
      </c>
      <c r="E1203" s="65">
        <v>83</v>
      </c>
      <c r="F1203" s="61">
        <f>机械!E29</f>
        <v>0.82</v>
      </c>
      <c r="G1203" s="458">
        <f t="shared" si="39"/>
        <v>68.06</v>
      </c>
    </row>
    <row r="1204" ht="18" customHeight="1" spans="1:7">
      <c r="A1204" s="459"/>
      <c r="B1204" s="65" t="s">
        <v>620</v>
      </c>
      <c r="C1204" s="65"/>
      <c r="D1204" s="65" t="s">
        <v>316</v>
      </c>
      <c r="E1204" s="65">
        <v>0.46</v>
      </c>
      <c r="F1204" s="61">
        <f>机械!E23</f>
        <v>49.39</v>
      </c>
      <c r="G1204" s="458">
        <f t="shared" si="39"/>
        <v>22.72</v>
      </c>
    </row>
    <row r="1205" ht="18" customHeight="1" spans="1:7">
      <c r="A1205" s="459"/>
      <c r="B1205" s="65" t="s">
        <v>767</v>
      </c>
      <c r="C1205" s="65"/>
      <c r="D1205" s="65" t="s">
        <v>316</v>
      </c>
      <c r="E1205" s="65">
        <v>10.32</v>
      </c>
      <c r="F1205" s="61">
        <f>机械!E47</f>
        <v>8.06</v>
      </c>
      <c r="G1205" s="458">
        <f t="shared" si="39"/>
        <v>83.18</v>
      </c>
    </row>
    <row r="1206" ht="18" customHeight="1" spans="1:7">
      <c r="A1206" s="459"/>
      <c r="B1206" s="65" t="s">
        <v>370</v>
      </c>
      <c r="C1206" s="65"/>
      <c r="D1206" s="462" t="s">
        <v>293</v>
      </c>
      <c r="E1206" s="463">
        <v>0.2</v>
      </c>
      <c r="F1206" s="65">
        <f>SUM(G1201:G1203)</f>
        <v>562.69</v>
      </c>
      <c r="G1206" s="458">
        <f t="shared" si="39"/>
        <v>112.54</v>
      </c>
    </row>
    <row r="1207" ht="18" customHeight="1" spans="1:7">
      <c r="A1207" s="459">
        <v>4</v>
      </c>
      <c r="B1207" s="65" t="s">
        <v>756</v>
      </c>
      <c r="C1207" s="65"/>
      <c r="D1207" s="462"/>
      <c r="E1207" s="463"/>
      <c r="F1207" s="65"/>
      <c r="G1207" s="458">
        <f>G1208+G1209</f>
        <v>798.25</v>
      </c>
    </row>
    <row r="1208" ht="18" customHeight="1" spans="1:7">
      <c r="A1208" s="459"/>
      <c r="B1208" s="65" t="s">
        <v>558</v>
      </c>
      <c r="C1208" s="65"/>
      <c r="D1208" s="462" t="s">
        <v>515</v>
      </c>
      <c r="E1208" s="65">
        <v>103</v>
      </c>
      <c r="F1208" s="61">
        <f>$G$562/100</f>
        <v>5.04</v>
      </c>
      <c r="G1208" s="458">
        <f>F1208*E1208</f>
        <v>519.12</v>
      </c>
    </row>
    <row r="1209" ht="18" customHeight="1" spans="1:7">
      <c r="A1209" s="459"/>
      <c r="B1209" s="65" t="s">
        <v>559</v>
      </c>
      <c r="C1209" s="65"/>
      <c r="D1209" s="462" t="s">
        <v>515</v>
      </c>
      <c r="E1209" s="65">
        <v>103</v>
      </c>
      <c r="F1209" s="61">
        <f>$G$577/100</f>
        <v>2.71</v>
      </c>
      <c r="G1209" s="458">
        <f>F1209*E1209</f>
        <v>279.13</v>
      </c>
    </row>
    <row r="1210" ht="18" customHeight="1" spans="1:7">
      <c r="A1210" s="457" t="s">
        <v>133</v>
      </c>
      <c r="B1210" s="65" t="s">
        <v>294</v>
      </c>
      <c r="C1210" s="65"/>
      <c r="D1210" s="65"/>
      <c r="E1210" s="72">
        <f>费率!F4</f>
        <v>0.048</v>
      </c>
      <c r="F1210" s="65">
        <f>G1186</f>
        <v>38948.91</v>
      </c>
      <c r="G1210" s="458">
        <f>E1210*F1210</f>
        <v>1869.55</v>
      </c>
    </row>
    <row r="1211" ht="18" customHeight="1" spans="1:7">
      <c r="A1211" s="457" t="s">
        <v>14</v>
      </c>
      <c r="B1211" s="65" t="s">
        <v>295</v>
      </c>
      <c r="C1211" s="65"/>
      <c r="D1211" s="65"/>
      <c r="E1211" s="72">
        <f>费率!F5</f>
        <v>0.07</v>
      </c>
      <c r="F1211" s="65">
        <f>(G1185)</f>
        <v>40818.46</v>
      </c>
      <c r="G1211" s="458">
        <f>F1211*E1211</f>
        <v>2857.29</v>
      </c>
    </row>
    <row r="1212" ht="18" customHeight="1" spans="1:7">
      <c r="A1212" s="457" t="s">
        <v>16</v>
      </c>
      <c r="B1212" s="65" t="s">
        <v>757</v>
      </c>
      <c r="C1212" s="65"/>
      <c r="D1212" s="65"/>
      <c r="E1212" s="72">
        <f>费率!F6</f>
        <v>0.07</v>
      </c>
      <c r="F1212" s="65">
        <f>F1211+G1211</f>
        <v>43675.75</v>
      </c>
      <c r="G1212" s="458">
        <f>F1212*E1212</f>
        <v>3057.3</v>
      </c>
    </row>
    <row r="1213" ht="18" customHeight="1" spans="1:7">
      <c r="A1213" s="457" t="s">
        <v>18</v>
      </c>
      <c r="B1213" s="65" t="s">
        <v>758</v>
      </c>
      <c r="C1213" s="65"/>
      <c r="D1213" s="65" t="s">
        <v>759</v>
      </c>
      <c r="E1213" s="65"/>
      <c r="F1213" s="65"/>
      <c r="G1213" s="458">
        <f>SUM(G1214:G1218)</f>
        <v>7106.56</v>
      </c>
    </row>
    <row r="1214" ht="18" customHeight="1" spans="1:7">
      <c r="A1214" s="457"/>
      <c r="B1214" s="65"/>
      <c r="C1214" s="65"/>
      <c r="D1214" s="462"/>
      <c r="E1214" s="65"/>
      <c r="F1214" s="65"/>
      <c r="G1214" s="458"/>
    </row>
    <row r="1215" ht="18" customHeight="1" spans="1:7">
      <c r="A1215" s="457"/>
      <c r="B1215" s="65" t="s">
        <v>405</v>
      </c>
      <c r="C1215" s="65"/>
      <c r="D1215" s="65" t="s">
        <v>158</v>
      </c>
      <c r="E1215" s="65">
        <f>E1197*混凝土单价!E6</f>
        <v>31.93</v>
      </c>
      <c r="F1215" s="61">
        <f>主材!N6</f>
        <v>135.66</v>
      </c>
      <c r="G1215" s="458">
        <f t="shared" ref="G1215:G1219" si="40">E1215*F1215</f>
        <v>4331.62</v>
      </c>
    </row>
    <row r="1216" ht="18" customHeight="1" spans="1:7">
      <c r="A1216" s="457"/>
      <c r="B1216" s="65" t="s">
        <v>396</v>
      </c>
      <c r="C1216" s="65"/>
      <c r="D1216" s="462" t="s">
        <v>515</v>
      </c>
      <c r="E1216" s="65">
        <f>E1197*混凝土单价!G6</f>
        <v>56.65</v>
      </c>
      <c r="F1216" s="61">
        <f>主材!N8</f>
        <v>37.93</v>
      </c>
      <c r="G1216" s="458">
        <f t="shared" si="40"/>
        <v>2148.73</v>
      </c>
    </row>
    <row r="1217" ht="18" customHeight="1" spans="1:7">
      <c r="A1217" s="457"/>
      <c r="B1217" s="65" t="s">
        <v>467</v>
      </c>
      <c r="C1217" s="65"/>
      <c r="D1217" s="462" t="s">
        <v>515</v>
      </c>
      <c r="E1217" s="65">
        <f>E1197*混凝土单价!I6</f>
        <v>86.52</v>
      </c>
      <c r="F1217" s="61">
        <f>主材!N10</f>
        <v>7.03</v>
      </c>
      <c r="G1217" s="458">
        <f t="shared" si="40"/>
        <v>608.24</v>
      </c>
    </row>
    <row r="1218" ht="18" customHeight="1" spans="1:7">
      <c r="A1218" s="457"/>
      <c r="B1218" s="65" t="s">
        <v>522</v>
      </c>
      <c r="C1218" s="65"/>
      <c r="D1218" s="462" t="s">
        <v>323</v>
      </c>
      <c r="E1218" s="65">
        <f>E1204*机械!K23</f>
        <v>3.31</v>
      </c>
      <c r="F1218" s="61">
        <f>主材!N14</f>
        <v>5.43</v>
      </c>
      <c r="G1218" s="458">
        <f t="shared" si="40"/>
        <v>17.97</v>
      </c>
    </row>
    <row r="1219" ht="18" customHeight="1" spans="1:7">
      <c r="A1219" s="457" t="s">
        <v>20</v>
      </c>
      <c r="B1219" s="65" t="s">
        <v>297</v>
      </c>
      <c r="C1219" s="65"/>
      <c r="D1219" s="65"/>
      <c r="E1219" s="465">
        <f>费率!F7</f>
        <v>0.09</v>
      </c>
      <c r="F1219" s="65">
        <f>(G1185+G1211+G1212)+G1213</f>
        <v>53839.61</v>
      </c>
      <c r="G1219" s="458">
        <f t="shared" si="40"/>
        <v>4845.56</v>
      </c>
    </row>
    <row r="1220" ht="18" customHeight="1" spans="1:7">
      <c r="A1220" s="457"/>
      <c r="B1220" s="65" t="s">
        <v>760</v>
      </c>
      <c r="C1220" s="65"/>
      <c r="D1220" s="65"/>
      <c r="E1220" s="465"/>
      <c r="F1220" s="65"/>
      <c r="G1220" s="458">
        <f>F1219+G1219</f>
        <v>58685.17</v>
      </c>
    </row>
    <row r="1221" ht="18" customHeight="1" spans="1:7">
      <c r="A1221" s="457" t="s">
        <v>23</v>
      </c>
      <c r="B1221" s="65" t="s">
        <v>761</v>
      </c>
      <c r="C1221" s="65"/>
      <c r="D1221" s="65"/>
      <c r="E1221" s="466">
        <f>费率!F8</f>
        <v>0.03</v>
      </c>
      <c r="F1221" s="65">
        <f>G1220</f>
        <v>58685.17</v>
      </c>
      <c r="G1221" s="458">
        <f>F1221*E1221</f>
        <v>1760.56</v>
      </c>
    </row>
    <row r="1222" ht="18" customHeight="1" spans="1:7">
      <c r="A1222" s="467"/>
      <c r="B1222" s="472" t="s">
        <v>121</v>
      </c>
      <c r="C1222" s="472"/>
      <c r="D1222" s="470"/>
      <c r="E1222" s="470"/>
      <c r="F1222" s="470"/>
      <c r="G1222" s="471">
        <f>F1221+G1221</f>
        <v>60445.73</v>
      </c>
    </row>
    <row r="1223" ht="2.45" customHeight="1"/>
    <row r="1224" ht="19.9" customHeight="1" spans="1:7">
      <c r="A1224" s="41" t="s">
        <v>274</v>
      </c>
      <c r="B1224" s="41"/>
      <c r="C1224" s="41"/>
      <c r="D1224" s="41"/>
      <c r="E1224" s="41"/>
      <c r="F1224" s="41"/>
      <c r="G1224" s="41"/>
    </row>
    <row r="1225" ht="15.4" customHeight="1" spans="1:7">
      <c r="A1225" s="42" t="s">
        <v>275</v>
      </c>
      <c r="B1225" s="43"/>
      <c r="C1225" s="43" t="s">
        <v>768</v>
      </c>
      <c r="D1225" s="43" t="s">
        <v>276</v>
      </c>
      <c r="E1225" s="355" t="s">
        <v>769</v>
      </c>
      <c r="F1225" s="355"/>
      <c r="G1225" s="356"/>
    </row>
    <row r="1226" ht="15.4" customHeight="1" spans="1:7">
      <c r="A1226" s="47" t="s">
        <v>278</v>
      </c>
      <c r="B1226" s="48"/>
      <c r="C1226" s="49" t="s">
        <v>770</v>
      </c>
      <c r="D1226" s="49"/>
      <c r="E1226" s="49"/>
      <c r="F1226" s="50" t="s">
        <v>280</v>
      </c>
      <c r="G1226" s="51" t="s">
        <v>357</v>
      </c>
    </row>
    <row r="1227" ht="15.4" customHeight="1" spans="1:7">
      <c r="A1227" s="52" t="s">
        <v>546</v>
      </c>
      <c r="B1227" s="53"/>
      <c r="C1227" s="54"/>
      <c r="D1227" s="54"/>
      <c r="E1227" s="54"/>
      <c r="F1227" s="54"/>
      <c r="G1227" s="55"/>
    </row>
    <row r="1228" ht="15.4" customHeight="1" spans="1:7">
      <c r="A1228" s="457" t="s">
        <v>284</v>
      </c>
      <c r="B1228" s="65" t="s">
        <v>458</v>
      </c>
      <c r="C1228" s="65"/>
      <c r="D1228" s="65" t="s">
        <v>88</v>
      </c>
      <c r="E1228" s="65" t="s">
        <v>130</v>
      </c>
      <c r="F1228" s="65" t="s">
        <v>90</v>
      </c>
      <c r="G1228" s="458" t="s">
        <v>92</v>
      </c>
    </row>
    <row r="1229" ht="15.4" customHeight="1" spans="1:7">
      <c r="A1229" s="457" t="s">
        <v>9</v>
      </c>
      <c r="B1229" s="65" t="s">
        <v>459</v>
      </c>
      <c r="C1229" s="65"/>
      <c r="D1229" s="65"/>
      <c r="E1229" s="65"/>
      <c r="F1229" s="65"/>
      <c r="G1229" s="458">
        <f>G1230+G1239</f>
        <v>1741.61</v>
      </c>
    </row>
    <row r="1230" ht="15.4" customHeight="1" spans="1:7">
      <c r="A1230" s="457" t="s">
        <v>132</v>
      </c>
      <c r="B1230" s="65" t="s">
        <v>287</v>
      </c>
      <c r="C1230" s="65"/>
      <c r="D1230" s="65"/>
      <c r="E1230" s="65"/>
      <c r="F1230" s="65"/>
      <c r="G1230" s="458">
        <f>G1231+G1234+G1238</f>
        <v>1661.84</v>
      </c>
    </row>
    <row r="1231" ht="15.4" customHeight="1" spans="1:7">
      <c r="A1231" s="459">
        <v>1</v>
      </c>
      <c r="B1231" s="65" t="s">
        <v>247</v>
      </c>
      <c r="C1231" s="65"/>
      <c r="D1231" s="65"/>
      <c r="E1231" s="65"/>
      <c r="F1231" s="65"/>
      <c r="G1231" s="458">
        <f>SUM(G1232:G1233)</f>
        <v>525.84</v>
      </c>
    </row>
    <row r="1232" ht="15.4" customHeight="1" spans="1:7">
      <c r="A1232" s="459"/>
      <c r="B1232" s="65" t="s">
        <v>289</v>
      </c>
      <c r="C1232" s="65"/>
      <c r="D1232" s="460" t="s">
        <v>290</v>
      </c>
      <c r="E1232" s="461">
        <v>50.6</v>
      </c>
      <c r="F1232" s="61">
        <f>人工!D4</f>
        <v>8.1</v>
      </c>
      <c r="G1232" s="458">
        <f>F1232*E1232</f>
        <v>409.86</v>
      </c>
    </row>
    <row r="1233" ht="15.4" customHeight="1" spans="1:7">
      <c r="A1233" s="459"/>
      <c r="B1233" s="65" t="s">
        <v>291</v>
      </c>
      <c r="C1233" s="65"/>
      <c r="D1233" s="460" t="s">
        <v>290</v>
      </c>
      <c r="E1233" s="461">
        <v>20.1</v>
      </c>
      <c r="F1233" s="61">
        <f>人工!D5</f>
        <v>5.77</v>
      </c>
      <c r="G1233" s="458">
        <f>F1233*E1233</f>
        <v>115.98</v>
      </c>
    </row>
    <row r="1234" ht="15.4" customHeight="1" spans="1:7">
      <c r="A1234" s="459">
        <v>2</v>
      </c>
      <c r="B1234" s="65" t="s">
        <v>248</v>
      </c>
      <c r="C1234" s="65"/>
      <c r="D1234" s="462"/>
      <c r="E1234" s="463"/>
      <c r="F1234" s="65"/>
      <c r="G1234" s="458">
        <f>SUM(G1235:G1237)</f>
        <v>1136</v>
      </c>
    </row>
    <row r="1235" ht="15.4" customHeight="1" spans="1:7">
      <c r="A1235" s="459"/>
      <c r="B1235" s="65" t="s">
        <v>628</v>
      </c>
      <c r="C1235" s="65"/>
      <c r="D1235" s="462" t="s">
        <v>158</v>
      </c>
      <c r="E1235" s="461">
        <v>0.26</v>
      </c>
      <c r="F1235" s="65">
        <v>3500</v>
      </c>
      <c r="G1235" s="458">
        <f>E1235*F1235</f>
        <v>910</v>
      </c>
    </row>
    <row r="1236" ht="15.4" customHeight="1" spans="1:7">
      <c r="A1236" s="459"/>
      <c r="B1236" s="65" t="s">
        <v>771</v>
      </c>
      <c r="C1236" s="65"/>
      <c r="D1236" s="462" t="s">
        <v>158</v>
      </c>
      <c r="E1236" s="461">
        <v>0.09</v>
      </c>
      <c r="F1236" s="65">
        <f>主材!M7</f>
        <v>2143.4</v>
      </c>
      <c r="G1236" s="458">
        <f>E1236*F1236</f>
        <v>192.91</v>
      </c>
    </row>
    <row r="1237" ht="15.4" customHeight="1" spans="1:7">
      <c r="A1237" s="459"/>
      <c r="B1237" s="65" t="s">
        <v>397</v>
      </c>
      <c r="C1237" s="65"/>
      <c r="D1237" s="462" t="s">
        <v>293</v>
      </c>
      <c r="E1237" s="473">
        <v>0.03</v>
      </c>
      <c r="F1237" s="65">
        <f>SUM(G1235:G1236)</f>
        <v>1102.91</v>
      </c>
      <c r="G1237" s="458">
        <f>E1237*F1237</f>
        <v>33.09</v>
      </c>
    </row>
    <row r="1238" ht="15.4" customHeight="1" spans="1:7">
      <c r="A1238" s="459">
        <v>3</v>
      </c>
      <c r="B1238" s="65" t="s">
        <v>314</v>
      </c>
      <c r="C1238" s="65"/>
      <c r="D1238" s="460"/>
      <c r="E1238" s="460"/>
      <c r="F1238" s="460"/>
      <c r="G1238" s="458">
        <v>0</v>
      </c>
    </row>
    <row r="1239" ht="15.4" customHeight="1" spans="1:7">
      <c r="A1239" s="457" t="s">
        <v>133</v>
      </c>
      <c r="B1239" s="65" t="s">
        <v>294</v>
      </c>
      <c r="C1239" s="65"/>
      <c r="D1239" s="65"/>
      <c r="E1239" s="72">
        <f>费率!F4</f>
        <v>0.048</v>
      </c>
      <c r="F1239" s="65">
        <f>G1230</f>
        <v>1661.84</v>
      </c>
      <c r="G1239" s="458">
        <f>E1239*F1239</f>
        <v>79.77</v>
      </c>
    </row>
    <row r="1240" ht="15.4" customHeight="1" spans="1:7">
      <c r="A1240" s="457" t="s">
        <v>14</v>
      </c>
      <c r="B1240" s="65" t="s">
        <v>295</v>
      </c>
      <c r="C1240" s="65"/>
      <c r="D1240" s="65"/>
      <c r="E1240" s="72">
        <f>费率!F5</f>
        <v>0.07</v>
      </c>
      <c r="F1240" s="65">
        <f>(G1229)</f>
        <v>1741.61</v>
      </c>
      <c r="G1240" s="458">
        <f>F1240*E1240</f>
        <v>121.91</v>
      </c>
    </row>
    <row r="1241" ht="15.4" customHeight="1" spans="1:7">
      <c r="A1241" s="457" t="s">
        <v>16</v>
      </c>
      <c r="B1241" s="65" t="s">
        <v>757</v>
      </c>
      <c r="C1241" s="65"/>
      <c r="D1241" s="65"/>
      <c r="E1241" s="72">
        <f>费率!F6</f>
        <v>0.07</v>
      </c>
      <c r="F1241" s="65">
        <f>F1240+G1240</f>
        <v>1863.52</v>
      </c>
      <c r="G1241" s="458">
        <f>F1241*E1241</f>
        <v>130.45</v>
      </c>
    </row>
    <row r="1242" ht="15.4" customHeight="1" spans="1:7">
      <c r="A1242" s="457" t="s">
        <v>18</v>
      </c>
      <c r="B1242" s="65" t="s">
        <v>758</v>
      </c>
      <c r="C1242" s="65"/>
      <c r="D1242" s="65" t="s">
        <v>759</v>
      </c>
      <c r="E1242" s="65"/>
      <c r="F1242" s="65"/>
      <c r="G1242" s="458">
        <v>0</v>
      </c>
    </row>
    <row r="1243" ht="15.4" customHeight="1" spans="1:7">
      <c r="A1243" s="457" t="s">
        <v>20</v>
      </c>
      <c r="B1243" s="65" t="s">
        <v>297</v>
      </c>
      <c r="C1243" s="65"/>
      <c r="D1243" s="65"/>
      <c r="E1243" s="465">
        <f>费率!F7</f>
        <v>0.09</v>
      </c>
      <c r="F1243" s="65">
        <f>(G1229+G1240+G1241)+G1242</f>
        <v>1993.97</v>
      </c>
      <c r="G1243" s="458">
        <f>E1243*F1243</f>
        <v>179.46</v>
      </c>
    </row>
    <row r="1244" ht="15.4" customHeight="1" spans="1:7">
      <c r="A1244" s="457"/>
      <c r="B1244" s="65" t="s">
        <v>760</v>
      </c>
      <c r="C1244" s="65"/>
      <c r="D1244" s="65"/>
      <c r="E1244" s="465"/>
      <c r="F1244" s="65"/>
      <c r="G1244" s="458">
        <f>F1243+G1243</f>
        <v>2173.43</v>
      </c>
    </row>
    <row r="1245" ht="15.4" customHeight="1" spans="1:7">
      <c r="A1245" s="457" t="s">
        <v>23</v>
      </c>
      <c r="B1245" s="65" t="s">
        <v>761</v>
      </c>
      <c r="C1245" s="65"/>
      <c r="D1245" s="65"/>
      <c r="E1245" s="466">
        <f>费率!F8</f>
        <v>0.03</v>
      </c>
      <c r="F1245" s="65">
        <f>G1244</f>
        <v>2173.43</v>
      </c>
      <c r="G1245" s="458">
        <f>F1245*E1245</f>
        <v>65.2</v>
      </c>
    </row>
    <row r="1246" ht="15.4" customHeight="1" spans="1:7">
      <c r="A1246" s="467"/>
      <c r="B1246" s="472" t="s">
        <v>121</v>
      </c>
      <c r="C1246" s="472"/>
      <c r="D1246" s="470"/>
      <c r="E1246" s="470"/>
      <c r="F1246" s="470"/>
      <c r="G1246" s="471">
        <f>F1245+G1245</f>
        <v>2238.63</v>
      </c>
    </row>
    <row r="1247" ht="13.5" customHeight="1"/>
    <row r="1248" ht="19.9" customHeight="1" spans="1:7">
      <c r="A1248" s="41" t="s">
        <v>274</v>
      </c>
      <c r="B1248" s="41"/>
      <c r="C1248" s="41"/>
      <c r="D1248" s="41"/>
      <c r="E1248" s="41"/>
      <c r="F1248" s="41"/>
      <c r="G1248" s="41"/>
    </row>
    <row r="1249" ht="15.4" customHeight="1" spans="1:7">
      <c r="A1249" s="42" t="s">
        <v>275</v>
      </c>
      <c r="B1249" s="43"/>
      <c r="C1249" s="43" t="s">
        <v>772</v>
      </c>
      <c r="D1249" s="43" t="s">
        <v>276</v>
      </c>
      <c r="E1249" s="355" t="s">
        <v>773</v>
      </c>
      <c r="F1249" s="355"/>
      <c r="G1249" s="356"/>
    </row>
    <row r="1250" ht="15.4" customHeight="1" spans="1:7">
      <c r="A1250" s="47" t="s">
        <v>278</v>
      </c>
      <c r="B1250" s="48"/>
      <c r="C1250" s="49" t="s">
        <v>774</v>
      </c>
      <c r="D1250" s="49"/>
      <c r="E1250" s="49"/>
      <c r="F1250" s="50" t="s">
        <v>280</v>
      </c>
      <c r="G1250" s="51" t="s">
        <v>357</v>
      </c>
    </row>
    <row r="1251" ht="15.4" customHeight="1" spans="1:7">
      <c r="A1251" s="52" t="s">
        <v>546</v>
      </c>
      <c r="B1251" s="53"/>
      <c r="C1251" s="54"/>
      <c r="D1251" s="54"/>
      <c r="E1251" s="54"/>
      <c r="F1251" s="54"/>
      <c r="G1251" s="55"/>
    </row>
    <row r="1252" ht="15.4" customHeight="1" spans="1:7">
      <c r="A1252" s="457" t="s">
        <v>284</v>
      </c>
      <c r="B1252" s="65" t="s">
        <v>458</v>
      </c>
      <c r="C1252" s="65"/>
      <c r="D1252" s="65" t="s">
        <v>88</v>
      </c>
      <c r="E1252" s="65" t="s">
        <v>130</v>
      </c>
      <c r="F1252" s="65" t="s">
        <v>90</v>
      </c>
      <c r="G1252" s="458" t="s">
        <v>92</v>
      </c>
    </row>
    <row r="1253" ht="15.4" customHeight="1" spans="1:7">
      <c r="A1253" s="457" t="s">
        <v>9</v>
      </c>
      <c r="B1253" s="65" t="s">
        <v>459</v>
      </c>
      <c r="C1253" s="65"/>
      <c r="D1253" s="65"/>
      <c r="E1253" s="65"/>
      <c r="F1253" s="65"/>
      <c r="G1253" s="458">
        <f>G1254+G1264</f>
        <v>1681.7</v>
      </c>
    </row>
    <row r="1254" ht="15.4" customHeight="1" spans="1:7">
      <c r="A1254" s="457" t="s">
        <v>132</v>
      </c>
      <c r="B1254" s="65" t="s">
        <v>287</v>
      </c>
      <c r="C1254" s="65"/>
      <c r="D1254" s="65"/>
      <c r="E1254" s="65"/>
      <c r="F1254" s="65"/>
      <c r="G1254" s="458">
        <f>G1255+G1258+G1262</f>
        <v>1604.68</v>
      </c>
    </row>
    <row r="1255" ht="15.4" customHeight="1" spans="1:7">
      <c r="A1255" s="459">
        <v>1</v>
      </c>
      <c r="B1255" s="65" t="s">
        <v>247</v>
      </c>
      <c r="C1255" s="65"/>
      <c r="D1255" s="65"/>
      <c r="E1255" s="65"/>
      <c r="F1255" s="65"/>
      <c r="G1255" s="458">
        <f>SUM(G1256:G1257)</f>
        <v>1223.41</v>
      </c>
    </row>
    <row r="1256" ht="15.4" customHeight="1" spans="1:7">
      <c r="A1256" s="459"/>
      <c r="B1256" s="65" t="s">
        <v>289</v>
      </c>
      <c r="C1256" s="65"/>
      <c r="D1256" s="460" t="s">
        <v>290</v>
      </c>
      <c r="E1256" s="461">
        <v>117.7</v>
      </c>
      <c r="F1256" s="61">
        <f>人工!D4</f>
        <v>8.1</v>
      </c>
      <c r="G1256" s="458">
        <f>F1256*E1256</f>
        <v>953.37</v>
      </c>
    </row>
    <row r="1257" ht="15.4" customHeight="1" spans="1:7">
      <c r="A1257" s="459"/>
      <c r="B1257" s="65" t="s">
        <v>291</v>
      </c>
      <c r="C1257" s="65"/>
      <c r="D1257" s="460" t="s">
        <v>290</v>
      </c>
      <c r="E1257" s="461">
        <v>46.8</v>
      </c>
      <c r="F1257" s="61">
        <f>人工!D5</f>
        <v>5.77</v>
      </c>
      <c r="G1257" s="458">
        <f>F1257*E1257</f>
        <v>270.04</v>
      </c>
    </row>
    <row r="1258" ht="15.4" customHeight="1" spans="1:7">
      <c r="A1258" s="459">
        <v>2</v>
      </c>
      <c r="B1258" s="65" t="s">
        <v>248</v>
      </c>
      <c r="C1258" s="65"/>
      <c r="D1258" s="462"/>
      <c r="E1258" s="463"/>
      <c r="F1258" s="65"/>
      <c r="G1258" s="458">
        <f>SUM(G1259:G1261)</f>
        <v>376.88</v>
      </c>
    </row>
    <row r="1259" ht="15.4" customHeight="1" spans="1:7">
      <c r="A1259" s="459"/>
      <c r="B1259" s="65" t="s">
        <v>775</v>
      </c>
      <c r="C1259" s="65"/>
      <c r="D1259" s="462" t="s">
        <v>515</v>
      </c>
      <c r="E1259" s="461">
        <v>2.5</v>
      </c>
      <c r="F1259" s="65">
        <f>混凝土单价!M11</f>
        <v>144.61</v>
      </c>
      <c r="G1259" s="458">
        <f>E1259*F1259</f>
        <v>361.53</v>
      </c>
    </row>
    <row r="1260" ht="15.4" customHeight="1" spans="1:7">
      <c r="A1260" s="459"/>
      <c r="B1260" s="65" t="s">
        <v>672</v>
      </c>
      <c r="C1260" s="65"/>
      <c r="D1260" s="462" t="s">
        <v>515</v>
      </c>
      <c r="E1260" s="461">
        <v>1</v>
      </c>
      <c r="F1260" s="65">
        <f>主材!D18</f>
        <v>4.37</v>
      </c>
      <c r="G1260" s="458">
        <f>E1260*F1260</f>
        <v>4.37</v>
      </c>
    </row>
    <row r="1261" ht="15.4" customHeight="1" spans="1:7">
      <c r="A1261" s="459"/>
      <c r="B1261" s="65" t="s">
        <v>397</v>
      </c>
      <c r="C1261" s="65"/>
      <c r="D1261" s="462" t="s">
        <v>293</v>
      </c>
      <c r="E1261" s="473">
        <v>0.03</v>
      </c>
      <c r="F1261" s="65">
        <f>SUM(G1259:G1260)</f>
        <v>365.9</v>
      </c>
      <c r="G1261" s="458">
        <f>E1261*F1261</f>
        <v>10.98</v>
      </c>
    </row>
    <row r="1262" ht="15.4" customHeight="1" spans="1:7">
      <c r="A1262" s="459">
        <v>3</v>
      </c>
      <c r="B1262" s="65" t="s">
        <v>314</v>
      </c>
      <c r="C1262" s="65"/>
      <c r="D1262" s="460"/>
      <c r="E1262" s="460"/>
      <c r="F1262" s="460"/>
      <c r="G1262" s="458">
        <f>G1263</f>
        <v>4.39</v>
      </c>
    </row>
    <row r="1263" ht="15.4" customHeight="1" spans="1:7">
      <c r="A1263" s="459"/>
      <c r="B1263" s="65" t="s">
        <v>472</v>
      </c>
      <c r="C1263" s="65"/>
      <c r="D1263" s="460" t="s">
        <v>316</v>
      </c>
      <c r="E1263" s="460">
        <v>5.35</v>
      </c>
      <c r="F1263" s="460">
        <f>机械!E29</f>
        <v>0.82</v>
      </c>
      <c r="G1263" s="458">
        <f>E1263*F1263</f>
        <v>4.39</v>
      </c>
    </row>
    <row r="1264" ht="15.4" customHeight="1" spans="1:7">
      <c r="A1264" s="457" t="s">
        <v>133</v>
      </c>
      <c r="B1264" s="65" t="s">
        <v>294</v>
      </c>
      <c r="C1264" s="65"/>
      <c r="D1264" s="65"/>
      <c r="E1264" s="72">
        <f>费率!F4</f>
        <v>0.048</v>
      </c>
      <c r="F1264" s="65">
        <f>G1254</f>
        <v>1604.68</v>
      </c>
      <c r="G1264" s="458">
        <f>E1264*F1264</f>
        <v>77.02</v>
      </c>
    </row>
    <row r="1265" ht="15.4" customHeight="1" spans="1:7">
      <c r="A1265" s="457" t="s">
        <v>14</v>
      </c>
      <c r="B1265" s="65" t="s">
        <v>295</v>
      </c>
      <c r="C1265" s="65"/>
      <c r="D1265" s="65"/>
      <c r="E1265" s="72">
        <f>费率!F5</f>
        <v>0.07</v>
      </c>
      <c r="F1265" s="65">
        <f>(G1253)</f>
        <v>1681.7</v>
      </c>
      <c r="G1265" s="458">
        <f>F1265*E1265</f>
        <v>117.72</v>
      </c>
    </row>
    <row r="1266" ht="15.4" customHeight="1" spans="1:7">
      <c r="A1266" s="457" t="s">
        <v>16</v>
      </c>
      <c r="B1266" s="65" t="s">
        <v>757</v>
      </c>
      <c r="C1266" s="65"/>
      <c r="D1266" s="65"/>
      <c r="E1266" s="72">
        <f>费率!F6</f>
        <v>0.07</v>
      </c>
      <c r="F1266" s="65">
        <f>F1265+G1265</f>
        <v>1799.42</v>
      </c>
      <c r="G1266" s="458">
        <f>F1266*E1266</f>
        <v>125.96</v>
      </c>
    </row>
    <row r="1267" ht="15.4" customHeight="1" spans="1:7">
      <c r="A1267" s="457" t="s">
        <v>18</v>
      </c>
      <c r="B1267" s="65" t="s">
        <v>758</v>
      </c>
      <c r="C1267" s="65"/>
      <c r="D1267" s="65" t="s">
        <v>759</v>
      </c>
      <c r="E1267" s="65"/>
      <c r="F1267" s="65"/>
      <c r="G1267" s="458">
        <f>G1268+G1269</f>
        <v>193.85</v>
      </c>
    </row>
    <row r="1268" ht="15.4" customHeight="1" spans="1:7">
      <c r="A1268" s="457"/>
      <c r="B1268" s="65" t="s">
        <v>405</v>
      </c>
      <c r="C1268" s="65"/>
      <c r="D1268" s="65" t="s">
        <v>158</v>
      </c>
      <c r="E1268" s="65">
        <f>E1259*混凝土单价!E11</f>
        <v>0.66</v>
      </c>
      <c r="F1268" s="65">
        <f>主材!N6</f>
        <v>135.66</v>
      </c>
      <c r="G1268" s="458">
        <f>E1268*F1268</f>
        <v>89.54</v>
      </c>
    </row>
    <row r="1269" ht="15.4" customHeight="1" spans="1:7">
      <c r="A1269" s="457"/>
      <c r="B1269" s="65" t="s">
        <v>396</v>
      </c>
      <c r="C1269" s="65"/>
      <c r="D1269" s="462" t="s">
        <v>515</v>
      </c>
      <c r="E1269" s="65">
        <f>E1259*混凝土单价!G11</f>
        <v>2.75</v>
      </c>
      <c r="F1269" s="65">
        <f>主材!N8</f>
        <v>37.93</v>
      </c>
      <c r="G1269" s="458">
        <f>E1269*F1269</f>
        <v>104.31</v>
      </c>
    </row>
    <row r="1270" ht="15.4" customHeight="1" spans="1:7">
      <c r="A1270" s="457" t="s">
        <v>20</v>
      </c>
      <c r="B1270" s="65" t="s">
        <v>297</v>
      </c>
      <c r="C1270" s="65"/>
      <c r="D1270" s="65"/>
      <c r="E1270" s="465">
        <f>费率!F7</f>
        <v>0.09</v>
      </c>
      <c r="F1270" s="65">
        <f>(G1253+G1265+G1266)+G1267</f>
        <v>2119.23</v>
      </c>
      <c r="G1270" s="458">
        <f>E1270*F1270</f>
        <v>190.73</v>
      </c>
    </row>
    <row r="1271" ht="15.4" customHeight="1" spans="1:7">
      <c r="A1271" s="457"/>
      <c r="B1271" s="65" t="s">
        <v>760</v>
      </c>
      <c r="C1271" s="65"/>
      <c r="D1271" s="65"/>
      <c r="E1271" s="465"/>
      <c r="F1271" s="65"/>
      <c r="G1271" s="458">
        <f>F1270+G1270</f>
        <v>2309.96</v>
      </c>
    </row>
    <row r="1272" ht="15.4" customHeight="1" spans="1:7">
      <c r="A1272" s="457" t="s">
        <v>23</v>
      </c>
      <c r="B1272" s="65" t="s">
        <v>761</v>
      </c>
      <c r="C1272" s="65"/>
      <c r="D1272" s="65"/>
      <c r="E1272" s="466">
        <f>费率!F8</f>
        <v>0.03</v>
      </c>
      <c r="F1272" s="65">
        <f>G1271</f>
        <v>2309.96</v>
      </c>
      <c r="G1272" s="458">
        <f>F1272*E1272</f>
        <v>69.3</v>
      </c>
    </row>
    <row r="1273" ht="15.4" customHeight="1" spans="1:7">
      <c r="A1273" s="467"/>
      <c r="B1273" s="472" t="s">
        <v>121</v>
      </c>
      <c r="C1273" s="472"/>
      <c r="D1273" s="470"/>
      <c r="E1273" s="470"/>
      <c r="F1273" s="470"/>
      <c r="G1273" s="471">
        <f>F1272+G1272</f>
        <v>2379.26</v>
      </c>
    </row>
    <row r="1275" customHeight="1" spans="1:7">
      <c r="A1275" s="41" t="s">
        <v>274</v>
      </c>
      <c r="B1275" s="41"/>
      <c r="C1275" s="41"/>
      <c r="D1275" s="41"/>
      <c r="E1275" s="41"/>
      <c r="F1275" s="41"/>
      <c r="G1275" s="41"/>
    </row>
    <row r="1276" customHeight="1" spans="1:7">
      <c r="A1276" s="42" t="s">
        <v>275</v>
      </c>
      <c r="B1276" s="43"/>
      <c r="C1276" s="43" t="s">
        <v>776</v>
      </c>
      <c r="D1276" s="43" t="s">
        <v>276</v>
      </c>
      <c r="E1276" s="355" t="s">
        <v>777</v>
      </c>
      <c r="F1276" s="355"/>
      <c r="G1276" s="356"/>
    </row>
    <row r="1277" customHeight="1" spans="1:7">
      <c r="A1277" s="47" t="s">
        <v>278</v>
      </c>
      <c r="B1277" s="48"/>
      <c r="C1277" s="49" t="s">
        <v>778</v>
      </c>
      <c r="D1277" s="49"/>
      <c r="E1277" s="49"/>
      <c r="F1277" s="50" t="s">
        <v>280</v>
      </c>
      <c r="G1277" s="51" t="s">
        <v>357</v>
      </c>
    </row>
    <row r="1278" customHeight="1" spans="1:7">
      <c r="A1278" s="52" t="s">
        <v>546</v>
      </c>
      <c r="B1278" s="53"/>
      <c r="C1278" s="54"/>
      <c r="D1278" s="54"/>
      <c r="E1278" s="54"/>
      <c r="F1278" s="54"/>
      <c r="G1278" s="55"/>
    </row>
    <row r="1279" customHeight="1" spans="1:7">
      <c r="A1279" s="457" t="s">
        <v>284</v>
      </c>
      <c r="B1279" s="474" t="s">
        <v>458</v>
      </c>
      <c r="C1279" s="475"/>
      <c r="D1279" s="65" t="s">
        <v>88</v>
      </c>
      <c r="E1279" s="65" t="s">
        <v>130</v>
      </c>
      <c r="F1279" s="65" t="s">
        <v>90</v>
      </c>
      <c r="G1279" s="458" t="s">
        <v>92</v>
      </c>
    </row>
    <row r="1280" customHeight="1" spans="1:7">
      <c r="A1280" s="457" t="s">
        <v>9</v>
      </c>
      <c r="B1280" s="65" t="s">
        <v>459</v>
      </c>
      <c r="C1280" s="65"/>
      <c r="D1280" s="65"/>
      <c r="E1280" s="65"/>
      <c r="F1280" s="65"/>
      <c r="G1280" s="458">
        <f>G1281+G1290</f>
        <v>2573.08</v>
      </c>
    </row>
    <row r="1281" customHeight="1" spans="1:7">
      <c r="A1281" s="457" t="s">
        <v>132</v>
      </c>
      <c r="B1281" s="65" t="s">
        <v>287</v>
      </c>
      <c r="C1281" s="65"/>
      <c r="D1281" s="65"/>
      <c r="E1281" s="65"/>
      <c r="F1281" s="65"/>
      <c r="G1281" s="458">
        <f>G1282+G1285+G1288</f>
        <v>2455.23</v>
      </c>
    </row>
    <row r="1282" customHeight="1" spans="1:7">
      <c r="A1282" s="459">
        <v>1</v>
      </c>
      <c r="B1282" s="65" t="s">
        <v>247</v>
      </c>
      <c r="C1282" s="65"/>
      <c r="D1282" s="65"/>
      <c r="E1282" s="65"/>
      <c r="F1282" s="65"/>
      <c r="G1282" s="458">
        <f>SUM(G1283:G1284)</f>
        <v>1762.21</v>
      </c>
    </row>
    <row r="1283" customHeight="1" spans="1:7">
      <c r="A1283" s="459"/>
      <c r="B1283" s="65" t="s">
        <v>289</v>
      </c>
      <c r="C1283" s="65"/>
      <c r="D1283" s="460" t="s">
        <v>290</v>
      </c>
      <c r="E1283" s="461">
        <v>170.4</v>
      </c>
      <c r="F1283" s="61">
        <f>人工!D4</f>
        <v>8.1</v>
      </c>
      <c r="G1283" s="458">
        <f>F1283*E1283</f>
        <v>1380.24</v>
      </c>
    </row>
    <row r="1284" customHeight="1" spans="1:7">
      <c r="A1284" s="459"/>
      <c r="B1284" s="65" t="s">
        <v>291</v>
      </c>
      <c r="C1284" s="65"/>
      <c r="D1284" s="460" t="s">
        <v>290</v>
      </c>
      <c r="E1284" s="461">
        <v>66.2</v>
      </c>
      <c r="F1284" s="61">
        <f>人工!D5</f>
        <v>5.77</v>
      </c>
      <c r="G1284" s="458">
        <f>F1284*E1284</f>
        <v>381.97</v>
      </c>
    </row>
    <row r="1285" customHeight="1" spans="1:7">
      <c r="A1285" s="459">
        <v>2</v>
      </c>
      <c r="B1285" s="65" t="s">
        <v>248</v>
      </c>
      <c r="C1285" s="65"/>
      <c r="D1285" s="462"/>
      <c r="E1285" s="463"/>
      <c r="F1285" s="65"/>
      <c r="G1285" s="458">
        <f>SUM(G1286:G1287)</f>
        <v>689.58</v>
      </c>
    </row>
    <row r="1286" customHeight="1" spans="1:7">
      <c r="A1286" s="459"/>
      <c r="B1286" s="65" t="s">
        <v>779</v>
      </c>
      <c r="C1286" s="65"/>
      <c r="D1286" s="462" t="s">
        <v>515</v>
      </c>
      <c r="E1286" s="461">
        <v>2.2</v>
      </c>
      <c r="F1286" s="65">
        <v>310.34</v>
      </c>
      <c r="G1286" s="458">
        <f>E1286*F1286</f>
        <v>682.75</v>
      </c>
    </row>
    <row r="1287" customHeight="1" spans="1:7">
      <c r="A1287" s="459"/>
      <c r="B1287" s="65" t="s">
        <v>397</v>
      </c>
      <c r="C1287" s="65"/>
      <c r="D1287" s="462" t="s">
        <v>293</v>
      </c>
      <c r="E1287" s="473">
        <v>0.01</v>
      </c>
      <c r="F1287" s="65">
        <f>SUM(G1286:G1286)</f>
        <v>682.75</v>
      </c>
      <c r="G1287" s="458">
        <f>E1287*F1287</f>
        <v>6.83</v>
      </c>
    </row>
    <row r="1288" customHeight="1" spans="1:7">
      <c r="A1288" s="459">
        <v>3</v>
      </c>
      <c r="B1288" s="65" t="s">
        <v>314</v>
      </c>
      <c r="C1288" s="65"/>
      <c r="D1288" s="460"/>
      <c r="E1288" s="460"/>
      <c r="F1288" s="460"/>
      <c r="G1288" s="458">
        <f>G1289</f>
        <v>3.44</v>
      </c>
    </row>
    <row r="1289" customHeight="1" spans="1:7">
      <c r="A1289" s="459"/>
      <c r="B1289" s="65" t="s">
        <v>472</v>
      </c>
      <c r="C1289" s="65"/>
      <c r="D1289" s="460" t="s">
        <v>316</v>
      </c>
      <c r="E1289" s="460">
        <v>4.2</v>
      </c>
      <c r="F1289" s="460">
        <f>机械!E29</f>
        <v>0.82</v>
      </c>
      <c r="G1289" s="458">
        <f>E1289*F1289</f>
        <v>3.44</v>
      </c>
    </row>
    <row r="1290" customHeight="1" spans="1:7">
      <c r="A1290" s="457" t="s">
        <v>133</v>
      </c>
      <c r="B1290" s="65" t="s">
        <v>294</v>
      </c>
      <c r="C1290" s="65"/>
      <c r="D1290" s="65"/>
      <c r="E1290" s="72">
        <f>费率!F4</f>
        <v>0.048</v>
      </c>
      <c r="F1290" s="65">
        <f>G1281</f>
        <v>2455.23</v>
      </c>
      <c r="G1290" s="458">
        <f>E1290*F1290</f>
        <v>117.85</v>
      </c>
    </row>
    <row r="1291" customHeight="1" spans="1:7">
      <c r="A1291" s="457" t="s">
        <v>14</v>
      </c>
      <c r="B1291" s="65" t="s">
        <v>295</v>
      </c>
      <c r="C1291" s="65"/>
      <c r="D1291" s="65"/>
      <c r="E1291" s="72">
        <f>费率!F5</f>
        <v>0.07</v>
      </c>
      <c r="F1291" s="65">
        <f>(G1280)</f>
        <v>2573.08</v>
      </c>
      <c r="G1291" s="458">
        <f>F1291*E1291</f>
        <v>180.12</v>
      </c>
    </row>
    <row r="1292" customHeight="1" spans="1:7">
      <c r="A1292" s="457" t="s">
        <v>16</v>
      </c>
      <c r="B1292" s="65" t="s">
        <v>757</v>
      </c>
      <c r="C1292" s="65"/>
      <c r="D1292" s="65"/>
      <c r="E1292" s="72">
        <f>费率!F6</f>
        <v>0.07</v>
      </c>
      <c r="F1292" s="65">
        <f>F1291+G1291</f>
        <v>2753.2</v>
      </c>
      <c r="G1292" s="458">
        <f>F1292*E1292</f>
        <v>192.72</v>
      </c>
    </row>
    <row r="1293" customHeight="1" spans="1:7">
      <c r="A1293" s="457" t="s">
        <v>18</v>
      </c>
      <c r="B1293" s="65" t="s">
        <v>758</v>
      </c>
      <c r="C1293" s="65"/>
      <c r="D1293" s="65" t="s">
        <v>759</v>
      </c>
      <c r="E1293" s="65"/>
      <c r="F1293" s="65"/>
      <c r="G1293" s="458">
        <v>0</v>
      </c>
    </row>
    <row r="1294" customHeight="1" spans="1:7">
      <c r="A1294" s="457" t="s">
        <v>20</v>
      </c>
      <c r="B1294" s="65" t="s">
        <v>297</v>
      </c>
      <c r="C1294" s="65"/>
      <c r="D1294" s="65"/>
      <c r="E1294" s="465">
        <f>费率!F7</f>
        <v>0.09</v>
      </c>
      <c r="F1294" s="65">
        <f>(G1280+G1291+G1292)+G1293</f>
        <v>2945.92</v>
      </c>
      <c r="G1294" s="458">
        <f>E1294*F1294</f>
        <v>265.13</v>
      </c>
    </row>
    <row r="1295" customHeight="1" spans="1:7">
      <c r="A1295" s="457"/>
      <c r="B1295" s="65" t="s">
        <v>760</v>
      </c>
      <c r="C1295" s="65"/>
      <c r="D1295" s="65"/>
      <c r="E1295" s="465"/>
      <c r="F1295" s="65"/>
      <c r="G1295" s="458">
        <f>F1294+G1294</f>
        <v>3211.05</v>
      </c>
    </row>
    <row r="1296" customHeight="1" spans="1:7">
      <c r="A1296" s="457" t="s">
        <v>23</v>
      </c>
      <c r="B1296" s="65" t="s">
        <v>761</v>
      </c>
      <c r="C1296" s="65"/>
      <c r="D1296" s="65"/>
      <c r="E1296" s="466">
        <f>费率!F8</f>
        <v>0.03</v>
      </c>
      <c r="F1296" s="65">
        <f>G1295</f>
        <v>3211.05</v>
      </c>
      <c r="G1296" s="458">
        <f>F1296*E1296</f>
        <v>96.33</v>
      </c>
    </row>
    <row r="1297" customHeight="1" spans="1:7">
      <c r="A1297" s="467"/>
      <c r="B1297" s="472" t="s">
        <v>121</v>
      </c>
      <c r="C1297" s="472"/>
      <c r="D1297" s="470"/>
      <c r="E1297" s="470"/>
      <c r="F1297" s="470"/>
      <c r="G1297" s="471">
        <f>F1296+G1296</f>
        <v>3307.38</v>
      </c>
    </row>
    <row r="1299" customHeight="1" spans="1:7">
      <c r="A1299" s="354" t="s">
        <v>274</v>
      </c>
      <c r="B1299" s="354"/>
      <c r="C1299" s="354"/>
      <c r="D1299" s="354"/>
      <c r="E1299" s="354"/>
      <c r="F1299" s="354"/>
      <c r="G1299" s="354"/>
    </row>
    <row r="1300" customHeight="1" spans="1:7">
      <c r="A1300" s="42" t="s">
        <v>275</v>
      </c>
      <c r="B1300" s="43"/>
      <c r="C1300" s="43" t="s">
        <v>680</v>
      </c>
      <c r="D1300" s="43" t="s">
        <v>276</v>
      </c>
      <c r="E1300" s="355" t="s">
        <v>780</v>
      </c>
      <c r="F1300" s="355"/>
      <c r="G1300" s="356"/>
    </row>
    <row r="1301" customHeight="1" spans="1:7">
      <c r="A1301" s="47" t="s">
        <v>278</v>
      </c>
      <c r="B1301" s="48"/>
      <c r="C1301" s="49" t="s">
        <v>781</v>
      </c>
      <c r="D1301" s="49"/>
      <c r="E1301" s="49"/>
      <c r="F1301" s="402" t="s">
        <v>280</v>
      </c>
      <c r="G1301" s="406" t="s">
        <v>281</v>
      </c>
    </row>
    <row r="1302" customHeight="1" spans="1:7">
      <c r="A1302" s="358" t="s">
        <v>683</v>
      </c>
      <c r="B1302" s="49"/>
      <c r="C1302" s="49"/>
      <c r="D1302" s="49"/>
      <c r="E1302" s="49"/>
      <c r="F1302" s="49"/>
      <c r="G1302" s="359"/>
    </row>
    <row r="1303" customHeight="1" spans="1:7">
      <c r="A1303" s="52" t="s">
        <v>684</v>
      </c>
      <c r="B1303" s="53"/>
      <c r="C1303" s="54"/>
      <c r="D1303" s="54"/>
      <c r="E1303" s="54"/>
      <c r="F1303" s="54"/>
      <c r="G1303" s="55"/>
    </row>
    <row r="1304" customHeight="1" spans="1:7">
      <c r="A1304" s="47" t="s">
        <v>284</v>
      </c>
      <c r="B1304" s="50" t="s">
        <v>233</v>
      </c>
      <c r="C1304" s="50"/>
      <c r="D1304" s="50" t="s">
        <v>88</v>
      </c>
      <c r="E1304" s="360" t="s">
        <v>130</v>
      </c>
      <c r="F1304" s="50" t="s">
        <v>285</v>
      </c>
      <c r="G1304" s="51" t="s">
        <v>286</v>
      </c>
    </row>
    <row r="1305" customHeight="1" spans="1:7">
      <c r="A1305" s="47" t="s">
        <v>9</v>
      </c>
      <c r="B1305" s="361" t="s">
        <v>287</v>
      </c>
      <c r="C1305" s="361"/>
      <c r="D1305" s="50"/>
      <c r="E1305" s="360"/>
      <c r="F1305" s="360"/>
      <c r="G1305" s="362">
        <f>G1306+G1318</f>
        <v>55222.7</v>
      </c>
    </row>
    <row r="1306" customHeight="1" spans="1:7">
      <c r="A1306" s="47" t="s">
        <v>132</v>
      </c>
      <c r="B1306" s="361" t="s">
        <v>288</v>
      </c>
      <c r="C1306" s="361"/>
      <c r="D1306" s="50"/>
      <c r="E1306" s="360"/>
      <c r="F1306" s="360"/>
      <c r="G1306" s="362">
        <f>G1307+G1310+G1314+G1317</f>
        <v>52693.42</v>
      </c>
    </row>
    <row r="1307" customHeight="1" spans="1:7">
      <c r="A1307" s="47" t="s">
        <v>39</v>
      </c>
      <c r="B1307" s="361" t="s">
        <v>247</v>
      </c>
      <c r="C1307" s="361"/>
      <c r="D1307" s="50"/>
      <c r="E1307" s="360"/>
      <c r="F1307" s="360"/>
      <c r="G1307" s="362">
        <f>SUM(G1308:G1309)</f>
        <v>8765.45</v>
      </c>
    </row>
    <row r="1308" customHeight="1" spans="1:7">
      <c r="A1308" s="47"/>
      <c r="B1308" s="361" t="s">
        <v>289</v>
      </c>
      <c r="C1308" s="361"/>
      <c r="D1308" s="50" t="s">
        <v>290</v>
      </c>
      <c r="E1308" s="360">
        <f>855.6-(855.6-818.4)/(0.21-0.14)*(0.19-0.14)</f>
        <v>829.03</v>
      </c>
      <c r="F1308" s="360">
        <f>F1283</f>
        <v>8.1</v>
      </c>
      <c r="G1308" s="362">
        <f>E1308*F1308</f>
        <v>6715.14</v>
      </c>
    </row>
    <row r="1309" customHeight="1" spans="1:7">
      <c r="A1309" s="47"/>
      <c r="B1309" s="361" t="s">
        <v>291</v>
      </c>
      <c r="C1309" s="361"/>
      <c r="D1309" s="50" t="s">
        <v>290</v>
      </c>
      <c r="E1309" s="360">
        <f>366.7-(366.7-350.8)/(0.21-0.14)*(0.19-0.14)</f>
        <v>355.34</v>
      </c>
      <c r="F1309" s="360">
        <f>F1284</f>
        <v>5.77</v>
      </c>
      <c r="G1309" s="362">
        <f>E1309*F1309</f>
        <v>2050.31</v>
      </c>
    </row>
    <row r="1310" customHeight="1" spans="1:9">
      <c r="A1310" s="47" t="s">
        <v>41</v>
      </c>
      <c r="B1310" s="361" t="s">
        <v>248</v>
      </c>
      <c r="C1310" s="361"/>
      <c r="D1310" s="50"/>
      <c r="E1310" s="360"/>
      <c r="F1310" s="360"/>
      <c r="G1310" s="362">
        <f>SUM(G1311:G1313)</f>
        <v>41848.17</v>
      </c>
      <c r="I1310" s="154" t="s">
        <v>782</v>
      </c>
    </row>
    <row r="1311" customHeight="1" spans="1:9">
      <c r="A1311" s="429"/>
      <c r="B1311" s="421" t="s">
        <v>685</v>
      </c>
      <c r="C1311" s="421"/>
      <c r="D1311" s="416" t="s">
        <v>395</v>
      </c>
      <c r="E1311" s="360">
        <f>90-(90-84.3)/(0.21-0.14)*(0.19-0.14)</f>
        <v>85.93</v>
      </c>
      <c r="F1311" s="416">
        <f>F714</f>
        <v>425.44</v>
      </c>
      <c r="G1311" s="430">
        <f>E1311*F1311</f>
        <v>36558.06</v>
      </c>
      <c r="H1311" s="128">
        <f>90+29.4</f>
        <v>119.4</v>
      </c>
      <c r="I1311" s="476">
        <f>90-(90-84.3)/(0.21-0.14)*(0.165-0.14)</f>
        <v>87.96</v>
      </c>
    </row>
    <row r="1312" customHeight="1" spans="1:9">
      <c r="A1312" s="429"/>
      <c r="B1312" s="421" t="s">
        <v>686</v>
      </c>
      <c r="C1312" s="421"/>
      <c r="D1312" s="416" t="s">
        <v>395</v>
      </c>
      <c r="E1312" s="360">
        <f>23.7+(29.4-23.7)/(0.21-0.14)*(0.19-0.14)</f>
        <v>27.77</v>
      </c>
      <c r="F1312" s="427">
        <f>混凝土单价!M7</f>
        <v>183</v>
      </c>
      <c r="G1312" s="430">
        <f>E1312*F1312</f>
        <v>5081.91</v>
      </c>
      <c r="H1312" s="384">
        <f>E1311+E1312</f>
        <v>113.7</v>
      </c>
      <c r="I1312" s="476">
        <f>23.7+(29.4-23.7)/(0.21-0.14)*(0.165-0.14)</f>
        <v>25.74</v>
      </c>
    </row>
    <row r="1313" customHeight="1" spans="1:9">
      <c r="A1313" s="429"/>
      <c r="B1313" s="421" t="s">
        <v>397</v>
      </c>
      <c r="C1313" s="421"/>
      <c r="D1313" s="416" t="s">
        <v>293</v>
      </c>
      <c r="E1313" s="419">
        <v>0.005</v>
      </c>
      <c r="F1313" s="416">
        <f>SUM(G1311:G1312)</f>
        <v>41639.97</v>
      </c>
      <c r="G1313" s="430">
        <f>E1313*F1313</f>
        <v>208.2</v>
      </c>
      <c r="H1313" s="128">
        <f>E1312/E1311</f>
        <v>0.323170022111021</v>
      </c>
      <c r="I1313" s="477">
        <f>I1311+I1312</f>
        <v>113.7</v>
      </c>
    </row>
    <row r="1314" customHeight="1" spans="1:7">
      <c r="A1314" s="431">
        <v>3</v>
      </c>
      <c r="B1314" s="421" t="s">
        <v>464</v>
      </c>
      <c r="C1314" s="421"/>
      <c r="D1314" s="416"/>
      <c r="E1314" s="416"/>
      <c r="F1314" s="416"/>
      <c r="G1314" s="430">
        <f>SUM(G1315:G1316)</f>
        <v>185.9</v>
      </c>
    </row>
    <row r="1315" customHeight="1" spans="1:7">
      <c r="A1315" s="429"/>
      <c r="B1315" s="421" t="s">
        <v>673</v>
      </c>
      <c r="C1315" s="421"/>
      <c r="D1315" s="416" t="s">
        <v>316</v>
      </c>
      <c r="E1315" s="360">
        <f>2.95+(3.92-2.95)/(0.21-0.14)*(0.19-0.14)</f>
        <v>3.64</v>
      </c>
      <c r="F1315" s="416">
        <f>机械!E16</f>
        <v>23.75</v>
      </c>
      <c r="G1315" s="430">
        <f>E1315*F1315</f>
        <v>86.45</v>
      </c>
    </row>
    <row r="1316" customHeight="1" spans="1:7">
      <c r="A1316" s="429"/>
      <c r="B1316" s="421" t="s">
        <v>472</v>
      </c>
      <c r="C1316" s="421"/>
      <c r="D1316" s="416" t="s">
        <v>316</v>
      </c>
      <c r="E1316" s="360">
        <f>120.33+(121.66-120.33)/(0.21-0.14)*(0.19-0.14)</f>
        <v>121.28</v>
      </c>
      <c r="F1316" s="416">
        <f>机械!E29</f>
        <v>0.82</v>
      </c>
      <c r="G1316" s="430">
        <f>E1316*F1316</f>
        <v>99.45</v>
      </c>
    </row>
    <row r="1317" customHeight="1" spans="1:7">
      <c r="A1317" s="431">
        <v>4</v>
      </c>
      <c r="B1317" s="421" t="s">
        <v>687</v>
      </c>
      <c r="C1317" s="421"/>
      <c r="D1317" s="416" t="s">
        <v>395</v>
      </c>
      <c r="E1317" s="360">
        <f>90-(90-84.3)/(0.21-0.14)*(0.19-0.14)</f>
        <v>85.93</v>
      </c>
      <c r="F1317" s="416">
        <f>F720</f>
        <v>22.04</v>
      </c>
      <c r="G1317" s="430">
        <f t="shared" ref="G1317:G1320" si="41">E1317*F1317</f>
        <v>1893.9</v>
      </c>
    </row>
    <row r="1318" customHeight="1" spans="1:7">
      <c r="A1318" s="431" t="s">
        <v>133</v>
      </c>
      <c r="B1318" s="421" t="s">
        <v>294</v>
      </c>
      <c r="C1318" s="421"/>
      <c r="D1318" s="416"/>
      <c r="E1318" s="360">
        <f>G1306</f>
        <v>52693.42</v>
      </c>
      <c r="F1318" s="435">
        <f>费率!F4</f>
        <v>0.048</v>
      </c>
      <c r="G1318" s="430">
        <f t="shared" si="41"/>
        <v>2529.28</v>
      </c>
    </row>
    <row r="1319" customHeight="1" spans="1:7">
      <c r="A1319" s="47" t="s">
        <v>14</v>
      </c>
      <c r="B1319" s="361" t="s">
        <v>295</v>
      </c>
      <c r="C1319" s="361"/>
      <c r="D1319" s="50"/>
      <c r="E1319" s="360">
        <f>G1305</f>
        <v>55222.7</v>
      </c>
      <c r="F1319" s="456">
        <f>费率!F5</f>
        <v>0.07</v>
      </c>
      <c r="G1319" s="362">
        <f t="shared" si="41"/>
        <v>3865.59</v>
      </c>
    </row>
    <row r="1320" customHeight="1" spans="1:7">
      <c r="A1320" s="47" t="s">
        <v>16</v>
      </c>
      <c r="B1320" s="361" t="s">
        <v>296</v>
      </c>
      <c r="C1320" s="361"/>
      <c r="D1320" s="50"/>
      <c r="E1320" s="360">
        <f>G1305+G1319</f>
        <v>59088.29</v>
      </c>
      <c r="F1320" s="456">
        <f>费率!F6</f>
        <v>0.07</v>
      </c>
      <c r="G1320" s="362">
        <f t="shared" si="41"/>
        <v>4136.18</v>
      </c>
    </row>
    <row r="1321" customHeight="1" spans="1:7">
      <c r="A1321" s="429" t="s">
        <v>18</v>
      </c>
      <c r="B1321" s="421" t="s">
        <v>466</v>
      </c>
      <c r="C1321" s="421"/>
      <c r="D1321" s="416"/>
      <c r="E1321" s="416"/>
      <c r="F1321" s="416"/>
      <c r="G1321" s="430">
        <f>SUM(G1322:G1326)</f>
        <v>8680.06</v>
      </c>
    </row>
    <row r="1322" customHeight="1" spans="1:7">
      <c r="A1322" s="429"/>
      <c r="B1322" s="421" t="s">
        <v>405</v>
      </c>
      <c r="C1322" s="421"/>
      <c r="D1322" s="416" t="s">
        <v>158</v>
      </c>
      <c r="E1322" s="427">
        <f>E662/100*E1311+E1312*混凝土单价!E7</f>
        <v>36.78</v>
      </c>
      <c r="F1322" s="416">
        <f>主材!N6</f>
        <v>135.66</v>
      </c>
      <c r="G1322" s="430">
        <f t="shared" ref="G1322:G1326" si="42">E1322*F1322</f>
        <v>4989.57</v>
      </c>
    </row>
    <row r="1323" customHeight="1" spans="1:7">
      <c r="A1323" s="429"/>
      <c r="B1323" s="421" t="s">
        <v>396</v>
      </c>
      <c r="C1323" s="421"/>
      <c r="D1323" s="416" t="s">
        <v>395</v>
      </c>
      <c r="E1323" s="427">
        <f>E663/100*E1311+E1312*混凝土单价!G7</f>
        <v>64.97</v>
      </c>
      <c r="F1323" s="416">
        <f>主材!N8</f>
        <v>37.93</v>
      </c>
      <c r="G1323" s="430">
        <f t="shared" si="42"/>
        <v>2464.31</v>
      </c>
    </row>
    <row r="1324" customHeight="1" spans="1:7">
      <c r="A1324" s="429"/>
      <c r="B1324" s="421" t="s">
        <v>467</v>
      </c>
      <c r="C1324" s="421"/>
      <c r="D1324" s="416" t="s">
        <v>395</v>
      </c>
      <c r="E1324" s="427">
        <f>E664/100*E1311+E1312*混凝土单价!I7</f>
        <v>94.11</v>
      </c>
      <c r="F1324" s="416">
        <f>主材!N10</f>
        <v>7.03</v>
      </c>
      <c r="G1324" s="430">
        <f t="shared" si="42"/>
        <v>661.59</v>
      </c>
    </row>
    <row r="1325" customHeight="1" spans="1:7">
      <c r="A1325" s="47"/>
      <c r="B1325" s="361" t="s">
        <v>317</v>
      </c>
      <c r="C1325" s="361"/>
      <c r="D1325" s="50" t="s">
        <v>323</v>
      </c>
      <c r="E1325" s="432">
        <f>E339/100*E1317</f>
        <v>121.73</v>
      </c>
      <c r="F1325" s="367">
        <f>主材!N13</f>
        <v>4.13</v>
      </c>
      <c r="G1325" s="362">
        <f t="shared" si="42"/>
        <v>502.74</v>
      </c>
    </row>
    <row r="1326" customHeight="1" spans="1:7">
      <c r="A1326" s="47"/>
      <c r="B1326" s="361" t="s">
        <v>522</v>
      </c>
      <c r="C1326" s="361"/>
      <c r="D1326" s="50" t="s">
        <v>323</v>
      </c>
      <c r="E1326" s="360">
        <f>E665/100*E1311</f>
        <v>11.39</v>
      </c>
      <c r="F1326" s="367">
        <f>主材!N14</f>
        <v>5.43</v>
      </c>
      <c r="G1326" s="362">
        <f t="shared" si="42"/>
        <v>61.85</v>
      </c>
    </row>
    <row r="1327" customHeight="1" spans="1:7">
      <c r="A1327" s="47" t="s">
        <v>20</v>
      </c>
      <c r="B1327" s="361" t="s">
        <v>297</v>
      </c>
      <c r="C1327" s="361"/>
      <c r="D1327" s="50"/>
      <c r="E1327" s="360">
        <f>G1321+G1320+G1319+G1305</f>
        <v>71904.53</v>
      </c>
      <c r="F1327" s="366">
        <f>费率!F7</f>
        <v>0.09</v>
      </c>
      <c r="G1327" s="362">
        <f t="shared" ref="G1327:G1328" si="43">E1327*F1327</f>
        <v>6471.41</v>
      </c>
    </row>
    <row r="1328" customHeight="1" spans="1:7">
      <c r="A1328" s="47"/>
      <c r="B1328" s="361" t="s">
        <v>675</v>
      </c>
      <c r="C1328" s="361"/>
      <c r="D1328" s="50"/>
      <c r="E1328" s="360">
        <f>G1305+G1319+G1320+G1321+G1327</f>
        <v>78375.94</v>
      </c>
      <c r="F1328" s="456">
        <f>费率!F8</f>
        <v>0.03</v>
      </c>
      <c r="G1328" s="362">
        <f t="shared" si="43"/>
        <v>2351.28</v>
      </c>
    </row>
    <row r="1329" customHeight="1" spans="1:7">
      <c r="A1329" s="369"/>
      <c r="B1329" s="370" t="s">
        <v>560</v>
      </c>
      <c r="C1329" s="370"/>
      <c r="D1329" s="370"/>
      <c r="E1329" s="371"/>
      <c r="F1329" s="370"/>
      <c r="G1329" s="433">
        <f>G1328+E1327+G1327</f>
        <v>80727.22</v>
      </c>
    </row>
    <row r="1330" customHeight="1" spans="1:7">
      <c r="A1330" s="405" t="s">
        <v>274</v>
      </c>
      <c r="B1330" s="405"/>
      <c r="C1330" s="405"/>
      <c r="D1330" s="405"/>
      <c r="E1330" s="405"/>
      <c r="F1330" s="405"/>
      <c r="G1330" s="405"/>
    </row>
    <row r="1331" customHeight="1" spans="1:7">
      <c r="A1331" s="42" t="s">
        <v>275</v>
      </c>
      <c r="B1331" s="43"/>
      <c r="C1331" s="43" t="s">
        <v>712</v>
      </c>
      <c r="D1331" s="43" t="s">
        <v>276</v>
      </c>
      <c r="E1331" s="355" t="s">
        <v>783</v>
      </c>
      <c r="F1331" s="355"/>
      <c r="G1331" s="356"/>
    </row>
    <row r="1332" customHeight="1" spans="1:7">
      <c r="A1332" s="47" t="s">
        <v>278</v>
      </c>
      <c r="B1332" s="48"/>
      <c r="C1332" s="49" t="s">
        <v>784</v>
      </c>
      <c r="D1332" s="49"/>
      <c r="E1332" s="49"/>
      <c r="F1332" s="402" t="s">
        <v>280</v>
      </c>
      <c r="G1332" s="406" t="s">
        <v>281</v>
      </c>
    </row>
    <row r="1333" customHeight="1" spans="1:7">
      <c r="A1333" s="358"/>
      <c r="B1333" s="49"/>
      <c r="C1333" s="49"/>
      <c r="D1333" s="49"/>
      <c r="E1333" s="49"/>
      <c r="F1333" s="49"/>
      <c r="G1333" s="359"/>
    </row>
    <row r="1334" customHeight="1" spans="1:7">
      <c r="A1334" s="52" t="s">
        <v>715</v>
      </c>
      <c r="B1334" s="53"/>
      <c r="C1334" s="54"/>
      <c r="D1334" s="54"/>
      <c r="E1334" s="54"/>
      <c r="F1334" s="54"/>
      <c r="G1334" s="55"/>
    </row>
    <row r="1335" customHeight="1" spans="1:7">
      <c r="A1335" s="47" t="s">
        <v>284</v>
      </c>
      <c r="B1335" s="50" t="s">
        <v>233</v>
      </c>
      <c r="C1335" s="50"/>
      <c r="D1335" s="50" t="s">
        <v>88</v>
      </c>
      <c r="E1335" s="360" t="s">
        <v>130</v>
      </c>
      <c r="F1335" s="50" t="s">
        <v>285</v>
      </c>
      <c r="G1335" s="51" t="s">
        <v>286</v>
      </c>
    </row>
    <row r="1336" customHeight="1" spans="1:7">
      <c r="A1336" s="47" t="s">
        <v>9</v>
      </c>
      <c r="B1336" s="379" t="s">
        <v>287</v>
      </c>
      <c r="C1336" s="380"/>
      <c r="D1336" s="50"/>
      <c r="E1336" s="360"/>
      <c r="F1336" s="360"/>
      <c r="G1336" s="362">
        <f>G1337+G1362</f>
        <v>42228.96</v>
      </c>
    </row>
    <row r="1337" customHeight="1" spans="1:7">
      <c r="A1337" s="47" t="s">
        <v>132</v>
      </c>
      <c r="B1337" s="379" t="s">
        <v>288</v>
      </c>
      <c r="C1337" s="380"/>
      <c r="D1337" s="50"/>
      <c r="E1337" s="360"/>
      <c r="F1337" s="360"/>
      <c r="G1337" s="362">
        <f>G1338+G1341+G1352+G1359</f>
        <v>40294.81</v>
      </c>
    </row>
    <row r="1338" customHeight="1" spans="1:7">
      <c r="A1338" s="47" t="s">
        <v>39</v>
      </c>
      <c r="B1338" s="379" t="s">
        <v>247</v>
      </c>
      <c r="C1338" s="380"/>
      <c r="D1338" s="50"/>
      <c r="E1338" s="360"/>
      <c r="F1338" s="360"/>
      <c r="G1338" s="362">
        <f>SUM(G1339:G1340)</f>
        <v>8680.21</v>
      </c>
    </row>
    <row r="1339" customHeight="1" spans="1:7">
      <c r="A1339" s="47"/>
      <c r="B1339" s="379" t="s">
        <v>289</v>
      </c>
      <c r="C1339" s="380"/>
      <c r="D1339" s="50" t="s">
        <v>290</v>
      </c>
      <c r="E1339" s="360">
        <v>773.3</v>
      </c>
      <c r="F1339" s="360">
        <f>F1308</f>
        <v>8.1</v>
      </c>
      <c r="G1339" s="362">
        <f>E1339*F1339</f>
        <v>6263.73</v>
      </c>
    </row>
    <row r="1340" customHeight="1" spans="1:7">
      <c r="A1340" s="47"/>
      <c r="B1340" s="379" t="s">
        <v>291</v>
      </c>
      <c r="C1340" s="380"/>
      <c r="D1340" s="50" t="s">
        <v>290</v>
      </c>
      <c r="E1340" s="360">
        <v>418.8</v>
      </c>
      <c r="F1340" s="360">
        <f>F1309</f>
        <v>5.77</v>
      </c>
      <c r="G1340" s="362">
        <f>E1340*F1340</f>
        <v>2416.48</v>
      </c>
    </row>
    <row r="1341" customHeight="1" spans="1:7">
      <c r="A1341" s="47" t="s">
        <v>41</v>
      </c>
      <c r="B1341" s="379" t="s">
        <v>248</v>
      </c>
      <c r="C1341" s="380"/>
      <c r="D1341" s="50"/>
      <c r="E1341" s="360"/>
      <c r="F1341" s="360"/>
      <c r="G1341" s="362">
        <f>SUM(G1342:G1351)</f>
        <v>29817.28</v>
      </c>
    </row>
    <row r="1342" customHeight="1" spans="1:7">
      <c r="A1342" s="416"/>
      <c r="B1342" s="417" t="s">
        <v>696</v>
      </c>
      <c r="C1342" s="418"/>
      <c r="D1342" s="416" t="s">
        <v>395</v>
      </c>
      <c r="E1342" s="360">
        <v>2.27</v>
      </c>
      <c r="F1342" s="416">
        <f>主材!M7</f>
        <v>2143.4</v>
      </c>
      <c r="G1342" s="416">
        <f t="shared" ref="G1342:G1351" si="44">E1342*F1342</f>
        <v>4865.52</v>
      </c>
    </row>
    <row r="1343" customHeight="1" spans="1:7">
      <c r="A1343" s="416"/>
      <c r="B1343" s="417" t="s">
        <v>716</v>
      </c>
      <c r="C1343" s="418"/>
      <c r="D1343" s="416" t="s">
        <v>323</v>
      </c>
      <c r="E1343" s="360">
        <v>80.23</v>
      </c>
      <c r="F1343" s="416">
        <v>5.5</v>
      </c>
      <c r="G1343" s="416">
        <f t="shared" si="44"/>
        <v>441.27</v>
      </c>
    </row>
    <row r="1344" customHeight="1" spans="1:7">
      <c r="A1344" s="416"/>
      <c r="B1344" s="425" t="s">
        <v>717</v>
      </c>
      <c r="C1344" s="426"/>
      <c r="D1344" s="416" t="s">
        <v>323</v>
      </c>
      <c r="E1344" s="360">
        <v>191.68</v>
      </c>
      <c r="F1344" s="416">
        <v>5.5</v>
      </c>
      <c r="G1344" s="416">
        <f t="shared" si="44"/>
        <v>1054.24</v>
      </c>
    </row>
    <row r="1345" customHeight="1" spans="1:7">
      <c r="A1345" s="416"/>
      <c r="B1345" s="425" t="s">
        <v>718</v>
      </c>
      <c r="C1345" s="426"/>
      <c r="D1345" s="416" t="s">
        <v>323</v>
      </c>
      <c r="E1345" s="360">
        <v>257.35</v>
      </c>
      <c r="F1345" s="416">
        <v>5.5</v>
      </c>
      <c r="G1345" s="416">
        <f t="shared" si="44"/>
        <v>1415.43</v>
      </c>
    </row>
    <row r="1346" customHeight="1" spans="1:7">
      <c r="A1346" s="416"/>
      <c r="B1346" s="425" t="s">
        <v>719</v>
      </c>
      <c r="C1346" s="426"/>
      <c r="D1346" s="416" t="s">
        <v>323</v>
      </c>
      <c r="E1346" s="360">
        <v>41.69</v>
      </c>
      <c r="F1346" s="416">
        <v>5</v>
      </c>
      <c r="G1346" s="416">
        <f t="shared" si="44"/>
        <v>208.45</v>
      </c>
    </row>
    <row r="1347" customHeight="1" spans="1:7">
      <c r="A1347" s="416"/>
      <c r="B1347" s="425" t="s">
        <v>551</v>
      </c>
      <c r="C1347" s="426"/>
      <c r="D1347" s="416" t="s">
        <v>323</v>
      </c>
      <c r="E1347" s="360">
        <v>310.11</v>
      </c>
      <c r="F1347" s="416">
        <v>6.5</v>
      </c>
      <c r="G1347" s="416">
        <f t="shared" si="44"/>
        <v>2015.72</v>
      </c>
    </row>
    <row r="1348" customHeight="1" spans="1:7">
      <c r="A1348" s="416"/>
      <c r="B1348" s="425" t="s">
        <v>552</v>
      </c>
      <c r="C1348" s="426"/>
      <c r="D1348" s="416" t="s">
        <v>323</v>
      </c>
      <c r="E1348" s="360">
        <v>6.34</v>
      </c>
      <c r="F1348" s="416">
        <v>6.15</v>
      </c>
      <c r="G1348" s="416">
        <f t="shared" si="44"/>
        <v>38.99</v>
      </c>
    </row>
    <row r="1349" customHeight="1" spans="1:7">
      <c r="A1349" s="416"/>
      <c r="B1349" s="425" t="s">
        <v>698</v>
      </c>
      <c r="C1349" s="426"/>
      <c r="D1349" s="416" t="s">
        <v>395</v>
      </c>
      <c r="E1349" s="360">
        <v>103</v>
      </c>
      <c r="F1349" s="416">
        <f>混凝土单价!M8</f>
        <v>183.37</v>
      </c>
      <c r="G1349" s="416">
        <f t="shared" si="44"/>
        <v>18887.11</v>
      </c>
    </row>
    <row r="1350" customHeight="1" spans="1:7">
      <c r="A1350" s="416"/>
      <c r="B1350" s="425" t="s">
        <v>672</v>
      </c>
      <c r="C1350" s="426"/>
      <c r="D1350" s="416" t="s">
        <v>395</v>
      </c>
      <c r="E1350" s="360">
        <v>70</v>
      </c>
      <c r="F1350" s="416">
        <f>主材!D18</f>
        <v>4.37</v>
      </c>
      <c r="G1350" s="416">
        <f t="shared" si="44"/>
        <v>305.9</v>
      </c>
    </row>
    <row r="1351" customHeight="1" spans="1:7">
      <c r="A1351" s="416"/>
      <c r="B1351" s="417" t="s">
        <v>397</v>
      </c>
      <c r="C1351" s="418"/>
      <c r="D1351" s="416" t="s">
        <v>293</v>
      </c>
      <c r="E1351" s="419">
        <v>0.02</v>
      </c>
      <c r="F1351" s="416">
        <f>SUM(G1342:G1350)</f>
        <v>29232.63</v>
      </c>
      <c r="G1351" s="416">
        <f t="shared" si="44"/>
        <v>584.65</v>
      </c>
    </row>
    <row r="1352" customHeight="1" spans="1:7">
      <c r="A1352" s="420">
        <v>3</v>
      </c>
      <c r="B1352" s="417" t="s">
        <v>464</v>
      </c>
      <c r="C1352" s="418"/>
      <c r="D1352" s="416"/>
      <c r="E1352" s="416"/>
      <c r="F1352" s="416"/>
      <c r="G1352" s="416">
        <f>SUM(G1353:G1358)</f>
        <v>999.07</v>
      </c>
    </row>
    <row r="1353" customHeight="1" spans="1:7">
      <c r="A1353" s="420"/>
      <c r="B1353" s="425" t="s">
        <v>556</v>
      </c>
      <c r="C1353" s="426"/>
      <c r="D1353" s="416" t="s">
        <v>316</v>
      </c>
      <c r="E1353" s="416">
        <v>3.17</v>
      </c>
      <c r="F1353" s="416">
        <f>机械!E23</f>
        <v>49.39</v>
      </c>
      <c r="G1353" s="416">
        <f t="shared" ref="G1353:G1358" si="45">F1353*E1353</f>
        <v>156.57</v>
      </c>
    </row>
    <row r="1354" customHeight="1" spans="1:7">
      <c r="A1354" s="420"/>
      <c r="B1354" s="425" t="s">
        <v>711</v>
      </c>
      <c r="C1354" s="426"/>
      <c r="D1354" s="416" t="s">
        <v>316</v>
      </c>
      <c r="E1354" s="416">
        <v>10.93</v>
      </c>
      <c r="F1354" s="416">
        <f>机械!E47</f>
        <v>8.06</v>
      </c>
      <c r="G1354" s="416">
        <f t="shared" si="45"/>
        <v>88.1</v>
      </c>
    </row>
    <row r="1355" customHeight="1" spans="1:7">
      <c r="A1355" s="416"/>
      <c r="B1355" s="417" t="s">
        <v>673</v>
      </c>
      <c r="C1355" s="418"/>
      <c r="D1355" s="416" t="s">
        <v>316</v>
      </c>
      <c r="E1355" s="360">
        <v>18.54</v>
      </c>
      <c r="F1355" s="416">
        <f>机械!E16</f>
        <v>23.75</v>
      </c>
      <c r="G1355" s="416">
        <f t="shared" si="45"/>
        <v>440.33</v>
      </c>
    </row>
    <row r="1356" customHeight="1" spans="1:7">
      <c r="A1356" s="416"/>
      <c r="B1356" s="425" t="s">
        <v>785</v>
      </c>
      <c r="C1356" s="426"/>
      <c r="D1356" s="416" t="s">
        <v>316</v>
      </c>
      <c r="E1356" s="360">
        <v>30</v>
      </c>
      <c r="F1356" s="416">
        <f>机械!E18</f>
        <v>2.65</v>
      </c>
      <c r="G1356" s="416">
        <f t="shared" si="45"/>
        <v>79.5</v>
      </c>
    </row>
    <row r="1357" customHeight="1" spans="1:7">
      <c r="A1357" s="416"/>
      <c r="B1357" s="417" t="s">
        <v>472</v>
      </c>
      <c r="C1357" s="418"/>
      <c r="D1357" s="416" t="s">
        <v>316</v>
      </c>
      <c r="E1357" s="360">
        <v>83</v>
      </c>
      <c r="F1357" s="416">
        <f>机械!E29</f>
        <v>0.82</v>
      </c>
      <c r="G1357" s="416">
        <f t="shared" si="45"/>
        <v>68.06</v>
      </c>
    </row>
    <row r="1358" customHeight="1" spans="1:7">
      <c r="A1358" s="416"/>
      <c r="B1358" s="425" t="s">
        <v>370</v>
      </c>
      <c r="C1358" s="426"/>
      <c r="D1358" s="416" t="s">
        <v>293</v>
      </c>
      <c r="E1358" s="434">
        <v>0.2</v>
      </c>
      <c r="F1358" s="416">
        <f>SUM(G1353:G1357)</f>
        <v>832.56</v>
      </c>
      <c r="G1358" s="416">
        <f t="shared" si="45"/>
        <v>166.51</v>
      </c>
    </row>
    <row r="1359" customHeight="1" spans="1:7">
      <c r="A1359" s="420">
        <v>4</v>
      </c>
      <c r="B1359" s="422" t="s">
        <v>786</v>
      </c>
      <c r="C1359" s="423"/>
      <c r="D1359" s="416"/>
      <c r="E1359" s="434"/>
      <c r="F1359" s="416"/>
      <c r="G1359" s="416">
        <f>G1360+G1361</f>
        <v>798.25</v>
      </c>
    </row>
    <row r="1360" customHeight="1" spans="1:7">
      <c r="A1360" s="416"/>
      <c r="B1360" s="422" t="s">
        <v>558</v>
      </c>
      <c r="C1360" s="423"/>
      <c r="D1360" s="416" t="s">
        <v>395</v>
      </c>
      <c r="E1360" s="360">
        <v>103</v>
      </c>
      <c r="F1360" s="416">
        <f>F1208</f>
        <v>5.04</v>
      </c>
      <c r="G1360" s="416">
        <f>E1360*F1360</f>
        <v>519.12</v>
      </c>
    </row>
    <row r="1361" customHeight="1" spans="1:7">
      <c r="A1361" s="416"/>
      <c r="B1361" s="422" t="s">
        <v>559</v>
      </c>
      <c r="C1361" s="423"/>
      <c r="D1361" s="416" t="s">
        <v>395</v>
      </c>
      <c r="E1361" s="360">
        <v>103</v>
      </c>
      <c r="F1361" s="416">
        <f>F1209</f>
        <v>2.71</v>
      </c>
      <c r="G1361" s="416">
        <f>E1361*F1361</f>
        <v>279.13</v>
      </c>
    </row>
    <row r="1362" customHeight="1" spans="1:7">
      <c r="A1362" s="420" t="s">
        <v>133</v>
      </c>
      <c r="B1362" s="422" t="s">
        <v>294</v>
      </c>
      <c r="C1362" s="423"/>
      <c r="D1362" s="416"/>
      <c r="E1362" s="360">
        <f>G1337</f>
        <v>40294.81</v>
      </c>
      <c r="F1362" s="435">
        <f>费率!F4</f>
        <v>0.048</v>
      </c>
      <c r="G1362" s="416">
        <f>E1362*F1362</f>
        <v>1934.15</v>
      </c>
    </row>
    <row r="1363" customHeight="1" spans="1:7">
      <c r="A1363" s="47" t="s">
        <v>14</v>
      </c>
      <c r="B1363" s="361" t="s">
        <v>295</v>
      </c>
      <c r="C1363" s="361"/>
      <c r="D1363" s="50"/>
      <c r="E1363" s="360">
        <f>G1336</f>
        <v>42228.96</v>
      </c>
      <c r="F1363" s="435">
        <f>费率!F5</f>
        <v>0.07</v>
      </c>
      <c r="G1363" s="362">
        <f>E1363*F1363</f>
        <v>2956.03</v>
      </c>
    </row>
    <row r="1364" customHeight="1" spans="1:7">
      <c r="A1364" s="47" t="s">
        <v>16</v>
      </c>
      <c r="B1364" s="361" t="s">
        <v>296</v>
      </c>
      <c r="C1364" s="361"/>
      <c r="D1364" s="50"/>
      <c r="E1364" s="360">
        <f>G1336+G1363</f>
        <v>45184.99</v>
      </c>
      <c r="F1364" s="435">
        <f>费率!F6</f>
        <v>0.07</v>
      </c>
      <c r="G1364" s="362">
        <f>E1364*F1364</f>
        <v>3162.95</v>
      </c>
    </row>
    <row r="1365" customHeight="1" spans="1:7">
      <c r="A1365" s="416" t="s">
        <v>18</v>
      </c>
      <c r="B1365" s="421" t="s">
        <v>466</v>
      </c>
      <c r="C1365" s="421"/>
      <c r="D1365" s="416"/>
      <c r="E1365" s="416"/>
      <c r="F1365" s="416"/>
      <c r="G1365" s="416">
        <f>SUM(G1366:G1369)</f>
        <v>7553.56</v>
      </c>
    </row>
    <row r="1366" customHeight="1" spans="1:7">
      <c r="A1366" s="416"/>
      <c r="B1366" s="416" t="s">
        <v>405</v>
      </c>
      <c r="C1366" s="416"/>
      <c r="D1366" s="416" t="s">
        <v>158</v>
      </c>
      <c r="E1366" s="416">
        <f>E1349*混凝土单价!E8</f>
        <v>35.02</v>
      </c>
      <c r="F1366" s="416">
        <f>主材!N6</f>
        <v>135.66</v>
      </c>
      <c r="G1366" s="416">
        <f t="shared" ref="G1366:G1371" si="46">E1366*F1366</f>
        <v>4750.81</v>
      </c>
    </row>
    <row r="1367" customHeight="1" spans="1:7">
      <c r="A1367" s="416"/>
      <c r="B1367" s="416" t="s">
        <v>396</v>
      </c>
      <c r="C1367" s="416"/>
      <c r="D1367" s="416" t="s">
        <v>395</v>
      </c>
      <c r="E1367" s="416">
        <f>E1349*混凝土单价!G8</f>
        <v>54.59</v>
      </c>
      <c r="F1367" s="416">
        <f>主材!N8</f>
        <v>37.93</v>
      </c>
      <c r="G1367" s="416">
        <f t="shared" si="46"/>
        <v>2070.6</v>
      </c>
    </row>
    <row r="1368" customHeight="1" spans="1:7">
      <c r="A1368" s="416"/>
      <c r="B1368" s="416" t="s">
        <v>467</v>
      </c>
      <c r="C1368" s="416"/>
      <c r="D1368" s="416" t="s">
        <v>395</v>
      </c>
      <c r="E1368" s="416">
        <f>E1349*混凝土单价!I8</f>
        <v>86.52</v>
      </c>
      <c r="F1368" s="416">
        <f>主材!N10</f>
        <v>7.03</v>
      </c>
      <c r="G1368" s="416">
        <f t="shared" si="46"/>
        <v>608.24</v>
      </c>
    </row>
    <row r="1369" customHeight="1" spans="1:7">
      <c r="A1369" s="428"/>
      <c r="B1369" s="399" t="s">
        <v>522</v>
      </c>
      <c r="C1369" s="478"/>
      <c r="D1369" s="50" t="s">
        <v>323</v>
      </c>
      <c r="E1369" s="360">
        <f>E1353*机械!K23</f>
        <v>22.82</v>
      </c>
      <c r="F1369" s="367">
        <f>主材!N14</f>
        <v>5.43</v>
      </c>
      <c r="G1369" s="416">
        <f t="shared" si="46"/>
        <v>123.91</v>
      </c>
    </row>
    <row r="1370" customHeight="1" spans="1:9">
      <c r="A1370" s="47" t="s">
        <v>20</v>
      </c>
      <c r="B1370" s="379" t="s">
        <v>297</v>
      </c>
      <c r="C1370" s="380"/>
      <c r="D1370" s="50"/>
      <c r="E1370" s="360">
        <f>G1365+G1364+G1363+G1336</f>
        <v>55901.5</v>
      </c>
      <c r="F1370" s="366">
        <f>费率!F7</f>
        <v>0.09</v>
      </c>
      <c r="G1370" s="362">
        <f t="shared" si="46"/>
        <v>5031.14</v>
      </c>
      <c r="I1370" s="384"/>
    </row>
    <row r="1371" customHeight="1" spans="1:7">
      <c r="A1371" s="47"/>
      <c r="B1371" s="379" t="s">
        <v>675</v>
      </c>
      <c r="C1371" s="380"/>
      <c r="D1371" s="50"/>
      <c r="E1371" s="360">
        <f>G1336+G1363+G1364+G1365+G1370</f>
        <v>60932.64</v>
      </c>
      <c r="F1371" s="456">
        <f>费率!F8</f>
        <v>0.03</v>
      </c>
      <c r="G1371" s="362">
        <f t="shared" si="46"/>
        <v>1827.98</v>
      </c>
    </row>
    <row r="1372" customHeight="1" spans="1:7">
      <c r="A1372" s="369"/>
      <c r="B1372" s="381" t="s">
        <v>560</v>
      </c>
      <c r="C1372" s="382"/>
      <c r="D1372" s="370"/>
      <c r="E1372" s="371"/>
      <c r="F1372" s="370"/>
      <c r="G1372" s="372">
        <f>G1371+E1370+G1370</f>
        <v>62760.62</v>
      </c>
    </row>
    <row r="1374" customHeight="1" spans="1:6">
      <c r="A1374" s="479" t="s">
        <v>787</v>
      </c>
      <c r="B1374" s="479"/>
      <c r="C1374" s="479"/>
      <c r="D1374" s="479"/>
      <c r="E1374" s="479"/>
      <c r="F1374" s="479"/>
    </row>
    <row r="1375" customHeight="1" spans="1:6">
      <c r="A1375" s="480" t="s">
        <v>788</v>
      </c>
      <c r="B1375" s="480"/>
      <c r="C1375" s="480"/>
      <c r="D1375" s="480"/>
      <c r="E1375" s="480"/>
      <c r="F1375" s="480"/>
    </row>
    <row r="1376" customHeight="1" spans="1:6">
      <c r="A1376" s="481" t="s">
        <v>789</v>
      </c>
      <c r="B1376" s="482"/>
      <c r="C1376" s="482"/>
      <c r="D1376" s="482"/>
      <c r="E1376" s="482"/>
      <c r="F1376" s="483"/>
    </row>
    <row r="1377" customHeight="1" spans="1:6">
      <c r="A1377" s="484" t="s">
        <v>284</v>
      </c>
      <c r="B1377" s="193" t="s">
        <v>458</v>
      </c>
      <c r="C1377" s="485" t="s">
        <v>88</v>
      </c>
      <c r="D1377" s="193" t="s">
        <v>130</v>
      </c>
      <c r="E1377" s="484" t="s">
        <v>790</v>
      </c>
      <c r="F1377" s="193" t="s">
        <v>92</v>
      </c>
    </row>
    <row r="1378" customHeight="1" spans="1:6">
      <c r="A1378" s="484" t="s">
        <v>791</v>
      </c>
      <c r="B1378" s="193" t="s">
        <v>459</v>
      </c>
      <c r="C1378" s="485"/>
      <c r="D1378" s="193"/>
      <c r="E1378" s="484"/>
      <c r="F1378" s="28">
        <f>F1379+F1387+F1388</f>
        <v>1085.11</v>
      </c>
    </row>
    <row r="1379" customHeight="1" spans="1:6">
      <c r="A1379" s="484">
        <v>1</v>
      </c>
      <c r="B1379" s="193" t="s">
        <v>288</v>
      </c>
      <c r="C1379" s="485"/>
      <c r="D1379" s="193"/>
      <c r="E1379" s="484"/>
      <c r="F1379" s="28">
        <f>F1380+F1383+F1385</f>
        <v>1035.41</v>
      </c>
    </row>
    <row r="1380" customHeight="1" spans="1:6">
      <c r="A1380" s="486">
        <v>-1</v>
      </c>
      <c r="B1380" s="193" t="s">
        <v>247</v>
      </c>
      <c r="C1380" s="487" t="s">
        <v>290</v>
      </c>
      <c r="D1380" s="488"/>
      <c r="E1380" s="489"/>
      <c r="F1380" s="490">
        <f>SUM(F1381:F1382)</f>
        <v>105.01</v>
      </c>
    </row>
    <row r="1381" customHeight="1" spans="1:6">
      <c r="A1381" s="491"/>
      <c r="B1381" s="193" t="s">
        <v>289</v>
      </c>
      <c r="C1381" s="485" t="s">
        <v>290</v>
      </c>
      <c r="D1381" s="193"/>
      <c r="E1381" s="484"/>
      <c r="F1381" s="490">
        <f>D1381*E1381</f>
        <v>0</v>
      </c>
    </row>
    <row r="1382" customHeight="1" spans="1:6">
      <c r="A1382" s="491"/>
      <c r="B1382" s="193" t="s">
        <v>291</v>
      </c>
      <c r="C1382" s="485" t="s">
        <v>290</v>
      </c>
      <c r="D1382" s="492">
        <v>18.2</v>
      </c>
      <c r="E1382" s="493">
        <f>F1340</f>
        <v>5.77</v>
      </c>
      <c r="F1382" s="490">
        <f>D1382*E1382</f>
        <v>105.01</v>
      </c>
    </row>
    <row r="1383" customHeight="1" spans="1:6">
      <c r="A1383" s="491">
        <v>-2</v>
      </c>
      <c r="B1383" s="193" t="s">
        <v>248</v>
      </c>
      <c r="C1383" s="485"/>
      <c r="D1383" s="193"/>
      <c r="E1383" s="484"/>
      <c r="F1383" s="490">
        <f>SUM(F1384:F1384)</f>
        <v>20.3</v>
      </c>
    </row>
    <row r="1384" customHeight="1" spans="1:6">
      <c r="A1384" s="484"/>
      <c r="B1384" s="193" t="s">
        <v>292</v>
      </c>
      <c r="C1384" s="485"/>
      <c r="D1384" s="493">
        <f>F1380+F1385</f>
        <v>1015.11</v>
      </c>
      <c r="E1384" s="490">
        <v>0.02</v>
      </c>
      <c r="F1384" s="490">
        <f t="shared" ref="F1384" si="47">D1384*E1384</f>
        <v>20.3</v>
      </c>
    </row>
    <row r="1385" customHeight="1" spans="1:6">
      <c r="A1385" s="491">
        <v>-3</v>
      </c>
      <c r="B1385" s="193" t="s">
        <v>792</v>
      </c>
      <c r="C1385" s="485"/>
      <c r="D1385" s="193"/>
      <c r="E1385" s="484"/>
      <c r="F1385" s="490">
        <f>F1386</f>
        <v>910.1</v>
      </c>
    </row>
    <row r="1386" customHeight="1" spans="1:6">
      <c r="A1386" s="484"/>
      <c r="B1386" s="193" t="s">
        <v>793</v>
      </c>
      <c r="C1386" s="485" t="s">
        <v>316</v>
      </c>
      <c r="D1386" s="490">
        <v>12.45</v>
      </c>
      <c r="E1386" s="493">
        <f>机械!E26</f>
        <v>73.1</v>
      </c>
      <c r="F1386" s="490">
        <f>D1386*E1386</f>
        <v>910.1</v>
      </c>
    </row>
    <row r="1387" customHeight="1" spans="1:6">
      <c r="A1387" s="484">
        <v>2</v>
      </c>
      <c r="B1387" s="193" t="s">
        <v>794</v>
      </c>
      <c r="C1387" s="485"/>
      <c r="D1387" s="494">
        <f>F1362</f>
        <v>0.048</v>
      </c>
      <c r="E1387" s="24">
        <f>F1379</f>
        <v>1035.41</v>
      </c>
      <c r="F1387" s="490">
        <f>D1387*E1387</f>
        <v>49.7</v>
      </c>
    </row>
    <row r="1388" customHeight="1" spans="1:6">
      <c r="A1388" s="484">
        <v>3</v>
      </c>
      <c r="B1388" s="193" t="s">
        <v>731</v>
      </c>
      <c r="C1388" s="485"/>
      <c r="D1388" s="494"/>
      <c r="E1388" s="24"/>
      <c r="F1388" s="490">
        <f>D1388*E1388</f>
        <v>0</v>
      </c>
    </row>
    <row r="1389" customHeight="1" spans="1:6">
      <c r="A1389" s="484" t="s">
        <v>14</v>
      </c>
      <c r="B1389" s="193" t="s">
        <v>295</v>
      </c>
      <c r="C1389" s="485"/>
      <c r="D1389" s="494">
        <v>0.085</v>
      </c>
      <c r="E1389" s="24">
        <f>F1378</f>
        <v>1085.11</v>
      </c>
      <c r="F1389" s="490">
        <f>D1389*E1389</f>
        <v>92.23</v>
      </c>
    </row>
    <row r="1390" customHeight="1" spans="1:6">
      <c r="A1390" s="484" t="s">
        <v>16</v>
      </c>
      <c r="B1390" s="193" t="s">
        <v>732</v>
      </c>
      <c r="C1390" s="485"/>
      <c r="D1390" s="494">
        <f>F1364</f>
        <v>0.07</v>
      </c>
      <c r="E1390" s="24">
        <f>F1378+F1389</f>
        <v>1177.34</v>
      </c>
      <c r="F1390" s="490">
        <f>D1390*E1390</f>
        <v>82.41</v>
      </c>
    </row>
    <row r="1391" customHeight="1" spans="1:6">
      <c r="A1391" s="484" t="s">
        <v>18</v>
      </c>
      <c r="B1391" s="193" t="s">
        <v>795</v>
      </c>
      <c r="C1391" s="485"/>
      <c r="D1391" s="193"/>
      <c r="E1391" s="484"/>
      <c r="F1391" s="490">
        <f>SUM(F1392:F1393)</f>
        <v>524.47</v>
      </c>
    </row>
    <row r="1392" customHeight="1" spans="1:6">
      <c r="A1392" s="128"/>
      <c r="B1392" s="484" t="s">
        <v>317</v>
      </c>
      <c r="C1392" s="485" t="s">
        <v>323</v>
      </c>
      <c r="D1392" s="490">
        <v>126.99</v>
      </c>
      <c r="E1392" s="24">
        <f>主材!N13</f>
        <v>4.13</v>
      </c>
      <c r="F1392" s="490">
        <f>D1392*E1392</f>
        <v>524.47</v>
      </c>
    </row>
    <row r="1393" customHeight="1" spans="1:6">
      <c r="A1393" s="484"/>
      <c r="B1393" s="193"/>
      <c r="C1393" s="485"/>
      <c r="D1393" s="490"/>
      <c r="E1393" s="24"/>
      <c r="F1393" s="490"/>
    </row>
    <row r="1394" customHeight="1" spans="1:6">
      <c r="A1394" s="484" t="s">
        <v>20</v>
      </c>
      <c r="B1394" s="193" t="s">
        <v>297</v>
      </c>
      <c r="C1394" s="495"/>
      <c r="D1394" s="496">
        <f>F1370</f>
        <v>0.09</v>
      </c>
      <c r="E1394" s="24">
        <f>F1378+F1389+F1390+F1391</f>
        <v>1784.22</v>
      </c>
      <c r="F1394" s="490">
        <f>D1394*E1394</f>
        <v>160.58</v>
      </c>
    </row>
    <row r="1395" customHeight="1" spans="1:6">
      <c r="A1395" s="484"/>
      <c r="B1395" s="193" t="s">
        <v>121</v>
      </c>
      <c r="C1395" s="495"/>
      <c r="D1395" s="193"/>
      <c r="E1395" s="484"/>
      <c r="F1395" s="490">
        <f>E1394+F1394</f>
        <v>1944.8</v>
      </c>
    </row>
    <row r="1396" customHeight="1" spans="1:6">
      <c r="A1396" s="497" t="s">
        <v>23</v>
      </c>
      <c r="B1396" s="498" t="s">
        <v>298</v>
      </c>
      <c r="C1396" s="498"/>
      <c r="D1396" s="498"/>
      <c r="E1396" s="499"/>
      <c r="F1396" s="498">
        <f>F1395*0.03</f>
        <v>58.34</v>
      </c>
    </row>
    <row r="1397" customHeight="1" spans="1:6">
      <c r="A1397" s="436"/>
      <c r="B1397" s="436" t="s">
        <v>121</v>
      </c>
      <c r="C1397" s="436"/>
      <c r="D1397" s="436"/>
      <c r="E1397" s="436"/>
      <c r="F1397" s="436">
        <f>F1395+F1396</f>
        <v>2003.14</v>
      </c>
    </row>
    <row r="1399" customHeight="1" spans="1:6">
      <c r="A1399" s="500" t="s">
        <v>787</v>
      </c>
      <c r="B1399" s="500"/>
      <c r="C1399" s="500"/>
      <c r="D1399" s="500"/>
      <c r="E1399" s="500"/>
      <c r="F1399" s="500"/>
    </row>
    <row r="1400" customHeight="1" spans="1:6">
      <c r="A1400" s="501" t="s">
        <v>796</v>
      </c>
      <c r="B1400" s="501"/>
      <c r="C1400" s="501"/>
      <c r="D1400" s="501"/>
      <c r="E1400" s="501"/>
      <c r="F1400" s="501"/>
    </row>
    <row r="1401" customHeight="1" spans="1:6">
      <c r="A1401" s="501" t="s">
        <v>546</v>
      </c>
      <c r="B1401" s="501"/>
      <c r="C1401" s="501"/>
      <c r="D1401" s="501"/>
      <c r="E1401" s="501"/>
      <c r="F1401" s="501"/>
    </row>
    <row r="1402" customHeight="1" spans="1:6">
      <c r="A1402" s="484" t="s">
        <v>284</v>
      </c>
      <c r="B1402" s="193" t="s">
        <v>458</v>
      </c>
      <c r="C1402" s="485" t="s">
        <v>88</v>
      </c>
      <c r="D1402" s="193" t="s">
        <v>130</v>
      </c>
      <c r="E1402" s="484" t="s">
        <v>790</v>
      </c>
      <c r="F1402" s="193" t="s">
        <v>92</v>
      </c>
    </row>
    <row r="1403" customHeight="1" spans="1:6">
      <c r="A1403" s="484" t="s">
        <v>791</v>
      </c>
      <c r="B1403" s="193" t="s">
        <v>459</v>
      </c>
      <c r="C1403" s="485"/>
      <c r="D1403" s="193"/>
      <c r="E1403" s="484"/>
      <c r="F1403" s="28">
        <f>F1404+F1430+F1431</f>
        <v>29550.31</v>
      </c>
    </row>
    <row r="1404" customHeight="1" spans="1:6">
      <c r="A1404" s="484">
        <v>1</v>
      </c>
      <c r="B1404" s="193" t="s">
        <v>288</v>
      </c>
      <c r="C1404" s="485"/>
      <c r="D1404" s="193"/>
      <c r="E1404" s="484"/>
      <c r="F1404" s="28">
        <f>F1405+F1408+F1419+F1428+F1429</f>
        <v>28196.86</v>
      </c>
    </row>
    <row r="1405" customHeight="1" spans="1:6">
      <c r="A1405" s="491">
        <v>-1</v>
      </c>
      <c r="B1405" s="193" t="s">
        <v>247</v>
      </c>
      <c r="C1405" s="485" t="s">
        <v>290</v>
      </c>
      <c r="D1405" s="193"/>
      <c r="E1405" s="484"/>
      <c r="F1405" s="490">
        <f>SUM(F1406:F1407)</f>
        <v>5985.08</v>
      </c>
    </row>
    <row r="1406" customHeight="1" spans="1:6">
      <c r="A1406" s="491"/>
      <c r="B1406" s="193" t="s">
        <v>289</v>
      </c>
      <c r="C1406" s="485" t="s">
        <v>290</v>
      </c>
      <c r="D1406" s="492">
        <v>512.8</v>
      </c>
      <c r="E1406" s="493">
        <f>F1339</f>
        <v>8.1</v>
      </c>
      <c r="F1406" s="490">
        <f>D1406*E1406</f>
        <v>4153.68</v>
      </c>
    </row>
    <row r="1407" customHeight="1" spans="1:6">
      <c r="A1407" s="491"/>
      <c r="B1407" s="193" t="s">
        <v>291</v>
      </c>
      <c r="C1407" s="485" t="s">
        <v>290</v>
      </c>
      <c r="D1407" s="492">
        <v>317.4</v>
      </c>
      <c r="E1407" s="493">
        <f>F1340</f>
        <v>5.77</v>
      </c>
      <c r="F1407" s="490">
        <f>D1407*E1407</f>
        <v>1831.4</v>
      </c>
    </row>
    <row r="1408" customHeight="1" spans="1:6">
      <c r="A1408" s="491">
        <v>-2</v>
      </c>
      <c r="B1408" s="193" t="s">
        <v>248</v>
      </c>
      <c r="C1408" s="485"/>
      <c r="D1408" s="193"/>
      <c r="E1408" s="484"/>
      <c r="F1408" s="490">
        <f>SUM(F1409:F1418)</f>
        <v>19537.45</v>
      </c>
    </row>
    <row r="1409" customHeight="1" spans="1:6">
      <c r="A1409" s="491"/>
      <c r="B1409" s="193" t="s">
        <v>696</v>
      </c>
      <c r="C1409" s="485" t="s">
        <v>154</v>
      </c>
      <c r="D1409" s="193">
        <v>0.03</v>
      </c>
      <c r="E1409" s="493">
        <f>主材!M7</f>
        <v>2143.4</v>
      </c>
      <c r="F1409" s="490">
        <f t="shared" ref="F1409:F1416" si="48">D1409*E1409</f>
        <v>64.3</v>
      </c>
    </row>
    <row r="1410" customHeight="1" spans="1:6">
      <c r="A1410" s="491"/>
      <c r="B1410" s="193" t="s">
        <v>548</v>
      </c>
      <c r="C1410" s="502" t="s">
        <v>797</v>
      </c>
      <c r="D1410" s="193">
        <v>0.98</v>
      </c>
      <c r="E1410" s="416">
        <v>5.5</v>
      </c>
      <c r="F1410" s="490">
        <f t="shared" si="48"/>
        <v>5.39</v>
      </c>
    </row>
    <row r="1411" customHeight="1" spans="1:6">
      <c r="A1411" s="491"/>
      <c r="B1411" s="193" t="s">
        <v>634</v>
      </c>
      <c r="C1411" s="502" t="s">
        <v>797</v>
      </c>
      <c r="D1411" s="193">
        <v>2.34</v>
      </c>
      <c r="E1411" s="416">
        <v>5.5</v>
      </c>
      <c r="F1411" s="490">
        <f t="shared" si="48"/>
        <v>12.87</v>
      </c>
    </row>
    <row r="1412" customHeight="1" spans="1:6">
      <c r="A1412" s="491"/>
      <c r="B1412" s="193" t="s">
        <v>718</v>
      </c>
      <c r="C1412" s="502" t="s">
        <v>797</v>
      </c>
      <c r="D1412" s="193">
        <v>3.14</v>
      </c>
      <c r="E1412" s="416">
        <v>5.5</v>
      </c>
      <c r="F1412" s="490">
        <f t="shared" si="48"/>
        <v>17.27</v>
      </c>
    </row>
    <row r="1413" customHeight="1" spans="1:6">
      <c r="A1413" s="491"/>
      <c r="B1413" s="193" t="s">
        <v>583</v>
      </c>
      <c r="C1413" s="502" t="s">
        <v>797</v>
      </c>
      <c r="D1413" s="193">
        <v>0.07</v>
      </c>
      <c r="E1413" s="416">
        <v>5</v>
      </c>
      <c r="F1413" s="490">
        <f t="shared" si="48"/>
        <v>0.35</v>
      </c>
    </row>
    <row r="1414" customHeight="1" spans="1:6">
      <c r="A1414" s="491"/>
      <c r="B1414" s="193" t="s">
        <v>551</v>
      </c>
      <c r="C1414" s="502" t="s">
        <v>797</v>
      </c>
      <c r="D1414" s="193">
        <v>3.65</v>
      </c>
      <c r="E1414" s="416">
        <v>6.5</v>
      </c>
      <c r="F1414" s="490">
        <f t="shared" si="48"/>
        <v>23.73</v>
      </c>
    </row>
    <row r="1415" customHeight="1" spans="1:6">
      <c r="A1415" s="491"/>
      <c r="B1415" s="193" t="s">
        <v>552</v>
      </c>
      <c r="C1415" s="502" t="s">
        <v>797</v>
      </c>
      <c r="D1415" s="193">
        <v>0.08</v>
      </c>
      <c r="E1415" s="416">
        <v>6.15</v>
      </c>
      <c r="F1415" s="490">
        <f t="shared" si="48"/>
        <v>0.49</v>
      </c>
    </row>
    <row r="1416" customHeight="1" spans="1:6">
      <c r="A1416" s="491"/>
      <c r="B1416" s="193" t="s">
        <v>798</v>
      </c>
      <c r="C1416" s="485" t="s">
        <v>154</v>
      </c>
      <c r="D1416" s="193">
        <v>103</v>
      </c>
      <c r="E1416" s="484">
        <f>混凝土单价!M6</f>
        <v>177.12</v>
      </c>
      <c r="F1416" s="490">
        <f t="shared" si="48"/>
        <v>18243.36</v>
      </c>
    </row>
    <row r="1417" customHeight="1" spans="1:6">
      <c r="A1417" s="491"/>
      <c r="B1417" s="193" t="s">
        <v>672</v>
      </c>
      <c r="C1417" s="485" t="s">
        <v>154</v>
      </c>
      <c r="D1417" s="193">
        <v>180</v>
      </c>
      <c r="E1417" s="493">
        <f>主材!D18</f>
        <v>4.37</v>
      </c>
      <c r="F1417" s="490">
        <f t="shared" ref="F1417:F1418" si="49">D1417*E1417</f>
        <v>786.6</v>
      </c>
    </row>
    <row r="1418" customHeight="1" spans="1:6">
      <c r="A1418" s="484"/>
      <c r="B1418" s="193" t="s">
        <v>397</v>
      </c>
      <c r="C1418" s="485"/>
      <c r="D1418" s="503">
        <v>0.02</v>
      </c>
      <c r="E1418" s="493">
        <f>SUM(F1409:F1417)</f>
        <v>19154.36</v>
      </c>
      <c r="F1418" s="490">
        <f t="shared" si="49"/>
        <v>383.09</v>
      </c>
    </row>
    <row r="1419" customHeight="1" spans="1:6">
      <c r="A1419" s="491">
        <v>-3</v>
      </c>
      <c r="B1419" s="193" t="s">
        <v>792</v>
      </c>
      <c r="C1419" s="485"/>
      <c r="D1419" s="193"/>
      <c r="E1419" s="484"/>
      <c r="F1419" s="490">
        <f>SUM(F1420:F1427)</f>
        <v>645.23</v>
      </c>
    </row>
    <row r="1420" customHeight="1" spans="1:6">
      <c r="A1420" s="504"/>
      <c r="B1420" s="193" t="s">
        <v>700</v>
      </c>
      <c r="C1420" s="485" t="s">
        <v>316</v>
      </c>
      <c r="D1420" s="490">
        <v>0.08</v>
      </c>
      <c r="E1420" s="505">
        <v>49.39</v>
      </c>
      <c r="F1420" s="490">
        <f t="shared" ref="F1420:F1425" si="50">D1420*E1420</f>
        <v>3.95</v>
      </c>
    </row>
    <row r="1421" customHeight="1" spans="1:6">
      <c r="A1421" s="484"/>
      <c r="B1421" s="193" t="s">
        <v>799</v>
      </c>
      <c r="C1421" s="485" t="s">
        <v>316</v>
      </c>
      <c r="D1421" s="490">
        <v>0.12</v>
      </c>
      <c r="E1421" s="493">
        <v>62.33</v>
      </c>
      <c r="F1421" s="490">
        <f t="shared" si="50"/>
        <v>7.48</v>
      </c>
    </row>
    <row r="1422" customHeight="1" spans="1:6">
      <c r="A1422" s="504"/>
      <c r="B1422" s="193" t="s">
        <v>800</v>
      </c>
      <c r="C1422" s="485" t="s">
        <v>316</v>
      </c>
      <c r="D1422" s="490">
        <v>0.12</v>
      </c>
      <c r="E1422" s="493">
        <v>9.65</v>
      </c>
      <c r="F1422" s="490">
        <f t="shared" si="50"/>
        <v>1.16</v>
      </c>
    </row>
    <row r="1423" customHeight="1" spans="1:6">
      <c r="A1423" s="504"/>
      <c r="B1423" s="193" t="s">
        <v>801</v>
      </c>
      <c r="C1423" s="485" t="s">
        <v>316</v>
      </c>
      <c r="D1423" s="490">
        <v>18.54</v>
      </c>
      <c r="E1423" s="493">
        <v>24.69</v>
      </c>
      <c r="F1423" s="490">
        <f t="shared" si="50"/>
        <v>457.75</v>
      </c>
    </row>
    <row r="1424" customHeight="1" spans="1:6">
      <c r="A1424" s="504"/>
      <c r="B1424" s="193" t="s">
        <v>699</v>
      </c>
      <c r="C1424" s="485" t="s">
        <v>316</v>
      </c>
      <c r="D1424" s="490">
        <v>40.05</v>
      </c>
      <c r="E1424" s="493">
        <v>1.9</v>
      </c>
      <c r="F1424" s="490">
        <f t="shared" si="50"/>
        <v>76.1</v>
      </c>
    </row>
    <row r="1425" customHeight="1" spans="1:6">
      <c r="A1425" s="504"/>
      <c r="B1425" s="193" t="s">
        <v>472</v>
      </c>
      <c r="C1425" s="485" t="s">
        <v>316</v>
      </c>
      <c r="D1425" s="490">
        <v>83</v>
      </c>
      <c r="E1425" s="493">
        <v>0.82</v>
      </c>
      <c r="F1425" s="490">
        <f t="shared" si="50"/>
        <v>68.06</v>
      </c>
    </row>
    <row r="1426" customHeight="1" spans="1:6">
      <c r="A1426" s="504"/>
      <c r="B1426" s="193"/>
      <c r="C1426" s="485"/>
      <c r="D1426" s="490"/>
      <c r="E1426" s="493"/>
      <c r="F1426" s="490"/>
    </row>
    <row r="1427" customHeight="1" spans="1:6">
      <c r="A1427" s="484"/>
      <c r="B1427" s="506" t="s">
        <v>370</v>
      </c>
      <c r="C1427" s="485"/>
      <c r="D1427" s="503">
        <v>0.05</v>
      </c>
      <c r="E1427" s="490">
        <v>614.5</v>
      </c>
      <c r="F1427" s="490">
        <v>30.73</v>
      </c>
    </row>
    <row r="1428" customHeight="1" spans="1:6">
      <c r="A1428" s="484"/>
      <c r="B1428" s="506" t="s">
        <v>558</v>
      </c>
      <c r="C1428" s="485" t="s">
        <v>154</v>
      </c>
      <c r="D1428" s="490">
        <v>103</v>
      </c>
      <c r="E1428" s="507">
        <v>5.04</v>
      </c>
      <c r="F1428" s="490">
        <v>519.12</v>
      </c>
    </row>
    <row r="1429" customHeight="1" spans="1:6">
      <c r="A1429" s="489"/>
      <c r="B1429" s="506" t="s">
        <v>559</v>
      </c>
      <c r="C1429" s="487" t="s">
        <v>154</v>
      </c>
      <c r="D1429" s="490">
        <v>103</v>
      </c>
      <c r="E1429" s="507">
        <f>F1209</f>
        <v>2.71</v>
      </c>
      <c r="F1429" s="490">
        <v>1509.98</v>
      </c>
    </row>
    <row r="1430" customHeight="1" spans="1:6">
      <c r="A1430" s="484">
        <v>2</v>
      </c>
      <c r="B1430" s="193" t="s">
        <v>794</v>
      </c>
      <c r="C1430" s="485"/>
      <c r="D1430" s="494">
        <v>0.048</v>
      </c>
      <c r="E1430" s="24">
        <f>F1404</f>
        <v>28196.86</v>
      </c>
      <c r="F1430" s="490">
        <f>D1430*E1430</f>
        <v>1353.45</v>
      </c>
    </row>
    <row r="1431" customHeight="1" spans="1:6">
      <c r="A1431" s="484"/>
      <c r="B1431" s="193"/>
      <c r="C1431" s="485"/>
      <c r="D1431" s="494"/>
      <c r="E1431" s="24"/>
      <c r="F1431" s="490"/>
    </row>
    <row r="1432" customHeight="1" spans="1:6">
      <c r="A1432" s="484" t="s">
        <v>14</v>
      </c>
      <c r="B1432" s="193" t="s">
        <v>295</v>
      </c>
      <c r="C1432" s="485"/>
      <c r="D1432" s="494">
        <v>0.07</v>
      </c>
      <c r="E1432" s="24">
        <f>F1403</f>
        <v>29550.31</v>
      </c>
      <c r="F1432" s="490">
        <f>D1432*E1432</f>
        <v>2068.52</v>
      </c>
    </row>
    <row r="1433" customHeight="1" spans="1:6">
      <c r="A1433" s="484" t="s">
        <v>16</v>
      </c>
      <c r="B1433" s="193" t="s">
        <v>732</v>
      </c>
      <c r="C1433" s="485"/>
      <c r="D1433" s="494">
        <v>0.07</v>
      </c>
      <c r="E1433" s="24">
        <f>E1432+F1432</f>
        <v>31618.83</v>
      </c>
      <c r="F1433" s="490">
        <f>D1433*E1433</f>
        <v>2213.32</v>
      </c>
    </row>
    <row r="1434" customHeight="1" spans="1:6">
      <c r="A1434" s="484" t="s">
        <v>18</v>
      </c>
      <c r="B1434" s="193" t="s">
        <v>795</v>
      </c>
      <c r="C1434" s="485"/>
      <c r="D1434" s="193"/>
      <c r="E1434" s="484"/>
      <c r="F1434" s="490">
        <f>SUM(F1435:F1438)</f>
        <v>5239.82</v>
      </c>
    </row>
    <row r="1435" customHeight="1" spans="1:6">
      <c r="A1435" s="484"/>
      <c r="B1435" s="193" t="s">
        <v>522</v>
      </c>
      <c r="C1435" s="502" t="s">
        <v>797</v>
      </c>
      <c r="D1435" s="193">
        <v>1.272</v>
      </c>
      <c r="E1435" s="24">
        <v>4.75</v>
      </c>
      <c r="F1435" s="490">
        <v>6.04</v>
      </c>
    </row>
    <row r="1436" customHeight="1" spans="1:6">
      <c r="A1436" s="484"/>
      <c r="B1436" s="193" t="s">
        <v>405</v>
      </c>
      <c r="C1436" s="416" t="s">
        <v>158</v>
      </c>
      <c r="D1436" s="490">
        <v>31.93</v>
      </c>
      <c r="E1436" s="24">
        <v>72.88</v>
      </c>
      <c r="F1436" s="490">
        <v>2327.06</v>
      </c>
    </row>
    <row r="1437" customHeight="1" spans="1:6">
      <c r="A1437" s="484"/>
      <c r="B1437" s="193" t="s">
        <v>396</v>
      </c>
      <c r="C1437" s="416" t="s">
        <v>395</v>
      </c>
      <c r="D1437" s="490">
        <v>56.65</v>
      </c>
      <c r="E1437" s="24">
        <v>20.78</v>
      </c>
      <c r="F1437" s="490">
        <v>1177.19</v>
      </c>
    </row>
    <row r="1438" customHeight="1" spans="1:6">
      <c r="A1438" s="484"/>
      <c r="B1438" s="193" t="s">
        <v>467</v>
      </c>
      <c r="C1438" s="416" t="s">
        <v>395</v>
      </c>
      <c r="D1438" s="490">
        <v>86.52</v>
      </c>
      <c r="E1438" s="24">
        <v>19.99</v>
      </c>
      <c r="F1438" s="490">
        <v>1729.53</v>
      </c>
    </row>
    <row r="1439" hidden="1" customHeight="1" spans="1:6">
      <c r="A1439" s="484"/>
      <c r="B1439" s="193"/>
      <c r="C1439" s="485"/>
      <c r="D1439" s="490"/>
      <c r="E1439" s="24"/>
      <c r="F1439" s="490"/>
    </row>
    <row r="1440" hidden="1" customHeight="1" spans="1:6">
      <c r="A1440" s="484"/>
      <c r="B1440" s="193"/>
      <c r="C1440" s="485"/>
      <c r="D1440" s="490"/>
      <c r="E1440" s="24"/>
      <c r="F1440" s="490"/>
    </row>
    <row r="1441" hidden="1" customHeight="1" spans="1:6">
      <c r="A1441" s="484"/>
      <c r="B1441" s="193"/>
      <c r="C1441" s="485"/>
      <c r="D1441" s="490"/>
      <c r="E1441" s="24"/>
      <c r="F1441" s="490"/>
    </row>
    <row r="1442" customHeight="1" spans="1:6">
      <c r="A1442" s="484" t="s">
        <v>20</v>
      </c>
      <c r="B1442" s="193" t="s">
        <v>297</v>
      </c>
      <c r="C1442" s="495"/>
      <c r="D1442" s="496">
        <v>0.09</v>
      </c>
      <c r="E1442" s="24">
        <f>E1433+F1433+F1434</f>
        <v>39071.97</v>
      </c>
      <c r="F1442" s="490">
        <f>D1442*E1442</f>
        <v>3516.48</v>
      </c>
    </row>
    <row r="1443" customHeight="1" spans="1:6">
      <c r="A1443" s="484"/>
      <c r="B1443" s="193" t="s">
        <v>121</v>
      </c>
      <c r="C1443" s="495"/>
      <c r="D1443" s="193"/>
      <c r="E1443" s="484"/>
      <c r="F1443" s="490">
        <f>E1442+F1442</f>
        <v>42588.45</v>
      </c>
    </row>
    <row r="1444" customHeight="1" spans="1:6">
      <c r="A1444" s="379" t="s">
        <v>675</v>
      </c>
      <c r="B1444" s="380"/>
      <c r="C1444" s="50"/>
      <c r="D1444" s="360">
        <f>F1443</f>
        <v>42588.45</v>
      </c>
      <c r="E1444" s="456">
        <v>0.03</v>
      </c>
      <c r="F1444" s="362">
        <f>D1444*E1444</f>
        <v>1277.65</v>
      </c>
    </row>
    <row r="1445" customHeight="1" spans="1:6">
      <c r="A1445" s="381" t="s">
        <v>560</v>
      </c>
      <c r="B1445" s="382"/>
      <c r="C1445" s="370"/>
      <c r="D1445" s="371"/>
      <c r="E1445" s="370"/>
      <c r="F1445" s="372">
        <f>D1444+F1444</f>
        <v>43866.1</v>
      </c>
    </row>
    <row r="1447" customHeight="1" spans="1:7">
      <c r="A1447" s="508" t="s">
        <v>274</v>
      </c>
      <c r="B1447" s="508"/>
      <c r="C1447" s="508"/>
      <c r="D1447" s="508"/>
      <c r="E1447" s="508"/>
      <c r="F1447" s="508"/>
      <c r="G1447" s="508"/>
    </row>
    <row r="1448" customHeight="1" spans="1:7">
      <c r="A1448" s="42" t="s">
        <v>275</v>
      </c>
      <c r="B1448" s="43"/>
      <c r="C1448" s="43" t="s">
        <v>543</v>
      </c>
      <c r="D1448" s="43" t="s">
        <v>276</v>
      </c>
      <c r="E1448" s="355" t="s">
        <v>802</v>
      </c>
      <c r="F1448" s="355"/>
      <c r="G1448" s="356"/>
    </row>
    <row r="1449" customHeight="1" spans="1:7">
      <c r="A1449" s="47" t="s">
        <v>278</v>
      </c>
      <c r="B1449" s="48"/>
      <c r="C1449" s="49" t="s">
        <v>803</v>
      </c>
      <c r="D1449" s="49"/>
      <c r="E1449" s="49"/>
      <c r="F1449" s="357" t="s">
        <v>280</v>
      </c>
      <c r="G1449" s="51" t="s">
        <v>281</v>
      </c>
    </row>
    <row r="1450" customHeight="1" spans="1:7">
      <c r="A1450" s="358" t="s">
        <v>545</v>
      </c>
      <c r="B1450" s="49"/>
      <c r="C1450" s="49"/>
      <c r="D1450" s="49"/>
      <c r="E1450" s="49"/>
      <c r="F1450" s="49"/>
      <c r="G1450" s="359"/>
    </row>
    <row r="1451" customHeight="1" spans="1:7">
      <c r="A1451" s="52" t="s">
        <v>546</v>
      </c>
      <c r="B1451" s="53"/>
      <c r="C1451" s="54"/>
      <c r="D1451" s="54"/>
      <c r="E1451" s="54"/>
      <c r="F1451" s="54"/>
      <c r="G1451" s="55"/>
    </row>
    <row r="1452" customHeight="1" spans="1:7">
      <c r="A1452" s="47" t="s">
        <v>284</v>
      </c>
      <c r="B1452" s="50" t="s">
        <v>233</v>
      </c>
      <c r="C1452" s="50"/>
      <c r="D1452" s="50" t="s">
        <v>88</v>
      </c>
      <c r="E1452" s="360" t="s">
        <v>130</v>
      </c>
      <c r="F1452" s="50" t="s">
        <v>285</v>
      </c>
      <c r="G1452" s="51" t="s">
        <v>286</v>
      </c>
    </row>
    <row r="1453" customHeight="1" spans="1:7">
      <c r="A1453" s="47" t="s">
        <v>9</v>
      </c>
      <c r="B1453" s="361" t="s">
        <v>287</v>
      </c>
      <c r="C1453" s="361"/>
      <c r="D1453" s="50"/>
      <c r="E1453" s="360"/>
      <c r="F1453" s="360"/>
      <c r="G1453" s="362">
        <f>G1454+G1478</f>
        <v>48921.9</v>
      </c>
    </row>
    <row r="1454" customHeight="1" spans="1:7">
      <c r="A1454" s="47" t="s">
        <v>132</v>
      </c>
      <c r="B1454" s="361" t="s">
        <v>288</v>
      </c>
      <c r="C1454" s="361"/>
      <c r="D1454" s="50"/>
      <c r="E1454" s="360"/>
      <c r="F1454" s="360"/>
      <c r="G1454" s="362">
        <f>G1455+G1458+G1468+G1475</f>
        <v>46681.2</v>
      </c>
    </row>
    <row r="1455" customHeight="1" spans="1:7">
      <c r="A1455" s="47" t="s">
        <v>39</v>
      </c>
      <c r="B1455" s="361" t="s">
        <v>247</v>
      </c>
      <c r="C1455" s="361"/>
      <c r="D1455" s="50"/>
      <c r="E1455" s="360"/>
      <c r="F1455" s="360"/>
      <c r="G1455" s="362">
        <f>G1456+G1457</f>
        <v>21991.92</v>
      </c>
    </row>
    <row r="1456" customHeight="1" spans="1:7">
      <c r="A1456" s="47"/>
      <c r="B1456" s="361" t="s">
        <v>289</v>
      </c>
      <c r="C1456" s="361"/>
      <c r="D1456" s="50" t="s">
        <v>290</v>
      </c>
      <c r="E1456" s="363">
        <v>2282.8</v>
      </c>
      <c r="F1456" s="360">
        <v>8.1</v>
      </c>
      <c r="G1456" s="362">
        <f>E1456*F1456</f>
        <v>18490.68</v>
      </c>
    </row>
    <row r="1457" customHeight="1" spans="1:7">
      <c r="A1457" s="47"/>
      <c r="B1457" s="361" t="s">
        <v>291</v>
      </c>
      <c r="C1457" s="361"/>
      <c r="D1457" s="50" t="s">
        <v>290</v>
      </c>
      <c r="E1457" s="363">
        <v>606.8</v>
      </c>
      <c r="F1457" s="360">
        <v>5.77</v>
      </c>
      <c r="G1457" s="362">
        <f>E1457*F1457</f>
        <v>3501.24</v>
      </c>
    </row>
    <row r="1458" customHeight="1" spans="1:7">
      <c r="A1458" s="47" t="s">
        <v>41</v>
      </c>
      <c r="B1458" s="361" t="s">
        <v>248</v>
      </c>
      <c r="C1458" s="361"/>
      <c r="D1458" s="50"/>
      <c r="E1458" s="360"/>
      <c r="F1458" s="360"/>
      <c r="G1458" s="362">
        <f>SUM(G1459:G1467)</f>
        <v>22638.72</v>
      </c>
    </row>
    <row r="1459" customHeight="1" spans="1:7">
      <c r="A1459" s="47"/>
      <c r="B1459" s="361" t="s">
        <v>547</v>
      </c>
      <c r="C1459" s="361"/>
      <c r="D1459" s="50" t="s">
        <v>395</v>
      </c>
      <c r="E1459" s="360">
        <v>0.48</v>
      </c>
      <c r="F1459" s="360">
        <f>主材!M7</f>
        <v>2143.4</v>
      </c>
      <c r="G1459" s="362">
        <f>E1459*F1459</f>
        <v>1028.83</v>
      </c>
    </row>
    <row r="1460" customHeight="1" spans="1:8">
      <c r="A1460" s="47"/>
      <c r="B1460" s="361" t="s">
        <v>548</v>
      </c>
      <c r="C1460" s="361"/>
      <c r="D1460" s="50" t="s">
        <v>323</v>
      </c>
      <c r="E1460" s="360">
        <v>3.18</v>
      </c>
      <c r="F1460" s="360">
        <v>5</v>
      </c>
      <c r="G1460" s="362">
        <f t="shared" ref="G1460:G1466" si="51">E1460*F1460</f>
        <v>15.9</v>
      </c>
      <c r="H1460" s="384"/>
    </row>
    <row r="1461" customHeight="1" spans="1:7">
      <c r="A1461" s="47"/>
      <c r="B1461" s="361" t="s">
        <v>549</v>
      </c>
      <c r="C1461" s="361"/>
      <c r="D1461" s="50" t="s">
        <v>323</v>
      </c>
      <c r="E1461" s="360">
        <v>117</v>
      </c>
      <c r="F1461" s="360">
        <v>5.5</v>
      </c>
      <c r="G1461" s="362">
        <f t="shared" si="51"/>
        <v>643.5</v>
      </c>
    </row>
    <row r="1462" customHeight="1" spans="1:7">
      <c r="A1462" s="47"/>
      <c r="B1462" s="361" t="s">
        <v>550</v>
      </c>
      <c r="C1462" s="361"/>
      <c r="D1462" s="50" t="s">
        <v>323</v>
      </c>
      <c r="E1462" s="360">
        <v>230.5</v>
      </c>
      <c r="F1462" s="360">
        <v>5.5</v>
      </c>
      <c r="G1462" s="362">
        <f t="shared" si="51"/>
        <v>1267.75</v>
      </c>
    </row>
    <row r="1463" customHeight="1" spans="1:7">
      <c r="A1463" s="47"/>
      <c r="B1463" s="361" t="s">
        <v>551</v>
      </c>
      <c r="C1463" s="361"/>
      <c r="D1463" s="50" t="s">
        <v>323</v>
      </c>
      <c r="E1463" s="360"/>
      <c r="F1463" s="360">
        <v>6.5</v>
      </c>
      <c r="G1463" s="362">
        <f t="shared" si="51"/>
        <v>0</v>
      </c>
    </row>
    <row r="1464" customHeight="1" spans="1:7">
      <c r="A1464" s="47"/>
      <c r="B1464" s="361" t="s">
        <v>552</v>
      </c>
      <c r="C1464" s="361"/>
      <c r="D1464" s="50" t="s">
        <v>323</v>
      </c>
      <c r="E1464" s="360"/>
      <c r="F1464" s="360">
        <v>6.15</v>
      </c>
      <c r="G1464" s="362">
        <f t="shared" si="51"/>
        <v>0</v>
      </c>
    </row>
    <row r="1465" customHeight="1" spans="1:7">
      <c r="A1465" s="47"/>
      <c r="B1465" s="361" t="s">
        <v>553</v>
      </c>
      <c r="C1465" s="361"/>
      <c r="D1465" s="50" t="s">
        <v>395</v>
      </c>
      <c r="E1465" s="360">
        <v>103</v>
      </c>
      <c r="F1465" s="360">
        <v>177.12</v>
      </c>
      <c r="G1465" s="362">
        <f t="shared" si="51"/>
        <v>18243.36</v>
      </c>
    </row>
    <row r="1466" customHeight="1" spans="1:7">
      <c r="A1466" s="47"/>
      <c r="B1466" s="361" t="s">
        <v>554</v>
      </c>
      <c r="C1466" s="361"/>
      <c r="D1466" s="50" t="s">
        <v>395</v>
      </c>
      <c r="E1466" s="360">
        <v>180</v>
      </c>
      <c r="F1466" s="360">
        <v>4.36</v>
      </c>
      <c r="G1466" s="362">
        <f t="shared" si="51"/>
        <v>784.8</v>
      </c>
    </row>
    <row r="1467" customHeight="1" spans="1:7">
      <c r="A1467" s="47"/>
      <c r="B1467" s="361" t="s">
        <v>397</v>
      </c>
      <c r="C1467" s="361"/>
      <c r="D1467" s="50" t="s">
        <v>293</v>
      </c>
      <c r="E1467" s="364">
        <v>3</v>
      </c>
      <c r="F1467" s="360">
        <v>21819.31</v>
      </c>
      <c r="G1467" s="362">
        <f>E1467*F1467/100</f>
        <v>654.58</v>
      </c>
    </row>
    <row r="1468" customHeight="1" spans="1:7">
      <c r="A1468" s="47" t="s">
        <v>46</v>
      </c>
      <c r="B1468" s="361" t="s">
        <v>314</v>
      </c>
      <c r="C1468" s="361"/>
      <c r="D1468" s="50"/>
      <c r="E1468" s="360"/>
      <c r="F1468" s="360"/>
      <c r="G1468" s="362">
        <f>SUM(G1469:G1474)</f>
        <v>1252.31</v>
      </c>
    </row>
    <row r="1469" customHeight="1" spans="1:7">
      <c r="A1469" s="47"/>
      <c r="B1469" s="361" t="s">
        <v>555</v>
      </c>
      <c r="C1469" s="361"/>
      <c r="D1469" s="50" t="s">
        <v>316</v>
      </c>
      <c r="E1469" s="360">
        <v>44</v>
      </c>
      <c r="F1469" s="360">
        <v>1.9</v>
      </c>
      <c r="G1469" s="362">
        <f>E1469*F1469</f>
        <v>83.6</v>
      </c>
    </row>
    <row r="1470" customHeight="1" spans="1:7">
      <c r="A1470" s="47"/>
      <c r="B1470" s="361" t="s">
        <v>403</v>
      </c>
      <c r="C1470" s="361"/>
      <c r="D1470" s="50" t="s">
        <v>316</v>
      </c>
      <c r="E1470" s="360">
        <v>18.54</v>
      </c>
      <c r="F1470" s="360">
        <v>24.69</v>
      </c>
      <c r="G1470" s="362">
        <f t="shared" ref="G1470:G1473" si="52">E1470*F1470</f>
        <v>457.75</v>
      </c>
    </row>
    <row r="1471" customHeight="1" spans="1:7">
      <c r="A1471" s="47"/>
      <c r="B1471" s="361" t="s">
        <v>404</v>
      </c>
      <c r="C1471" s="361"/>
      <c r="D1471" s="50" t="s">
        <v>316</v>
      </c>
      <c r="E1471" s="360">
        <v>98</v>
      </c>
      <c r="F1471" s="360">
        <v>0.82</v>
      </c>
      <c r="G1471" s="362">
        <f t="shared" si="52"/>
        <v>80.36</v>
      </c>
    </row>
    <row r="1472" customHeight="1" spans="1:7">
      <c r="A1472" s="47"/>
      <c r="B1472" s="361" t="s">
        <v>556</v>
      </c>
      <c r="C1472" s="361"/>
      <c r="D1472" s="50" t="s">
        <v>316</v>
      </c>
      <c r="E1472" s="360">
        <v>1.38</v>
      </c>
      <c r="F1472" s="360">
        <v>49.39</v>
      </c>
      <c r="G1472" s="362">
        <f t="shared" si="52"/>
        <v>68.16</v>
      </c>
    </row>
    <row r="1473" customHeight="1" spans="1:7">
      <c r="A1473" s="47"/>
      <c r="B1473" s="361" t="s">
        <v>804</v>
      </c>
      <c r="C1473" s="361"/>
      <c r="D1473" s="50" t="s">
        <v>316</v>
      </c>
      <c r="E1473" s="360">
        <v>18.5</v>
      </c>
      <c r="F1473" s="360">
        <v>19.12</v>
      </c>
      <c r="G1473" s="362">
        <f t="shared" si="52"/>
        <v>353.72</v>
      </c>
    </row>
    <row r="1474" customHeight="1" spans="1:7">
      <c r="A1474" s="47"/>
      <c r="B1474" s="361" t="s">
        <v>370</v>
      </c>
      <c r="C1474" s="361"/>
      <c r="D1474" s="50" t="s">
        <v>293</v>
      </c>
      <c r="E1474" s="364">
        <v>20</v>
      </c>
      <c r="F1474" s="360">
        <v>1043.59</v>
      </c>
      <c r="G1474" s="362">
        <f>E1474*F1474/100</f>
        <v>208.72</v>
      </c>
    </row>
    <row r="1475" customHeight="1" spans="1:7">
      <c r="A1475" s="47" t="s">
        <v>305</v>
      </c>
      <c r="B1475" s="361" t="s">
        <v>250</v>
      </c>
      <c r="C1475" s="361"/>
      <c r="D1475" s="50"/>
      <c r="E1475" s="360"/>
      <c r="F1475" s="360"/>
      <c r="G1475" s="362">
        <f>G1476+G1477</f>
        <v>798.25</v>
      </c>
    </row>
    <row r="1476" customHeight="1" spans="1:7">
      <c r="A1476" s="47"/>
      <c r="B1476" s="361" t="s">
        <v>558</v>
      </c>
      <c r="C1476" s="361"/>
      <c r="D1476" s="50" t="s">
        <v>395</v>
      </c>
      <c r="E1476" s="360">
        <v>103</v>
      </c>
      <c r="F1476" s="509">
        <v>5.04</v>
      </c>
      <c r="G1476" s="362">
        <f>E1476*F1476</f>
        <v>519.12</v>
      </c>
    </row>
    <row r="1477" customHeight="1" spans="1:7">
      <c r="A1477" s="47"/>
      <c r="B1477" s="361" t="s">
        <v>559</v>
      </c>
      <c r="C1477" s="361"/>
      <c r="D1477" s="50" t="s">
        <v>395</v>
      </c>
      <c r="E1477" s="360">
        <v>103</v>
      </c>
      <c r="F1477" s="509">
        <f>E1429</f>
        <v>2.71</v>
      </c>
      <c r="G1477" s="362">
        <f>E1477*F1477</f>
        <v>279.13</v>
      </c>
    </row>
    <row r="1478" customHeight="1" spans="1:7">
      <c r="A1478" s="47" t="s">
        <v>133</v>
      </c>
      <c r="B1478" s="361" t="s">
        <v>294</v>
      </c>
      <c r="C1478" s="361"/>
      <c r="D1478" s="50"/>
      <c r="E1478" s="365">
        <f>G1454</f>
        <v>46681.2</v>
      </c>
      <c r="F1478" s="366">
        <v>0.048</v>
      </c>
      <c r="G1478" s="362">
        <f>F1478*E1478</f>
        <v>2240.7</v>
      </c>
    </row>
    <row r="1479" customHeight="1" spans="1:7">
      <c r="A1479" s="47" t="s">
        <v>14</v>
      </c>
      <c r="B1479" s="361" t="s">
        <v>295</v>
      </c>
      <c r="C1479" s="361"/>
      <c r="D1479" s="50"/>
      <c r="E1479" s="360">
        <f>E1478+G1478</f>
        <v>48921.9</v>
      </c>
      <c r="F1479" s="366">
        <f>费率!F5</f>
        <v>0.07</v>
      </c>
      <c r="G1479" s="362">
        <f>E1479*F1479</f>
        <v>3424.53</v>
      </c>
    </row>
    <row r="1480" customHeight="1" spans="1:7">
      <c r="A1480" s="47" t="s">
        <v>16</v>
      </c>
      <c r="B1480" s="361" t="s">
        <v>296</v>
      </c>
      <c r="C1480" s="361"/>
      <c r="D1480" s="50"/>
      <c r="E1480" s="360">
        <f>E1479</f>
        <v>48921.9</v>
      </c>
      <c r="F1480" s="366">
        <v>0.07</v>
      </c>
      <c r="G1480" s="362">
        <f>E1480*F1480</f>
        <v>3424.53</v>
      </c>
    </row>
    <row r="1481" customHeight="1" spans="1:7">
      <c r="A1481" s="47" t="s">
        <v>18</v>
      </c>
      <c r="B1481" s="361" t="s">
        <v>254</v>
      </c>
      <c r="C1481" s="361"/>
      <c r="D1481" s="50"/>
      <c r="E1481" s="360"/>
      <c r="F1481" s="366"/>
      <c r="G1481" s="362">
        <f>SUM(G1482:G1486)</f>
        <v>5185.02</v>
      </c>
    </row>
    <row r="1482" customHeight="1" spans="1:7">
      <c r="A1482" s="47"/>
      <c r="B1482" s="361"/>
      <c r="C1482" s="361"/>
      <c r="D1482" s="50"/>
      <c r="E1482" s="360"/>
      <c r="F1482" s="367"/>
      <c r="G1482" s="362"/>
    </row>
    <row r="1483" customHeight="1" spans="1:7">
      <c r="A1483" s="47"/>
      <c r="B1483" s="361" t="s">
        <v>405</v>
      </c>
      <c r="C1483" s="361"/>
      <c r="D1483" s="50" t="s">
        <v>158</v>
      </c>
      <c r="E1483" s="360">
        <v>31.93</v>
      </c>
      <c r="F1483" s="367">
        <v>72.88</v>
      </c>
      <c r="G1483" s="362">
        <f t="shared" ref="G1483:G1488" si="53">E1483*F1483</f>
        <v>2327.06</v>
      </c>
    </row>
    <row r="1484" customHeight="1" spans="1:7">
      <c r="A1484" s="47"/>
      <c r="B1484" s="361" t="s">
        <v>396</v>
      </c>
      <c r="C1484" s="361"/>
      <c r="D1484" s="50" t="s">
        <v>395</v>
      </c>
      <c r="E1484" s="360">
        <v>62.18</v>
      </c>
      <c r="F1484" s="367">
        <v>20.78</v>
      </c>
      <c r="G1484" s="362">
        <f t="shared" si="53"/>
        <v>1292.1</v>
      </c>
    </row>
    <row r="1485" customHeight="1" spans="1:7">
      <c r="A1485" s="47"/>
      <c r="B1485" s="361" t="s">
        <v>467</v>
      </c>
      <c r="C1485" s="361"/>
      <c r="D1485" s="50" t="s">
        <v>395</v>
      </c>
      <c r="E1485" s="360">
        <v>75.97</v>
      </c>
      <c r="F1485" s="367">
        <v>19.99</v>
      </c>
      <c r="G1485" s="362">
        <f t="shared" si="53"/>
        <v>1518.64</v>
      </c>
    </row>
    <row r="1486" customHeight="1" spans="1:7">
      <c r="A1486" s="47"/>
      <c r="B1486" s="361" t="s">
        <v>522</v>
      </c>
      <c r="C1486" s="361"/>
      <c r="D1486" s="50" t="s">
        <v>323</v>
      </c>
      <c r="E1486" s="360">
        <v>9.94</v>
      </c>
      <c r="F1486" s="367">
        <v>4.75</v>
      </c>
      <c r="G1486" s="362">
        <f t="shared" si="53"/>
        <v>47.22</v>
      </c>
    </row>
    <row r="1487" customHeight="1" spans="1:7">
      <c r="A1487" s="47" t="s">
        <v>20</v>
      </c>
      <c r="B1487" s="361" t="s">
        <v>297</v>
      </c>
      <c r="C1487" s="361"/>
      <c r="D1487" s="50"/>
      <c r="E1487" s="360">
        <f>E1479+G1479+G1480+G1481</f>
        <v>60955.98</v>
      </c>
      <c r="F1487" s="366">
        <v>0.09</v>
      </c>
      <c r="G1487" s="362">
        <f t="shared" si="53"/>
        <v>5486.04</v>
      </c>
    </row>
    <row r="1488" customHeight="1" spans="1:7">
      <c r="A1488" s="47"/>
      <c r="B1488" s="361" t="s">
        <v>298</v>
      </c>
      <c r="C1488" s="361"/>
      <c r="D1488" s="50"/>
      <c r="E1488" s="360">
        <f>E1487+G1487</f>
        <v>66442.02</v>
      </c>
      <c r="F1488" s="366">
        <v>0.03</v>
      </c>
      <c r="G1488" s="362">
        <f t="shared" si="53"/>
        <v>1993.26</v>
      </c>
    </row>
    <row r="1489" customHeight="1" spans="1:8">
      <c r="A1489" s="369"/>
      <c r="B1489" s="370" t="s">
        <v>560</v>
      </c>
      <c r="C1489" s="370"/>
      <c r="D1489" s="370"/>
      <c r="E1489" s="371"/>
      <c r="F1489" s="370"/>
      <c r="G1489" s="372">
        <f>E1488+G1488</f>
        <v>68435.28</v>
      </c>
      <c r="H1489" s="384">
        <f>G1488+G1487+G1481+G1480+G1479+G1475+G1478+G1468+G1458+G1454</f>
        <v>93124.56</v>
      </c>
    </row>
    <row r="1491" customHeight="1" spans="1:6">
      <c r="A1491" s="500" t="s">
        <v>787</v>
      </c>
      <c r="B1491" s="500"/>
      <c r="C1491" s="500"/>
      <c r="D1491" s="500"/>
      <c r="E1491" s="500"/>
      <c r="F1491" s="500"/>
    </row>
    <row r="1492" customHeight="1" spans="1:6">
      <c r="A1492" s="501" t="s">
        <v>805</v>
      </c>
      <c r="B1492" s="501"/>
      <c r="C1492" s="501"/>
      <c r="D1492" s="501"/>
      <c r="E1492" s="501"/>
      <c r="F1492" s="501"/>
    </row>
    <row r="1493" customHeight="1" spans="1:6">
      <c r="A1493" s="501" t="s">
        <v>546</v>
      </c>
      <c r="B1493" s="501"/>
      <c r="C1493" s="501"/>
      <c r="D1493" s="501"/>
      <c r="E1493" s="501"/>
      <c r="F1493" s="501"/>
    </row>
    <row r="1494" customHeight="1" spans="1:6">
      <c r="A1494" s="484" t="s">
        <v>284</v>
      </c>
      <c r="B1494" s="193" t="s">
        <v>458</v>
      </c>
      <c r="C1494" s="485" t="s">
        <v>88</v>
      </c>
      <c r="D1494" s="193" t="s">
        <v>130</v>
      </c>
      <c r="E1494" s="484" t="s">
        <v>790</v>
      </c>
      <c r="F1494" s="193" t="s">
        <v>92</v>
      </c>
    </row>
    <row r="1495" customHeight="1" spans="1:6">
      <c r="A1495" s="484" t="s">
        <v>791</v>
      </c>
      <c r="B1495" s="193" t="s">
        <v>459</v>
      </c>
      <c r="C1495" s="485"/>
      <c r="D1495" s="193"/>
      <c r="E1495" s="484"/>
      <c r="F1495" s="28">
        <f>F1496+F1522</f>
        <v>36162.01</v>
      </c>
    </row>
    <row r="1496" customHeight="1" spans="1:6">
      <c r="A1496" s="484">
        <v>1</v>
      </c>
      <c r="B1496" s="193" t="s">
        <v>288</v>
      </c>
      <c r="C1496" s="485"/>
      <c r="D1496" s="193"/>
      <c r="E1496" s="484"/>
      <c r="F1496" s="28">
        <f>F1497+F1500+F1511+F1520+F1521</f>
        <v>34505.73</v>
      </c>
    </row>
    <row r="1497" customHeight="1" spans="1:6">
      <c r="A1497" s="491">
        <v>-1</v>
      </c>
      <c r="B1497" s="193" t="s">
        <v>247</v>
      </c>
      <c r="C1497" s="485" t="s">
        <v>290</v>
      </c>
      <c r="D1497" s="193"/>
      <c r="E1497" s="484"/>
      <c r="F1497" s="490">
        <f>F1498+F1499</f>
        <v>10790.86</v>
      </c>
    </row>
    <row r="1498" customHeight="1" spans="1:6">
      <c r="A1498" s="491"/>
      <c r="B1498" s="193" t="s">
        <v>289</v>
      </c>
      <c r="C1498" s="485" t="s">
        <v>290</v>
      </c>
      <c r="D1498" s="492">
        <v>951.1</v>
      </c>
      <c r="E1498" s="493">
        <v>8.1</v>
      </c>
      <c r="F1498" s="490">
        <f>D1498*E1498</f>
        <v>7703.91</v>
      </c>
    </row>
    <row r="1499" customHeight="1" spans="1:6">
      <c r="A1499" s="491"/>
      <c r="B1499" s="193" t="s">
        <v>291</v>
      </c>
      <c r="C1499" s="485" t="s">
        <v>290</v>
      </c>
      <c r="D1499" s="492">
        <v>535</v>
      </c>
      <c r="E1499" s="493">
        <v>5.77</v>
      </c>
      <c r="F1499" s="490">
        <f>D1499*E1499</f>
        <v>3086.95</v>
      </c>
    </row>
    <row r="1500" customHeight="1" spans="1:6">
      <c r="A1500" s="491">
        <v>-2</v>
      </c>
      <c r="B1500" s="193" t="s">
        <v>248</v>
      </c>
      <c r="C1500" s="485"/>
      <c r="D1500" s="193"/>
      <c r="E1500" s="484"/>
      <c r="F1500" s="490">
        <f>SUM(F1501:F1510)</f>
        <v>22088.05</v>
      </c>
    </row>
    <row r="1501" customHeight="1" spans="1:6">
      <c r="A1501" s="491"/>
      <c r="B1501" s="193" t="s">
        <v>696</v>
      </c>
      <c r="C1501" s="485" t="s">
        <v>154</v>
      </c>
      <c r="D1501" s="193">
        <v>0.4</v>
      </c>
      <c r="E1501" s="493">
        <f>主材!M7</f>
        <v>2143.4</v>
      </c>
      <c r="F1501" s="490">
        <f>D1501*E1501</f>
        <v>857.36</v>
      </c>
    </row>
    <row r="1502" customHeight="1" spans="1:6">
      <c r="A1502" s="491"/>
      <c r="B1502" s="193" t="s">
        <v>548</v>
      </c>
      <c r="C1502" s="502" t="s">
        <v>797</v>
      </c>
      <c r="D1502" s="193">
        <v>52.08</v>
      </c>
      <c r="E1502" s="493">
        <v>5</v>
      </c>
      <c r="F1502" s="490">
        <f t="shared" ref="F1502:F1508" si="54">D1502*E1502</f>
        <v>260.4</v>
      </c>
    </row>
    <row r="1503" customHeight="1" spans="1:6">
      <c r="A1503" s="491"/>
      <c r="B1503" s="193" t="s">
        <v>634</v>
      </c>
      <c r="C1503" s="502" t="s">
        <v>797</v>
      </c>
      <c r="D1503" s="193">
        <v>42.2</v>
      </c>
      <c r="E1503" s="505">
        <v>5.5</v>
      </c>
      <c r="F1503" s="490">
        <f t="shared" si="54"/>
        <v>232.1</v>
      </c>
    </row>
    <row r="1504" customHeight="1" spans="1:6">
      <c r="A1504" s="491"/>
      <c r="B1504" s="193" t="s">
        <v>718</v>
      </c>
      <c r="C1504" s="502" t="s">
        <v>797</v>
      </c>
      <c r="D1504" s="193">
        <v>22.32</v>
      </c>
      <c r="E1504" s="505">
        <v>5.5</v>
      </c>
      <c r="F1504" s="490">
        <f t="shared" si="54"/>
        <v>122.76</v>
      </c>
    </row>
    <row r="1505" customHeight="1" spans="1:6">
      <c r="A1505" s="491"/>
      <c r="B1505" s="193" t="s">
        <v>583</v>
      </c>
      <c r="C1505" s="502" t="s">
        <v>797</v>
      </c>
      <c r="D1505" s="193">
        <v>67.3</v>
      </c>
      <c r="E1505" s="493">
        <v>6.5</v>
      </c>
      <c r="F1505" s="490">
        <f t="shared" si="54"/>
        <v>437.45</v>
      </c>
    </row>
    <row r="1506" customHeight="1" spans="1:6">
      <c r="A1506" s="491"/>
      <c r="B1506" s="193" t="s">
        <v>552</v>
      </c>
      <c r="C1506" s="502" t="s">
        <v>797</v>
      </c>
      <c r="D1506" s="193">
        <v>1.5</v>
      </c>
      <c r="E1506" s="493">
        <v>6.15</v>
      </c>
      <c r="F1506" s="490">
        <f t="shared" si="54"/>
        <v>9.23</v>
      </c>
    </row>
    <row r="1507" customHeight="1" spans="1:6">
      <c r="A1507" s="491"/>
      <c r="B1507" s="193" t="s">
        <v>798</v>
      </c>
      <c r="C1507" s="485" t="s">
        <v>154</v>
      </c>
      <c r="D1507" s="193">
        <v>103</v>
      </c>
      <c r="E1507" s="484">
        <v>189.62</v>
      </c>
      <c r="F1507" s="490">
        <f t="shared" si="54"/>
        <v>19530.86</v>
      </c>
    </row>
    <row r="1508" customHeight="1" spans="1:6">
      <c r="A1508" s="491"/>
      <c r="B1508" s="193" t="s">
        <v>672</v>
      </c>
      <c r="C1508" s="485" t="s">
        <v>154</v>
      </c>
      <c r="D1508" s="193">
        <v>120</v>
      </c>
      <c r="E1508" s="493">
        <v>4.4</v>
      </c>
      <c r="F1508" s="490">
        <f t="shared" si="54"/>
        <v>528</v>
      </c>
    </row>
    <row r="1509" customHeight="1" spans="1:6">
      <c r="A1509" s="491"/>
      <c r="B1509" s="193"/>
      <c r="C1509" s="485"/>
      <c r="D1509" s="193"/>
      <c r="E1509" s="484"/>
      <c r="F1509" s="490"/>
    </row>
    <row r="1510" customHeight="1" spans="1:6">
      <c r="A1510" s="484"/>
      <c r="B1510" s="193" t="s">
        <v>397</v>
      </c>
      <c r="C1510" s="485"/>
      <c r="D1510" s="494">
        <v>0.005</v>
      </c>
      <c r="E1510" s="493">
        <f>SUM(F1501:F1509)</f>
        <v>21978.16</v>
      </c>
      <c r="F1510" s="490">
        <f>D1510*E1510</f>
        <v>109.89</v>
      </c>
    </row>
    <row r="1511" customHeight="1" spans="1:6">
      <c r="A1511" s="491">
        <v>-3</v>
      </c>
      <c r="B1511" s="193" t="s">
        <v>792</v>
      </c>
      <c r="C1511" s="485"/>
      <c r="D1511" s="193"/>
      <c r="E1511" s="484"/>
      <c r="F1511" s="490">
        <f>SUM(F1512:F1519)</f>
        <v>828.57</v>
      </c>
    </row>
    <row r="1512" customHeight="1" spans="1:6">
      <c r="A1512" s="504"/>
      <c r="B1512" s="193" t="s">
        <v>700</v>
      </c>
      <c r="C1512" s="485" t="s">
        <v>316</v>
      </c>
      <c r="D1512" s="490">
        <v>1.5</v>
      </c>
      <c r="E1512" s="505">
        <v>49.39</v>
      </c>
      <c r="F1512" s="490">
        <f>D1512*E1512</f>
        <v>74.09</v>
      </c>
    </row>
    <row r="1513" customHeight="1" spans="1:6">
      <c r="A1513" s="484"/>
      <c r="B1513" s="193" t="s">
        <v>799</v>
      </c>
      <c r="C1513" s="485" t="s">
        <v>316</v>
      </c>
      <c r="D1513" s="490">
        <v>0.35</v>
      </c>
      <c r="E1513" s="493">
        <v>62.33</v>
      </c>
      <c r="F1513" s="490">
        <f t="shared" ref="F1513:F1522" si="55">D1513*E1513</f>
        <v>21.82</v>
      </c>
    </row>
    <row r="1514" customHeight="1" spans="1:6">
      <c r="A1514" s="504"/>
      <c r="B1514" s="193" t="s">
        <v>800</v>
      </c>
      <c r="C1514" s="485" t="s">
        <v>316</v>
      </c>
      <c r="D1514" s="490">
        <v>3.35</v>
      </c>
      <c r="E1514" s="493">
        <v>9.65</v>
      </c>
      <c r="F1514" s="490">
        <f t="shared" si="55"/>
        <v>32.33</v>
      </c>
    </row>
    <row r="1515" customHeight="1" spans="1:6">
      <c r="A1515" s="504"/>
      <c r="B1515" s="193" t="s">
        <v>801</v>
      </c>
      <c r="C1515" s="485" t="s">
        <v>316</v>
      </c>
      <c r="D1515" s="490">
        <v>18.54</v>
      </c>
      <c r="E1515" s="493">
        <v>27.87</v>
      </c>
      <c r="F1515" s="490">
        <f t="shared" si="55"/>
        <v>516.71</v>
      </c>
    </row>
    <row r="1516" customHeight="1" spans="1:6">
      <c r="A1516" s="504"/>
      <c r="B1516" s="193" t="s">
        <v>699</v>
      </c>
      <c r="C1516" s="485" t="s">
        <v>316</v>
      </c>
      <c r="D1516" s="490">
        <v>40.05</v>
      </c>
      <c r="E1516" s="493">
        <v>1.9</v>
      </c>
      <c r="F1516" s="490">
        <f t="shared" si="55"/>
        <v>76.1</v>
      </c>
    </row>
    <row r="1517" customHeight="1" spans="1:6">
      <c r="A1517" s="504"/>
      <c r="B1517" s="193" t="s">
        <v>472</v>
      </c>
      <c r="C1517" s="485" t="s">
        <v>316</v>
      </c>
      <c r="D1517" s="490">
        <v>83</v>
      </c>
      <c r="E1517" s="493">
        <v>0.82</v>
      </c>
      <c r="F1517" s="490">
        <f t="shared" si="55"/>
        <v>68.06</v>
      </c>
    </row>
    <row r="1518" customHeight="1" spans="1:6">
      <c r="A1518" s="504"/>
      <c r="B1518" s="193"/>
      <c r="C1518" s="485"/>
      <c r="D1518" s="490"/>
      <c r="E1518" s="490"/>
      <c r="F1518" s="490">
        <f t="shared" si="55"/>
        <v>0</v>
      </c>
    </row>
    <row r="1519" customHeight="1" spans="1:6">
      <c r="A1519" s="484"/>
      <c r="B1519" s="506" t="s">
        <v>370</v>
      </c>
      <c r="C1519" s="485"/>
      <c r="D1519" s="503">
        <v>0.05</v>
      </c>
      <c r="E1519" s="490">
        <v>789.11</v>
      </c>
      <c r="F1519" s="490">
        <f t="shared" si="55"/>
        <v>39.46</v>
      </c>
    </row>
    <row r="1520" customHeight="1" spans="1:6">
      <c r="A1520" s="484"/>
      <c r="B1520" s="506" t="s">
        <v>558</v>
      </c>
      <c r="C1520" s="485" t="s">
        <v>154</v>
      </c>
      <c r="D1520" s="490">
        <v>103</v>
      </c>
      <c r="E1520" s="505">
        <f>F1476</f>
        <v>5.04</v>
      </c>
      <c r="F1520" s="490">
        <f t="shared" si="55"/>
        <v>519.12</v>
      </c>
    </row>
    <row r="1521" customHeight="1" spans="1:6">
      <c r="A1521" s="489"/>
      <c r="B1521" s="506" t="s">
        <v>559</v>
      </c>
      <c r="C1521" s="487" t="s">
        <v>154</v>
      </c>
      <c r="D1521" s="490">
        <v>103</v>
      </c>
      <c r="E1521" s="505">
        <f>F1477</f>
        <v>2.71</v>
      </c>
      <c r="F1521" s="490">
        <f t="shared" si="55"/>
        <v>279.13</v>
      </c>
    </row>
    <row r="1522" customHeight="1" spans="1:6">
      <c r="A1522" s="484">
        <v>2</v>
      </c>
      <c r="B1522" s="193" t="s">
        <v>794</v>
      </c>
      <c r="C1522" s="485"/>
      <c r="D1522" s="494">
        <v>0.048</v>
      </c>
      <c r="E1522" s="24">
        <f>F1496</f>
        <v>34505.73</v>
      </c>
      <c r="F1522" s="490">
        <f t="shared" si="55"/>
        <v>1656.28</v>
      </c>
    </row>
    <row r="1523" customHeight="1" spans="1:6">
      <c r="A1523" s="484"/>
      <c r="B1523" s="193"/>
      <c r="C1523" s="485"/>
      <c r="D1523" s="494"/>
      <c r="E1523" s="24"/>
      <c r="F1523" s="490"/>
    </row>
    <row r="1524" customHeight="1" spans="1:6">
      <c r="A1524" s="484" t="s">
        <v>14</v>
      </c>
      <c r="B1524" s="193" t="s">
        <v>295</v>
      </c>
      <c r="C1524" s="485"/>
      <c r="D1524" s="494">
        <v>0.07</v>
      </c>
      <c r="E1524" s="24">
        <f>F1495</f>
        <v>36162.01</v>
      </c>
      <c r="F1524" s="490">
        <f>D1524*E1524</f>
        <v>2531.34</v>
      </c>
    </row>
    <row r="1525" customHeight="1" spans="1:6">
      <c r="A1525" s="484" t="s">
        <v>16</v>
      </c>
      <c r="B1525" s="193" t="s">
        <v>732</v>
      </c>
      <c r="C1525" s="485"/>
      <c r="D1525" s="494">
        <v>0.07</v>
      </c>
      <c r="E1525" s="24">
        <f>E1524+F1524</f>
        <v>38693.35</v>
      </c>
      <c r="F1525" s="490">
        <f>D1525*E1525</f>
        <v>2708.53</v>
      </c>
    </row>
    <row r="1526" customHeight="1" spans="1:6">
      <c r="A1526" s="484" t="s">
        <v>18</v>
      </c>
      <c r="B1526" s="193" t="s">
        <v>795</v>
      </c>
      <c r="C1526" s="485"/>
      <c r="D1526" s="193"/>
      <c r="E1526" s="484"/>
      <c r="F1526" s="490">
        <f>SUM(F1527:F1530)</f>
        <v>5294.72</v>
      </c>
    </row>
    <row r="1527" customHeight="1" spans="1:6">
      <c r="A1527" s="484"/>
      <c r="B1527" s="193" t="s">
        <v>522</v>
      </c>
      <c r="C1527" s="502" t="s">
        <v>797</v>
      </c>
      <c r="D1527" s="193">
        <v>12.83</v>
      </c>
      <c r="E1527" s="24">
        <v>4.75</v>
      </c>
      <c r="F1527" s="490">
        <f>D1527*E1527</f>
        <v>60.94</v>
      </c>
    </row>
    <row r="1528" customHeight="1" spans="1:6">
      <c r="A1528" s="484"/>
      <c r="B1528" s="193" t="s">
        <v>405</v>
      </c>
      <c r="C1528" s="50" t="s">
        <v>158</v>
      </c>
      <c r="D1528" s="490">
        <v>31.93</v>
      </c>
      <c r="E1528" s="24">
        <v>72.88</v>
      </c>
      <c r="F1528" s="490">
        <f t="shared" ref="F1528:F1531" si="56">D1528*E1528</f>
        <v>2327.06</v>
      </c>
    </row>
    <row r="1529" customHeight="1" spans="1:6">
      <c r="A1529" s="484"/>
      <c r="B1529" s="193" t="s">
        <v>396</v>
      </c>
      <c r="C1529" s="50" t="s">
        <v>395</v>
      </c>
      <c r="D1529" s="490">
        <v>56.65</v>
      </c>
      <c r="E1529" s="24">
        <v>20.78</v>
      </c>
      <c r="F1529" s="490">
        <f t="shared" si="56"/>
        <v>1177.19</v>
      </c>
    </row>
    <row r="1530" customHeight="1" spans="1:6">
      <c r="A1530" s="484"/>
      <c r="B1530" s="193" t="s">
        <v>467</v>
      </c>
      <c r="C1530" s="50" t="s">
        <v>395</v>
      </c>
      <c r="D1530" s="490">
        <v>86.52</v>
      </c>
      <c r="E1530" s="24">
        <v>19.99</v>
      </c>
      <c r="F1530" s="490">
        <f t="shared" si="56"/>
        <v>1729.53</v>
      </c>
    </row>
    <row r="1531" customHeight="1" spans="1:6">
      <c r="A1531" s="484" t="s">
        <v>20</v>
      </c>
      <c r="B1531" s="193" t="s">
        <v>297</v>
      </c>
      <c r="C1531" s="495"/>
      <c r="D1531" s="496">
        <v>0.09</v>
      </c>
      <c r="E1531" s="24">
        <f>F1526+F1525+F1524+F1495</f>
        <v>46696.6</v>
      </c>
      <c r="F1531" s="490">
        <f t="shared" si="56"/>
        <v>4202.69</v>
      </c>
    </row>
    <row r="1532" customHeight="1" spans="1:6">
      <c r="A1532" s="484"/>
      <c r="B1532" s="193" t="s">
        <v>121</v>
      </c>
      <c r="C1532" s="495"/>
      <c r="D1532" s="193"/>
      <c r="E1532" s="484"/>
      <c r="F1532" s="490">
        <f>E1531+F1531</f>
        <v>50899.29</v>
      </c>
    </row>
    <row r="1533" customHeight="1" spans="1:6">
      <c r="A1533" s="361" t="s">
        <v>298</v>
      </c>
      <c r="B1533" s="361"/>
      <c r="C1533" s="50"/>
      <c r="D1533" s="360">
        <f>F1532</f>
        <v>50899.29</v>
      </c>
      <c r="E1533" s="366">
        <v>0.03</v>
      </c>
      <c r="F1533" s="362">
        <f>D1533*E1533</f>
        <v>1526.98</v>
      </c>
    </row>
    <row r="1534" customHeight="1" spans="1:6">
      <c r="A1534" s="370" t="s">
        <v>560</v>
      </c>
      <c r="B1534" s="370"/>
      <c r="C1534" s="370"/>
      <c r="D1534" s="371"/>
      <c r="E1534" s="370"/>
      <c r="F1534" s="372">
        <f>D1533+F1533</f>
        <v>52426.27</v>
      </c>
    </row>
    <row r="1536" customHeight="1" spans="1:7">
      <c r="A1536" s="354" t="s">
        <v>274</v>
      </c>
      <c r="B1536" s="354"/>
      <c r="C1536" s="354"/>
      <c r="D1536" s="354"/>
      <c r="E1536" s="354"/>
      <c r="F1536" s="354"/>
      <c r="G1536" s="354"/>
    </row>
    <row r="1537" customHeight="1" spans="1:7">
      <c r="A1537" s="42" t="s">
        <v>275</v>
      </c>
      <c r="B1537" s="43"/>
      <c r="C1537" s="43" t="s">
        <v>641</v>
      </c>
      <c r="D1537" s="43" t="s">
        <v>276</v>
      </c>
      <c r="E1537" s="355" t="s">
        <v>806</v>
      </c>
      <c r="F1537" s="355"/>
      <c r="G1537" s="356"/>
    </row>
    <row r="1538" customHeight="1" spans="1:7">
      <c r="A1538" s="47" t="s">
        <v>278</v>
      </c>
      <c r="B1538" s="48"/>
      <c r="C1538" s="49" t="s">
        <v>807</v>
      </c>
      <c r="D1538" s="49"/>
      <c r="E1538" s="49"/>
      <c r="F1538" s="50" t="s">
        <v>280</v>
      </c>
      <c r="G1538" s="51" t="s">
        <v>644</v>
      </c>
    </row>
    <row r="1539" customHeight="1" spans="1:7">
      <c r="A1539" s="358" t="s">
        <v>645</v>
      </c>
      <c r="B1539" s="49"/>
      <c r="C1539" s="49"/>
      <c r="D1539" s="49"/>
      <c r="E1539" s="49"/>
      <c r="F1539" s="49"/>
      <c r="G1539" s="359"/>
    </row>
    <row r="1540" customHeight="1" spans="1:7">
      <c r="A1540" s="52" t="s">
        <v>646</v>
      </c>
      <c r="B1540" s="53"/>
      <c r="C1540" s="54"/>
      <c r="D1540" s="54"/>
      <c r="E1540" s="54"/>
      <c r="F1540" s="54"/>
      <c r="G1540" s="55"/>
    </row>
    <row r="1541" customHeight="1" spans="1:7">
      <c r="A1541" s="47" t="s">
        <v>284</v>
      </c>
      <c r="B1541" s="50" t="s">
        <v>233</v>
      </c>
      <c r="C1541" s="50"/>
      <c r="D1541" s="50" t="s">
        <v>88</v>
      </c>
      <c r="E1541" s="360" t="s">
        <v>130</v>
      </c>
      <c r="F1541" s="50" t="s">
        <v>285</v>
      </c>
      <c r="G1541" s="51" t="s">
        <v>286</v>
      </c>
    </row>
    <row r="1542" customHeight="1" spans="1:7">
      <c r="A1542" s="47" t="s">
        <v>9</v>
      </c>
      <c r="B1542" s="361" t="s">
        <v>287</v>
      </c>
      <c r="C1542" s="361"/>
      <c r="D1542" s="50"/>
      <c r="E1542" s="360"/>
      <c r="F1542" s="360"/>
      <c r="G1542" s="362">
        <f>G1543+G1555</f>
        <v>30612.48</v>
      </c>
    </row>
    <row r="1543" customHeight="1" spans="1:7">
      <c r="A1543" s="47" t="s">
        <v>132</v>
      </c>
      <c r="B1543" s="361" t="s">
        <v>288</v>
      </c>
      <c r="C1543" s="361"/>
      <c r="D1543" s="50"/>
      <c r="E1543" s="360"/>
      <c r="F1543" s="360"/>
      <c r="G1543" s="362">
        <f>G1544+G1547+G1551</f>
        <v>29210.38</v>
      </c>
    </row>
    <row r="1544" customHeight="1" spans="1:7">
      <c r="A1544" s="47" t="s">
        <v>39</v>
      </c>
      <c r="B1544" s="361" t="s">
        <v>247</v>
      </c>
      <c r="C1544" s="361"/>
      <c r="D1544" s="50"/>
      <c r="E1544" s="360"/>
      <c r="F1544" s="360"/>
      <c r="G1544" s="362">
        <f>SUM(G1545:G1546)</f>
        <v>8073.58</v>
      </c>
    </row>
    <row r="1545" customHeight="1" spans="1:7">
      <c r="A1545" s="47"/>
      <c r="B1545" s="361" t="s">
        <v>289</v>
      </c>
      <c r="C1545" s="361"/>
      <c r="D1545" s="50" t="s">
        <v>290</v>
      </c>
      <c r="E1545" s="363">
        <f>636-31*5</f>
        <v>481</v>
      </c>
      <c r="F1545" s="360">
        <f>人工!D4</f>
        <v>8.1</v>
      </c>
      <c r="G1545" s="362">
        <f>E1545*F1545</f>
        <v>3896.1</v>
      </c>
    </row>
    <row r="1546" customHeight="1" spans="1:7">
      <c r="A1546" s="47"/>
      <c r="B1546" s="361" t="s">
        <v>291</v>
      </c>
      <c r="C1546" s="361"/>
      <c r="D1546" s="50" t="s">
        <v>290</v>
      </c>
      <c r="E1546" s="363">
        <f>954-46*5</f>
        <v>724</v>
      </c>
      <c r="F1546" s="360">
        <f>人工!D5</f>
        <v>5.77</v>
      </c>
      <c r="G1546" s="362">
        <f>E1546*F1546</f>
        <v>4177.48</v>
      </c>
    </row>
    <row r="1547" customHeight="1" spans="1:7">
      <c r="A1547" s="47" t="s">
        <v>41</v>
      </c>
      <c r="B1547" s="361" t="s">
        <v>248</v>
      </c>
      <c r="C1547" s="361"/>
      <c r="D1547" s="50"/>
      <c r="E1547" s="360"/>
      <c r="F1547" s="360"/>
      <c r="G1547" s="362">
        <f>SUM(G1548:G1550)</f>
        <v>19471.34</v>
      </c>
    </row>
    <row r="1548" customHeight="1" spans="1:7">
      <c r="A1548" s="47"/>
      <c r="B1548" s="361" t="s">
        <v>696</v>
      </c>
      <c r="C1548" s="361"/>
      <c r="D1548" s="50" t="s">
        <v>395</v>
      </c>
      <c r="E1548" s="360">
        <f>0.23-0.01*5</f>
        <v>0.18</v>
      </c>
      <c r="F1548" s="360">
        <f>主材!M7</f>
        <v>2143.4</v>
      </c>
      <c r="G1548" s="362">
        <f>E1548*F1548</f>
        <v>385.81</v>
      </c>
    </row>
    <row r="1549" customHeight="1" spans="1:7">
      <c r="A1549" s="47"/>
      <c r="B1549" s="361" t="s">
        <v>698</v>
      </c>
      <c r="C1549" s="361"/>
      <c r="D1549" s="50" t="s">
        <v>395</v>
      </c>
      <c r="E1549" s="360">
        <f>153-10.2*5</f>
        <v>102</v>
      </c>
      <c r="F1549" s="360">
        <f>混凝土单价!M8</f>
        <v>183.37</v>
      </c>
      <c r="G1549" s="362">
        <f>E1549*F1549</f>
        <v>18703.74</v>
      </c>
    </row>
    <row r="1550" customHeight="1" spans="1:7">
      <c r="A1550" s="47"/>
      <c r="B1550" s="361" t="s">
        <v>397</v>
      </c>
      <c r="C1550" s="361"/>
      <c r="D1550" s="50" t="s">
        <v>293</v>
      </c>
      <c r="E1550" s="363">
        <v>2</v>
      </c>
      <c r="F1550" s="360">
        <f>SUM(G1548:G1549)</f>
        <v>19089.55</v>
      </c>
      <c r="G1550" s="362">
        <f>E1550*F1550/100</f>
        <v>381.79</v>
      </c>
    </row>
    <row r="1551" customHeight="1" spans="1:7">
      <c r="A1551" s="47" t="s">
        <v>46</v>
      </c>
      <c r="B1551" s="361" t="s">
        <v>314</v>
      </c>
      <c r="C1551" s="361"/>
      <c r="D1551" s="50"/>
      <c r="E1551" s="360"/>
      <c r="F1551" s="360"/>
      <c r="G1551" s="362">
        <f>SUM(G1552:G1554)</f>
        <v>1665.46</v>
      </c>
    </row>
    <row r="1552" customHeight="1" spans="1:7">
      <c r="A1552" s="47"/>
      <c r="B1552" s="361" t="s">
        <v>808</v>
      </c>
      <c r="C1552" s="361"/>
      <c r="D1552" s="50" t="s">
        <v>316</v>
      </c>
      <c r="E1552" s="360">
        <f>24-1.6*5</f>
        <v>16</v>
      </c>
      <c r="F1552" s="360">
        <f>机械!E16</f>
        <v>23.75</v>
      </c>
      <c r="G1552" s="362">
        <f>E1552*F1552</f>
        <v>380</v>
      </c>
    </row>
    <row r="1553" customHeight="1" spans="1:7">
      <c r="A1553" s="47"/>
      <c r="B1553" s="379" t="s">
        <v>809</v>
      </c>
      <c r="C1553" s="380"/>
      <c r="D1553" s="50" t="s">
        <v>316</v>
      </c>
      <c r="E1553" s="360">
        <f>25-1.7*5</f>
        <v>16.5</v>
      </c>
      <c r="F1553" s="360">
        <f>机械!E26</f>
        <v>73.1</v>
      </c>
      <c r="G1553" s="362">
        <f>E1553*F1553</f>
        <v>1206.15</v>
      </c>
    </row>
    <row r="1554" customHeight="1" spans="1:7">
      <c r="A1554" s="47"/>
      <c r="B1554" s="361" t="s">
        <v>370</v>
      </c>
      <c r="C1554" s="361"/>
      <c r="D1554" s="50" t="s">
        <v>293</v>
      </c>
      <c r="E1554" s="364">
        <v>5</v>
      </c>
      <c r="F1554" s="360">
        <f>SUM(G1552:G1553)</f>
        <v>1586.15</v>
      </c>
      <c r="G1554" s="362">
        <f>E1554*F1554/100</f>
        <v>79.31</v>
      </c>
    </row>
    <row r="1555" customHeight="1" spans="1:7">
      <c r="A1555" s="47" t="s">
        <v>133</v>
      </c>
      <c r="B1555" s="361" t="s">
        <v>294</v>
      </c>
      <c r="C1555" s="361"/>
      <c r="D1555" s="50"/>
      <c r="E1555" s="365">
        <f>G1543</f>
        <v>29210.38</v>
      </c>
      <c r="F1555" s="366">
        <f>费率!J4</f>
        <v>0.048</v>
      </c>
      <c r="G1555" s="362">
        <f>E1555*F1555</f>
        <v>1402.1</v>
      </c>
    </row>
    <row r="1556" customHeight="1" spans="1:7">
      <c r="A1556" s="47" t="s">
        <v>14</v>
      </c>
      <c r="B1556" s="361" t="s">
        <v>295</v>
      </c>
      <c r="C1556" s="361"/>
      <c r="D1556" s="50"/>
      <c r="E1556" s="360">
        <f>G1544</f>
        <v>8073.58</v>
      </c>
      <c r="F1556" s="366">
        <f>费率!J5</f>
        <v>0.0725</v>
      </c>
      <c r="G1556" s="362">
        <f>E1556*F1556</f>
        <v>585.33</v>
      </c>
    </row>
    <row r="1557" customHeight="1" spans="1:7">
      <c r="A1557" s="47" t="s">
        <v>16</v>
      </c>
      <c r="B1557" s="361" t="s">
        <v>296</v>
      </c>
      <c r="C1557" s="361"/>
      <c r="D1557" s="50"/>
      <c r="E1557" s="360">
        <f>G1542+G1556</f>
        <v>31197.81</v>
      </c>
      <c r="F1557" s="366">
        <f>费率!J6</f>
        <v>0.07</v>
      </c>
      <c r="G1557" s="362">
        <f>E1557*F1557</f>
        <v>2183.85</v>
      </c>
    </row>
    <row r="1558" customHeight="1" spans="1:7">
      <c r="A1558" s="47" t="s">
        <v>18</v>
      </c>
      <c r="B1558" s="361" t="s">
        <v>254</v>
      </c>
      <c r="C1558" s="361"/>
      <c r="D1558" s="50"/>
      <c r="E1558" s="360"/>
      <c r="F1558" s="366"/>
      <c r="G1558" s="362">
        <f>SUM(G1559:G1562)</f>
        <v>8052.6</v>
      </c>
    </row>
    <row r="1559" customHeight="1" spans="1:7">
      <c r="A1559" s="47"/>
      <c r="B1559" s="379" t="s">
        <v>405</v>
      </c>
      <c r="C1559" s="380"/>
      <c r="D1559" s="50" t="s">
        <v>395</v>
      </c>
      <c r="E1559" s="360">
        <f>E1549*混凝土单价!E8</f>
        <v>34.68</v>
      </c>
      <c r="F1559" s="510">
        <f>主材!N6</f>
        <v>135.66</v>
      </c>
      <c r="G1559" s="362">
        <f>E1559*F1559</f>
        <v>4704.69</v>
      </c>
    </row>
    <row r="1560" customHeight="1" spans="1:7">
      <c r="A1560" s="47"/>
      <c r="B1560" s="361" t="s">
        <v>396</v>
      </c>
      <c r="C1560" s="361"/>
      <c r="D1560" s="50" t="s">
        <v>395</v>
      </c>
      <c r="E1560" s="360">
        <f>E1549*混凝土单价!G8</f>
        <v>54.06</v>
      </c>
      <c r="F1560" s="510">
        <f>主材!N8</f>
        <v>37.93</v>
      </c>
      <c r="G1560" s="362">
        <f t="shared" ref="G1560:G1564" si="57">E1560*F1560</f>
        <v>2050.5</v>
      </c>
    </row>
    <row r="1561" customHeight="1" spans="1:7">
      <c r="A1561" s="47"/>
      <c r="B1561" s="361" t="s">
        <v>394</v>
      </c>
      <c r="C1561" s="361"/>
      <c r="D1561" s="50" t="s">
        <v>395</v>
      </c>
      <c r="E1561" s="360">
        <f>E1549*混凝土单价!I8</f>
        <v>85.68</v>
      </c>
      <c r="F1561" s="511">
        <f>主材!N10</f>
        <v>7.03</v>
      </c>
      <c r="G1561" s="362">
        <f t="shared" si="57"/>
        <v>602.33</v>
      </c>
    </row>
    <row r="1562" customHeight="1" spans="1:7">
      <c r="A1562" s="47"/>
      <c r="B1562" s="379" t="s">
        <v>317</v>
      </c>
      <c r="C1562" s="380"/>
      <c r="D1562" s="50" t="s">
        <v>323</v>
      </c>
      <c r="E1562" s="360">
        <f>E1553*机械!L26</f>
        <v>168.3</v>
      </c>
      <c r="F1562" s="511">
        <f>主材!N13</f>
        <v>4.13</v>
      </c>
      <c r="G1562" s="362">
        <f t="shared" si="57"/>
        <v>695.08</v>
      </c>
    </row>
    <row r="1563" customHeight="1" spans="1:7">
      <c r="A1563" s="47" t="s">
        <v>20</v>
      </c>
      <c r="B1563" s="361" t="s">
        <v>297</v>
      </c>
      <c r="C1563" s="361"/>
      <c r="D1563" s="50"/>
      <c r="E1563" s="360">
        <f>G1542+G1556++G1557+G1558</f>
        <v>41434.26</v>
      </c>
      <c r="F1563" s="366">
        <f>费率!J7</f>
        <v>0.09</v>
      </c>
      <c r="G1563" s="362">
        <f t="shared" si="57"/>
        <v>3729.08</v>
      </c>
    </row>
    <row r="1564" customHeight="1" spans="1:7">
      <c r="A1564" s="47"/>
      <c r="B1564" s="361" t="s">
        <v>298</v>
      </c>
      <c r="C1564" s="361"/>
      <c r="D1564" s="50"/>
      <c r="E1564" s="360">
        <f>G1542+G1556+G1557+G1558+G1563</f>
        <v>45163.34</v>
      </c>
      <c r="F1564" s="366">
        <f>费率!J8</f>
        <v>0.03</v>
      </c>
      <c r="G1564" s="362">
        <f t="shared" si="57"/>
        <v>1354.9</v>
      </c>
    </row>
    <row r="1565" customHeight="1" spans="1:7">
      <c r="A1565" s="369"/>
      <c r="B1565" s="370" t="s">
        <v>560</v>
      </c>
      <c r="C1565" s="370"/>
      <c r="D1565" s="370"/>
      <c r="E1565" s="371"/>
      <c r="F1565" s="370"/>
      <c r="G1565" s="372">
        <f>G1542+G1556+G1557+G1558+G1563+G1564</f>
        <v>46518.24</v>
      </c>
    </row>
    <row r="1567" customHeight="1" spans="1:7">
      <c r="A1567" s="354" t="s">
        <v>274</v>
      </c>
      <c r="B1567" s="354"/>
      <c r="C1567" s="354"/>
      <c r="D1567" s="354"/>
      <c r="E1567" s="354"/>
      <c r="F1567" s="354"/>
      <c r="G1567" s="354"/>
    </row>
    <row r="1568" customHeight="1" spans="1:7">
      <c r="A1568" s="42" t="s">
        <v>275</v>
      </c>
      <c r="B1568" s="43"/>
      <c r="C1568" s="43" t="s">
        <v>641</v>
      </c>
      <c r="D1568" s="43" t="s">
        <v>276</v>
      </c>
      <c r="E1568" s="355" t="s">
        <v>810</v>
      </c>
      <c r="F1568" s="355"/>
      <c r="G1568" s="356"/>
    </row>
    <row r="1569" customHeight="1" spans="1:7">
      <c r="A1569" s="47" t="s">
        <v>278</v>
      </c>
      <c r="B1569" s="48"/>
      <c r="C1569" s="49" t="s">
        <v>811</v>
      </c>
      <c r="D1569" s="49"/>
      <c r="E1569" s="49"/>
      <c r="F1569" s="50" t="s">
        <v>280</v>
      </c>
      <c r="G1569" s="51" t="s">
        <v>644</v>
      </c>
    </row>
    <row r="1570" customHeight="1" spans="1:7">
      <c r="A1570" s="358" t="s">
        <v>645</v>
      </c>
      <c r="B1570" s="49"/>
      <c r="C1570" s="49"/>
      <c r="D1570" s="49"/>
      <c r="E1570" s="49"/>
      <c r="F1570" s="49"/>
      <c r="G1570" s="359"/>
    </row>
    <row r="1571" customHeight="1" spans="1:7">
      <c r="A1571" s="52" t="s">
        <v>646</v>
      </c>
      <c r="B1571" s="53"/>
      <c r="C1571" s="54"/>
      <c r="D1571" s="54"/>
      <c r="E1571" s="54"/>
      <c r="F1571" s="54"/>
      <c r="G1571" s="55"/>
    </row>
    <row r="1572" customHeight="1" spans="1:7">
      <c r="A1572" s="47" t="s">
        <v>284</v>
      </c>
      <c r="B1572" s="50" t="s">
        <v>233</v>
      </c>
      <c r="C1572" s="50"/>
      <c r="D1572" s="50" t="s">
        <v>88</v>
      </c>
      <c r="E1572" s="360" t="s">
        <v>130</v>
      </c>
      <c r="F1572" s="50" t="s">
        <v>285</v>
      </c>
      <c r="G1572" s="51" t="s">
        <v>286</v>
      </c>
    </row>
    <row r="1573" customHeight="1" spans="1:7">
      <c r="A1573" s="47" t="s">
        <v>9</v>
      </c>
      <c r="B1573" s="361" t="s">
        <v>287</v>
      </c>
      <c r="C1573" s="361"/>
      <c r="D1573" s="50"/>
      <c r="E1573" s="360"/>
      <c r="F1573" s="360"/>
      <c r="G1573" s="362">
        <f>G1574+G1584</f>
        <v>18875.95</v>
      </c>
    </row>
    <row r="1574" customHeight="1" spans="1:7">
      <c r="A1574" s="47" t="s">
        <v>132</v>
      </c>
      <c r="B1574" s="361" t="s">
        <v>288</v>
      </c>
      <c r="C1574" s="361"/>
      <c r="D1574" s="50"/>
      <c r="E1574" s="360"/>
      <c r="F1574" s="360"/>
      <c r="G1574" s="362">
        <f>G1575+G1578+G1581</f>
        <v>18011.4</v>
      </c>
    </row>
    <row r="1575" customHeight="1" spans="1:7">
      <c r="A1575" s="47" t="s">
        <v>39</v>
      </c>
      <c r="B1575" s="361" t="s">
        <v>247</v>
      </c>
      <c r="C1575" s="361"/>
      <c r="D1575" s="50"/>
      <c r="E1575" s="360"/>
      <c r="F1575" s="360"/>
      <c r="G1575" s="362">
        <f>SUM(G1576:G1577)</f>
        <v>3356.77</v>
      </c>
    </row>
    <row r="1576" customHeight="1" spans="1:7">
      <c r="A1576" s="47"/>
      <c r="B1576" s="361" t="s">
        <v>289</v>
      </c>
      <c r="C1576" s="361"/>
      <c r="D1576" s="50" t="s">
        <v>290</v>
      </c>
      <c r="E1576" s="363">
        <f>133+13.4*(15-10)</f>
        <v>200</v>
      </c>
      <c r="F1576" s="360">
        <f>F1545</f>
        <v>8.1</v>
      </c>
      <c r="G1576" s="362">
        <f>E1576*F1576</f>
        <v>1620</v>
      </c>
    </row>
    <row r="1577" customHeight="1" spans="1:7">
      <c r="A1577" s="47"/>
      <c r="B1577" s="361" t="s">
        <v>291</v>
      </c>
      <c r="C1577" s="361"/>
      <c r="D1577" s="50" t="s">
        <v>290</v>
      </c>
      <c r="E1577" s="363">
        <f>200+20.2*(15-10)</f>
        <v>301</v>
      </c>
      <c r="F1577" s="360">
        <f>F1546</f>
        <v>5.77</v>
      </c>
      <c r="G1577" s="362">
        <f>E1577*F1577</f>
        <v>1736.77</v>
      </c>
    </row>
    <row r="1578" customHeight="1" spans="1:7">
      <c r="A1578" s="47" t="s">
        <v>41</v>
      </c>
      <c r="B1578" s="361" t="s">
        <v>248</v>
      </c>
      <c r="C1578" s="361"/>
      <c r="D1578" s="50"/>
      <c r="E1578" s="360"/>
      <c r="F1578" s="360"/>
      <c r="G1578" s="362">
        <f>SUM(G1579:G1580)</f>
        <v>14166.97</v>
      </c>
    </row>
    <row r="1579" customHeight="1" spans="1:7">
      <c r="A1579" s="47"/>
      <c r="B1579" s="361" t="s">
        <v>521</v>
      </c>
      <c r="C1579" s="361"/>
      <c r="D1579" s="50" t="s">
        <v>395</v>
      </c>
      <c r="E1579" s="360">
        <f>122+12.2*(15-10)</f>
        <v>183</v>
      </c>
      <c r="F1579" s="360">
        <f>主材!D14</f>
        <v>77.03</v>
      </c>
      <c r="G1579" s="362">
        <f>E1579*F1579</f>
        <v>14096.49</v>
      </c>
    </row>
    <row r="1580" customHeight="1" spans="1:7">
      <c r="A1580" s="47"/>
      <c r="B1580" s="361" t="s">
        <v>397</v>
      </c>
      <c r="C1580" s="361"/>
      <c r="D1580" s="50" t="s">
        <v>293</v>
      </c>
      <c r="E1580" s="363">
        <v>0.5</v>
      </c>
      <c r="F1580" s="360">
        <f>SUM(G1579:G1579)</f>
        <v>14096.49</v>
      </c>
      <c r="G1580" s="362">
        <f>E1580*F1580/100</f>
        <v>70.48</v>
      </c>
    </row>
    <row r="1581" customHeight="1" spans="1:7">
      <c r="A1581" s="47" t="s">
        <v>46</v>
      </c>
      <c r="B1581" s="361" t="s">
        <v>314</v>
      </c>
      <c r="C1581" s="361"/>
      <c r="D1581" s="50"/>
      <c r="E1581" s="360"/>
      <c r="F1581" s="360"/>
      <c r="G1581" s="362">
        <f>SUM(G1582:G1583)</f>
        <v>487.66</v>
      </c>
    </row>
    <row r="1582" customHeight="1" spans="1:7">
      <c r="A1582" s="47"/>
      <c r="B1582" s="361" t="s">
        <v>812</v>
      </c>
      <c r="C1582" s="361"/>
      <c r="D1582" s="50" t="s">
        <v>316</v>
      </c>
      <c r="E1582" s="360">
        <v>7.6</v>
      </c>
      <c r="F1582" s="360">
        <f>机械!E12</f>
        <v>63.53</v>
      </c>
      <c r="G1582" s="362">
        <f>E1582*F1582</f>
        <v>482.83</v>
      </c>
    </row>
    <row r="1583" customHeight="1" spans="1:7">
      <c r="A1583" s="47"/>
      <c r="B1583" s="361" t="s">
        <v>370</v>
      </c>
      <c r="C1583" s="361"/>
      <c r="D1583" s="50" t="s">
        <v>293</v>
      </c>
      <c r="E1583" s="364">
        <v>1</v>
      </c>
      <c r="F1583" s="360">
        <f>SUM(G1582:G1582)</f>
        <v>482.83</v>
      </c>
      <c r="G1583" s="362">
        <f>E1583*F1583/100</f>
        <v>4.83</v>
      </c>
    </row>
    <row r="1584" customHeight="1" spans="1:7">
      <c r="A1584" s="47" t="s">
        <v>133</v>
      </c>
      <c r="B1584" s="361" t="s">
        <v>294</v>
      </c>
      <c r="C1584" s="361"/>
      <c r="D1584" s="50"/>
      <c r="E1584" s="365">
        <f>G1574</f>
        <v>18011.4</v>
      </c>
      <c r="F1584" s="366">
        <f>费率!J4</f>
        <v>0.048</v>
      </c>
      <c r="G1584" s="362">
        <f>E1584*F1584</f>
        <v>864.55</v>
      </c>
    </row>
    <row r="1585" customHeight="1" spans="1:7">
      <c r="A1585" s="47" t="s">
        <v>14</v>
      </c>
      <c r="B1585" s="361" t="s">
        <v>295</v>
      </c>
      <c r="C1585" s="361"/>
      <c r="D1585" s="50"/>
      <c r="E1585" s="360">
        <f>G1575</f>
        <v>3356.77</v>
      </c>
      <c r="F1585" s="366">
        <f>费率!J5</f>
        <v>0.0725</v>
      </c>
      <c r="G1585" s="362">
        <f>E1585*F1585</f>
        <v>243.37</v>
      </c>
    </row>
    <row r="1586" customHeight="1" spans="1:7">
      <c r="A1586" s="47" t="s">
        <v>16</v>
      </c>
      <c r="B1586" s="361" t="s">
        <v>296</v>
      </c>
      <c r="C1586" s="361"/>
      <c r="D1586" s="50"/>
      <c r="E1586" s="360">
        <f>G1573+G1585</f>
        <v>19119.32</v>
      </c>
      <c r="F1586" s="366">
        <f>费率!J6</f>
        <v>0.07</v>
      </c>
      <c r="G1586" s="362">
        <f>E1586*F1586</f>
        <v>1338.35</v>
      </c>
    </row>
    <row r="1587" customHeight="1" spans="1:7">
      <c r="A1587" s="47" t="s">
        <v>18</v>
      </c>
      <c r="B1587" s="361" t="s">
        <v>254</v>
      </c>
      <c r="C1587" s="361"/>
      <c r="D1587" s="50"/>
      <c r="E1587" s="360"/>
      <c r="F1587" s="366"/>
      <c r="G1587" s="362">
        <f>SUM(G1588:G1589)</f>
        <v>204.02</v>
      </c>
    </row>
    <row r="1588" customHeight="1" spans="1:7">
      <c r="A1588" s="47"/>
      <c r="B1588" s="361" t="s">
        <v>394</v>
      </c>
      <c r="C1588" s="361"/>
      <c r="D1588" s="50" t="s">
        <v>395</v>
      </c>
      <c r="E1588" s="360">
        <f>E1579</f>
        <v>183</v>
      </c>
      <c r="F1588" s="510"/>
      <c r="G1588" s="362">
        <f t="shared" ref="G1588:G1591" si="58">E1588*F1588</f>
        <v>0</v>
      </c>
    </row>
    <row r="1589" customHeight="1" spans="1:7">
      <c r="A1589" s="47"/>
      <c r="B1589" s="379" t="s">
        <v>317</v>
      </c>
      <c r="C1589" s="380"/>
      <c r="D1589" s="50" t="s">
        <v>323</v>
      </c>
      <c r="E1589" s="360">
        <f>E1582*机械!L12</f>
        <v>49.4</v>
      </c>
      <c r="F1589" s="511">
        <f>主材!N13</f>
        <v>4.13</v>
      </c>
      <c r="G1589" s="362">
        <f t="shared" si="58"/>
        <v>204.02</v>
      </c>
    </row>
    <row r="1590" customHeight="1" spans="1:7">
      <c r="A1590" s="47" t="s">
        <v>20</v>
      </c>
      <c r="B1590" s="361" t="s">
        <v>297</v>
      </c>
      <c r="C1590" s="361"/>
      <c r="D1590" s="50"/>
      <c r="E1590" s="360">
        <f>G1573+G1585++G1586+G1587</f>
        <v>20661.69</v>
      </c>
      <c r="F1590" s="366">
        <f>费率!J7</f>
        <v>0.09</v>
      </c>
      <c r="G1590" s="362">
        <f t="shared" si="58"/>
        <v>1859.55</v>
      </c>
    </row>
    <row r="1591" customHeight="1" spans="1:7">
      <c r="A1591" s="47"/>
      <c r="B1591" s="361" t="s">
        <v>298</v>
      </c>
      <c r="C1591" s="361"/>
      <c r="D1591" s="50"/>
      <c r="E1591" s="360">
        <f>G1573+G1585+G1586+G1587+G1590</f>
        <v>22521.24</v>
      </c>
      <c r="F1591" s="366">
        <f>费率!J8</f>
        <v>0.03</v>
      </c>
      <c r="G1591" s="362">
        <f t="shared" si="58"/>
        <v>675.64</v>
      </c>
    </row>
    <row r="1592" customHeight="1" spans="1:7">
      <c r="A1592" s="369"/>
      <c r="B1592" s="370" t="s">
        <v>560</v>
      </c>
      <c r="C1592" s="370"/>
      <c r="D1592" s="370"/>
      <c r="E1592" s="371"/>
      <c r="F1592" s="370"/>
      <c r="G1592" s="372">
        <f>G1573+G1585+G1586+G1587+G1590+G1591</f>
        <v>23196.88</v>
      </c>
    </row>
    <row r="1594" customHeight="1" spans="1:7">
      <c r="A1594" s="41" t="s">
        <v>274</v>
      </c>
      <c r="B1594" s="41"/>
      <c r="C1594" s="41"/>
      <c r="D1594" s="41"/>
      <c r="E1594" s="41"/>
      <c r="F1594" s="41"/>
      <c r="G1594" s="41"/>
    </row>
    <row r="1595" customHeight="1" spans="1:7">
      <c r="A1595" s="42" t="s">
        <v>275</v>
      </c>
      <c r="B1595" s="43"/>
      <c r="C1595" s="43" t="s">
        <v>768</v>
      </c>
      <c r="D1595" s="43" t="s">
        <v>276</v>
      </c>
      <c r="E1595" s="355" t="s">
        <v>813</v>
      </c>
      <c r="F1595" s="355"/>
      <c r="G1595" s="356"/>
    </row>
    <row r="1596" customHeight="1" spans="1:7">
      <c r="A1596" s="47" t="s">
        <v>278</v>
      </c>
      <c r="B1596" s="48"/>
      <c r="C1596" s="49" t="s">
        <v>770</v>
      </c>
      <c r="D1596" s="49"/>
      <c r="E1596" s="49"/>
      <c r="F1596" s="50" t="s">
        <v>280</v>
      </c>
      <c r="G1596" s="51" t="s">
        <v>814</v>
      </c>
    </row>
    <row r="1597" customHeight="1" spans="1:7">
      <c r="A1597" s="52" t="s">
        <v>546</v>
      </c>
      <c r="B1597" s="53"/>
      <c r="C1597" s="54"/>
      <c r="D1597" s="54"/>
      <c r="E1597" s="54"/>
      <c r="F1597" s="54"/>
      <c r="G1597" s="55"/>
    </row>
    <row r="1598" customHeight="1" spans="1:7">
      <c r="A1598" s="457" t="s">
        <v>284</v>
      </c>
      <c r="B1598" s="65" t="s">
        <v>458</v>
      </c>
      <c r="C1598" s="65"/>
      <c r="D1598" s="65" t="s">
        <v>88</v>
      </c>
      <c r="E1598" s="65" t="s">
        <v>130</v>
      </c>
      <c r="F1598" s="65" t="s">
        <v>90</v>
      </c>
      <c r="G1598" s="458" t="s">
        <v>92</v>
      </c>
    </row>
    <row r="1599" customHeight="1" spans="1:7">
      <c r="A1599" s="457" t="s">
        <v>9</v>
      </c>
      <c r="B1599" s="65" t="s">
        <v>459</v>
      </c>
      <c r="C1599" s="65"/>
      <c r="D1599" s="65"/>
      <c r="E1599" s="65"/>
      <c r="F1599" s="65"/>
      <c r="G1599" s="458">
        <f>G1600+G1604</f>
        <v>661.08</v>
      </c>
    </row>
    <row r="1600" customHeight="1" spans="1:7">
      <c r="A1600" s="457" t="s">
        <v>132</v>
      </c>
      <c r="B1600" s="65" t="s">
        <v>287</v>
      </c>
      <c r="C1600" s="65"/>
      <c r="D1600" s="65"/>
      <c r="E1600" s="65"/>
      <c r="F1600" s="65"/>
      <c r="G1600" s="458">
        <f>G1601+G1602+G1603</f>
        <v>630.8</v>
      </c>
    </row>
    <row r="1601" customHeight="1" spans="1:7">
      <c r="A1601" s="459">
        <v>1</v>
      </c>
      <c r="B1601" s="65" t="s">
        <v>247</v>
      </c>
      <c r="C1601" s="65"/>
      <c r="D1601" s="65"/>
      <c r="E1601" s="65"/>
      <c r="F1601" s="65"/>
      <c r="G1601" s="458">
        <v>522</v>
      </c>
    </row>
    <row r="1602" customHeight="1" spans="1:7">
      <c r="A1602" s="459">
        <v>2</v>
      </c>
      <c r="B1602" s="65" t="s">
        <v>248</v>
      </c>
      <c r="C1602" s="65"/>
      <c r="D1602" s="462"/>
      <c r="E1602" s="463"/>
      <c r="F1602" s="65"/>
      <c r="G1602" s="458">
        <v>93.24</v>
      </c>
    </row>
    <row r="1603" customHeight="1" spans="1:7">
      <c r="A1603" s="459">
        <v>3</v>
      </c>
      <c r="B1603" s="65" t="s">
        <v>314</v>
      </c>
      <c r="C1603" s="65"/>
      <c r="D1603" s="460"/>
      <c r="E1603" s="460"/>
      <c r="F1603" s="460"/>
      <c r="G1603" s="458">
        <v>15.56</v>
      </c>
    </row>
    <row r="1604" customHeight="1" spans="1:7">
      <c r="A1604" s="457" t="s">
        <v>133</v>
      </c>
      <c r="B1604" s="65" t="s">
        <v>294</v>
      </c>
      <c r="C1604" s="65"/>
      <c r="D1604" s="65"/>
      <c r="E1604" s="72">
        <f>费率!J4</f>
        <v>0.048</v>
      </c>
      <c r="F1604" s="65">
        <f>G1600</f>
        <v>630.8</v>
      </c>
      <c r="G1604" s="458">
        <f>E1604*F1604</f>
        <v>30.28</v>
      </c>
    </row>
    <row r="1605" customHeight="1" spans="1:7">
      <c r="A1605" s="457" t="s">
        <v>14</v>
      </c>
      <c r="B1605" s="65" t="s">
        <v>295</v>
      </c>
      <c r="C1605" s="65"/>
      <c r="D1605" s="65"/>
      <c r="E1605" s="72">
        <f>费率!J5</f>
        <v>0.0725</v>
      </c>
      <c r="F1605" s="65">
        <f>(G1599)</f>
        <v>661.08</v>
      </c>
      <c r="G1605" s="458">
        <f>F1605*E1605</f>
        <v>47.93</v>
      </c>
    </row>
    <row r="1606" customHeight="1" spans="1:7">
      <c r="A1606" s="457" t="s">
        <v>16</v>
      </c>
      <c r="B1606" s="65" t="s">
        <v>757</v>
      </c>
      <c r="C1606" s="65"/>
      <c r="D1606" s="65"/>
      <c r="E1606" s="72">
        <f>费率!J6</f>
        <v>0.07</v>
      </c>
      <c r="F1606" s="65">
        <f>F1605+G1605</f>
        <v>709.01</v>
      </c>
      <c r="G1606" s="458">
        <f>F1606*E1606</f>
        <v>49.63</v>
      </c>
    </row>
    <row r="1607" customHeight="1" spans="1:7">
      <c r="A1607" s="457" t="s">
        <v>18</v>
      </c>
      <c r="B1607" s="65" t="s">
        <v>758</v>
      </c>
      <c r="C1607" s="65"/>
      <c r="D1607" s="65" t="s">
        <v>759</v>
      </c>
      <c r="E1607" s="65"/>
      <c r="F1607" s="65"/>
      <c r="G1607" s="458">
        <v>0</v>
      </c>
    </row>
    <row r="1608" customHeight="1" spans="1:7">
      <c r="A1608" s="457" t="s">
        <v>20</v>
      </c>
      <c r="B1608" s="65" t="s">
        <v>297</v>
      </c>
      <c r="C1608" s="65"/>
      <c r="D1608" s="65"/>
      <c r="E1608" s="465">
        <f>费率!J7</f>
        <v>0.09</v>
      </c>
      <c r="F1608" s="65">
        <f>(G1599+G1605+G1606)+G1607</f>
        <v>758.64</v>
      </c>
      <c r="G1608" s="458">
        <f>E1608*F1608</f>
        <v>68.28</v>
      </c>
    </row>
    <row r="1609" customHeight="1" spans="1:7">
      <c r="A1609" s="457"/>
      <c r="B1609" s="65" t="s">
        <v>760</v>
      </c>
      <c r="C1609" s="65"/>
      <c r="D1609" s="65"/>
      <c r="E1609" s="465"/>
      <c r="F1609" s="65"/>
      <c r="G1609" s="458">
        <f>F1608+G1608</f>
        <v>826.92</v>
      </c>
    </row>
    <row r="1610" customHeight="1" spans="1:7">
      <c r="A1610" s="457" t="s">
        <v>23</v>
      </c>
      <c r="B1610" s="65" t="s">
        <v>761</v>
      </c>
      <c r="C1610" s="65"/>
      <c r="D1610" s="65"/>
      <c r="E1610" s="466">
        <f>费率!J8</f>
        <v>0.03</v>
      </c>
      <c r="F1610" s="65">
        <f>G1609</f>
        <v>826.92</v>
      </c>
      <c r="G1610" s="458">
        <f>F1610*E1610</f>
        <v>24.81</v>
      </c>
    </row>
    <row r="1611" customHeight="1" spans="1:7">
      <c r="A1611" s="467"/>
      <c r="B1611" s="472" t="s">
        <v>121</v>
      </c>
      <c r="C1611" s="472"/>
      <c r="D1611" s="470"/>
      <c r="E1611" s="470"/>
      <c r="F1611" s="470"/>
      <c r="G1611" s="471">
        <f>F1610+G1610</f>
        <v>851.73</v>
      </c>
    </row>
    <row r="1613" customHeight="1" spans="1:7">
      <c r="A1613" s="354" t="s">
        <v>274</v>
      </c>
      <c r="B1613" s="354"/>
      <c r="C1613" s="354"/>
      <c r="D1613" s="354"/>
      <c r="E1613" s="354"/>
      <c r="F1613" s="354"/>
      <c r="G1613" s="354"/>
    </row>
    <row r="1614" customHeight="1" spans="1:7">
      <c r="A1614" s="42" t="s">
        <v>275</v>
      </c>
      <c r="B1614" s="43"/>
      <c r="C1614" s="43" t="s">
        <v>680</v>
      </c>
      <c r="D1614" s="43" t="s">
        <v>276</v>
      </c>
      <c r="E1614" s="355" t="s">
        <v>815</v>
      </c>
      <c r="F1614" s="355"/>
      <c r="G1614" s="356"/>
    </row>
    <row r="1615" customHeight="1" spans="1:7">
      <c r="A1615" s="47" t="s">
        <v>278</v>
      </c>
      <c r="B1615" s="48"/>
      <c r="C1615" s="49" t="s">
        <v>816</v>
      </c>
      <c r="D1615" s="49"/>
      <c r="E1615" s="49"/>
      <c r="F1615" s="50" t="s">
        <v>280</v>
      </c>
      <c r="G1615" s="51" t="s">
        <v>281</v>
      </c>
    </row>
    <row r="1616" customHeight="1" spans="1:7">
      <c r="A1616" s="358" t="s">
        <v>817</v>
      </c>
      <c r="B1616" s="49"/>
      <c r="C1616" s="49"/>
      <c r="D1616" s="49"/>
      <c r="E1616" s="49"/>
      <c r="F1616" s="49"/>
      <c r="G1616" s="359"/>
    </row>
    <row r="1617" customHeight="1" spans="1:7">
      <c r="A1617" s="52" t="s">
        <v>818</v>
      </c>
      <c r="B1617" s="53"/>
      <c r="C1617" s="54"/>
      <c r="D1617" s="54"/>
      <c r="E1617" s="54"/>
      <c r="F1617" s="54"/>
      <c r="G1617" s="55"/>
    </row>
    <row r="1618" customHeight="1" spans="1:7">
      <c r="A1618" s="47" t="s">
        <v>284</v>
      </c>
      <c r="B1618" s="50" t="s">
        <v>233</v>
      </c>
      <c r="C1618" s="50"/>
      <c r="D1618" s="50" t="s">
        <v>88</v>
      </c>
      <c r="E1618" s="360" t="s">
        <v>130</v>
      </c>
      <c r="F1618" s="50" t="s">
        <v>285</v>
      </c>
      <c r="G1618" s="51" t="s">
        <v>286</v>
      </c>
    </row>
    <row r="1619" customHeight="1" spans="1:7">
      <c r="A1619" s="47" t="s">
        <v>9</v>
      </c>
      <c r="B1619" s="361" t="s">
        <v>287</v>
      </c>
      <c r="C1619" s="361"/>
      <c r="D1619" s="50"/>
      <c r="E1619" s="360"/>
      <c r="F1619" s="360"/>
      <c r="G1619" s="362">
        <f>G1620+G1630</f>
        <v>60715.43</v>
      </c>
    </row>
    <row r="1620" customHeight="1" spans="1:7">
      <c r="A1620" s="47" t="s">
        <v>132</v>
      </c>
      <c r="B1620" s="361" t="s">
        <v>288</v>
      </c>
      <c r="C1620" s="361"/>
      <c r="D1620" s="50"/>
      <c r="E1620" s="360"/>
      <c r="F1620" s="360"/>
      <c r="G1620" s="362">
        <f>G1621+G1624+G1628</f>
        <v>57934.57</v>
      </c>
    </row>
    <row r="1621" customHeight="1" spans="1:7">
      <c r="A1621" s="47" t="s">
        <v>39</v>
      </c>
      <c r="B1621" s="361" t="s">
        <v>247</v>
      </c>
      <c r="C1621" s="361"/>
      <c r="D1621" s="50"/>
      <c r="E1621" s="360"/>
      <c r="F1621" s="360"/>
      <c r="G1621" s="362">
        <f>SUM(G1622:G1623)</f>
        <v>3985.53</v>
      </c>
    </row>
    <row r="1622" customHeight="1" spans="1:7">
      <c r="A1622" s="47"/>
      <c r="B1622" s="361" t="s">
        <v>289</v>
      </c>
      <c r="C1622" s="361"/>
      <c r="D1622" s="50" t="s">
        <v>290</v>
      </c>
      <c r="E1622" s="363">
        <v>13.7</v>
      </c>
      <c r="F1622" s="360">
        <f>F1576</f>
        <v>8.1</v>
      </c>
      <c r="G1622" s="362">
        <f>E1622*F1622</f>
        <v>110.97</v>
      </c>
    </row>
    <row r="1623" customHeight="1" spans="1:7">
      <c r="A1623" s="47"/>
      <c r="B1623" s="361" t="s">
        <v>291</v>
      </c>
      <c r="C1623" s="361"/>
      <c r="D1623" s="50" t="s">
        <v>290</v>
      </c>
      <c r="E1623" s="363">
        <v>671.5</v>
      </c>
      <c r="F1623" s="360">
        <f>F1577</f>
        <v>5.77</v>
      </c>
      <c r="G1623" s="362">
        <f>E1623*F1623</f>
        <v>3874.56</v>
      </c>
    </row>
    <row r="1624" customHeight="1" spans="1:7">
      <c r="A1624" s="47" t="s">
        <v>41</v>
      </c>
      <c r="B1624" s="361" t="s">
        <v>248</v>
      </c>
      <c r="C1624" s="361"/>
      <c r="D1624" s="50"/>
      <c r="E1624" s="360"/>
      <c r="F1624" s="360"/>
      <c r="G1624" s="362">
        <f>SUM(G1625:G1627)</f>
        <v>53550</v>
      </c>
    </row>
    <row r="1625" customHeight="1" spans="1:7">
      <c r="A1625" s="47"/>
      <c r="B1625" s="379" t="s">
        <v>819</v>
      </c>
      <c r="C1625" s="380"/>
      <c r="D1625" s="50" t="s">
        <v>158</v>
      </c>
      <c r="E1625" s="360">
        <v>28.7</v>
      </c>
      <c r="F1625" s="360">
        <v>1800</v>
      </c>
      <c r="G1625" s="362">
        <f>E1625*F1625</f>
        <v>51660</v>
      </c>
    </row>
    <row r="1626" customHeight="1" spans="1:7">
      <c r="A1626" s="47"/>
      <c r="B1626" s="361" t="s">
        <v>820</v>
      </c>
      <c r="C1626" s="361"/>
      <c r="D1626" s="50" t="s">
        <v>395</v>
      </c>
      <c r="E1626" s="360">
        <v>84</v>
      </c>
      <c r="F1626" s="360">
        <v>10</v>
      </c>
      <c r="G1626" s="362">
        <f>E1626*F1626</f>
        <v>840</v>
      </c>
    </row>
    <row r="1627" customHeight="1" spans="1:7">
      <c r="A1627" s="47"/>
      <c r="B1627" s="361" t="s">
        <v>397</v>
      </c>
      <c r="C1627" s="361"/>
      <c r="D1627" s="50" t="s">
        <v>293</v>
      </c>
      <c r="E1627" s="363">
        <v>2</v>
      </c>
      <c r="F1627" s="360">
        <f>SUM(G1625:G1626)</f>
        <v>52500</v>
      </c>
      <c r="G1627" s="362">
        <f>E1627*F1627/100</f>
        <v>1050</v>
      </c>
    </row>
    <row r="1628" customHeight="1" spans="1:7">
      <c r="A1628" s="47" t="s">
        <v>46</v>
      </c>
      <c r="B1628" s="361" t="s">
        <v>314</v>
      </c>
      <c r="C1628" s="361"/>
      <c r="D1628" s="50"/>
      <c r="E1628" s="360"/>
      <c r="F1628" s="360"/>
      <c r="G1628" s="362">
        <f>SUM(G1629:G1629)</f>
        <v>399.04</v>
      </c>
    </row>
    <row r="1629" customHeight="1" spans="1:7">
      <c r="A1629" s="47"/>
      <c r="B1629" s="361" t="s">
        <v>821</v>
      </c>
      <c r="C1629" s="361"/>
      <c r="D1629" s="50" t="s">
        <v>316</v>
      </c>
      <c r="E1629" s="360">
        <v>21.5</v>
      </c>
      <c r="F1629" s="360">
        <f>机械!E13</f>
        <v>18.56</v>
      </c>
      <c r="G1629" s="362">
        <f>E1629*F1629</f>
        <v>399.04</v>
      </c>
    </row>
    <row r="1630" customHeight="1" spans="1:7">
      <c r="A1630" s="47" t="s">
        <v>133</v>
      </c>
      <c r="B1630" s="361" t="s">
        <v>294</v>
      </c>
      <c r="C1630" s="361"/>
      <c r="D1630" s="50"/>
      <c r="E1630" s="365">
        <f>G1620</f>
        <v>57934.57</v>
      </c>
      <c r="F1630" s="366">
        <f>费率!J4</f>
        <v>0.048</v>
      </c>
      <c r="G1630" s="362">
        <f>E1630*F1630</f>
        <v>2780.86</v>
      </c>
    </row>
    <row r="1631" customHeight="1" spans="1:7">
      <c r="A1631" s="47" t="s">
        <v>14</v>
      </c>
      <c r="B1631" s="361" t="s">
        <v>295</v>
      </c>
      <c r="C1631" s="361"/>
      <c r="D1631" s="50"/>
      <c r="E1631" s="360">
        <f>G1621</f>
        <v>3985.53</v>
      </c>
      <c r="F1631" s="366">
        <f>费率!J5</f>
        <v>0.0725</v>
      </c>
      <c r="G1631" s="362">
        <f>E1631*F1631</f>
        <v>288.95</v>
      </c>
    </row>
    <row r="1632" customHeight="1" spans="1:7">
      <c r="A1632" s="47" t="s">
        <v>16</v>
      </c>
      <c r="B1632" s="361" t="s">
        <v>296</v>
      </c>
      <c r="C1632" s="361"/>
      <c r="D1632" s="50"/>
      <c r="E1632" s="360">
        <f>G1619+G1631</f>
        <v>61004.38</v>
      </c>
      <c r="F1632" s="366">
        <f>费率!J6</f>
        <v>0.07</v>
      </c>
      <c r="G1632" s="362">
        <f>E1632*F1632</f>
        <v>4270.31</v>
      </c>
    </row>
    <row r="1633" customHeight="1" spans="1:7">
      <c r="A1633" s="47" t="s">
        <v>18</v>
      </c>
      <c r="B1633" s="361" t="s">
        <v>254</v>
      </c>
      <c r="C1633" s="361"/>
      <c r="D1633" s="50"/>
      <c r="E1633" s="360"/>
      <c r="F1633" s="366"/>
      <c r="G1633" s="362">
        <v>0</v>
      </c>
    </row>
    <row r="1634" customHeight="1" spans="1:7">
      <c r="A1634" s="47" t="s">
        <v>20</v>
      </c>
      <c r="B1634" s="361" t="s">
        <v>297</v>
      </c>
      <c r="C1634" s="361"/>
      <c r="D1634" s="50"/>
      <c r="E1634" s="360">
        <f>G1619+G1631++G1632+G1633</f>
        <v>65274.69</v>
      </c>
      <c r="F1634" s="366">
        <f>费率!J7</f>
        <v>0.09</v>
      </c>
      <c r="G1634" s="362">
        <f>E1634*F1634</f>
        <v>5874.72</v>
      </c>
    </row>
    <row r="1635" customHeight="1" spans="1:7">
      <c r="A1635" s="47"/>
      <c r="B1635" s="361" t="s">
        <v>298</v>
      </c>
      <c r="C1635" s="361"/>
      <c r="D1635" s="50"/>
      <c r="E1635" s="360">
        <f>G1619+G1631+G1632+G1633+G1634</f>
        <v>71149.41</v>
      </c>
      <c r="F1635" s="366">
        <f>费率!J8</f>
        <v>0.03</v>
      </c>
      <c r="G1635" s="362">
        <f>E1635*F1635</f>
        <v>2134.48</v>
      </c>
    </row>
    <row r="1636" customHeight="1" spans="1:7">
      <c r="A1636" s="369"/>
      <c r="B1636" s="370" t="s">
        <v>560</v>
      </c>
      <c r="C1636" s="370"/>
      <c r="D1636" s="370"/>
      <c r="E1636" s="371"/>
      <c r="F1636" s="370"/>
      <c r="G1636" s="372">
        <f>G1619+G1631+G1632+G1633+G1634+G1635</f>
        <v>73283.89</v>
      </c>
    </row>
    <row r="1638" customHeight="1" spans="1:7">
      <c r="A1638" s="354" t="s">
        <v>274</v>
      </c>
      <c r="B1638" s="354"/>
      <c r="C1638" s="354"/>
      <c r="D1638" s="354"/>
      <c r="E1638" s="354"/>
      <c r="F1638" s="354"/>
      <c r="G1638" s="354"/>
    </row>
    <row r="1639" customHeight="1" spans="1:7">
      <c r="A1639" s="42" t="s">
        <v>275</v>
      </c>
      <c r="B1639" s="43"/>
      <c r="C1639" s="43" t="s">
        <v>641</v>
      </c>
      <c r="D1639" s="43" t="s">
        <v>276</v>
      </c>
      <c r="E1639" s="355" t="s">
        <v>822</v>
      </c>
      <c r="F1639" s="355"/>
      <c r="G1639" s="356"/>
    </row>
    <row r="1640" customHeight="1" spans="1:7">
      <c r="A1640" s="47" t="s">
        <v>278</v>
      </c>
      <c r="B1640" s="48"/>
      <c r="C1640" s="49" t="s">
        <v>823</v>
      </c>
      <c r="D1640" s="49"/>
      <c r="E1640" s="49"/>
      <c r="F1640" s="50" t="s">
        <v>280</v>
      </c>
      <c r="G1640" s="51" t="s">
        <v>644</v>
      </c>
    </row>
    <row r="1641" customHeight="1" spans="1:7">
      <c r="A1641" s="358" t="s">
        <v>645</v>
      </c>
      <c r="B1641" s="49"/>
      <c r="C1641" s="49"/>
      <c r="D1641" s="49"/>
      <c r="E1641" s="49"/>
      <c r="F1641" s="49"/>
      <c r="G1641" s="359"/>
    </row>
    <row r="1642" customHeight="1" spans="1:7">
      <c r="A1642" s="52" t="s">
        <v>646</v>
      </c>
      <c r="B1642" s="53"/>
      <c r="C1642" s="54"/>
      <c r="D1642" s="54"/>
      <c r="E1642" s="54"/>
      <c r="F1642" s="54"/>
      <c r="G1642" s="55"/>
    </row>
    <row r="1643" customHeight="1" spans="1:7">
      <c r="A1643" s="47" t="s">
        <v>284</v>
      </c>
      <c r="B1643" s="50" t="s">
        <v>233</v>
      </c>
      <c r="C1643" s="50"/>
      <c r="D1643" s="50" t="s">
        <v>88</v>
      </c>
      <c r="E1643" s="360" t="s">
        <v>130</v>
      </c>
      <c r="F1643" s="50" t="s">
        <v>285</v>
      </c>
      <c r="G1643" s="51" t="s">
        <v>286</v>
      </c>
    </row>
    <row r="1644" customHeight="1" spans="1:7">
      <c r="A1644" s="47" t="s">
        <v>9</v>
      </c>
      <c r="B1644" s="361" t="s">
        <v>287</v>
      </c>
      <c r="C1644" s="361"/>
      <c r="D1644" s="50"/>
      <c r="E1644" s="360"/>
      <c r="F1644" s="360"/>
      <c r="G1644" s="362">
        <f>G1645+G1662</f>
        <v>46640.95</v>
      </c>
    </row>
    <row r="1645" customHeight="1" spans="1:7">
      <c r="A1645" s="47" t="s">
        <v>132</v>
      </c>
      <c r="B1645" s="361" t="s">
        <v>288</v>
      </c>
      <c r="C1645" s="361"/>
      <c r="D1645" s="50"/>
      <c r="E1645" s="360"/>
      <c r="F1645" s="360"/>
      <c r="G1645" s="362">
        <f>G1646+G1649+G1657</f>
        <v>44504.72</v>
      </c>
    </row>
    <row r="1646" customHeight="1" spans="1:7">
      <c r="A1646" s="47" t="s">
        <v>39</v>
      </c>
      <c r="B1646" s="361" t="s">
        <v>247</v>
      </c>
      <c r="C1646" s="361"/>
      <c r="D1646" s="50"/>
      <c r="E1646" s="360"/>
      <c r="F1646" s="360"/>
      <c r="G1646" s="362">
        <f>SUM(G1647:G1648)</f>
        <v>2820.61</v>
      </c>
    </row>
    <row r="1647" customHeight="1" spans="1:7">
      <c r="A1647" s="47"/>
      <c r="B1647" s="361" t="s">
        <v>289</v>
      </c>
      <c r="C1647" s="361"/>
      <c r="D1647" s="50" t="s">
        <v>290</v>
      </c>
      <c r="E1647" s="363">
        <f>252-42*2</f>
        <v>168</v>
      </c>
      <c r="F1647" s="360">
        <f>F1545</f>
        <v>8.1</v>
      </c>
      <c r="G1647" s="362">
        <f>E1647*F1647</f>
        <v>1360.8</v>
      </c>
    </row>
    <row r="1648" customHeight="1" spans="1:7">
      <c r="A1648" s="47"/>
      <c r="B1648" s="361" t="s">
        <v>291</v>
      </c>
      <c r="C1648" s="361"/>
      <c r="D1648" s="50" t="s">
        <v>290</v>
      </c>
      <c r="E1648" s="363">
        <f>379-63*2</f>
        <v>253</v>
      </c>
      <c r="F1648" s="360">
        <f>F1546</f>
        <v>5.77</v>
      </c>
      <c r="G1648" s="362">
        <f>E1648*F1648</f>
        <v>1459.81</v>
      </c>
    </row>
    <row r="1649" customHeight="1" spans="1:7">
      <c r="A1649" s="47" t="s">
        <v>41</v>
      </c>
      <c r="B1649" s="361" t="s">
        <v>248</v>
      </c>
      <c r="C1649" s="361"/>
      <c r="D1649" s="50"/>
      <c r="E1649" s="360"/>
      <c r="F1649" s="360"/>
      <c r="G1649" s="362">
        <f>SUM(G1650:G1656)</f>
        <v>40092.07</v>
      </c>
    </row>
    <row r="1650" customHeight="1" spans="1:7">
      <c r="A1650" s="47"/>
      <c r="B1650" s="361" t="s">
        <v>696</v>
      </c>
      <c r="C1650" s="361"/>
      <c r="D1650" s="50" t="s">
        <v>395</v>
      </c>
      <c r="E1650" s="360">
        <v>0.1</v>
      </c>
      <c r="F1650" s="360">
        <f>主材!M7</f>
        <v>2143.4</v>
      </c>
      <c r="G1650" s="362">
        <f t="shared" ref="G1650:G1655" si="59">E1650*F1650</f>
        <v>214.34</v>
      </c>
    </row>
    <row r="1651" customHeight="1" spans="1:7">
      <c r="A1651" s="47"/>
      <c r="B1651" s="379" t="s">
        <v>394</v>
      </c>
      <c r="C1651" s="380"/>
      <c r="D1651" s="50" t="s">
        <v>395</v>
      </c>
      <c r="E1651" s="360">
        <v>62</v>
      </c>
      <c r="F1651" s="360">
        <f>主材!M10</f>
        <v>70</v>
      </c>
      <c r="G1651" s="362">
        <f t="shared" si="59"/>
        <v>4340</v>
      </c>
    </row>
    <row r="1652" customHeight="1" spans="1:7">
      <c r="A1652" s="47"/>
      <c r="B1652" s="379" t="s">
        <v>396</v>
      </c>
      <c r="C1652" s="380"/>
      <c r="D1652" s="50" t="s">
        <v>395</v>
      </c>
      <c r="E1652" s="360">
        <v>11</v>
      </c>
      <c r="F1652" s="360">
        <f>主材!M8</f>
        <v>70</v>
      </c>
      <c r="G1652" s="362">
        <f t="shared" si="59"/>
        <v>770</v>
      </c>
    </row>
    <row r="1653" customHeight="1" spans="1:7">
      <c r="A1653" s="47"/>
      <c r="B1653" s="361" t="s">
        <v>628</v>
      </c>
      <c r="C1653" s="361"/>
      <c r="D1653" s="50" t="s">
        <v>158</v>
      </c>
      <c r="E1653" s="360">
        <v>7</v>
      </c>
      <c r="F1653" s="360">
        <v>4350</v>
      </c>
      <c r="G1653" s="362">
        <f t="shared" si="59"/>
        <v>30450</v>
      </c>
    </row>
    <row r="1654" customHeight="1" spans="1:7">
      <c r="A1654" s="47"/>
      <c r="B1654" s="379" t="s">
        <v>824</v>
      </c>
      <c r="C1654" s="380"/>
      <c r="D1654" s="50" t="s">
        <v>395</v>
      </c>
      <c r="E1654" s="360">
        <v>21</v>
      </c>
      <c r="F1654" s="360">
        <v>150</v>
      </c>
      <c r="G1654" s="362">
        <f t="shared" si="59"/>
        <v>3150</v>
      </c>
    </row>
    <row r="1655" customHeight="1" spans="1:7">
      <c r="A1655" s="47"/>
      <c r="B1655" s="379" t="s">
        <v>825</v>
      </c>
      <c r="C1655" s="380"/>
      <c r="D1655" s="50" t="s">
        <v>158</v>
      </c>
      <c r="E1655" s="360">
        <v>3</v>
      </c>
      <c r="F1655" s="360"/>
      <c r="G1655" s="362">
        <f t="shared" si="59"/>
        <v>0</v>
      </c>
    </row>
    <row r="1656" customHeight="1" spans="1:7">
      <c r="A1656" s="47"/>
      <c r="B1656" s="361" t="s">
        <v>397</v>
      </c>
      <c r="C1656" s="361"/>
      <c r="D1656" s="50" t="s">
        <v>293</v>
      </c>
      <c r="E1656" s="363">
        <v>3</v>
      </c>
      <c r="F1656" s="360">
        <f>SUM(G1650:G1655)</f>
        <v>38924.34</v>
      </c>
      <c r="G1656" s="362">
        <f>E1656*F1656/100</f>
        <v>1167.73</v>
      </c>
    </row>
    <row r="1657" customHeight="1" spans="1:7">
      <c r="A1657" s="47" t="s">
        <v>46</v>
      </c>
      <c r="B1657" s="361" t="s">
        <v>314</v>
      </c>
      <c r="C1657" s="361"/>
      <c r="D1657" s="50"/>
      <c r="E1657" s="360"/>
      <c r="F1657" s="360"/>
      <c r="G1657" s="362">
        <f>SUM(G1658:G1661)</f>
        <v>1592.04</v>
      </c>
    </row>
    <row r="1658" customHeight="1" spans="1:7">
      <c r="A1658" s="47"/>
      <c r="B1658" s="361" t="s">
        <v>812</v>
      </c>
      <c r="C1658" s="361"/>
      <c r="D1658" s="50" t="s">
        <v>316</v>
      </c>
      <c r="E1658" s="360">
        <v>7.5</v>
      </c>
      <c r="F1658" s="360">
        <f>机械!E12</f>
        <v>63.53</v>
      </c>
      <c r="G1658" s="362">
        <f>E1658*F1658</f>
        <v>476.48</v>
      </c>
    </row>
    <row r="1659" customHeight="1" spans="1:7">
      <c r="A1659" s="47"/>
      <c r="B1659" s="379" t="s">
        <v>826</v>
      </c>
      <c r="C1659" s="380"/>
      <c r="D1659" s="50" t="s">
        <v>316</v>
      </c>
      <c r="E1659" s="360">
        <v>13</v>
      </c>
      <c r="F1659" s="360">
        <f>机械!E16</f>
        <v>23.75</v>
      </c>
      <c r="G1659" s="362">
        <f>E1659*F1659</f>
        <v>308.75</v>
      </c>
    </row>
    <row r="1660" customHeight="1" spans="1:7">
      <c r="A1660" s="47"/>
      <c r="B1660" s="379" t="s">
        <v>809</v>
      </c>
      <c r="C1660" s="380"/>
      <c r="D1660" s="50" t="s">
        <v>316</v>
      </c>
      <c r="E1660" s="360">
        <v>10</v>
      </c>
      <c r="F1660" s="360">
        <f>机械!E26</f>
        <v>73.1</v>
      </c>
      <c r="G1660" s="362">
        <f>E1660*F1660</f>
        <v>731</v>
      </c>
    </row>
    <row r="1661" customHeight="1" spans="1:7">
      <c r="A1661" s="47"/>
      <c r="B1661" s="361" t="s">
        <v>370</v>
      </c>
      <c r="C1661" s="361"/>
      <c r="D1661" s="50" t="s">
        <v>293</v>
      </c>
      <c r="E1661" s="364">
        <v>5</v>
      </c>
      <c r="F1661" s="360">
        <f>SUM(G1658:G1660)</f>
        <v>1516.23</v>
      </c>
      <c r="G1661" s="362">
        <f>E1661*F1661/100</f>
        <v>75.81</v>
      </c>
    </row>
    <row r="1662" customHeight="1" spans="1:7">
      <c r="A1662" s="47" t="s">
        <v>133</v>
      </c>
      <c r="B1662" s="361" t="s">
        <v>294</v>
      </c>
      <c r="C1662" s="361"/>
      <c r="D1662" s="50"/>
      <c r="E1662" s="365">
        <f>G1645</f>
        <v>44504.72</v>
      </c>
      <c r="F1662" s="366">
        <f>费率!J4</f>
        <v>0.048</v>
      </c>
      <c r="G1662" s="362">
        <f>E1662*F1662</f>
        <v>2136.23</v>
      </c>
    </row>
    <row r="1663" customHeight="1" spans="1:7">
      <c r="A1663" s="47" t="s">
        <v>14</v>
      </c>
      <c r="B1663" s="361" t="s">
        <v>295</v>
      </c>
      <c r="C1663" s="361"/>
      <c r="D1663" s="50"/>
      <c r="E1663" s="360">
        <f>G1646</f>
        <v>2820.61</v>
      </c>
      <c r="F1663" s="366">
        <f>费率!J5</f>
        <v>0.0725</v>
      </c>
      <c r="G1663" s="362">
        <f>E1663*F1663</f>
        <v>204.49</v>
      </c>
    </row>
    <row r="1664" customHeight="1" spans="1:7">
      <c r="A1664" s="47" t="s">
        <v>16</v>
      </c>
      <c r="B1664" s="361" t="s">
        <v>296</v>
      </c>
      <c r="C1664" s="361"/>
      <c r="D1664" s="50"/>
      <c r="E1664" s="360">
        <f>G1644+G1663</f>
        <v>46845.44</v>
      </c>
      <c r="F1664" s="366">
        <f>费率!J6</f>
        <v>0.07</v>
      </c>
      <c r="G1664" s="362">
        <f>E1664*F1664</f>
        <v>3279.18</v>
      </c>
    </row>
    <row r="1665" customHeight="1" spans="1:7">
      <c r="A1665" s="47" t="s">
        <v>18</v>
      </c>
      <c r="B1665" s="361" t="s">
        <v>254</v>
      </c>
      <c r="C1665" s="361"/>
      <c r="D1665" s="50"/>
      <c r="E1665" s="360"/>
      <c r="F1665" s="366"/>
      <c r="G1665" s="362">
        <f>SUM(G1666:G1670)</f>
        <v>1475.69</v>
      </c>
    </row>
    <row r="1666" customHeight="1" spans="1:7">
      <c r="A1666" s="47"/>
      <c r="B1666" s="379" t="s">
        <v>405</v>
      </c>
      <c r="C1666" s="380"/>
      <c r="D1666" s="50" t="s">
        <v>395</v>
      </c>
      <c r="E1666" s="360">
        <f>E1653*混凝土单价!E110</f>
        <v>0</v>
      </c>
      <c r="F1666" s="510">
        <f>主材!N6</f>
        <v>135.66</v>
      </c>
      <c r="G1666" s="362">
        <f>E1666*F1666</f>
        <v>0</v>
      </c>
    </row>
    <row r="1667" customHeight="1" spans="1:7">
      <c r="A1667" s="47"/>
      <c r="B1667" s="361" t="s">
        <v>396</v>
      </c>
      <c r="C1667" s="361"/>
      <c r="D1667" s="50" t="s">
        <v>395</v>
      </c>
      <c r="E1667" s="360">
        <f>E1652</f>
        <v>11</v>
      </c>
      <c r="F1667" s="510">
        <f>主材!N8</f>
        <v>37.93</v>
      </c>
      <c r="G1667" s="362">
        <f t="shared" ref="G1667:G1669" si="60">E1667*F1667</f>
        <v>417.23</v>
      </c>
    </row>
    <row r="1668" customHeight="1" spans="1:7">
      <c r="A1668" s="47"/>
      <c r="B1668" s="361" t="s">
        <v>394</v>
      </c>
      <c r="C1668" s="361"/>
      <c r="D1668" s="50" t="s">
        <v>395</v>
      </c>
      <c r="E1668" s="360">
        <f>E1651</f>
        <v>62</v>
      </c>
      <c r="F1668" s="511">
        <f>主材!N10</f>
        <v>7.03</v>
      </c>
      <c r="G1668" s="362">
        <f t="shared" si="60"/>
        <v>435.86</v>
      </c>
    </row>
    <row r="1669" customHeight="1" spans="1:7">
      <c r="A1669" s="47"/>
      <c r="B1669" s="379" t="s">
        <v>317</v>
      </c>
      <c r="C1669" s="380"/>
      <c r="D1669" s="50" t="s">
        <v>323</v>
      </c>
      <c r="E1669" s="360">
        <f>E1658*机械!L12+E1660*机械!L26</f>
        <v>150.75</v>
      </c>
      <c r="F1669" s="511">
        <f>主材!N13</f>
        <v>4.13</v>
      </c>
      <c r="G1669" s="362">
        <f t="shared" si="60"/>
        <v>622.6</v>
      </c>
    </row>
    <row r="1670" customHeight="1" spans="1:7">
      <c r="A1670" s="47"/>
      <c r="B1670" s="379"/>
      <c r="C1670" s="380"/>
      <c r="D1670" s="50"/>
      <c r="E1670" s="360"/>
      <c r="F1670" s="511"/>
      <c r="G1670" s="362"/>
    </row>
    <row r="1671" customHeight="1" spans="1:7">
      <c r="A1671" s="47" t="s">
        <v>20</v>
      </c>
      <c r="B1671" s="361" t="s">
        <v>297</v>
      </c>
      <c r="C1671" s="361"/>
      <c r="D1671" s="50"/>
      <c r="E1671" s="360">
        <f>G1644+G1663++G1664+G1665</f>
        <v>51600.31</v>
      </c>
      <c r="F1671" s="366">
        <f>费率!J7</f>
        <v>0.09</v>
      </c>
      <c r="G1671" s="362">
        <f>E1671*F1671</f>
        <v>4644.03</v>
      </c>
    </row>
    <row r="1672" customHeight="1" spans="1:7">
      <c r="A1672" s="47"/>
      <c r="B1672" s="361" t="s">
        <v>298</v>
      </c>
      <c r="C1672" s="361"/>
      <c r="D1672" s="50"/>
      <c r="E1672" s="360">
        <f>G1644+G1663+G1664+G1665+G1671</f>
        <v>56244.34</v>
      </c>
      <c r="F1672" s="366">
        <f>费率!J8</f>
        <v>0.03</v>
      </c>
      <c r="G1672" s="362">
        <f>E1672*F1672</f>
        <v>1687.33</v>
      </c>
    </row>
    <row r="1673" customHeight="1" spans="1:7">
      <c r="A1673" s="369"/>
      <c r="B1673" s="370" t="s">
        <v>560</v>
      </c>
      <c r="C1673" s="370"/>
      <c r="D1673" s="370"/>
      <c r="E1673" s="371"/>
      <c r="F1673" s="370"/>
      <c r="G1673" s="372">
        <f>G1644+G1663+G1664+G1665+G1671+G1672</f>
        <v>57931.67</v>
      </c>
    </row>
    <row r="1675" customHeight="1" spans="1:7">
      <c r="A1675" s="354" t="s">
        <v>274</v>
      </c>
      <c r="B1675" s="354"/>
      <c r="C1675" s="354"/>
      <c r="D1675" s="354"/>
      <c r="E1675" s="354"/>
      <c r="F1675" s="354"/>
      <c r="G1675" s="354"/>
    </row>
    <row r="1676" customHeight="1" spans="1:7">
      <c r="A1676" s="42" t="s">
        <v>275</v>
      </c>
      <c r="B1676" s="43"/>
      <c r="C1676" s="43" t="s">
        <v>641</v>
      </c>
      <c r="D1676" s="43" t="s">
        <v>276</v>
      </c>
      <c r="E1676" s="355" t="s">
        <v>827</v>
      </c>
      <c r="F1676" s="355"/>
      <c r="G1676" s="356"/>
    </row>
    <row r="1677" customHeight="1" spans="1:7">
      <c r="A1677" s="47" t="s">
        <v>278</v>
      </c>
      <c r="B1677" s="48"/>
      <c r="C1677" s="49" t="s">
        <v>828</v>
      </c>
      <c r="D1677" s="49"/>
      <c r="E1677" s="49"/>
      <c r="F1677" s="50" t="s">
        <v>280</v>
      </c>
      <c r="G1677" s="51" t="s">
        <v>644</v>
      </c>
    </row>
    <row r="1678" customHeight="1" spans="1:7">
      <c r="A1678" s="358" t="s">
        <v>645</v>
      </c>
      <c r="B1678" s="49"/>
      <c r="C1678" s="49"/>
      <c r="D1678" s="49"/>
      <c r="E1678" s="49"/>
      <c r="F1678" s="49"/>
      <c r="G1678" s="359"/>
    </row>
    <row r="1679" customHeight="1" spans="1:7">
      <c r="A1679" s="52" t="s">
        <v>646</v>
      </c>
      <c r="B1679" s="53"/>
      <c r="C1679" s="54"/>
      <c r="D1679" s="54"/>
      <c r="E1679" s="54"/>
      <c r="F1679" s="54"/>
      <c r="G1679" s="55"/>
    </row>
    <row r="1680" customHeight="1" spans="1:7">
      <c r="A1680" s="47" t="s">
        <v>284</v>
      </c>
      <c r="B1680" s="50" t="s">
        <v>233</v>
      </c>
      <c r="C1680" s="50"/>
      <c r="D1680" s="50" t="s">
        <v>88</v>
      </c>
      <c r="E1680" s="360" t="s">
        <v>130</v>
      </c>
      <c r="F1680" s="50" t="s">
        <v>285</v>
      </c>
      <c r="G1680" s="51" t="s">
        <v>286</v>
      </c>
    </row>
    <row r="1681" customHeight="1" spans="1:7">
      <c r="A1681" s="47" t="s">
        <v>9</v>
      </c>
      <c r="B1681" s="361" t="s">
        <v>287</v>
      </c>
      <c r="C1681" s="361"/>
      <c r="D1681" s="50"/>
      <c r="E1681" s="360"/>
      <c r="F1681" s="360"/>
      <c r="G1681" s="362">
        <f>G1682+G1694</f>
        <v>7345.09</v>
      </c>
    </row>
    <row r="1682" customHeight="1" spans="1:7">
      <c r="A1682" s="47" t="s">
        <v>132</v>
      </c>
      <c r="B1682" s="361" t="s">
        <v>288</v>
      </c>
      <c r="C1682" s="361"/>
      <c r="D1682" s="50"/>
      <c r="E1682" s="360"/>
      <c r="F1682" s="360"/>
      <c r="G1682" s="362">
        <f>G1683+G1686+G1691</f>
        <v>7008.67</v>
      </c>
    </row>
    <row r="1683" customHeight="1" spans="1:7">
      <c r="A1683" s="47" t="s">
        <v>39</v>
      </c>
      <c r="B1683" s="361" t="s">
        <v>247</v>
      </c>
      <c r="C1683" s="361"/>
      <c r="D1683" s="50"/>
      <c r="E1683" s="360"/>
      <c r="F1683" s="360"/>
      <c r="G1683" s="362">
        <f>SUM(G1684:G1685)</f>
        <v>4088.69</v>
      </c>
    </row>
    <row r="1684" customHeight="1" spans="1:7">
      <c r="A1684" s="47"/>
      <c r="B1684" s="361" t="s">
        <v>289</v>
      </c>
      <c r="C1684" s="361"/>
      <c r="D1684" s="50" t="s">
        <v>290</v>
      </c>
      <c r="E1684" s="363">
        <v>34.7</v>
      </c>
      <c r="F1684" s="360">
        <f>F1647</f>
        <v>8.1</v>
      </c>
      <c r="G1684" s="362">
        <f>E1684*F1684</f>
        <v>281.07</v>
      </c>
    </row>
    <row r="1685" customHeight="1" spans="1:7">
      <c r="A1685" s="47"/>
      <c r="B1685" s="361" t="s">
        <v>291</v>
      </c>
      <c r="C1685" s="361"/>
      <c r="D1685" s="50" t="s">
        <v>290</v>
      </c>
      <c r="E1685" s="363">
        <v>659.9</v>
      </c>
      <c r="F1685" s="360">
        <f>F1648</f>
        <v>5.77</v>
      </c>
      <c r="G1685" s="362">
        <f>E1685*F1685</f>
        <v>3807.62</v>
      </c>
    </row>
    <row r="1686" customHeight="1" spans="1:7">
      <c r="A1686" s="47" t="s">
        <v>41</v>
      </c>
      <c r="B1686" s="361" t="s">
        <v>248</v>
      </c>
      <c r="C1686" s="361"/>
      <c r="D1686" s="50"/>
      <c r="E1686" s="360"/>
      <c r="F1686" s="360"/>
      <c r="G1686" s="362">
        <f>SUM(G1687:G1690)</f>
        <v>2919.98</v>
      </c>
    </row>
    <row r="1687" customHeight="1" spans="1:7">
      <c r="A1687" s="47"/>
      <c r="B1687" s="379" t="s">
        <v>396</v>
      </c>
      <c r="C1687" s="380"/>
      <c r="D1687" s="50" t="s">
        <v>395</v>
      </c>
      <c r="E1687" s="360">
        <v>10</v>
      </c>
      <c r="F1687" s="360">
        <f>主材!M8</f>
        <v>70</v>
      </c>
      <c r="G1687" s="362">
        <f>E1687*F1687</f>
        <v>700</v>
      </c>
    </row>
    <row r="1688" customHeight="1" spans="1:7">
      <c r="A1688" s="47"/>
      <c r="B1688" s="361" t="s">
        <v>521</v>
      </c>
      <c r="C1688" s="361"/>
      <c r="D1688" s="50" t="s">
        <v>395</v>
      </c>
      <c r="E1688" s="360">
        <v>15</v>
      </c>
      <c r="F1688" s="360">
        <f>主材!D14</f>
        <v>77.03</v>
      </c>
      <c r="G1688" s="362">
        <f>E1688*F1688</f>
        <v>1155.45</v>
      </c>
    </row>
    <row r="1689" customHeight="1" spans="1:7">
      <c r="A1689" s="47"/>
      <c r="B1689" s="379" t="s">
        <v>394</v>
      </c>
      <c r="C1689" s="380"/>
      <c r="D1689" s="50" t="s">
        <v>395</v>
      </c>
      <c r="E1689" s="360">
        <v>15</v>
      </c>
      <c r="F1689" s="360">
        <f>主材!M10</f>
        <v>70</v>
      </c>
      <c r="G1689" s="362">
        <f>E1689*F1689</f>
        <v>1050</v>
      </c>
    </row>
    <row r="1690" customHeight="1" spans="1:7">
      <c r="A1690" s="47"/>
      <c r="B1690" s="361" t="s">
        <v>397</v>
      </c>
      <c r="C1690" s="361"/>
      <c r="D1690" s="50" t="s">
        <v>293</v>
      </c>
      <c r="E1690" s="363">
        <v>0.5</v>
      </c>
      <c r="F1690" s="360">
        <f>SUM(G1687:G1689)</f>
        <v>2905.45</v>
      </c>
      <c r="G1690" s="362">
        <f>E1690*F1690/100</f>
        <v>14.53</v>
      </c>
    </row>
    <row r="1691" customHeight="1" spans="1:7">
      <c r="A1691" s="47" t="s">
        <v>46</v>
      </c>
      <c r="B1691" s="361" t="s">
        <v>314</v>
      </c>
      <c r="C1691" s="361"/>
      <c r="D1691" s="50"/>
      <c r="E1691" s="360"/>
      <c r="F1691" s="360"/>
      <c r="G1691" s="362">
        <f>SUM(G1692:G1693)</f>
        <v>0</v>
      </c>
    </row>
    <row r="1692" customHeight="1" spans="1:7">
      <c r="A1692" s="47"/>
      <c r="B1692" s="361"/>
      <c r="C1692" s="361"/>
      <c r="D1692" s="50"/>
      <c r="E1692" s="360"/>
      <c r="F1692" s="360"/>
      <c r="G1692" s="362"/>
    </row>
    <row r="1693" customHeight="1" spans="1:7">
      <c r="A1693" s="47"/>
      <c r="B1693" s="361"/>
      <c r="C1693" s="361"/>
      <c r="D1693" s="50"/>
      <c r="E1693" s="364"/>
      <c r="F1693" s="360"/>
      <c r="G1693" s="362"/>
    </row>
    <row r="1694" customHeight="1" spans="1:7">
      <c r="A1694" s="47" t="s">
        <v>133</v>
      </c>
      <c r="B1694" s="361" t="s">
        <v>294</v>
      </c>
      <c r="C1694" s="361"/>
      <c r="D1694" s="50"/>
      <c r="E1694" s="365">
        <f>G1682</f>
        <v>7008.67</v>
      </c>
      <c r="F1694" s="366">
        <f>F1662</f>
        <v>0.048</v>
      </c>
      <c r="G1694" s="362">
        <f>E1694*F1694</f>
        <v>336.42</v>
      </c>
    </row>
    <row r="1695" customHeight="1" spans="1:7">
      <c r="A1695" s="47" t="s">
        <v>14</v>
      </c>
      <c r="B1695" s="361" t="s">
        <v>295</v>
      </c>
      <c r="C1695" s="361"/>
      <c r="D1695" s="50"/>
      <c r="E1695" s="360">
        <f>G1683</f>
        <v>4088.69</v>
      </c>
      <c r="F1695" s="366">
        <f t="shared" ref="F1695:F1696" si="61">F1663</f>
        <v>0.0725</v>
      </c>
      <c r="G1695" s="362">
        <f>E1695*F1695</f>
        <v>296.43</v>
      </c>
    </row>
    <row r="1696" customHeight="1" spans="1:7">
      <c r="A1696" s="47" t="s">
        <v>16</v>
      </c>
      <c r="B1696" s="361" t="s">
        <v>296</v>
      </c>
      <c r="C1696" s="361"/>
      <c r="D1696" s="50"/>
      <c r="E1696" s="360">
        <f>G1681+G1695</f>
        <v>7641.52</v>
      </c>
      <c r="F1696" s="366">
        <f t="shared" si="61"/>
        <v>0.07</v>
      </c>
      <c r="G1696" s="362">
        <f>E1696*F1696</f>
        <v>534.91</v>
      </c>
    </row>
    <row r="1697" customHeight="1" spans="1:7">
      <c r="A1697" s="47" t="s">
        <v>18</v>
      </c>
      <c r="B1697" s="361" t="s">
        <v>254</v>
      </c>
      <c r="C1697" s="361"/>
      <c r="D1697" s="50"/>
      <c r="E1697" s="360"/>
      <c r="F1697" s="366"/>
      <c r="G1697" s="362">
        <f>SUM(G1698:G1699)</f>
        <v>484.75</v>
      </c>
    </row>
    <row r="1698" customHeight="1" spans="1:7">
      <c r="A1698" s="47"/>
      <c r="B1698" s="361" t="s">
        <v>394</v>
      </c>
      <c r="C1698" s="361"/>
      <c r="D1698" s="50" t="s">
        <v>395</v>
      </c>
      <c r="E1698" s="360">
        <f>E1689</f>
        <v>15</v>
      </c>
      <c r="F1698" s="510">
        <f>主材!N10</f>
        <v>7.03</v>
      </c>
      <c r="G1698" s="362">
        <f t="shared" ref="G1698:G1701" si="62">E1698*F1698</f>
        <v>105.45</v>
      </c>
    </row>
    <row r="1699" customHeight="1" spans="1:7">
      <c r="A1699" s="47"/>
      <c r="B1699" s="379" t="s">
        <v>396</v>
      </c>
      <c r="C1699" s="380"/>
      <c r="D1699" s="50" t="s">
        <v>395</v>
      </c>
      <c r="E1699" s="360">
        <f>E1687</f>
        <v>10</v>
      </c>
      <c r="F1699" s="511">
        <f>主材!N8</f>
        <v>37.93</v>
      </c>
      <c r="G1699" s="362">
        <f t="shared" si="62"/>
        <v>379.3</v>
      </c>
    </row>
    <row r="1700" customHeight="1" spans="1:7">
      <c r="A1700" s="47" t="s">
        <v>20</v>
      </c>
      <c r="B1700" s="361" t="s">
        <v>297</v>
      </c>
      <c r="C1700" s="361"/>
      <c r="D1700" s="50"/>
      <c r="E1700" s="360">
        <f>G1681+G1695++G1696+G1697</f>
        <v>8661.18</v>
      </c>
      <c r="F1700" s="366">
        <f>费率!J7</f>
        <v>0.09</v>
      </c>
      <c r="G1700" s="362">
        <f t="shared" si="62"/>
        <v>779.51</v>
      </c>
    </row>
    <row r="1701" customHeight="1" spans="1:7">
      <c r="A1701" s="47"/>
      <c r="B1701" s="361" t="s">
        <v>298</v>
      </c>
      <c r="C1701" s="361"/>
      <c r="D1701" s="50"/>
      <c r="E1701" s="360">
        <f>G1681+G1695+G1696+G1697+G1700</f>
        <v>9440.69</v>
      </c>
      <c r="F1701" s="366">
        <f>费率!J8</f>
        <v>0.03</v>
      </c>
      <c r="G1701" s="362">
        <f t="shared" si="62"/>
        <v>283.22</v>
      </c>
    </row>
    <row r="1702" customHeight="1" spans="1:7">
      <c r="A1702" s="369"/>
      <c r="B1702" s="370" t="s">
        <v>560</v>
      </c>
      <c r="C1702" s="370"/>
      <c r="D1702" s="370"/>
      <c r="E1702" s="371"/>
      <c r="F1702" s="370"/>
      <c r="G1702" s="372">
        <f>G1681+G1695+G1696+G1697+G1700+G1701</f>
        <v>9723.91</v>
      </c>
    </row>
    <row r="1704" customHeight="1" spans="1:7">
      <c r="A1704" s="354" t="s">
        <v>274</v>
      </c>
      <c r="B1704" s="354"/>
      <c r="C1704" s="354"/>
      <c r="D1704" s="354"/>
      <c r="E1704" s="354"/>
      <c r="F1704" s="354"/>
      <c r="G1704" s="354"/>
    </row>
    <row r="1705" customHeight="1" spans="1:7">
      <c r="A1705" s="42" t="s">
        <v>275</v>
      </c>
      <c r="B1705" s="43"/>
      <c r="C1705" s="43" t="s">
        <v>641</v>
      </c>
      <c r="D1705" s="43" t="s">
        <v>276</v>
      </c>
      <c r="E1705" s="355" t="s">
        <v>829</v>
      </c>
      <c r="F1705" s="355"/>
      <c r="G1705" s="356"/>
    </row>
    <row r="1706" customHeight="1" spans="1:7">
      <c r="A1706" s="47" t="s">
        <v>278</v>
      </c>
      <c r="B1706" s="48"/>
      <c r="C1706" s="49" t="s">
        <v>830</v>
      </c>
      <c r="D1706" s="49"/>
      <c r="E1706" s="49"/>
      <c r="F1706" s="50" t="s">
        <v>280</v>
      </c>
      <c r="G1706" s="51" t="s">
        <v>357</v>
      </c>
    </row>
    <row r="1707" customHeight="1" spans="1:7">
      <c r="A1707" s="358" t="s">
        <v>645</v>
      </c>
      <c r="B1707" s="49"/>
      <c r="C1707" s="49"/>
      <c r="D1707" s="49"/>
      <c r="E1707" s="49"/>
      <c r="F1707" s="49"/>
      <c r="G1707" s="359"/>
    </row>
    <row r="1708" customHeight="1" spans="1:7">
      <c r="A1708" s="52" t="s">
        <v>646</v>
      </c>
      <c r="B1708" s="53"/>
      <c r="C1708" s="54"/>
      <c r="D1708" s="54"/>
      <c r="E1708" s="54"/>
      <c r="F1708" s="54"/>
      <c r="G1708" s="55"/>
    </row>
    <row r="1709" customHeight="1" spans="1:7">
      <c r="A1709" s="47" t="s">
        <v>284</v>
      </c>
      <c r="B1709" s="50" t="s">
        <v>233</v>
      </c>
      <c r="C1709" s="50"/>
      <c r="D1709" s="50" t="s">
        <v>88</v>
      </c>
      <c r="E1709" s="360" t="s">
        <v>130</v>
      </c>
      <c r="F1709" s="50" t="s">
        <v>285</v>
      </c>
      <c r="G1709" s="51" t="s">
        <v>286</v>
      </c>
    </row>
    <row r="1710" customHeight="1" spans="1:7">
      <c r="A1710" s="47" t="s">
        <v>9</v>
      </c>
      <c r="B1710" s="361" t="s">
        <v>287</v>
      </c>
      <c r="C1710" s="361"/>
      <c r="D1710" s="50"/>
      <c r="E1710" s="360"/>
      <c r="F1710" s="360"/>
      <c r="G1710" s="362">
        <f>G1711+G1715</f>
        <v>288.42</v>
      </c>
    </row>
    <row r="1711" customHeight="1" spans="1:7">
      <c r="A1711" s="47" t="s">
        <v>132</v>
      </c>
      <c r="B1711" s="361" t="s">
        <v>288</v>
      </c>
      <c r="C1711" s="361"/>
      <c r="D1711" s="50"/>
      <c r="E1711" s="360"/>
      <c r="F1711" s="360"/>
      <c r="G1711" s="362">
        <f>G1712+G1713+G1714</f>
        <v>275.21</v>
      </c>
    </row>
    <row r="1712" customHeight="1" spans="1:7">
      <c r="A1712" s="47" t="s">
        <v>39</v>
      </c>
      <c r="B1712" s="361" t="s">
        <v>247</v>
      </c>
      <c r="C1712" s="361"/>
      <c r="D1712" s="50"/>
      <c r="E1712" s="360"/>
      <c r="F1712" s="360"/>
      <c r="G1712" s="362">
        <f>288.6-28.2*6</f>
        <v>119.4</v>
      </c>
    </row>
    <row r="1713" customHeight="1" spans="1:7">
      <c r="A1713" s="47" t="s">
        <v>41</v>
      </c>
      <c r="B1713" s="361" t="s">
        <v>248</v>
      </c>
      <c r="C1713" s="361"/>
      <c r="D1713" s="50"/>
      <c r="E1713" s="360"/>
      <c r="F1713" s="360"/>
      <c r="G1713" s="362">
        <f>5.78-0.52*6</f>
        <v>2.66</v>
      </c>
    </row>
    <row r="1714" customHeight="1" spans="1:7">
      <c r="A1714" s="47" t="s">
        <v>46</v>
      </c>
      <c r="B1714" s="361" t="s">
        <v>314</v>
      </c>
      <c r="C1714" s="361"/>
      <c r="D1714" s="50"/>
      <c r="E1714" s="360"/>
      <c r="F1714" s="360"/>
      <c r="G1714" s="362">
        <f>412.23-43.18*6</f>
        <v>153.15</v>
      </c>
    </row>
    <row r="1715" customHeight="1" spans="1:7">
      <c r="A1715" s="47" t="s">
        <v>133</v>
      </c>
      <c r="B1715" s="361" t="s">
        <v>294</v>
      </c>
      <c r="C1715" s="361"/>
      <c r="D1715" s="50"/>
      <c r="E1715" s="365">
        <f>G1711</f>
        <v>275.21</v>
      </c>
      <c r="F1715" s="366">
        <f>F1694</f>
        <v>0.048</v>
      </c>
      <c r="G1715" s="362">
        <f>E1715*F1715</f>
        <v>13.21</v>
      </c>
    </row>
    <row r="1716" customHeight="1" spans="1:7">
      <c r="A1716" s="47" t="s">
        <v>14</v>
      </c>
      <c r="B1716" s="361" t="s">
        <v>295</v>
      </c>
      <c r="C1716" s="361"/>
      <c r="D1716" s="50"/>
      <c r="E1716" s="360">
        <f>G1712</f>
        <v>119.4</v>
      </c>
      <c r="F1716" s="366">
        <f t="shared" ref="F1716:F1717" si="63">F1695</f>
        <v>0.0725</v>
      </c>
      <c r="G1716" s="362">
        <f>E1716*F1716</f>
        <v>8.66</v>
      </c>
    </row>
    <row r="1717" customHeight="1" spans="1:7">
      <c r="A1717" s="47" t="s">
        <v>16</v>
      </c>
      <c r="B1717" s="361" t="s">
        <v>296</v>
      </c>
      <c r="C1717" s="361"/>
      <c r="D1717" s="50"/>
      <c r="E1717" s="360">
        <f>G1710+G1716</f>
        <v>297.08</v>
      </c>
      <c r="F1717" s="366">
        <f t="shared" si="63"/>
        <v>0.07</v>
      </c>
      <c r="G1717" s="362">
        <f>E1717*F1717</f>
        <v>20.8</v>
      </c>
    </row>
    <row r="1718" customHeight="1" spans="1:7">
      <c r="A1718" s="47" t="s">
        <v>18</v>
      </c>
      <c r="B1718" s="361" t="s">
        <v>254</v>
      </c>
      <c r="C1718" s="361"/>
      <c r="D1718" s="50"/>
      <c r="E1718" s="360"/>
      <c r="F1718" s="366"/>
      <c r="G1718" s="362">
        <v>0</v>
      </c>
    </row>
    <row r="1719" customHeight="1" spans="1:7">
      <c r="A1719" s="47" t="s">
        <v>20</v>
      </c>
      <c r="B1719" s="361" t="s">
        <v>297</v>
      </c>
      <c r="C1719" s="361"/>
      <c r="D1719" s="50"/>
      <c r="E1719" s="360">
        <f>G1710+G1716++G1717+G1718</f>
        <v>317.88</v>
      </c>
      <c r="F1719" s="366">
        <f>F1700</f>
        <v>0.09</v>
      </c>
      <c r="G1719" s="362">
        <f>E1719*F1719</f>
        <v>28.61</v>
      </c>
    </row>
    <row r="1720" customHeight="1" spans="1:7">
      <c r="A1720" s="47"/>
      <c r="B1720" s="361" t="s">
        <v>298</v>
      </c>
      <c r="C1720" s="361"/>
      <c r="D1720" s="50"/>
      <c r="E1720" s="360">
        <f>G1710+G1716+G1717+G1718+G1719</f>
        <v>346.49</v>
      </c>
      <c r="F1720" s="366">
        <f>F1701</f>
        <v>0.03</v>
      </c>
      <c r="G1720" s="362">
        <f>E1720*F1720</f>
        <v>10.39</v>
      </c>
    </row>
    <row r="1721" customHeight="1" spans="1:7">
      <c r="A1721" s="369"/>
      <c r="B1721" s="370" t="s">
        <v>560</v>
      </c>
      <c r="C1721" s="370"/>
      <c r="D1721" s="370"/>
      <c r="E1721" s="371"/>
      <c r="F1721" s="370"/>
      <c r="G1721" s="372">
        <f>G1710+G1716+G1717+G1718+G1719+G1720</f>
        <v>356.88</v>
      </c>
    </row>
    <row r="1723" customHeight="1" spans="1:7">
      <c r="A1723" s="354" t="s">
        <v>274</v>
      </c>
      <c r="B1723" s="354"/>
      <c r="C1723" s="354"/>
      <c r="D1723" s="354"/>
      <c r="E1723" s="354"/>
      <c r="F1723" s="354"/>
      <c r="G1723" s="354"/>
    </row>
    <row r="1724" customHeight="1" spans="1:7">
      <c r="A1724" s="42" t="s">
        <v>275</v>
      </c>
      <c r="B1724" s="43"/>
      <c r="C1724" s="43" t="s">
        <v>641</v>
      </c>
      <c r="D1724" s="43" t="s">
        <v>276</v>
      </c>
      <c r="E1724" s="355" t="s">
        <v>831</v>
      </c>
      <c r="F1724" s="355"/>
      <c r="G1724" s="356"/>
    </row>
    <row r="1725" customHeight="1" spans="1:7">
      <c r="A1725" s="47" t="s">
        <v>278</v>
      </c>
      <c r="B1725" s="48"/>
      <c r="C1725" s="49" t="s">
        <v>832</v>
      </c>
      <c r="D1725" s="49"/>
      <c r="E1725" s="49"/>
      <c r="F1725" s="50" t="s">
        <v>280</v>
      </c>
      <c r="G1725" s="51" t="s">
        <v>357</v>
      </c>
    </row>
    <row r="1726" customHeight="1" spans="1:7">
      <c r="A1726" s="358" t="s">
        <v>645</v>
      </c>
      <c r="B1726" s="49"/>
      <c r="C1726" s="49"/>
      <c r="D1726" s="49"/>
      <c r="E1726" s="49"/>
      <c r="F1726" s="49"/>
      <c r="G1726" s="359"/>
    </row>
    <row r="1727" customHeight="1" spans="1:7">
      <c r="A1727" s="52" t="s">
        <v>646</v>
      </c>
      <c r="B1727" s="53"/>
      <c r="C1727" s="54"/>
      <c r="D1727" s="54"/>
      <c r="E1727" s="54"/>
      <c r="F1727" s="54"/>
      <c r="G1727" s="55"/>
    </row>
    <row r="1728" customHeight="1" spans="1:7">
      <c r="A1728" s="47" t="s">
        <v>284</v>
      </c>
      <c r="B1728" s="50" t="s">
        <v>233</v>
      </c>
      <c r="C1728" s="50"/>
      <c r="D1728" s="50" t="s">
        <v>88</v>
      </c>
      <c r="E1728" s="360" t="s">
        <v>130</v>
      </c>
      <c r="F1728" s="50" t="s">
        <v>285</v>
      </c>
      <c r="G1728" s="51" t="s">
        <v>286</v>
      </c>
    </row>
    <row r="1729" customHeight="1" spans="1:7">
      <c r="A1729" s="47" t="s">
        <v>9</v>
      </c>
      <c r="B1729" s="361" t="s">
        <v>287</v>
      </c>
      <c r="C1729" s="361"/>
      <c r="D1729" s="50"/>
      <c r="E1729" s="360"/>
      <c r="F1729" s="360"/>
      <c r="G1729" s="362">
        <f>G1730+G1734</f>
        <v>395.47</v>
      </c>
    </row>
    <row r="1730" customHeight="1" spans="1:7">
      <c r="A1730" s="47" t="s">
        <v>132</v>
      </c>
      <c r="B1730" s="361" t="s">
        <v>288</v>
      </c>
      <c r="C1730" s="361"/>
      <c r="D1730" s="50"/>
      <c r="E1730" s="360"/>
      <c r="F1730" s="360"/>
      <c r="G1730" s="362">
        <f>G1731+G1732+G1733</f>
        <v>377.36</v>
      </c>
    </row>
    <row r="1731" customHeight="1" spans="1:7">
      <c r="A1731" s="47" t="s">
        <v>39</v>
      </c>
      <c r="B1731" s="361" t="s">
        <v>247</v>
      </c>
      <c r="C1731" s="361"/>
      <c r="D1731" s="50"/>
      <c r="E1731" s="360"/>
      <c r="F1731" s="360"/>
      <c r="G1731" s="362">
        <v>117.6</v>
      </c>
    </row>
    <row r="1732" customHeight="1" spans="1:7">
      <c r="A1732" s="47" t="s">
        <v>41</v>
      </c>
      <c r="B1732" s="361" t="s">
        <v>248</v>
      </c>
      <c r="C1732" s="361"/>
      <c r="D1732" s="50"/>
      <c r="E1732" s="360"/>
      <c r="F1732" s="360"/>
      <c r="G1732" s="362">
        <v>0.93</v>
      </c>
    </row>
    <row r="1733" customHeight="1" spans="1:7">
      <c r="A1733" s="47" t="s">
        <v>46</v>
      </c>
      <c r="B1733" s="361" t="s">
        <v>314</v>
      </c>
      <c r="C1733" s="361"/>
      <c r="D1733" s="50"/>
      <c r="E1733" s="360"/>
      <c r="F1733" s="360"/>
      <c r="G1733" s="362">
        <v>258.83</v>
      </c>
    </row>
    <row r="1734" customHeight="1" spans="1:7">
      <c r="A1734" s="47" t="s">
        <v>133</v>
      </c>
      <c r="B1734" s="361" t="s">
        <v>294</v>
      </c>
      <c r="C1734" s="361"/>
      <c r="D1734" s="50"/>
      <c r="E1734" s="365">
        <f>G1730</f>
        <v>377.36</v>
      </c>
      <c r="F1734" s="366">
        <f>F1715</f>
        <v>0.048</v>
      </c>
      <c r="G1734" s="362">
        <f>E1734*F1734</f>
        <v>18.11</v>
      </c>
    </row>
    <row r="1735" customHeight="1" spans="1:7">
      <c r="A1735" s="47" t="s">
        <v>14</v>
      </c>
      <c r="B1735" s="361" t="s">
        <v>295</v>
      </c>
      <c r="C1735" s="361"/>
      <c r="D1735" s="50"/>
      <c r="E1735" s="360">
        <f>G1731</f>
        <v>117.6</v>
      </c>
      <c r="F1735" s="366">
        <f t="shared" ref="F1735:F1739" si="64">F1716</f>
        <v>0.0725</v>
      </c>
      <c r="G1735" s="362">
        <f>E1735*F1735</f>
        <v>8.53</v>
      </c>
    </row>
    <row r="1736" customHeight="1" spans="1:7">
      <c r="A1736" s="47" t="s">
        <v>16</v>
      </c>
      <c r="B1736" s="361" t="s">
        <v>296</v>
      </c>
      <c r="C1736" s="361"/>
      <c r="D1736" s="50"/>
      <c r="E1736" s="360">
        <f>G1729+G1735</f>
        <v>404</v>
      </c>
      <c r="F1736" s="366">
        <f t="shared" si="64"/>
        <v>0.07</v>
      </c>
      <c r="G1736" s="362">
        <f>E1736*F1736</f>
        <v>28.28</v>
      </c>
    </row>
    <row r="1737" customHeight="1" spans="1:7">
      <c r="A1737" s="47" t="s">
        <v>18</v>
      </c>
      <c r="B1737" s="361" t="s">
        <v>254</v>
      </c>
      <c r="C1737" s="361"/>
      <c r="D1737" s="50"/>
      <c r="E1737" s="360"/>
      <c r="F1737" s="366"/>
      <c r="G1737" s="362"/>
    </row>
    <row r="1738" customHeight="1" spans="1:7">
      <c r="A1738" s="47" t="s">
        <v>20</v>
      </c>
      <c r="B1738" s="361" t="s">
        <v>297</v>
      </c>
      <c r="C1738" s="361"/>
      <c r="D1738" s="50"/>
      <c r="E1738" s="360">
        <f>G1729+G1735++G1736+G1737</f>
        <v>432.28</v>
      </c>
      <c r="F1738" s="366">
        <f t="shared" si="64"/>
        <v>0.09</v>
      </c>
      <c r="G1738" s="362">
        <f>E1738*F1738</f>
        <v>38.91</v>
      </c>
    </row>
    <row r="1739" customHeight="1" spans="1:7">
      <c r="A1739" s="47"/>
      <c r="B1739" s="361" t="s">
        <v>298</v>
      </c>
      <c r="C1739" s="361"/>
      <c r="D1739" s="50"/>
      <c r="E1739" s="360">
        <f>G1729+G1735+G1736+G1737+G1738</f>
        <v>471.19</v>
      </c>
      <c r="F1739" s="366">
        <f t="shared" si="64"/>
        <v>0.03</v>
      </c>
      <c r="G1739" s="362">
        <f>E1739*F1739</f>
        <v>14.14</v>
      </c>
    </row>
    <row r="1740" customHeight="1" spans="1:7">
      <c r="A1740" s="369"/>
      <c r="B1740" s="370" t="s">
        <v>560</v>
      </c>
      <c r="C1740" s="370"/>
      <c r="D1740" s="370"/>
      <c r="E1740" s="371"/>
      <c r="F1740" s="370"/>
      <c r="G1740" s="372">
        <f>G1729+G1735+G1736+G1737+G1738+G1739</f>
        <v>485.33</v>
      </c>
    </row>
    <row r="1742" customHeight="1" spans="1:7">
      <c r="A1742" s="354" t="s">
        <v>274</v>
      </c>
      <c r="B1742" s="354"/>
      <c r="C1742" s="354"/>
      <c r="D1742" s="354"/>
      <c r="E1742" s="354"/>
      <c r="F1742" s="354"/>
      <c r="G1742" s="354"/>
    </row>
    <row r="1743" customHeight="1" spans="1:7">
      <c r="A1743" s="512" t="s">
        <v>275</v>
      </c>
      <c r="B1743" s="513"/>
      <c r="C1743" s="513" t="s">
        <v>680</v>
      </c>
      <c r="D1743" s="513" t="s">
        <v>276</v>
      </c>
      <c r="E1743" s="514" t="s">
        <v>833</v>
      </c>
      <c r="F1743" s="514"/>
      <c r="G1743" s="515"/>
    </row>
    <row r="1744" customHeight="1" spans="1:7">
      <c r="A1744" s="516" t="s">
        <v>278</v>
      </c>
      <c r="B1744" s="517"/>
      <c r="C1744" s="518" t="s">
        <v>834</v>
      </c>
      <c r="D1744" s="518"/>
      <c r="E1744" s="518"/>
      <c r="F1744" s="519" t="s">
        <v>280</v>
      </c>
      <c r="G1744" s="520" t="s">
        <v>281</v>
      </c>
    </row>
    <row r="1745" customHeight="1" spans="1:7">
      <c r="A1745" s="521" t="s">
        <v>817</v>
      </c>
      <c r="B1745" s="518"/>
      <c r="C1745" s="518"/>
      <c r="D1745" s="518"/>
      <c r="E1745" s="518"/>
      <c r="F1745" s="518"/>
      <c r="G1745" s="522"/>
    </row>
    <row r="1746" customHeight="1" spans="1:7">
      <c r="A1746" s="523" t="s">
        <v>818</v>
      </c>
      <c r="B1746" s="524"/>
      <c r="C1746" s="525"/>
      <c r="D1746" s="525"/>
      <c r="E1746" s="525"/>
      <c r="F1746" s="525"/>
      <c r="G1746" s="526"/>
    </row>
    <row r="1747" customHeight="1" spans="1:7">
      <c r="A1747" s="516" t="s">
        <v>284</v>
      </c>
      <c r="B1747" s="519" t="s">
        <v>233</v>
      </c>
      <c r="C1747" s="519"/>
      <c r="D1747" s="519" t="s">
        <v>88</v>
      </c>
      <c r="E1747" s="527" t="s">
        <v>130</v>
      </c>
      <c r="F1747" s="519" t="s">
        <v>285</v>
      </c>
      <c r="G1747" s="520" t="s">
        <v>286</v>
      </c>
    </row>
    <row r="1748" customHeight="1" spans="1:7">
      <c r="A1748" s="516" t="s">
        <v>9</v>
      </c>
      <c r="B1748" s="528" t="s">
        <v>287</v>
      </c>
      <c r="C1748" s="528"/>
      <c r="D1748" s="519"/>
      <c r="E1748" s="527"/>
      <c r="F1748" s="527"/>
      <c r="G1748" s="529">
        <f>G1749+G1757</f>
        <v>4746.39</v>
      </c>
    </row>
    <row r="1749" customHeight="1" spans="1:7">
      <c r="A1749" s="516" t="s">
        <v>132</v>
      </c>
      <c r="B1749" s="528" t="s">
        <v>288</v>
      </c>
      <c r="C1749" s="528"/>
      <c r="D1749" s="519"/>
      <c r="E1749" s="527"/>
      <c r="F1749" s="527"/>
      <c r="G1749" s="529">
        <f>G1750+G1753+G1756</f>
        <v>4529</v>
      </c>
    </row>
    <row r="1750" customHeight="1" spans="1:7">
      <c r="A1750" s="516" t="s">
        <v>39</v>
      </c>
      <c r="B1750" s="528" t="s">
        <v>247</v>
      </c>
      <c r="C1750" s="528"/>
      <c r="D1750" s="519"/>
      <c r="E1750" s="527"/>
      <c r="F1750" s="527"/>
      <c r="G1750" s="529">
        <f>SUM(G1751:G1752)</f>
        <v>2579.19</v>
      </c>
    </row>
    <row r="1751" customHeight="1" spans="1:7">
      <c r="A1751" s="516"/>
      <c r="B1751" s="528" t="s">
        <v>289</v>
      </c>
      <c r="C1751" s="528"/>
      <c r="D1751" s="519" t="s">
        <v>290</v>
      </c>
      <c r="E1751" s="530"/>
      <c r="F1751" s="527"/>
      <c r="G1751" s="529">
        <f>E1751*F1751</f>
        <v>0</v>
      </c>
    </row>
    <row r="1752" customHeight="1" spans="1:7">
      <c r="A1752" s="516"/>
      <c r="B1752" s="528" t="s">
        <v>291</v>
      </c>
      <c r="C1752" s="528"/>
      <c r="D1752" s="519" t="s">
        <v>290</v>
      </c>
      <c r="E1752" s="530">
        <v>447</v>
      </c>
      <c r="F1752" s="527">
        <f>F1685</f>
        <v>5.77</v>
      </c>
      <c r="G1752" s="529">
        <f>E1752*F1752</f>
        <v>2579.19</v>
      </c>
    </row>
    <row r="1753" customHeight="1" spans="1:7">
      <c r="A1753" s="516" t="s">
        <v>41</v>
      </c>
      <c r="B1753" s="528" t="s">
        <v>248</v>
      </c>
      <c r="C1753" s="528"/>
      <c r="D1753" s="519"/>
      <c r="E1753" s="527"/>
      <c r="F1753" s="527"/>
      <c r="G1753" s="529">
        <f>SUM(G1754:G1755)</f>
        <v>1949.81</v>
      </c>
    </row>
    <row r="1754" customHeight="1" spans="1:7">
      <c r="A1754" s="516"/>
      <c r="B1754" s="531" t="s">
        <v>835</v>
      </c>
      <c r="C1754" s="532"/>
      <c r="D1754" s="533" t="s">
        <v>158</v>
      </c>
      <c r="E1754" s="534">
        <v>1485</v>
      </c>
      <c r="F1754" s="534">
        <v>1.3</v>
      </c>
      <c r="G1754" s="535">
        <f>E1754*F1754</f>
        <v>1930.5</v>
      </c>
    </row>
    <row r="1755" customHeight="1" spans="1:7">
      <c r="A1755" s="516"/>
      <c r="B1755" s="528" t="s">
        <v>397</v>
      </c>
      <c r="C1755" s="528"/>
      <c r="D1755" s="519" t="s">
        <v>293</v>
      </c>
      <c r="E1755" s="530">
        <v>1</v>
      </c>
      <c r="F1755" s="527">
        <f>SUM(G1754:G1754)</f>
        <v>1930.5</v>
      </c>
      <c r="G1755" s="529">
        <f>E1755*F1755/100</f>
        <v>19.31</v>
      </c>
    </row>
    <row r="1756" customHeight="1" spans="1:7">
      <c r="A1756" s="516" t="s">
        <v>46</v>
      </c>
      <c r="B1756" s="528" t="s">
        <v>314</v>
      </c>
      <c r="C1756" s="528"/>
      <c r="D1756" s="519"/>
      <c r="E1756" s="527"/>
      <c r="F1756" s="527"/>
      <c r="G1756" s="529">
        <v>0</v>
      </c>
    </row>
    <row r="1757" customHeight="1" spans="1:7">
      <c r="A1757" s="516" t="s">
        <v>133</v>
      </c>
      <c r="B1757" s="528" t="s">
        <v>294</v>
      </c>
      <c r="C1757" s="528"/>
      <c r="D1757" s="519"/>
      <c r="E1757" s="536">
        <f>G1749</f>
        <v>4529</v>
      </c>
      <c r="F1757" s="537">
        <f>费率!J4</f>
        <v>0.048</v>
      </c>
      <c r="G1757" s="529">
        <f>E1757*F1757</f>
        <v>217.39</v>
      </c>
    </row>
    <row r="1758" customHeight="1" spans="1:7">
      <c r="A1758" s="516" t="s">
        <v>14</v>
      </c>
      <c r="B1758" s="528" t="s">
        <v>295</v>
      </c>
      <c r="C1758" s="528"/>
      <c r="D1758" s="519"/>
      <c r="E1758" s="527">
        <f>G1750</f>
        <v>2579.19</v>
      </c>
      <c r="F1758" s="537">
        <f>费率!J5</f>
        <v>0.0725</v>
      </c>
      <c r="G1758" s="529">
        <f>E1758*F1758</f>
        <v>186.99</v>
      </c>
    </row>
    <row r="1759" customHeight="1" spans="1:7">
      <c r="A1759" s="516" t="s">
        <v>16</v>
      </c>
      <c r="B1759" s="528" t="s">
        <v>296</v>
      </c>
      <c r="C1759" s="528"/>
      <c r="D1759" s="519"/>
      <c r="E1759" s="527">
        <f>G1748+G1758</f>
        <v>4933.38</v>
      </c>
      <c r="F1759" s="537">
        <f>费率!J6</f>
        <v>0.07</v>
      </c>
      <c r="G1759" s="529">
        <f>E1759*F1759</f>
        <v>345.34</v>
      </c>
    </row>
    <row r="1760" customHeight="1" spans="1:7">
      <c r="A1760" s="516" t="s">
        <v>18</v>
      </c>
      <c r="B1760" s="528" t="s">
        <v>254</v>
      </c>
      <c r="C1760" s="528"/>
      <c r="D1760" s="519"/>
      <c r="E1760" s="527"/>
      <c r="F1760" s="537"/>
      <c r="G1760" s="529">
        <v>0</v>
      </c>
    </row>
    <row r="1761" customHeight="1" spans="1:7">
      <c r="A1761" s="516" t="s">
        <v>20</v>
      </c>
      <c r="B1761" s="528" t="s">
        <v>297</v>
      </c>
      <c r="C1761" s="528"/>
      <c r="D1761" s="519"/>
      <c r="E1761" s="527">
        <f>G1748+G1758++G1759+G1760</f>
        <v>5278.72</v>
      </c>
      <c r="F1761" s="537">
        <f>费率!J7</f>
        <v>0.09</v>
      </c>
      <c r="G1761" s="529">
        <f>E1761*F1761</f>
        <v>475.08</v>
      </c>
    </row>
    <row r="1762" customHeight="1" spans="1:7">
      <c r="A1762" s="516"/>
      <c r="B1762" s="528" t="s">
        <v>298</v>
      </c>
      <c r="C1762" s="528"/>
      <c r="D1762" s="519"/>
      <c r="E1762" s="527">
        <f>G1748+G1758+G1759+G1760+G1761</f>
        <v>5753.8</v>
      </c>
      <c r="F1762" s="537">
        <f>费率!J8</f>
        <v>0.03</v>
      </c>
      <c r="G1762" s="529">
        <f>E1762*F1762</f>
        <v>172.61</v>
      </c>
    </row>
    <row r="1763" customHeight="1" spans="1:7">
      <c r="A1763" s="538"/>
      <c r="B1763" s="539" t="s">
        <v>560</v>
      </c>
      <c r="C1763" s="539"/>
      <c r="D1763" s="539"/>
      <c r="E1763" s="540"/>
      <c r="F1763" s="539"/>
      <c r="G1763" s="541">
        <f>G1748+G1758+G1759+G1760+G1761+G1762</f>
        <v>5926.41</v>
      </c>
    </row>
    <row r="1765" customHeight="1" spans="1:7">
      <c r="A1765" s="354" t="s">
        <v>274</v>
      </c>
      <c r="B1765" s="354"/>
      <c r="C1765" s="354"/>
      <c r="D1765" s="354"/>
      <c r="E1765" s="354"/>
      <c r="F1765" s="354"/>
      <c r="G1765" s="354"/>
    </row>
    <row r="1766" customHeight="1" spans="1:7">
      <c r="A1766" s="42" t="s">
        <v>275</v>
      </c>
      <c r="B1766" s="43"/>
      <c r="C1766" s="43" t="s">
        <v>641</v>
      </c>
      <c r="D1766" s="43" t="s">
        <v>276</v>
      </c>
      <c r="E1766" s="355" t="s">
        <v>836</v>
      </c>
      <c r="F1766" s="355"/>
      <c r="G1766" s="356"/>
    </row>
    <row r="1767" customHeight="1" spans="1:7">
      <c r="A1767" s="47" t="s">
        <v>278</v>
      </c>
      <c r="B1767" s="48"/>
      <c r="C1767" s="49" t="s">
        <v>807</v>
      </c>
      <c r="D1767" s="49"/>
      <c r="E1767" s="49"/>
      <c r="F1767" s="50" t="s">
        <v>280</v>
      </c>
      <c r="G1767" s="51" t="s">
        <v>644</v>
      </c>
    </row>
    <row r="1768" customHeight="1" spans="1:7">
      <c r="A1768" s="358" t="s">
        <v>645</v>
      </c>
      <c r="B1768" s="49"/>
      <c r="C1768" s="49"/>
      <c r="D1768" s="49"/>
      <c r="E1768" s="49"/>
      <c r="F1768" s="49"/>
      <c r="G1768" s="359"/>
    </row>
    <row r="1769" customHeight="1" spans="1:7">
      <c r="A1769" s="52" t="s">
        <v>646</v>
      </c>
      <c r="B1769" s="53"/>
      <c r="C1769" s="54"/>
      <c r="D1769" s="54"/>
      <c r="E1769" s="54"/>
      <c r="F1769" s="54"/>
      <c r="G1769" s="55"/>
    </row>
    <row r="1770" customHeight="1" spans="1:7">
      <c r="A1770" s="47" t="s">
        <v>284</v>
      </c>
      <c r="B1770" s="50" t="s">
        <v>233</v>
      </c>
      <c r="C1770" s="50"/>
      <c r="D1770" s="50" t="s">
        <v>88</v>
      </c>
      <c r="E1770" s="360" t="s">
        <v>130</v>
      </c>
      <c r="F1770" s="50" t="s">
        <v>285</v>
      </c>
      <c r="G1770" s="51" t="s">
        <v>286</v>
      </c>
    </row>
    <row r="1771" customHeight="1" spans="1:7">
      <c r="A1771" s="47" t="s">
        <v>9</v>
      </c>
      <c r="B1771" s="361" t="s">
        <v>287</v>
      </c>
      <c r="C1771" s="361"/>
      <c r="D1771" s="50"/>
      <c r="E1771" s="360"/>
      <c r="F1771" s="360"/>
      <c r="G1771" s="362">
        <f>G1772+G1784</f>
        <v>43292.95</v>
      </c>
    </row>
    <row r="1772" customHeight="1" spans="1:7">
      <c r="A1772" s="47" t="s">
        <v>132</v>
      </c>
      <c r="B1772" s="361" t="s">
        <v>288</v>
      </c>
      <c r="C1772" s="361"/>
      <c r="D1772" s="50"/>
      <c r="E1772" s="360"/>
      <c r="F1772" s="360"/>
      <c r="G1772" s="362">
        <f>G1773+G1776+G1780</f>
        <v>41310.07</v>
      </c>
    </row>
    <row r="1773" customHeight="1" spans="1:7">
      <c r="A1773" s="47" t="s">
        <v>39</v>
      </c>
      <c r="B1773" s="361" t="s">
        <v>247</v>
      </c>
      <c r="C1773" s="361"/>
      <c r="D1773" s="50"/>
      <c r="E1773" s="360"/>
      <c r="F1773" s="360"/>
      <c r="G1773" s="362">
        <f>SUM(G1774:G1775)</f>
        <v>9902.88</v>
      </c>
    </row>
    <row r="1774" customHeight="1" spans="1:7">
      <c r="A1774" s="47"/>
      <c r="B1774" s="361" t="s">
        <v>289</v>
      </c>
      <c r="C1774" s="361"/>
      <c r="D1774" s="50" t="s">
        <v>290</v>
      </c>
      <c r="E1774" s="363">
        <f>636-31*3</f>
        <v>543</v>
      </c>
      <c r="F1774" s="360">
        <f>F1545</f>
        <v>8.1</v>
      </c>
      <c r="G1774" s="362">
        <f>E1774*F1774</f>
        <v>4398.3</v>
      </c>
    </row>
    <row r="1775" customHeight="1" spans="1:7">
      <c r="A1775" s="47"/>
      <c r="B1775" s="361" t="s">
        <v>291</v>
      </c>
      <c r="C1775" s="361"/>
      <c r="D1775" s="50" t="s">
        <v>290</v>
      </c>
      <c r="E1775" s="363">
        <f>954</f>
        <v>954</v>
      </c>
      <c r="F1775" s="360">
        <f t="shared" ref="F1775:F1793" si="65">F1546</f>
        <v>5.77</v>
      </c>
      <c r="G1775" s="362">
        <f>E1775*F1775</f>
        <v>5504.58</v>
      </c>
    </row>
    <row r="1776" customHeight="1" spans="1:7">
      <c r="A1776" s="47" t="s">
        <v>41</v>
      </c>
      <c r="B1776" s="361" t="s">
        <v>248</v>
      </c>
      <c r="C1776" s="361"/>
      <c r="D1776" s="50"/>
      <c r="E1776" s="360"/>
      <c r="F1776" s="360"/>
      <c r="G1776" s="362">
        <f>SUM(G1777:G1779)</f>
        <v>28930.38</v>
      </c>
    </row>
    <row r="1777" customHeight="1" spans="1:7">
      <c r="A1777" s="47"/>
      <c r="B1777" s="361" t="s">
        <v>696</v>
      </c>
      <c r="C1777" s="361"/>
      <c r="D1777" s="50" t="s">
        <v>395</v>
      </c>
      <c r="E1777" s="360">
        <f>0.23</f>
        <v>0.23</v>
      </c>
      <c r="F1777" s="360">
        <f t="shared" si="65"/>
        <v>2143.4</v>
      </c>
      <c r="G1777" s="362">
        <f>E1777*F1777</f>
        <v>492.98</v>
      </c>
    </row>
    <row r="1778" customHeight="1" spans="1:7">
      <c r="A1778" s="47"/>
      <c r="B1778" s="361" t="s">
        <v>698</v>
      </c>
      <c r="C1778" s="361"/>
      <c r="D1778" s="50" t="s">
        <v>395</v>
      </c>
      <c r="E1778" s="360">
        <f>153</f>
        <v>153</v>
      </c>
      <c r="F1778" s="360">
        <f t="shared" si="65"/>
        <v>183.37</v>
      </c>
      <c r="G1778" s="362">
        <f>E1778*F1778</f>
        <v>28055.61</v>
      </c>
    </row>
    <row r="1779" customHeight="1" spans="1:7">
      <c r="A1779" s="47"/>
      <c r="B1779" s="361" t="s">
        <v>397</v>
      </c>
      <c r="C1779" s="361"/>
      <c r="D1779" s="50" t="s">
        <v>293</v>
      </c>
      <c r="E1779" s="363">
        <v>2</v>
      </c>
      <c r="F1779" s="360">
        <f t="shared" si="65"/>
        <v>19089.55</v>
      </c>
      <c r="G1779" s="362">
        <f>E1779*F1779/100</f>
        <v>381.79</v>
      </c>
    </row>
    <row r="1780" customHeight="1" spans="1:7">
      <c r="A1780" s="47" t="s">
        <v>46</v>
      </c>
      <c r="B1780" s="361" t="s">
        <v>314</v>
      </c>
      <c r="C1780" s="361"/>
      <c r="D1780" s="50"/>
      <c r="E1780" s="360"/>
      <c r="F1780" s="360"/>
      <c r="G1780" s="362">
        <f>SUM(G1781:G1783)</f>
        <v>2476.81</v>
      </c>
    </row>
    <row r="1781" customHeight="1" spans="1:7">
      <c r="A1781" s="47"/>
      <c r="B1781" s="361" t="s">
        <v>808</v>
      </c>
      <c r="C1781" s="361"/>
      <c r="D1781" s="50" t="s">
        <v>316</v>
      </c>
      <c r="E1781" s="360">
        <f>24</f>
        <v>24</v>
      </c>
      <c r="F1781" s="360">
        <f t="shared" si="65"/>
        <v>23.75</v>
      </c>
      <c r="G1781" s="362">
        <f>E1781*F1781</f>
        <v>570</v>
      </c>
    </row>
    <row r="1782" customHeight="1" spans="1:7">
      <c r="A1782" s="47"/>
      <c r="B1782" s="379" t="s">
        <v>809</v>
      </c>
      <c r="C1782" s="380"/>
      <c r="D1782" s="50" t="s">
        <v>316</v>
      </c>
      <c r="E1782" s="360">
        <f>25</f>
        <v>25</v>
      </c>
      <c r="F1782" s="360">
        <f t="shared" si="65"/>
        <v>73.1</v>
      </c>
      <c r="G1782" s="362">
        <f>E1782*F1782</f>
        <v>1827.5</v>
      </c>
    </row>
    <row r="1783" customHeight="1" spans="1:7">
      <c r="A1783" s="47"/>
      <c r="B1783" s="361" t="s">
        <v>370</v>
      </c>
      <c r="C1783" s="361"/>
      <c r="D1783" s="50" t="s">
        <v>293</v>
      </c>
      <c r="E1783" s="364">
        <v>5</v>
      </c>
      <c r="F1783" s="360">
        <f t="shared" si="65"/>
        <v>1586.15</v>
      </c>
      <c r="G1783" s="362">
        <f>E1783*F1783/100</f>
        <v>79.31</v>
      </c>
    </row>
    <row r="1784" customHeight="1" spans="1:7">
      <c r="A1784" s="47" t="s">
        <v>133</v>
      </c>
      <c r="B1784" s="361" t="s">
        <v>294</v>
      </c>
      <c r="C1784" s="361"/>
      <c r="D1784" s="50"/>
      <c r="E1784" s="365">
        <f>G1772</f>
        <v>41310.07</v>
      </c>
      <c r="F1784" s="542">
        <f t="shared" si="65"/>
        <v>0.048</v>
      </c>
      <c r="G1784" s="362">
        <f>E1784*F1784</f>
        <v>1982.88</v>
      </c>
    </row>
    <row r="1785" customHeight="1" spans="1:7">
      <c r="A1785" s="47" t="s">
        <v>14</v>
      </c>
      <c r="B1785" s="361" t="s">
        <v>295</v>
      </c>
      <c r="C1785" s="361"/>
      <c r="D1785" s="50"/>
      <c r="E1785" s="360">
        <f>G1773</f>
        <v>9902.88</v>
      </c>
      <c r="F1785" s="542">
        <f t="shared" si="65"/>
        <v>0.0725</v>
      </c>
      <c r="G1785" s="362">
        <f>E1785*F1785</f>
        <v>717.96</v>
      </c>
    </row>
    <row r="1786" customHeight="1" spans="1:7">
      <c r="A1786" s="47" t="s">
        <v>16</v>
      </c>
      <c r="B1786" s="361" t="s">
        <v>296</v>
      </c>
      <c r="C1786" s="361"/>
      <c r="D1786" s="50"/>
      <c r="E1786" s="360">
        <f>G1771+G1785</f>
        <v>44010.91</v>
      </c>
      <c r="F1786" s="542">
        <f t="shared" si="65"/>
        <v>0.07</v>
      </c>
      <c r="G1786" s="362">
        <f>E1786*F1786</f>
        <v>3080.76</v>
      </c>
    </row>
    <row r="1787" customHeight="1" spans="1:7">
      <c r="A1787" s="47" t="s">
        <v>18</v>
      </c>
      <c r="B1787" s="361" t="s">
        <v>254</v>
      </c>
      <c r="C1787" s="361"/>
      <c r="D1787" s="50"/>
      <c r="E1787" s="360"/>
      <c r="F1787" s="360"/>
      <c r="G1787" s="362">
        <f>SUM(G1788:G1791)</f>
        <v>12089.42</v>
      </c>
    </row>
    <row r="1788" customHeight="1" spans="1:7">
      <c r="A1788" s="47"/>
      <c r="B1788" s="379" t="s">
        <v>405</v>
      </c>
      <c r="C1788" s="380"/>
      <c r="D1788" s="50" t="s">
        <v>395</v>
      </c>
      <c r="E1788" s="360">
        <f>E1778*混凝土单价!E8</f>
        <v>52.02</v>
      </c>
      <c r="F1788" s="360">
        <f t="shared" si="65"/>
        <v>135.66</v>
      </c>
      <c r="G1788" s="362">
        <f>E1788*F1788</f>
        <v>7057.03</v>
      </c>
    </row>
    <row r="1789" customHeight="1" spans="1:7">
      <c r="A1789" s="47"/>
      <c r="B1789" s="361" t="s">
        <v>396</v>
      </c>
      <c r="C1789" s="361"/>
      <c r="D1789" s="50" t="s">
        <v>395</v>
      </c>
      <c r="E1789" s="360">
        <f>E1778*混凝土单价!G8</f>
        <v>81.09</v>
      </c>
      <c r="F1789" s="360">
        <f t="shared" si="65"/>
        <v>37.93</v>
      </c>
      <c r="G1789" s="362">
        <f t="shared" ref="G1789:G1793" si="66">E1789*F1789</f>
        <v>3075.74</v>
      </c>
    </row>
    <row r="1790" customHeight="1" spans="1:7">
      <c r="A1790" s="47"/>
      <c r="B1790" s="361" t="s">
        <v>394</v>
      </c>
      <c r="C1790" s="361"/>
      <c r="D1790" s="50" t="s">
        <v>395</v>
      </c>
      <c r="E1790" s="360">
        <f>E1778*混凝土单价!I8</f>
        <v>128.52</v>
      </c>
      <c r="F1790" s="360">
        <f t="shared" si="65"/>
        <v>7.03</v>
      </c>
      <c r="G1790" s="362">
        <f t="shared" si="66"/>
        <v>903.5</v>
      </c>
    </row>
    <row r="1791" customHeight="1" spans="1:7">
      <c r="A1791" s="47"/>
      <c r="B1791" s="379" t="s">
        <v>317</v>
      </c>
      <c r="C1791" s="380"/>
      <c r="D1791" s="50" t="s">
        <v>323</v>
      </c>
      <c r="E1791" s="360">
        <f>E1782*机械!L26</f>
        <v>255</v>
      </c>
      <c r="F1791" s="360">
        <f t="shared" si="65"/>
        <v>4.13</v>
      </c>
      <c r="G1791" s="362">
        <f t="shared" si="66"/>
        <v>1053.15</v>
      </c>
    </row>
    <row r="1792" customHeight="1" spans="1:7">
      <c r="A1792" s="47" t="s">
        <v>20</v>
      </c>
      <c r="B1792" s="361" t="s">
        <v>297</v>
      </c>
      <c r="C1792" s="361"/>
      <c r="D1792" s="50"/>
      <c r="E1792" s="360">
        <f>G1771+G1785++G1786+G1787</f>
        <v>59181.09</v>
      </c>
      <c r="F1792" s="542">
        <f t="shared" si="65"/>
        <v>0.09</v>
      </c>
      <c r="G1792" s="362">
        <f t="shared" si="66"/>
        <v>5326.3</v>
      </c>
    </row>
    <row r="1793" customHeight="1" spans="1:7">
      <c r="A1793" s="47"/>
      <c r="B1793" s="361" t="s">
        <v>298</v>
      </c>
      <c r="C1793" s="361"/>
      <c r="D1793" s="50"/>
      <c r="E1793" s="360">
        <f>G1771+G1785+G1786+G1787+G1792</f>
        <v>64507.39</v>
      </c>
      <c r="F1793" s="542">
        <f t="shared" si="65"/>
        <v>0.03</v>
      </c>
      <c r="G1793" s="362">
        <f t="shared" si="66"/>
        <v>1935.22</v>
      </c>
    </row>
    <row r="1794" customHeight="1" spans="1:7">
      <c r="A1794" s="369"/>
      <c r="B1794" s="370" t="s">
        <v>560</v>
      </c>
      <c r="C1794" s="370"/>
      <c r="D1794" s="370"/>
      <c r="E1794" s="371"/>
      <c r="F1794" s="370"/>
      <c r="G1794" s="372">
        <f>G1771+G1785+G1786+G1787+G1792+G1793</f>
        <v>66442.61</v>
      </c>
    </row>
    <row r="1796" customHeight="1" spans="1:7">
      <c r="A1796" s="354" t="s">
        <v>274</v>
      </c>
      <c r="B1796" s="354"/>
      <c r="C1796" s="354"/>
      <c r="D1796" s="354"/>
      <c r="E1796" s="354"/>
      <c r="F1796" s="354"/>
      <c r="G1796" s="354"/>
    </row>
    <row r="1797" customHeight="1" spans="1:7">
      <c r="A1797" s="42" t="s">
        <v>275</v>
      </c>
      <c r="B1797" s="43"/>
      <c r="C1797" s="43" t="s">
        <v>641</v>
      </c>
      <c r="D1797" s="43" t="s">
        <v>276</v>
      </c>
      <c r="E1797" s="355" t="s">
        <v>837</v>
      </c>
      <c r="F1797" s="355"/>
      <c r="G1797" s="356"/>
    </row>
    <row r="1798" customHeight="1" spans="1:7">
      <c r="A1798" s="47" t="s">
        <v>278</v>
      </c>
      <c r="B1798" s="48"/>
      <c r="C1798" s="49" t="s">
        <v>838</v>
      </c>
      <c r="D1798" s="49"/>
      <c r="E1798" s="49"/>
      <c r="F1798" s="50" t="s">
        <v>280</v>
      </c>
      <c r="G1798" s="51" t="s">
        <v>357</v>
      </c>
    </row>
    <row r="1799" customHeight="1" spans="1:7">
      <c r="A1799" s="358" t="s">
        <v>645</v>
      </c>
      <c r="B1799" s="49"/>
      <c r="C1799" s="49"/>
      <c r="D1799" s="49"/>
      <c r="E1799" s="49"/>
      <c r="F1799" s="49"/>
      <c r="G1799" s="359"/>
    </row>
    <row r="1800" customHeight="1" spans="1:7">
      <c r="A1800" s="52" t="s">
        <v>646</v>
      </c>
      <c r="B1800" s="53"/>
      <c r="C1800" s="54"/>
      <c r="D1800" s="54"/>
      <c r="E1800" s="54"/>
      <c r="F1800" s="54"/>
      <c r="G1800" s="55"/>
    </row>
    <row r="1801" customHeight="1" spans="1:7">
      <c r="A1801" s="47" t="s">
        <v>284</v>
      </c>
      <c r="B1801" s="50" t="s">
        <v>233</v>
      </c>
      <c r="C1801" s="50"/>
      <c r="D1801" s="50" t="s">
        <v>88</v>
      </c>
      <c r="E1801" s="360" t="s">
        <v>130</v>
      </c>
      <c r="F1801" s="50" t="s">
        <v>285</v>
      </c>
      <c r="G1801" s="51" t="s">
        <v>286</v>
      </c>
    </row>
    <row r="1802" customHeight="1" spans="1:7">
      <c r="A1802" s="47" t="s">
        <v>9</v>
      </c>
      <c r="B1802" s="361" t="s">
        <v>287</v>
      </c>
      <c r="C1802" s="361"/>
      <c r="D1802" s="50"/>
      <c r="E1802" s="360"/>
      <c r="F1802" s="360"/>
      <c r="G1802" s="362">
        <f>G1803+G1807</f>
        <v>3318.4</v>
      </c>
    </row>
    <row r="1803" customHeight="1" spans="1:7">
      <c r="A1803" s="47" t="s">
        <v>132</v>
      </c>
      <c r="B1803" s="361" t="s">
        <v>288</v>
      </c>
      <c r="C1803" s="361"/>
      <c r="D1803" s="50"/>
      <c r="E1803" s="360"/>
      <c r="F1803" s="360"/>
      <c r="G1803" s="362">
        <f>G1804+G1805+G1806</f>
        <v>3166.41</v>
      </c>
    </row>
    <row r="1804" customHeight="1" spans="1:7">
      <c r="A1804" s="47" t="s">
        <v>39</v>
      </c>
      <c r="B1804" s="361" t="s">
        <v>247</v>
      </c>
      <c r="C1804" s="361"/>
      <c r="D1804" s="50"/>
      <c r="E1804" s="360"/>
      <c r="F1804" s="360"/>
      <c r="G1804" s="362">
        <f>79.8+3.6*5</f>
        <v>97.8</v>
      </c>
    </row>
    <row r="1805" customHeight="1" spans="1:7">
      <c r="A1805" s="47" t="s">
        <v>41</v>
      </c>
      <c r="B1805" s="361" t="s">
        <v>248</v>
      </c>
      <c r="C1805" s="361"/>
      <c r="D1805" s="50"/>
      <c r="E1805" s="360"/>
      <c r="F1805" s="360"/>
      <c r="G1805" s="362">
        <f>2185.66+133.82*5</f>
        <v>2854.76</v>
      </c>
    </row>
    <row r="1806" customHeight="1" spans="1:7">
      <c r="A1806" s="47" t="s">
        <v>46</v>
      </c>
      <c r="B1806" s="361" t="s">
        <v>314</v>
      </c>
      <c r="C1806" s="361"/>
      <c r="D1806" s="50"/>
      <c r="E1806" s="360"/>
      <c r="F1806" s="360"/>
      <c r="G1806" s="362">
        <f>203.95+1.98*5</f>
        <v>213.85</v>
      </c>
    </row>
    <row r="1807" customHeight="1" spans="1:7">
      <c r="A1807" s="47" t="s">
        <v>133</v>
      </c>
      <c r="B1807" s="361" t="s">
        <v>294</v>
      </c>
      <c r="C1807" s="361"/>
      <c r="D1807" s="50"/>
      <c r="E1807" s="365">
        <f>G1803</f>
        <v>3166.41</v>
      </c>
      <c r="F1807" s="366">
        <f>F1734</f>
        <v>0.048</v>
      </c>
      <c r="G1807" s="362">
        <f>E1807*F1807</f>
        <v>151.99</v>
      </c>
    </row>
    <row r="1808" customHeight="1" spans="1:7">
      <c r="A1808" s="47" t="s">
        <v>14</v>
      </c>
      <c r="B1808" s="361" t="s">
        <v>295</v>
      </c>
      <c r="C1808" s="361"/>
      <c r="D1808" s="50"/>
      <c r="E1808" s="360">
        <f>G1804</f>
        <v>97.8</v>
      </c>
      <c r="F1808" s="366">
        <f t="shared" ref="F1808:F1812" si="67">F1735</f>
        <v>0.0725</v>
      </c>
      <c r="G1808" s="362">
        <f>E1808*F1808</f>
        <v>7.09</v>
      </c>
    </row>
    <row r="1809" customHeight="1" spans="1:7">
      <c r="A1809" s="47" t="s">
        <v>16</v>
      </c>
      <c r="B1809" s="361" t="s">
        <v>296</v>
      </c>
      <c r="C1809" s="361"/>
      <c r="D1809" s="50"/>
      <c r="E1809" s="360">
        <f>G1802+G1808</f>
        <v>3325.49</v>
      </c>
      <c r="F1809" s="366">
        <f t="shared" si="67"/>
        <v>0.07</v>
      </c>
      <c r="G1809" s="362">
        <f>E1809*F1809</f>
        <v>232.78</v>
      </c>
    </row>
    <row r="1810" customHeight="1" spans="1:7">
      <c r="A1810" s="47" t="s">
        <v>18</v>
      </c>
      <c r="B1810" s="361" t="s">
        <v>254</v>
      </c>
      <c r="C1810" s="361"/>
      <c r="D1810" s="50"/>
      <c r="E1810" s="360"/>
      <c r="F1810" s="366"/>
      <c r="G1810" s="362"/>
    </row>
    <row r="1811" customHeight="1" spans="1:7">
      <c r="A1811" s="47" t="s">
        <v>20</v>
      </c>
      <c r="B1811" s="361" t="s">
        <v>297</v>
      </c>
      <c r="C1811" s="361"/>
      <c r="D1811" s="50"/>
      <c r="E1811" s="360">
        <f>G1802+G1808++G1809+G1810</f>
        <v>3558.27</v>
      </c>
      <c r="F1811" s="366">
        <f t="shared" si="67"/>
        <v>0.09</v>
      </c>
      <c r="G1811" s="362">
        <f>E1811*F1811</f>
        <v>320.24</v>
      </c>
    </row>
    <row r="1812" customHeight="1" spans="1:7">
      <c r="A1812" s="47"/>
      <c r="B1812" s="361" t="s">
        <v>298</v>
      </c>
      <c r="C1812" s="361"/>
      <c r="D1812" s="50"/>
      <c r="E1812" s="360">
        <f>G1802+G1808+G1809+G1810+G1811</f>
        <v>3878.51</v>
      </c>
      <c r="F1812" s="366">
        <f t="shared" si="67"/>
        <v>0.03</v>
      </c>
      <c r="G1812" s="362">
        <f>E1812*F1812</f>
        <v>116.36</v>
      </c>
    </row>
    <row r="1813" customHeight="1" spans="1:7">
      <c r="A1813" s="369"/>
      <c r="B1813" s="370" t="s">
        <v>560</v>
      </c>
      <c r="C1813" s="370"/>
      <c r="D1813" s="370"/>
      <c r="E1813" s="371"/>
      <c r="F1813" s="370"/>
      <c r="G1813" s="372">
        <f>G1802+G1808+G1809+G1810+G1811+G1812</f>
        <v>3994.87</v>
      </c>
    </row>
    <row r="1815" customHeight="1" spans="1:7">
      <c r="A1815" s="354" t="s">
        <v>274</v>
      </c>
      <c r="B1815" s="354"/>
      <c r="C1815" s="354"/>
      <c r="D1815" s="354"/>
      <c r="E1815" s="354"/>
      <c r="F1815" s="354"/>
      <c r="G1815" s="354"/>
    </row>
    <row r="1816" customHeight="1" spans="1:7">
      <c r="A1816" s="42" t="s">
        <v>275</v>
      </c>
      <c r="B1816" s="43"/>
      <c r="C1816" s="43" t="s">
        <v>680</v>
      </c>
      <c r="D1816" s="43" t="s">
        <v>276</v>
      </c>
      <c r="E1816" s="355" t="s">
        <v>839</v>
      </c>
      <c r="F1816" s="355"/>
      <c r="G1816" s="356"/>
    </row>
    <row r="1817" customHeight="1" spans="1:7">
      <c r="A1817" s="47" t="s">
        <v>278</v>
      </c>
      <c r="B1817" s="48"/>
      <c r="C1817" s="49" t="s">
        <v>840</v>
      </c>
      <c r="D1817" s="49"/>
      <c r="E1817" s="49"/>
      <c r="F1817" s="50" t="s">
        <v>280</v>
      </c>
      <c r="G1817" s="51" t="s">
        <v>158</v>
      </c>
    </row>
    <row r="1818" customHeight="1" spans="1:7">
      <c r="A1818" s="358" t="s">
        <v>817</v>
      </c>
      <c r="B1818" s="49"/>
      <c r="C1818" s="49"/>
      <c r="D1818" s="49"/>
      <c r="E1818" s="49"/>
      <c r="F1818" s="49"/>
      <c r="G1818" s="359"/>
    </row>
    <row r="1819" customHeight="1" spans="1:7">
      <c r="A1819" s="52" t="s">
        <v>818</v>
      </c>
      <c r="B1819" s="53"/>
      <c r="C1819" s="54"/>
      <c r="D1819" s="54"/>
      <c r="E1819" s="54"/>
      <c r="F1819" s="54"/>
      <c r="G1819" s="55"/>
    </row>
    <row r="1820" customHeight="1" spans="1:7">
      <c r="A1820" s="47" t="s">
        <v>284</v>
      </c>
      <c r="B1820" s="50" t="s">
        <v>233</v>
      </c>
      <c r="C1820" s="50"/>
      <c r="D1820" s="50" t="s">
        <v>88</v>
      </c>
      <c r="E1820" s="360" t="s">
        <v>130</v>
      </c>
      <c r="F1820" s="50" t="s">
        <v>285</v>
      </c>
      <c r="G1820" s="51" t="s">
        <v>286</v>
      </c>
    </row>
    <row r="1821" customHeight="1" spans="1:7">
      <c r="A1821" s="47" t="s">
        <v>9</v>
      </c>
      <c r="B1821" s="361" t="s">
        <v>287</v>
      </c>
      <c r="C1821" s="361"/>
      <c r="D1821" s="50"/>
      <c r="E1821" s="360"/>
      <c r="F1821" s="360"/>
      <c r="G1821" s="362">
        <f>G1822+G1839</f>
        <v>3466.24</v>
      </c>
    </row>
    <row r="1822" customHeight="1" spans="1:7">
      <c r="A1822" s="47" t="s">
        <v>132</v>
      </c>
      <c r="B1822" s="361" t="s">
        <v>288</v>
      </c>
      <c r="C1822" s="361"/>
      <c r="D1822" s="50"/>
      <c r="E1822" s="360"/>
      <c r="F1822" s="360"/>
      <c r="G1822" s="362">
        <f>G1823+G1826+G1835</f>
        <v>3307.48</v>
      </c>
    </row>
    <row r="1823" customHeight="1" spans="1:7">
      <c r="A1823" s="47" t="s">
        <v>39</v>
      </c>
      <c r="B1823" s="361" t="s">
        <v>247</v>
      </c>
      <c r="C1823" s="361"/>
      <c r="D1823" s="50"/>
      <c r="E1823" s="360"/>
      <c r="F1823" s="360"/>
      <c r="G1823" s="362">
        <f>SUM(G1824:G1825)</f>
        <v>1783.8</v>
      </c>
    </row>
    <row r="1824" customHeight="1" spans="1:7">
      <c r="A1824" s="47"/>
      <c r="B1824" s="361" t="s">
        <v>289</v>
      </c>
      <c r="C1824" s="361"/>
      <c r="D1824" s="50" t="s">
        <v>290</v>
      </c>
      <c r="E1824" s="363">
        <v>197</v>
      </c>
      <c r="F1824" s="360">
        <f>F1774</f>
        <v>8.1</v>
      </c>
      <c r="G1824" s="362">
        <f>E1824*F1824</f>
        <v>1595.7</v>
      </c>
    </row>
    <row r="1825" customHeight="1" spans="1:7">
      <c r="A1825" s="47"/>
      <c r="B1825" s="361" t="s">
        <v>291</v>
      </c>
      <c r="C1825" s="361"/>
      <c r="D1825" s="50" t="s">
        <v>290</v>
      </c>
      <c r="E1825" s="363">
        <v>32.6</v>
      </c>
      <c r="F1825" s="360">
        <f>F1775</f>
        <v>5.77</v>
      </c>
      <c r="G1825" s="362">
        <f>E1825*F1825</f>
        <v>188.1</v>
      </c>
    </row>
    <row r="1826" customHeight="1" spans="1:7">
      <c r="A1826" s="47" t="s">
        <v>41</v>
      </c>
      <c r="B1826" s="361" t="s">
        <v>248</v>
      </c>
      <c r="C1826" s="361"/>
      <c r="D1826" s="50"/>
      <c r="E1826" s="360"/>
      <c r="F1826" s="360"/>
      <c r="G1826" s="362">
        <f>SUM(G1827:G1834)</f>
        <v>1133.2</v>
      </c>
    </row>
    <row r="1827" customHeight="1" spans="1:7">
      <c r="A1827" s="47"/>
      <c r="B1827" s="379" t="s">
        <v>841</v>
      </c>
      <c r="C1827" s="380"/>
      <c r="D1827" s="50" t="s">
        <v>158</v>
      </c>
      <c r="E1827" s="360">
        <v>1.06</v>
      </c>
      <c r="F1827" s="360">
        <v>4709.46</v>
      </c>
      <c r="G1827" s="362"/>
    </row>
    <row r="1828" customHeight="1" spans="1:7">
      <c r="A1828" s="47"/>
      <c r="B1828" s="379" t="s">
        <v>842</v>
      </c>
      <c r="C1828" s="380"/>
      <c r="D1828" s="50" t="s">
        <v>843</v>
      </c>
      <c r="E1828" s="360">
        <v>1</v>
      </c>
      <c r="F1828" s="360">
        <v>200</v>
      </c>
      <c r="G1828" s="362">
        <f>E1828*F1828</f>
        <v>200</v>
      </c>
    </row>
    <row r="1829" customHeight="1" spans="1:7">
      <c r="A1829" s="47"/>
      <c r="B1829" s="379" t="s">
        <v>552</v>
      </c>
      <c r="C1829" s="380"/>
      <c r="D1829" s="50" t="s">
        <v>323</v>
      </c>
      <c r="E1829" s="360">
        <v>20</v>
      </c>
      <c r="F1829" s="360">
        <v>5.8</v>
      </c>
      <c r="G1829" s="362">
        <f t="shared" ref="G1829:G1833" si="68">E1829*F1829</f>
        <v>116</v>
      </c>
    </row>
    <row r="1830" customHeight="1" spans="1:7">
      <c r="A1830" s="47"/>
      <c r="B1830" s="361" t="s">
        <v>844</v>
      </c>
      <c r="C1830" s="361"/>
      <c r="D1830" s="50" t="s">
        <v>845</v>
      </c>
      <c r="E1830" s="360">
        <v>10</v>
      </c>
      <c r="F1830" s="360">
        <v>3.24</v>
      </c>
      <c r="G1830" s="362">
        <f t="shared" si="68"/>
        <v>32.4</v>
      </c>
    </row>
    <row r="1831" customHeight="1" spans="1:7">
      <c r="A1831" s="47"/>
      <c r="B1831" s="361" t="s">
        <v>846</v>
      </c>
      <c r="C1831" s="361"/>
      <c r="D1831" s="50" t="s">
        <v>845</v>
      </c>
      <c r="E1831" s="360">
        <v>4.3</v>
      </c>
      <c r="F1831" s="360">
        <v>18</v>
      </c>
      <c r="G1831" s="362">
        <f t="shared" si="68"/>
        <v>77.4</v>
      </c>
    </row>
    <row r="1832" customHeight="1" spans="1:7">
      <c r="A1832" s="47"/>
      <c r="B1832" s="361" t="s">
        <v>507</v>
      </c>
      <c r="C1832" s="361"/>
      <c r="D1832" s="50" t="s">
        <v>323</v>
      </c>
      <c r="E1832" s="360"/>
      <c r="F1832" s="360"/>
      <c r="G1832" s="362">
        <f t="shared" si="68"/>
        <v>0</v>
      </c>
    </row>
    <row r="1833" customHeight="1" spans="1:7">
      <c r="A1833" s="47"/>
      <c r="B1833" s="361" t="s">
        <v>847</v>
      </c>
      <c r="C1833" s="361"/>
      <c r="D1833" s="50" t="s">
        <v>323</v>
      </c>
      <c r="E1833" s="360">
        <v>35</v>
      </c>
      <c r="F1833" s="360">
        <v>16.78</v>
      </c>
      <c r="G1833" s="362">
        <f t="shared" si="68"/>
        <v>587.3</v>
      </c>
    </row>
    <row r="1834" customHeight="1" spans="1:7">
      <c r="A1834" s="47"/>
      <c r="B1834" s="361" t="s">
        <v>397</v>
      </c>
      <c r="C1834" s="361"/>
      <c r="D1834" s="50" t="s">
        <v>293</v>
      </c>
      <c r="E1834" s="363">
        <v>2</v>
      </c>
      <c r="F1834" s="360">
        <f>SUM(G1827:G1833)+E1827*F1827</f>
        <v>6005.13</v>
      </c>
      <c r="G1834" s="362">
        <f>E1834*F1834/100</f>
        <v>120.1</v>
      </c>
    </row>
    <row r="1835" customHeight="1" spans="1:7">
      <c r="A1835" s="47" t="s">
        <v>46</v>
      </c>
      <c r="B1835" s="361" t="s">
        <v>314</v>
      </c>
      <c r="C1835" s="361"/>
      <c r="D1835" s="50"/>
      <c r="E1835" s="360"/>
      <c r="F1835" s="360"/>
      <c r="G1835" s="362">
        <f>G1836+G1837+G1838</f>
        <v>390.48</v>
      </c>
    </row>
    <row r="1836" customHeight="1" spans="1:7">
      <c r="A1836" s="47"/>
      <c r="B1836" s="361" t="s">
        <v>848</v>
      </c>
      <c r="C1836" s="361"/>
      <c r="D1836" s="50" t="s">
        <v>316</v>
      </c>
      <c r="E1836" s="360">
        <v>16</v>
      </c>
      <c r="F1836" s="360">
        <f>机械!E48</f>
        <v>17.01</v>
      </c>
      <c r="G1836" s="362">
        <f>E1836*F1836</f>
        <v>272.16</v>
      </c>
    </row>
    <row r="1837" customHeight="1" spans="1:7">
      <c r="A1837" s="47"/>
      <c r="B1837" s="361" t="s">
        <v>799</v>
      </c>
      <c r="C1837" s="361"/>
      <c r="D1837" s="50" t="s">
        <v>316</v>
      </c>
      <c r="E1837" s="360">
        <v>1.6</v>
      </c>
      <c r="F1837" s="360">
        <f>机械!E33</f>
        <v>62.33</v>
      </c>
      <c r="G1837" s="362">
        <f>E1837*F1837</f>
        <v>99.73</v>
      </c>
    </row>
    <row r="1838" customHeight="1" spans="1:7">
      <c r="A1838" s="47"/>
      <c r="B1838" s="361" t="s">
        <v>370</v>
      </c>
      <c r="C1838" s="361"/>
      <c r="D1838" s="50" t="s">
        <v>293</v>
      </c>
      <c r="E1838" s="360">
        <v>5</v>
      </c>
      <c r="F1838" s="360">
        <f>G1836+G1837</f>
        <v>371.89</v>
      </c>
      <c r="G1838" s="362">
        <f>E1838*F1838/100</f>
        <v>18.59</v>
      </c>
    </row>
    <row r="1839" customHeight="1" spans="1:7">
      <c r="A1839" s="47" t="s">
        <v>133</v>
      </c>
      <c r="B1839" s="361" t="s">
        <v>294</v>
      </c>
      <c r="C1839" s="361"/>
      <c r="D1839" s="50"/>
      <c r="E1839" s="365">
        <f>G1822</f>
        <v>3307.48</v>
      </c>
      <c r="F1839" s="366">
        <f>费率!J4</f>
        <v>0.048</v>
      </c>
      <c r="G1839" s="362">
        <f>E1839*F1839</f>
        <v>158.76</v>
      </c>
    </row>
    <row r="1840" customHeight="1" spans="1:7">
      <c r="A1840" s="47" t="s">
        <v>14</v>
      </c>
      <c r="B1840" s="361" t="s">
        <v>295</v>
      </c>
      <c r="C1840" s="361"/>
      <c r="D1840" s="50"/>
      <c r="E1840" s="360">
        <f>G1823</f>
        <v>1783.8</v>
      </c>
      <c r="F1840" s="366">
        <f>费率!J5</f>
        <v>0.0725</v>
      </c>
      <c r="G1840" s="362">
        <f>E1840*F1840</f>
        <v>129.33</v>
      </c>
    </row>
    <row r="1841" customHeight="1" spans="1:7">
      <c r="A1841" s="47" t="s">
        <v>16</v>
      </c>
      <c r="B1841" s="361" t="s">
        <v>296</v>
      </c>
      <c r="C1841" s="361"/>
      <c r="D1841" s="50"/>
      <c r="E1841" s="360">
        <f>G1821+G1840</f>
        <v>3595.57</v>
      </c>
      <c r="F1841" s="366">
        <f>费率!J6</f>
        <v>0.07</v>
      </c>
      <c r="G1841" s="362">
        <f>E1841*F1841</f>
        <v>251.69</v>
      </c>
    </row>
    <row r="1842" customHeight="1" spans="1:7">
      <c r="A1842" s="47" t="s">
        <v>18</v>
      </c>
      <c r="B1842" s="361" t="s">
        <v>254</v>
      </c>
      <c r="C1842" s="361"/>
      <c r="D1842" s="50"/>
      <c r="E1842" s="360"/>
      <c r="F1842" s="366"/>
      <c r="G1842" s="362">
        <v>0</v>
      </c>
    </row>
    <row r="1843" customHeight="1" spans="1:7">
      <c r="A1843" s="47" t="s">
        <v>20</v>
      </c>
      <c r="B1843" s="361" t="s">
        <v>297</v>
      </c>
      <c r="C1843" s="361"/>
      <c r="D1843" s="50"/>
      <c r="E1843" s="360">
        <f>G1821+G1840++G1841+G1842</f>
        <v>3847.26</v>
      </c>
      <c r="F1843" s="366">
        <f>费率!J7</f>
        <v>0.09</v>
      </c>
      <c r="G1843" s="362">
        <f>E1843*F1843</f>
        <v>346.25</v>
      </c>
    </row>
    <row r="1844" customHeight="1" spans="1:7">
      <c r="A1844" s="47"/>
      <c r="B1844" s="361" t="s">
        <v>298</v>
      </c>
      <c r="C1844" s="361"/>
      <c r="D1844" s="50"/>
      <c r="E1844" s="360">
        <f>G1821+G1840+G1841+G1842+G1843</f>
        <v>4193.51</v>
      </c>
      <c r="F1844" s="366">
        <f>费率!J8</f>
        <v>0.03</v>
      </c>
      <c r="G1844" s="362">
        <f>E1844*F1844</f>
        <v>125.81</v>
      </c>
    </row>
    <row r="1845" customHeight="1" spans="1:7">
      <c r="A1845" s="369"/>
      <c r="B1845" s="370" t="s">
        <v>560</v>
      </c>
      <c r="C1845" s="370"/>
      <c r="D1845" s="370"/>
      <c r="E1845" s="371"/>
      <c r="F1845" s="370"/>
      <c r="G1845" s="372">
        <f>G1821+G1840+G1841+G1842+G1843+G1844</f>
        <v>4319.32</v>
      </c>
    </row>
    <row r="1847" customHeight="1" spans="1:7">
      <c r="A1847" s="354" t="s">
        <v>274</v>
      </c>
      <c r="B1847" s="354"/>
      <c r="C1847" s="354"/>
      <c r="D1847" s="354"/>
      <c r="E1847" s="354"/>
      <c r="F1847" s="354"/>
      <c r="G1847" s="354"/>
    </row>
    <row r="1848" customHeight="1" spans="1:7">
      <c r="A1848" s="42" t="s">
        <v>275</v>
      </c>
      <c r="B1848" s="43"/>
      <c r="C1848" s="43" t="s">
        <v>641</v>
      </c>
      <c r="D1848" s="43" t="s">
        <v>276</v>
      </c>
      <c r="E1848" s="355" t="s">
        <v>849</v>
      </c>
      <c r="F1848" s="355"/>
      <c r="G1848" s="356"/>
    </row>
    <row r="1849" customHeight="1" spans="1:7">
      <c r="A1849" s="47" t="s">
        <v>278</v>
      </c>
      <c r="B1849" s="48"/>
      <c r="C1849" s="49" t="s">
        <v>850</v>
      </c>
      <c r="D1849" s="49"/>
      <c r="E1849" s="49"/>
      <c r="F1849" s="50" t="s">
        <v>280</v>
      </c>
      <c r="G1849" s="51" t="s">
        <v>357</v>
      </c>
    </row>
    <row r="1850" customHeight="1" spans="1:7">
      <c r="A1850" s="358" t="s">
        <v>645</v>
      </c>
      <c r="B1850" s="49"/>
      <c r="C1850" s="49"/>
      <c r="D1850" s="49"/>
      <c r="E1850" s="49"/>
      <c r="F1850" s="49"/>
      <c r="G1850" s="359"/>
    </row>
    <row r="1851" customHeight="1" spans="1:7">
      <c r="A1851" s="52" t="s">
        <v>646</v>
      </c>
      <c r="B1851" s="53"/>
      <c r="C1851" s="54"/>
      <c r="D1851" s="54"/>
      <c r="E1851" s="54"/>
      <c r="F1851" s="54"/>
      <c r="G1851" s="55"/>
    </row>
    <row r="1852" customHeight="1" spans="1:7">
      <c r="A1852" s="47" t="s">
        <v>284</v>
      </c>
      <c r="B1852" s="50" t="s">
        <v>233</v>
      </c>
      <c r="C1852" s="50"/>
      <c r="D1852" s="50" t="s">
        <v>88</v>
      </c>
      <c r="E1852" s="360" t="s">
        <v>130</v>
      </c>
      <c r="F1852" s="50" t="s">
        <v>285</v>
      </c>
      <c r="G1852" s="51" t="s">
        <v>286</v>
      </c>
    </row>
    <row r="1853" customHeight="1" spans="1:7">
      <c r="A1853" s="47" t="s">
        <v>9</v>
      </c>
      <c r="B1853" s="361" t="s">
        <v>287</v>
      </c>
      <c r="C1853" s="361"/>
      <c r="D1853" s="50"/>
      <c r="E1853" s="360"/>
      <c r="F1853" s="360"/>
      <c r="G1853" s="362">
        <f>G1854+G1858</f>
        <v>718.92</v>
      </c>
    </row>
    <row r="1854" customHeight="1" spans="1:7">
      <c r="A1854" s="47" t="s">
        <v>132</v>
      </c>
      <c r="B1854" s="361" t="s">
        <v>288</v>
      </c>
      <c r="C1854" s="361"/>
      <c r="D1854" s="50"/>
      <c r="E1854" s="360"/>
      <c r="F1854" s="360"/>
      <c r="G1854" s="362">
        <f>G1855+G1856+G1857</f>
        <v>685.99</v>
      </c>
    </row>
    <row r="1855" customHeight="1" spans="1:7">
      <c r="A1855" s="47" t="s">
        <v>39</v>
      </c>
      <c r="B1855" s="361" t="s">
        <v>247</v>
      </c>
      <c r="C1855" s="361"/>
      <c r="D1855" s="50"/>
      <c r="E1855" s="360"/>
      <c r="F1855" s="360"/>
      <c r="G1855" s="362">
        <v>24</v>
      </c>
    </row>
    <row r="1856" customHeight="1" spans="1:7">
      <c r="A1856" s="47" t="s">
        <v>41</v>
      </c>
      <c r="B1856" s="361" t="s">
        <v>248</v>
      </c>
      <c r="C1856" s="361"/>
      <c r="D1856" s="50"/>
      <c r="E1856" s="360"/>
      <c r="F1856" s="360"/>
      <c r="G1856" s="362">
        <v>627.14</v>
      </c>
    </row>
    <row r="1857" customHeight="1" spans="1:7">
      <c r="A1857" s="47" t="s">
        <v>46</v>
      </c>
      <c r="B1857" s="361" t="s">
        <v>314</v>
      </c>
      <c r="C1857" s="361"/>
      <c r="D1857" s="50"/>
      <c r="E1857" s="360"/>
      <c r="F1857" s="360"/>
      <c r="G1857" s="362">
        <v>34.85</v>
      </c>
    </row>
    <row r="1858" customHeight="1" spans="1:7">
      <c r="A1858" s="47" t="s">
        <v>133</v>
      </c>
      <c r="B1858" s="361" t="s">
        <v>294</v>
      </c>
      <c r="C1858" s="361"/>
      <c r="D1858" s="50"/>
      <c r="E1858" s="365">
        <f>G1854</f>
        <v>685.99</v>
      </c>
      <c r="F1858" s="366">
        <f>F1807</f>
        <v>0.048</v>
      </c>
      <c r="G1858" s="362">
        <f>E1858*F1858</f>
        <v>32.93</v>
      </c>
    </row>
    <row r="1859" customHeight="1" spans="1:7">
      <c r="A1859" s="47" t="s">
        <v>14</v>
      </c>
      <c r="B1859" s="361" t="s">
        <v>295</v>
      </c>
      <c r="C1859" s="361"/>
      <c r="D1859" s="50"/>
      <c r="E1859" s="360">
        <f>G1855</f>
        <v>24</v>
      </c>
      <c r="F1859" s="366">
        <f t="shared" ref="F1859:F1863" si="69">F1808</f>
        <v>0.0725</v>
      </c>
      <c r="G1859" s="362">
        <f>E1859*F1859</f>
        <v>1.74</v>
      </c>
    </row>
    <row r="1860" customHeight="1" spans="1:7">
      <c r="A1860" s="47" t="s">
        <v>16</v>
      </c>
      <c r="B1860" s="361" t="s">
        <v>296</v>
      </c>
      <c r="C1860" s="361"/>
      <c r="D1860" s="50"/>
      <c r="E1860" s="360">
        <f>G1853+G1859</f>
        <v>720.66</v>
      </c>
      <c r="F1860" s="366">
        <f t="shared" si="69"/>
        <v>0.07</v>
      </c>
      <c r="G1860" s="362">
        <f>E1860*F1860</f>
        <v>50.45</v>
      </c>
    </row>
    <row r="1861" customHeight="1" spans="1:7">
      <c r="A1861" s="47" t="s">
        <v>18</v>
      </c>
      <c r="B1861" s="361" t="s">
        <v>254</v>
      </c>
      <c r="C1861" s="361"/>
      <c r="D1861" s="50"/>
      <c r="E1861" s="360"/>
      <c r="F1861" s="366"/>
      <c r="G1861" s="362"/>
    </row>
    <row r="1862" customHeight="1" spans="1:7">
      <c r="A1862" s="47" t="s">
        <v>20</v>
      </c>
      <c r="B1862" s="361" t="s">
        <v>297</v>
      </c>
      <c r="C1862" s="361"/>
      <c r="D1862" s="50"/>
      <c r="E1862" s="360">
        <f>G1853+G1859++G1860+G1861</f>
        <v>771.11</v>
      </c>
      <c r="F1862" s="366">
        <f t="shared" si="69"/>
        <v>0.09</v>
      </c>
      <c r="G1862" s="362">
        <f>E1862*F1862</f>
        <v>69.4</v>
      </c>
    </row>
    <row r="1863" customHeight="1" spans="1:7">
      <c r="A1863" s="47"/>
      <c r="B1863" s="361" t="s">
        <v>298</v>
      </c>
      <c r="C1863" s="361"/>
      <c r="D1863" s="50"/>
      <c r="E1863" s="360">
        <f>G1853+G1859+G1860+G1861+G1862</f>
        <v>840.51</v>
      </c>
      <c r="F1863" s="366">
        <f t="shared" si="69"/>
        <v>0.03</v>
      </c>
      <c r="G1863" s="362">
        <f>E1863*F1863</f>
        <v>25.22</v>
      </c>
    </row>
    <row r="1864" customHeight="1" spans="1:7">
      <c r="A1864" s="369"/>
      <c r="B1864" s="370" t="s">
        <v>560</v>
      </c>
      <c r="C1864" s="370"/>
      <c r="D1864" s="370"/>
      <c r="E1864" s="371"/>
      <c r="F1864" s="370"/>
      <c r="G1864" s="372">
        <f>G1853+G1859+G1860+G1861+G1862+G1863</f>
        <v>865.73</v>
      </c>
    </row>
    <row r="1865" customHeight="1" spans="1:7">
      <c r="A1865" s="543"/>
      <c r="B1865" s="544"/>
      <c r="C1865" s="543"/>
      <c r="D1865" s="545"/>
      <c r="E1865" s="543"/>
      <c r="F1865" s="543"/>
      <c r="G1865" s="544"/>
    </row>
    <row r="1866" customHeight="1" spans="1:7">
      <c r="A1866" s="546" t="s">
        <v>274</v>
      </c>
      <c r="B1866" s="546"/>
      <c r="C1866" s="546"/>
      <c r="D1866" s="546"/>
      <c r="E1866" s="546"/>
      <c r="F1866" s="546"/>
      <c r="G1866" s="546"/>
    </row>
    <row r="1867" customHeight="1" spans="1:7">
      <c r="A1867" s="547" t="s">
        <v>275</v>
      </c>
      <c r="B1867" s="548"/>
      <c r="C1867" s="548" t="s">
        <v>680</v>
      </c>
      <c r="D1867" s="548" t="s">
        <v>276</v>
      </c>
      <c r="E1867" s="549" t="s">
        <v>689</v>
      </c>
      <c r="F1867" s="549"/>
      <c r="G1867" s="550"/>
    </row>
    <row r="1868" customHeight="1" spans="1:7">
      <c r="A1868" s="551" t="s">
        <v>278</v>
      </c>
      <c r="B1868" s="552"/>
      <c r="C1868" s="553" t="s">
        <v>690</v>
      </c>
      <c r="D1868" s="553"/>
      <c r="E1868" s="553"/>
      <c r="F1868" s="554" t="s">
        <v>280</v>
      </c>
      <c r="G1868" s="555" t="s">
        <v>281</v>
      </c>
    </row>
    <row r="1869" customHeight="1" spans="1:7">
      <c r="A1869" s="556" t="s">
        <v>683</v>
      </c>
      <c r="B1869" s="553"/>
      <c r="C1869" s="553"/>
      <c r="D1869" s="553"/>
      <c r="E1869" s="553"/>
      <c r="F1869" s="553"/>
      <c r="G1869" s="557"/>
    </row>
    <row r="1870" customHeight="1" spans="1:7">
      <c r="A1870" s="558" t="s">
        <v>684</v>
      </c>
      <c r="B1870" s="559"/>
      <c r="C1870" s="560"/>
      <c r="D1870" s="560"/>
      <c r="E1870" s="560"/>
      <c r="F1870" s="560"/>
      <c r="G1870" s="561"/>
    </row>
    <row r="1871" customHeight="1" spans="1:7">
      <c r="A1871" s="551" t="s">
        <v>284</v>
      </c>
      <c r="B1871" s="562" t="s">
        <v>233</v>
      </c>
      <c r="C1871" s="562"/>
      <c r="D1871" s="562" t="s">
        <v>88</v>
      </c>
      <c r="E1871" s="563" t="s">
        <v>130</v>
      </c>
      <c r="F1871" s="562" t="s">
        <v>285</v>
      </c>
      <c r="G1871" s="564" t="s">
        <v>286</v>
      </c>
    </row>
    <row r="1872" customHeight="1" spans="1:7">
      <c r="A1872" s="551" t="s">
        <v>9</v>
      </c>
      <c r="B1872" s="565" t="s">
        <v>287</v>
      </c>
      <c r="C1872" s="565"/>
      <c r="D1872" s="562"/>
      <c r="E1872" s="563"/>
      <c r="F1872" s="563"/>
      <c r="G1872" s="566">
        <f>G1873+G1885</f>
        <v>57315.14</v>
      </c>
    </row>
    <row r="1873" customHeight="1" spans="1:7">
      <c r="A1873" s="551" t="s">
        <v>132</v>
      </c>
      <c r="B1873" s="565" t="s">
        <v>288</v>
      </c>
      <c r="C1873" s="565"/>
      <c r="D1873" s="562"/>
      <c r="E1873" s="563"/>
      <c r="F1873" s="563"/>
      <c r="G1873" s="566">
        <f>G1874+G1877+G1881+G1884</f>
        <v>54690.02</v>
      </c>
    </row>
    <row r="1874" customHeight="1" spans="1:7">
      <c r="A1874" s="551" t="s">
        <v>39</v>
      </c>
      <c r="B1874" s="565" t="s">
        <v>247</v>
      </c>
      <c r="C1874" s="565"/>
      <c r="D1874" s="562"/>
      <c r="E1874" s="563"/>
      <c r="F1874" s="563"/>
      <c r="G1874" s="566">
        <f>SUM(G1875:G1876)</f>
        <v>9176.43</v>
      </c>
    </row>
    <row r="1875" customHeight="1" spans="1:7">
      <c r="A1875" s="551"/>
      <c r="B1875" s="565" t="s">
        <v>289</v>
      </c>
      <c r="C1875" s="565"/>
      <c r="D1875" s="562" t="s">
        <v>290</v>
      </c>
      <c r="E1875" s="563">
        <v>867.9</v>
      </c>
      <c r="F1875" s="563">
        <f>人工!D4</f>
        <v>8.1</v>
      </c>
      <c r="G1875" s="566">
        <f>E1875*F1875</f>
        <v>7029.99</v>
      </c>
    </row>
    <row r="1876" customHeight="1" spans="1:7">
      <c r="A1876" s="551"/>
      <c r="B1876" s="565" t="s">
        <v>291</v>
      </c>
      <c r="C1876" s="565"/>
      <c r="D1876" s="562" t="s">
        <v>290</v>
      </c>
      <c r="E1876" s="563">
        <v>372</v>
      </c>
      <c r="F1876" s="563">
        <f>人工!D5</f>
        <v>5.77</v>
      </c>
      <c r="G1876" s="566">
        <f>E1876*F1876</f>
        <v>2146.44</v>
      </c>
    </row>
    <row r="1877" customHeight="1" spans="1:7">
      <c r="A1877" s="551" t="s">
        <v>41</v>
      </c>
      <c r="B1877" s="565" t="s">
        <v>248</v>
      </c>
      <c r="C1877" s="565"/>
      <c r="D1877" s="562"/>
      <c r="E1877" s="563"/>
      <c r="F1877" s="563"/>
      <c r="G1877" s="566">
        <f>SUM(G1878:G1880)</f>
        <v>43327.14</v>
      </c>
    </row>
    <row r="1878" customHeight="1" spans="1:7">
      <c r="A1878" s="567"/>
      <c r="B1878" s="568" t="s">
        <v>685</v>
      </c>
      <c r="C1878" s="568"/>
      <c r="D1878" s="569" t="s">
        <v>395</v>
      </c>
      <c r="E1878" s="563">
        <v>92</v>
      </c>
      <c r="F1878" s="569">
        <f>G641/100</f>
        <v>425.44</v>
      </c>
      <c r="G1878" s="570">
        <f>E1878*F1878</f>
        <v>39140.48</v>
      </c>
    </row>
    <row r="1879" customHeight="1" spans="1:7">
      <c r="A1879" s="567"/>
      <c r="B1879" s="568" t="s">
        <v>686</v>
      </c>
      <c r="C1879" s="568"/>
      <c r="D1879" s="569" t="s">
        <v>395</v>
      </c>
      <c r="E1879" s="563">
        <v>21.7</v>
      </c>
      <c r="F1879" s="569">
        <f>混凝土单价!M7</f>
        <v>183</v>
      </c>
      <c r="G1879" s="570">
        <f>E1879*F1879</f>
        <v>3971.1</v>
      </c>
    </row>
    <row r="1880" customHeight="1" spans="1:7">
      <c r="A1880" s="567"/>
      <c r="B1880" s="568" t="s">
        <v>397</v>
      </c>
      <c r="C1880" s="568"/>
      <c r="D1880" s="569" t="s">
        <v>293</v>
      </c>
      <c r="E1880" s="571">
        <v>0.005</v>
      </c>
      <c r="F1880" s="569">
        <f>SUM(G1878:G1879)</f>
        <v>43111.58</v>
      </c>
      <c r="G1880" s="570">
        <f>E1880*F1880</f>
        <v>215.56</v>
      </c>
    </row>
    <row r="1881" customHeight="1" spans="1:7">
      <c r="A1881" s="572">
        <v>3</v>
      </c>
      <c r="B1881" s="568" t="s">
        <v>464</v>
      </c>
      <c r="C1881" s="568"/>
      <c r="D1881" s="569"/>
      <c r="E1881" s="569"/>
      <c r="F1881" s="569"/>
      <c r="G1881" s="570">
        <f>SUM(G1882:G1883)</f>
        <v>158.77</v>
      </c>
    </row>
    <row r="1882" customHeight="1" spans="1:7">
      <c r="A1882" s="567"/>
      <c r="B1882" s="568" t="s">
        <v>673</v>
      </c>
      <c r="C1882" s="568"/>
      <c r="D1882" s="569" t="s">
        <v>316</v>
      </c>
      <c r="E1882" s="563">
        <v>2.56</v>
      </c>
      <c r="F1882" s="569">
        <f>机械!E16</f>
        <v>23.75</v>
      </c>
      <c r="G1882" s="570">
        <f>E1882*F1882</f>
        <v>60.8</v>
      </c>
    </row>
    <row r="1883" customHeight="1" spans="1:7">
      <c r="A1883" s="567"/>
      <c r="B1883" s="568" t="s">
        <v>472</v>
      </c>
      <c r="C1883" s="568"/>
      <c r="D1883" s="569" t="s">
        <v>316</v>
      </c>
      <c r="E1883" s="563">
        <v>119.47</v>
      </c>
      <c r="F1883" s="569">
        <f>机械!E29</f>
        <v>0.82</v>
      </c>
      <c r="G1883" s="570">
        <f>E1883*F1883</f>
        <v>97.97</v>
      </c>
    </row>
    <row r="1884" customHeight="1" spans="1:7">
      <c r="A1884" s="572">
        <v>4</v>
      </c>
      <c r="B1884" s="568" t="s">
        <v>687</v>
      </c>
      <c r="C1884" s="568"/>
      <c r="D1884" s="569" t="s">
        <v>395</v>
      </c>
      <c r="E1884" s="563">
        <v>92</v>
      </c>
      <c r="F1884" s="569">
        <f>G328/100</f>
        <v>22.04</v>
      </c>
      <c r="G1884" s="570">
        <f t="shared" ref="G1884:G1887" si="70">E1884*F1884</f>
        <v>2027.68</v>
      </c>
    </row>
    <row r="1885" customHeight="1" spans="1:7">
      <c r="A1885" s="572" t="s">
        <v>133</v>
      </c>
      <c r="B1885" s="568" t="s">
        <v>294</v>
      </c>
      <c r="C1885" s="568"/>
      <c r="D1885" s="569"/>
      <c r="E1885" s="563">
        <f>G1873</f>
        <v>54690.02</v>
      </c>
      <c r="F1885" s="573">
        <f>费率!F4</f>
        <v>0.048</v>
      </c>
      <c r="G1885" s="570">
        <f t="shared" si="70"/>
        <v>2625.12</v>
      </c>
    </row>
    <row r="1886" customHeight="1" spans="1:7">
      <c r="A1886" s="551" t="s">
        <v>14</v>
      </c>
      <c r="B1886" s="565" t="s">
        <v>295</v>
      </c>
      <c r="C1886" s="565"/>
      <c r="D1886" s="562"/>
      <c r="E1886" s="563">
        <f>G1872</f>
        <v>57315.14</v>
      </c>
      <c r="F1886" s="574">
        <f>费率!F5</f>
        <v>0.07</v>
      </c>
      <c r="G1886" s="566">
        <f t="shared" si="70"/>
        <v>4012.06</v>
      </c>
    </row>
    <row r="1887" customHeight="1" spans="1:7">
      <c r="A1887" s="551" t="s">
        <v>16</v>
      </c>
      <c r="B1887" s="565" t="s">
        <v>296</v>
      </c>
      <c r="C1887" s="565"/>
      <c r="D1887" s="562"/>
      <c r="E1887" s="563">
        <f>G1872+G1886</f>
        <v>61327.2</v>
      </c>
      <c r="F1887" s="574">
        <f>费率!F6</f>
        <v>0.07</v>
      </c>
      <c r="G1887" s="566">
        <f t="shared" si="70"/>
        <v>4292.9</v>
      </c>
    </row>
    <row r="1888" customHeight="1" spans="1:7">
      <c r="A1888" s="567" t="s">
        <v>18</v>
      </c>
      <c r="B1888" s="568" t="s">
        <v>466</v>
      </c>
      <c r="C1888" s="568"/>
      <c r="D1888" s="569"/>
      <c r="E1888" s="569"/>
      <c r="F1888" s="569"/>
      <c r="G1888" s="570">
        <f>SUM(G1889:G1893)</f>
        <v>8690.71</v>
      </c>
    </row>
    <row r="1889" customHeight="1" spans="1:7">
      <c r="A1889" s="567"/>
      <c r="B1889" s="568" t="s">
        <v>405</v>
      </c>
      <c r="C1889" s="568"/>
      <c r="D1889" s="569" t="s">
        <v>158</v>
      </c>
      <c r="E1889" s="569">
        <f>E662/100*E1878+E1879*混凝土单价!E7</f>
        <v>36.6</v>
      </c>
      <c r="F1889" s="569">
        <f>主材!N6</f>
        <v>135.66</v>
      </c>
      <c r="G1889" s="570">
        <f t="shared" ref="G1889:G1895" si="71">E1889*F1889</f>
        <v>4965.16</v>
      </c>
    </row>
    <row r="1890" customHeight="1" spans="1:7">
      <c r="A1890" s="567"/>
      <c r="B1890" s="568" t="s">
        <v>396</v>
      </c>
      <c r="C1890" s="568"/>
      <c r="D1890" s="569" t="s">
        <v>395</v>
      </c>
      <c r="E1890" s="569">
        <f>E663/100*E1878+E1879*混凝土单价!G7</f>
        <v>64.71</v>
      </c>
      <c r="F1890" s="569">
        <f>主材!N8</f>
        <v>37.93</v>
      </c>
      <c r="G1890" s="570">
        <f t="shared" si="71"/>
        <v>2454.45</v>
      </c>
    </row>
    <row r="1891" customHeight="1" spans="1:7">
      <c r="A1891" s="567"/>
      <c r="B1891" s="568" t="s">
        <v>467</v>
      </c>
      <c r="C1891" s="568"/>
      <c r="D1891" s="569" t="s">
        <v>395</v>
      </c>
      <c r="E1891" s="569">
        <f>E664/100*E1878+E1879*混凝土单价!I7</f>
        <v>94.83</v>
      </c>
      <c r="F1891" s="569">
        <f>主材!N10</f>
        <v>7.03</v>
      </c>
      <c r="G1891" s="570">
        <f t="shared" si="71"/>
        <v>666.65</v>
      </c>
    </row>
    <row r="1892" customHeight="1" spans="1:7">
      <c r="A1892" s="551"/>
      <c r="B1892" s="565" t="s">
        <v>317</v>
      </c>
      <c r="C1892" s="565"/>
      <c r="D1892" s="562" t="s">
        <v>323</v>
      </c>
      <c r="E1892" s="563">
        <f>E339/100*E1878</f>
        <v>130.33</v>
      </c>
      <c r="F1892" s="575">
        <f>主材!N13</f>
        <v>4.13</v>
      </c>
      <c r="G1892" s="566">
        <f t="shared" si="71"/>
        <v>538.26</v>
      </c>
    </row>
    <row r="1893" customHeight="1" spans="1:7">
      <c r="A1893" s="551"/>
      <c r="B1893" s="565" t="s">
        <v>522</v>
      </c>
      <c r="C1893" s="565"/>
      <c r="D1893" s="562" t="s">
        <v>323</v>
      </c>
      <c r="E1893" s="563">
        <f>E665/100*E1878</f>
        <v>12.19</v>
      </c>
      <c r="F1893" s="575">
        <f>主材!N14</f>
        <v>5.43</v>
      </c>
      <c r="G1893" s="566">
        <f t="shared" si="71"/>
        <v>66.19</v>
      </c>
    </row>
    <row r="1894" customHeight="1" spans="1:7">
      <c r="A1894" s="551" t="s">
        <v>20</v>
      </c>
      <c r="B1894" s="565" t="s">
        <v>297</v>
      </c>
      <c r="C1894" s="565"/>
      <c r="D1894" s="562"/>
      <c r="E1894" s="563">
        <f>G1888+G1887+G1886+G1872</f>
        <v>74310.81</v>
      </c>
      <c r="F1894" s="576">
        <f>费率!F7</f>
        <v>0.09</v>
      </c>
      <c r="G1894" s="566">
        <f t="shared" si="71"/>
        <v>6687.97</v>
      </c>
    </row>
    <row r="1895" customHeight="1" spans="1:7">
      <c r="A1895" s="551"/>
      <c r="B1895" s="565" t="s">
        <v>675</v>
      </c>
      <c r="C1895" s="565"/>
      <c r="D1895" s="562"/>
      <c r="E1895" s="563">
        <f>G1872+G1886+G1887+G1888+G1894</f>
        <v>80998.78</v>
      </c>
      <c r="F1895" s="574">
        <f>费率!F8</f>
        <v>0.03</v>
      </c>
      <c r="G1895" s="566">
        <f t="shared" si="71"/>
        <v>2429.96</v>
      </c>
    </row>
    <row r="1896" customHeight="1" spans="1:7">
      <c r="A1896" s="577"/>
      <c r="B1896" s="578" t="s">
        <v>560</v>
      </c>
      <c r="C1896" s="578"/>
      <c r="D1896" s="578"/>
      <c r="E1896" s="579"/>
      <c r="F1896" s="578"/>
      <c r="G1896" s="580">
        <f>G1895+E1894+G1894</f>
        <v>83428.74</v>
      </c>
    </row>
    <row r="1897" customHeight="1" spans="1:7">
      <c r="A1897" s="543"/>
      <c r="B1897" s="544"/>
      <c r="C1897" s="543"/>
      <c r="D1897" s="545"/>
      <c r="E1897" s="543"/>
      <c r="F1897" s="543"/>
      <c r="G1897" s="544"/>
    </row>
    <row r="1898" customHeight="1" spans="1:7">
      <c r="A1898" s="546" t="s">
        <v>274</v>
      </c>
      <c r="B1898" s="546"/>
      <c r="C1898" s="546"/>
      <c r="D1898" s="546"/>
      <c r="E1898" s="546"/>
      <c r="F1898" s="546"/>
      <c r="G1898" s="546"/>
    </row>
    <row r="1899" customHeight="1" spans="1:7">
      <c r="A1899" s="547" t="s">
        <v>275</v>
      </c>
      <c r="B1899" s="548"/>
      <c r="C1899" s="548" t="s">
        <v>680</v>
      </c>
      <c r="D1899" s="548" t="s">
        <v>276</v>
      </c>
      <c r="E1899" s="549" t="s">
        <v>851</v>
      </c>
      <c r="F1899" s="549"/>
      <c r="G1899" s="550"/>
    </row>
    <row r="1900" customHeight="1" spans="1:7">
      <c r="A1900" s="551" t="s">
        <v>278</v>
      </c>
      <c r="B1900" s="552"/>
      <c r="C1900" s="553" t="s">
        <v>852</v>
      </c>
      <c r="D1900" s="553"/>
      <c r="E1900" s="553"/>
      <c r="F1900" s="554" t="s">
        <v>280</v>
      </c>
      <c r="G1900" s="555" t="s">
        <v>281</v>
      </c>
    </row>
    <row r="1901" customHeight="1" spans="1:7">
      <c r="A1901" s="556" t="s">
        <v>683</v>
      </c>
      <c r="B1901" s="553"/>
      <c r="C1901" s="553"/>
      <c r="D1901" s="553"/>
      <c r="E1901" s="553"/>
      <c r="F1901" s="553"/>
      <c r="G1901" s="557"/>
    </row>
    <row r="1902" customHeight="1" spans="1:7">
      <c r="A1902" s="558" t="s">
        <v>684</v>
      </c>
      <c r="B1902" s="559"/>
      <c r="C1902" s="560"/>
      <c r="D1902" s="560"/>
      <c r="E1902" s="560"/>
      <c r="F1902" s="560"/>
      <c r="G1902" s="561"/>
    </row>
    <row r="1903" customHeight="1" spans="1:7">
      <c r="A1903" s="551" t="s">
        <v>284</v>
      </c>
      <c r="B1903" s="562" t="s">
        <v>233</v>
      </c>
      <c r="C1903" s="562"/>
      <c r="D1903" s="562" t="s">
        <v>88</v>
      </c>
      <c r="E1903" s="563" t="s">
        <v>130</v>
      </c>
      <c r="F1903" s="562" t="s">
        <v>285</v>
      </c>
      <c r="G1903" s="564" t="s">
        <v>286</v>
      </c>
    </row>
    <row r="1904" customHeight="1" spans="1:7">
      <c r="A1904" s="551" t="s">
        <v>9</v>
      </c>
      <c r="B1904" s="565" t="s">
        <v>287</v>
      </c>
      <c r="C1904" s="565"/>
      <c r="D1904" s="562"/>
      <c r="E1904" s="563"/>
      <c r="F1904" s="563"/>
      <c r="G1904" s="566">
        <f>G1905+G1917</f>
        <v>56632.22</v>
      </c>
    </row>
    <row r="1905" customHeight="1" spans="1:7">
      <c r="A1905" s="551" t="s">
        <v>132</v>
      </c>
      <c r="B1905" s="565" t="s">
        <v>288</v>
      </c>
      <c r="C1905" s="565"/>
      <c r="D1905" s="562"/>
      <c r="E1905" s="563"/>
      <c r="F1905" s="563"/>
      <c r="G1905" s="566">
        <f>G1906+G1909+G1913+G1916</f>
        <v>54038.38</v>
      </c>
    </row>
    <row r="1906" customHeight="1" spans="1:7">
      <c r="A1906" s="551" t="s">
        <v>39</v>
      </c>
      <c r="B1906" s="565" t="s">
        <v>247</v>
      </c>
      <c r="C1906" s="565"/>
      <c r="D1906" s="562"/>
      <c r="E1906" s="563"/>
      <c r="F1906" s="563"/>
      <c r="G1906" s="566">
        <f>SUM(G1907:G1908)</f>
        <v>9046.22</v>
      </c>
    </row>
    <row r="1907" customHeight="1" spans="1:7">
      <c r="A1907" s="551"/>
      <c r="B1907" s="565" t="s">
        <v>289</v>
      </c>
      <c r="C1907" s="565"/>
      <c r="D1907" s="562" t="s">
        <v>290</v>
      </c>
      <c r="E1907" s="563">
        <v>855.6</v>
      </c>
      <c r="F1907" s="563">
        <f>人工!D4</f>
        <v>8.1</v>
      </c>
      <c r="G1907" s="566">
        <f>E1907*F1907</f>
        <v>6930.36</v>
      </c>
    </row>
    <row r="1908" customHeight="1" spans="1:7">
      <c r="A1908" s="551"/>
      <c r="B1908" s="565" t="s">
        <v>291</v>
      </c>
      <c r="C1908" s="565"/>
      <c r="D1908" s="562" t="s">
        <v>290</v>
      </c>
      <c r="E1908" s="563">
        <v>366.7</v>
      </c>
      <c r="F1908" s="563">
        <f>人工!D5</f>
        <v>5.77</v>
      </c>
      <c r="G1908" s="566">
        <f>E1908*F1908</f>
        <v>2115.86</v>
      </c>
    </row>
    <row r="1909" customHeight="1" spans="1:7">
      <c r="A1909" s="551" t="s">
        <v>41</v>
      </c>
      <c r="B1909" s="565" t="s">
        <v>248</v>
      </c>
      <c r="C1909" s="565"/>
      <c r="D1909" s="562"/>
      <c r="E1909" s="563"/>
      <c r="F1909" s="563"/>
      <c r="G1909" s="566">
        <f>SUM(G1910:G1912)</f>
        <v>42839.83</v>
      </c>
    </row>
    <row r="1910" customHeight="1" spans="1:7">
      <c r="A1910" s="567"/>
      <c r="B1910" s="568" t="s">
        <v>685</v>
      </c>
      <c r="C1910" s="568"/>
      <c r="D1910" s="569" t="s">
        <v>395</v>
      </c>
      <c r="E1910" s="563">
        <v>90</v>
      </c>
      <c r="F1910" s="569">
        <f>G641/100</f>
        <v>425.44</v>
      </c>
      <c r="G1910" s="570">
        <f>E1910*F1910</f>
        <v>38289.6</v>
      </c>
    </row>
    <row r="1911" customHeight="1" spans="1:7">
      <c r="A1911" s="567"/>
      <c r="B1911" s="568" t="s">
        <v>686</v>
      </c>
      <c r="C1911" s="568"/>
      <c r="D1911" s="569" t="s">
        <v>395</v>
      </c>
      <c r="E1911" s="563">
        <v>23.7</v>
      </c>
      <c r="F1911" s="569">
        <f>混凝土单价!M7</f>
        <v>183</v>
      </c>
      <c r="G1911" s="570">
        <f>E1911*F1911</f>
        <v>4337.1</v>
      </c>
    </row>
    <row r="1912" customHeight="1" spans="1:7">
      <c r="A1912" s="567"/>
      <c r="B1912" s="568" t="s">
        <v>397</v>
      </c>
      <c r="C1912" s="568"/>
      <c r="D1912" s="569" t="s">
        <v>293</v>
      </c>
      <c r="E1912" s="571">
        <v>0.005</v>
      </c>
      <c r="F1912" s="569">
        <f>SUM(G1910:G1911)</f>
        <v>42626.7</v>
      </c>
      <c r="G1912" s="570">
        <f>E1912*F1912</f>
        <v>213.13</v>
      </c>
    </row>
    <row r="1913" customHeight="1" spans="1:7">
      <c r="A1913" s="572">
        <v>3</v>
      </c>
      <c r="B1913" s="568" t="s">
        <v>464</v>
      </c>
      <c r="C1913" s="568"/>
      <c r="D1913" s="569"/>
      <c r="E1913" s="569"/>
      <c r="F1913" s="569"/>
      <c r="G1913" s="570">
        <f>SUM(G1914:G1915)</f>
        <v>168.73</v>
      </c>
    </row>
    <row r="1914" customHeight="1" spans="1:7">
      <c r="A1914" s="567"/>
      <c r="B1914" s="568" t="s">
        <v>673</v>
      </c>
      <c r="C1914" s="568"/>
      <c r="D1914" s="569" t="s">
        <v>316</v>
      </c>
      <c r="E1914" s="563">
        <v>2.95</v>
      </c>
      <c r="F1914" s="569">
        <f>机械!E16</f>
        <v>23.75</v>
      </c>
      <c r="G1914" s="570">
        <f>E1914*F1914</f>
        <v>70.06</v>
      </c>
    </row>
    <row r="1915" customHeight="1" spans="1:7">
      <c r="A1915" s="567"/>
      <c r="B1915" s="568" t="s">
        <v>472</v>
      </c>
      <c r="C1915" s="568"/>
      <c r="D1915" s="569" t="s">
        <v>316</v>
      </c>
      <c r="E1915" s="563">
        <v>120.33</v>
      </c>
      <c r="F1915" s="569">
        <f>机械!E29</f>
        <v>0.82</v>
      </c>
      <c r="G1915" s="570">
        <f>E1915*F1915</f>
        <v>98.67</v>
      </c>
    </row>
    <row r="1916" customHeight="1" spans="1:7">
      <c r="A1916" s="572">
        <v>4</v>
      </c>
      <c r="B1916" s="568" t="s">
        <v>687</v>
      </c>
      <c r="C1916" s="568"/>
      <c r="D1916" s="569" t="s">
        <v>395</v>
      </c>
      <c r="E1916" s="563">
        <f>E1910</f>
        <v>90</v>
      </c>
      <c r="F1916" s="569">
        <f>G328/100</f>
        <v>22.04</v>
      </c>
      <c r="G1916" s="570">
        <f t="shared" ref="G1916:G1919" si="72">E1916*F1916</f>
        <v>1983.6</v>
      </c>
    </row>
    <row r="1917" customHeight="1" spans="1:7">
      <c r="A1917" s="572" t="s">
        <v>133</v>
      </c>
      <c r="B1917" s="568" t="s">
        <v>294</v>
      </c>
      <c r="C1917" s="568"/>
      <c r="D1917" s="569"/>
      <c r="E1917" s="563">
        <f>G1905</f>
        <v>54038.38</v>
      </c>
      <c r="F1917" s="573">
        <f>费率!F4</f>
        <v>0.048</v>
      </c>
      <c r="G1917" s="570">
        <f t="shared" si="72"/>
        <v>2593.84</v>
      </c>
    </row>
    <row r="1918" customHeight="1" spans="1:7">
      <c r="A1918" s="551" t="s">
        <v>14</v>
      </c>
      <c r="B1918" s="565" t="s">
        <v>295</v>
      </c>
      <c r="C1918" s="565"/>
      <c r="D1918" s="562"/>
      <c r="E1918" s="563">
        <f>G1904</f>
        <v>56632.22</v>
      </c>
      <c r="F1918" s="574">
        <f>费率!F5</f>
        <v>0.07</v>
      </c>
      <c r="G1918" s="566">
        <f t="shared" si="72"/>
        <v>3964.26</v>
      </c>
    </row>
    <row r="1919" customHeight="1" spans="1:7">
      <c r="A1919" s="551" t="s">
        <v>16</v>
      </c>
      <c r="B1919" s="565" t="s">
        <v>296</v>
      </c>
      <c r="C1919" s="565"/>
      <c r="D1919" s="562"/>
      <c r="E1919" s="563">
        <f>G1904+G1918</f>
        <v>60596.48</v>
      </c>
      <c r="F1919" s="574">
        <f>费率!F6</f>
        <v>0.07</v>
      </c>
      <c r="G1919" s="566">
        <f t="shared" si="72"/>
        <v>4241.75</v>
      </c>
    </row>
    <row r="1920" customHeight="1" spans="1:7">
      <c r="A1920" s="567" t="s">
        <v>18</v>
      </c>
      <c r="B1920" s="568" t="s">
        <v>466</v>
      </c>
      <c r="C1920" s="568"/>
      <c r="D1920" s="569"/>
      <c r="E1920" s="569"/>
      <c r="F1920" s="569"/>
      <c r="G1920" s="570">
        <f>SUM(G1921:G1925)</f>
        <v>8687.44</v>
      </c>
    </row>
    <row r="1921" customHeight="1" spans="1:7">
      <c r="A1921" s="567"/>
      <c r="B1921" s="568" t="s">
        <v>405</v>
      </c>
      <c r="C1921" s="568"/>
      <c r="D1921" s="569" t="s">
        <v>158</v>
      </c>
      <c r="E1921" s="569">
        <f>E662/100*E1910+E1911*混凝土单价!E7</f>
        <v>36.66</v>
      </c>
      <c r="F1921" s="569">
        <f>主材!N6</f>
        <v>135.66</v>
      </c>
      <c r="G1921" s="570">
        <f t="shared" ref="G1921:G1927" si="73">E1921*F1921</f>
        <v>4973.3</v>
      </c>
    </row>
    <row r="1922" customHeight="1" spans="1:7">
      <c r="A1922" s="567"/>
      <c r="B1922" s="568" t="s">
        <v>396</v>
      </c>
      <c r="C1922" s="568"/>
      <c r="D1922" s="569" t="s">
        <v>395</v>
      </c>
      <c r="E1922" s="569">
        <f>E663/100*E1910+E1911*混凝土单价!G7</f>
        <v>64.8</v>
      </c>
      <c r="F1922" s="569">
        <f>主材!N8</f>
        <v>37.93</v>
      </c>
      <c r="G1922" s="570">
        <f t="shared" si="73"/>
        <v>2457.86</v>
      </c>
    </row>
    <row r="1923" customHeight="1" spans="1:7">
      <c r="A1923" s="567"/>
      <c r="B1923" s="568" t="s">
        <v>467</v>
      </c>
      <c r="C1923" s="568"/>
      <c r="D1923" s="569" t="s">
        <v>395</v>
      </c>
      <c r="E1923" s="569">
        <f>E664/100*E1910+E1911*混凝土单价!I7</f>
        <v>94.59</v>
      </c>
      <c r="F1923" s="569">
        <f>主材!N10</f>
        <v>7.03</v>
      </c>
      <c r="G1923" s="570">
        <f t="shared" si="73"/>
        <v>664.97</v>
      </c>
    </row>
    <row r="1924" customHeight="1" spans="1:7">
      <c r="A1924" s="551"/>
      <c r="B1924" s="565" t="s">
        <v>317</v>
      </c>
      <c r="C1924" s="565"/>
      <c r="D1924" s="562" t="s">
        <v>323</v>
      </c>
      <c r="E1924" s="563">
        <f>E339/100*E1910</f>
        <v>127.49</v>
      </c>
      <c r="F1924" s="575">
        <f>主材!N13</f>
        <v>4.13</v>
      </c>
      <c r="G1924" s="566">
        <f t="shared" si="73"/>
        <v>526.53</v>
      </c>
    </row>
    <row r="1925" customHeight="1" spans="1:7">
      <c r="A1925" s="551"/>
      <c r="B1925" s="565" t="s">
        <v>522</v>
      </c>
      <c r="C1925" s="565"/>
      <c r="D1925" s="562" t="s">
        <v>323</v>
      </c>
      <c r="E1925" s="563">
        <f>E665/100*E1910</f>
        <v>11.93</v>
      </c>
      <c r="F1925" s="575">
        <f>主材!N14</f>
        <v>5.43</v>
      </c>
      <c r="G1925" s="566">
        <f t="shared" si="73"/>
        <v>64.78</v>
      </c>
    </row>
    <row r="1926" customHeight="1" spans="1:7">
      <c r="A1926" s="551" t="s">
        <v>20</v>
      </c>
      <c r="B1926" s="565" t="s">
        <v>297</v>
      </c>
      <c r="C1926" s="565"/>
      <c r="D1926" s="562"/>
      <c r="E1926" s="563">
        <f>G1920+G1919+G1918+G1904</f>
        <v>73525.67</v>
      </c>
      <c r="F1926" s="576">
        <f>费率!F7</f>
        <v>0.09</v>
      </c>
      <c r="G1926" s="566">
        <f t="shared" si="73"/>
        <v>6617.31</v>
      </c>
    </row>
    <row r="1927" customHeight="1" spans="1:7">
      <c r="A1927" s="551"/>
      <c r="B1927" s="565" t="s">
        <v>675</v>
      </c>
      <c r="C1927" s="565"/>
      <c r="D1927" s="562"/>
      <c r="E1927" s="563">
        <f>G1904+G1918+G1919+G1920+G1926</f>
        <v>80142.98</v>
      </c>
      <c r="F1927" s="574">
        <f>费率!F8</f>
        <v>0.03</v>
      </c>
      <c r="G1927" s="566">
        <f t="shared" si="73"/>
        <v>2404.29</v>
      </c>
    </row>
    <row r="1928" customHeight="1" spans="1:7">
      <c r="A1928" s="577"/>
      <c r="B1928" s="578" t="s">
        <v>560</v>
      </c>
      <c r="C1928" s="578"/>
      <c r="D1928" s="578"/>
      <c r="E1928" s="579"/>
      <c r="F1928" s="578"/>
      <c r="G1928" s="580">
        <f>G1927+E1926+G1926</f>
        <v>82547.27</v>
      </c>
    </row>
    <row r="1929" customHeight="1" spans="1:7">
      <c r="A1929" s="543"/>
      <c r="B1929" s="544"/>
      <c r="C1929" s="543"/>
      <c r="D1929" s="545"/>
      <c r="E1929" s="543"/>
      <c r="F1929" s="543"/>
      <c r="G1929" s="544"/>
    </row>
    <row r="1930" customHeight="1" spans="1:7">
      <c r="A1930" s="546" t="s">
        <v>274</v>
      </c>
      <c r="B1930" s="546"/>
      <c r="C1930" s="546"/>
      <c r="D1930" s="546"/>
      <c r="E1930" s="546"/>
      <c r="F1930" s="546"/>
      <c r="G1930" s="546"/>
    </row>
    <row r="1931" customHeight="1" spans="1:7">
      <c r="A1931" s="547" t="s">
        <v>275</v>
      </c>
      <c r="B1931" s="548"/>
      <c r="C1931" s="548" t="s">
        <v>680</v>
      </c>
      <c r="D1931" s="548" t="s">
        <v>276</v>
      </c>
      <c r="E1931" s="549" t="s">
        <v>853</v>
      </c>
      <c r="F1931" s="549"/>
      <c r="G1931" s="550"/>
    </row>
    <row r="1932" customHeight="1" spans="1:7">
      <c r="A1932" s="551" t="s">
        <v>278</v>
      </c>
      <c r="B1932" s="552"/>
      <c r="C1932" s="553" t="s">
        <v>781</v>
      </c>
      <c r="D1932" s="553"/>
      <c r="E1932" s="553"/>
      <c r="F1932" s="554" t="s">
        <v>280</v>
      </c>
      <c r="G1932" s="555" t="s">
        <v>281</v>
      </c>
    </row>
    <row r="1933" customHeight="1" spans="1:7">
      <c r="A1933" s="556" t="s">
        <v>683</v>
      </c>
      <c r="B1933" s="553"/>
      <c r="C1933" s="553"/>
      <c r="D1933" s="553"/>
      <c r="E1933" s="553"/>
      <c r="F1933" s="553"/>
      <c r="G1933" s="557"/>
    </row>
    <row r="1934" customHeight="1" spans="1:7">
      <c r="A1934" s="558" t="s">
        <v>684</v>
      </c>
      <c r="B1934" s="559"/>
      <c r="C1934" s="560"/>
      <c r="D1934" s="560"/>
      <c r="E1934" s="560"/>
      <c r="F1934" s="560"/>
      <c r="G1934" s="561"/>
    </row>
    <row r="1935" customHeight="1" spans="1:7">
      <c r="A1935" s="551" t="s">
        <v>284</v>
      </c>
      <c r="B1935" s="562" t="s">
        <v>233</v>
      </c>
      <c r="C1935" s="562"/>
      <c r="D1935" s="562" t="s">
        <v>88</v>
      </c>
      <c r="E1935" s="563" t="s">
        <v>130</v>
      </c>
      <c r="F1935" s="562" t="s">
        <v>285</v>
      </c>
      <c r="G1935" s="564" t="s">
        <v>286</v>
      </c>
    </row>
    <row r="1936" customHeight="1" spans="1:7">
      <c r="A1936" s="551" t="s">
        <v>9</v>
      </c>
      <c r="B1936" s="565" t="s">
        <v>287</v>
      </c>
      <c r="C1936" s="565"/>
      <c r="D1936" s="562"/>
      <c r="E1936" s="563"/>
      <c r="F1936" s="563"/>
      <c r="G1936" s="566">
        <f>G1937+G1949</f>
        <v>54658.44</v>
      </c>
    </row>
    <row r="1937" customHeight="1" spans="1:7">
      <c r="A1937" s="551" t="s">
        <v>132</v>
      </c>
      <c r="B1937" s="565" t="s">
        <v>288</v>
      </c>
      <c r="C1937" s="565"/>
      <c r="D1937" s="562"/>
      <c r="E1937" s="563"/>
      <c r="F1937" s="563"/>
      <c r="G1937" s="566">
        <f>G1938+G1941+G1945+G1948</f>
        <v>52155</v>
      </c>
    </row>
    <row r="1938" customHeight="1" spans="1:7">
      <c r="A1938" s="551" t="s">
        <v>39</v>
      </c>
      <c r="B1938" s="565" t="s">
        <v>247</v>
      </c>
      <c r="C1938" s="565"/>
      <c r="D1938" s="562"/>
      <c r="E1938" s="563"/>
      <c r="F1938" s="563"/>
      <c r="G1938" s="566">
        <f>SUM(G1939:G1940)</f>
        <v>8653.16</v>
      </c>
    </row>
    <row r="1939" customHeight="1" spans="1:7">
      <c r="A1939" s="551"/>
      <c r="B1939" s="565" t="s">
        <v>289</v>
      </c>
      <c r="C1939" s="565"/>
      <c r="D1939" s="562" t="s">
        <v>290</v>
      </c>
      <c r="E1939" s="563">
        <v>818.4</v>
      </c>
      <c r="F1939" s="563">
        <f>人工!D4</f>
        <v>8.1</v>
      </c>
      <c r="G1939" s="566">
        <f>E1939*F1939</f>
        <v>6629.04</v>
      </c>
    </row>
    <row r="1940" customHeight="1" spans="1:7">
      <c r="A1940" s="551"/>
      <c r="B1940" s="565" t="s">
        <v>291</v>
      </c>
      <c r="C1940" s="565"/>
      <c r="D1940" s="562" t="s">
        <v>290</v>
      </c>
      <c r="E1940" s="563">
        <v>350.8</v>
      </c>
      <c r="F1940" s="563">
        <f>人工!D5</f>
        <v>5.77</v>
      </c>
      <c r="G1940" s="566">
        <f>E1940*F1940</f>
        <v>2024.12</v>
      </c>
    </row>
    <row r="1941" customHeight="1" spans="1:7">
      <c r="A1941" s="551" t="s">
        <v>41</v>
      </c>
      <c r="B1941" s="565" t="s">
        <v>248</v>
      </c>
      <c r="C1941" s="565"/>
      <c r="D1941" s="562"/>
      <c r="E1941" s="563"/>
      <c r="F1941" s="563"/>
      <c r="G1941" s="566">
        <f>SUM(G1942:G1944)</f>
        <v>41451.01</v>
      </c>
    </row>
    <row r="1942" customHeight="1" spans="1:7">
      <c r="A1942" s="567"/>
      <c r="B1942" s="568" t="s">
        <v>685</v>
      </c>
      <c r="C1942" s="568"/>
      <c r="D1942" s="569" t="s">
        <v>395</v>
      </c>
      <c r="E1942" s="563">
        <v>84.3</v>
      </c>
      <c r="F1942" s="569">
        <f>G641/100</f>
        <v>425.44</v>
      </c>
      <c r="G1942" s="570">
        <f>E1942*F1942</f>
        <v>35864.59</v>
      </c>
    </row>
    <row r="1943" customHeight="1" spans="1:7">
      <c r="A1943" s="567"/>
      <c r="B1943" s="568" t="s">
        <v>686</v>
      </c>
      <c r="C1943" s="568"/>
      <c r="D1943" s="569" t="s">
        <v>395</v>
      </c>
      <c r="E1943" s="563">
        <v>29.4</v>
      </c>
      <c r="F1943" s="569">
        <f>混凝土单价!M7</f>
        <v>183</v>
      </c>
      <c r="G1943" s="570">
        <f>E1943*F1943</f>
        <v>5380.2</v>
      </c>
    </row>
    <row r="1944" customHeight="1" spans="1:7">
      <c r="A1944" s="567"/>
      <c r="B1944" s="568" t="s">
        <v>397</v>
      </c>
      <c r="C1944" s="568"/>
      <c r="D1944" s="569" t="s">
        <v>293</v>
      </c>
      <c r="E1944" s="571">
        <v>0.005</v>
      </c>
      <c r="F1944" s="569">
        <f>SUM(G1942:G1943)</f>
        <v>41244.79</v>
      </c>
      <c r="G1944" s="570">
        <f>E1944*F1944</f>
        <v>206.22</v>
      </c>
    </row>
    <row r="1945" customHeight="1" spans="1:7">
      <c r="A1945" s="572">
        <v>3</v>
      </c>
      <c r="B1945" s="568" t="s">
        <v>464</v>
      </c>
      <c r="C1945" s="568"/>
      <c r="D1945" s="569"/>
      <c r="E1945" s="569"/>
      <c r="F1945" s="569"/>
      <c r="G1945" s="570">
        <f>SUM(G1946:G1947)</f>
        <v>192.86</v>
      </c>
    </row>
    <row r="1946" customHeight="1" spans="1:7">
      <c r="A1946" s="567"/>
      <c r="B1946" s="568" t="s">
        <v>673</v>
      </c>
      <c r="C1946" s="568"/>
      <c r="D1946" s="569" t="s">
        <v>316</v>
      </c>
      <c r="E1946" s="563">
        <v>3.92</v>
      </c>
      <c r="F1946" s="569">
        <f>机械!E16</f>
        <v>23.75</v>
      </c>
      <c r="G1946" s="570">
        <f>E1946*F1946</f>
        <v>93.1</v>
      </c>
    </row>
    <row r="1947" customHeight="1" spans="1:7">
      <c r="A1947" s="567"/>
      <c r="B1947" s="568" t="s">
        <v>472</v>
      </c>
      <c r="C1947" s="568"/>
      <c r="D1947" s="569" t="s">
        <v>316</v>
      </c>
      <c r="E1947" s="563">
        <v>121.66</v>
      </c>
      <c r="F1947" s="569">
        <f>机械!E29</f>
        <v>0.82</v>
      </c>
      <c r="G1947" s="570">
        <f>E1947*F1947</f>
        <v>99.76</v>
      </c>
    </row>
    <row r="1948" customHeight="1" spans="1:7">
      <c r="A1948" s="572">
        <v>4</v>
      </c>
      <c r="B1948" s="568" t="s">
        <v>687</v>
      </c>
      <c r="C1948" s="568"/>
      <c r="D1948" s="569" t="s">
        <v>395</v>
      </c>
      <c r="E1948" s="563">
        <f>E1942</f>
        <v>84.3</v>
      </c>
      <c r="F1948" s="569">
        <f>G328/100</f>
        <v>22.04</v>
      </c>
      <c r="G1948" s="570">
        <f t="shared" ref="G1948:G1951" si="74">E1948*F1948</f>
        <v>1857.97</v>
      </c>
    </row>
    <row r="1949" customHeight="1" spans="1:7">
      <c r="A1949" s="572" t="s">
        <v>133</v>
      </c>
      <c r="B1949" s="568" t="s">
        <v>294</v>
      </c>
      <c r="C1949" s="568"/>
      <c r="D1949" s="569"/>
      <c r="E1949" s="563">
        <f>G1937</f>
        <v>52155</v>
      </c>
      <c r="F1949" s="573">
        <f>费率!F4</f>
        <v>0.048</v>
      </c>
      <c r="G1949" s="570">
        <f t="shared" si="74"/>
        <v>2503.44</v>
      </c>
    </row>
    <row r="1950" customHeight="1" spans="1:7">
      <c r="A1950" s="551" t="s">
        <v>14</v>
      </c>
      <c r="B1950" s="565" t="s">
        <v>295</v>
      </c>
      <c r="C1950" s="565"/>
      <c r="D1950" s="562"/>
      <c r="E1950" s="563">
        <f>G1936</f>
        <v>54658.44</v>
      </c>
      <c r="F1950" s="574">
        <f>费率!F5</f>
        <v>0.07</v>
      </c>
      <c r="G1950" s="566">
        <f t="shared" si="74"/>
        <v>3826.09</v>
      </c>
    </row>
    <row r="1951" customHeight="1" spans="1:7">
      <c r="A1951" s="551" t="s">
        <v>16</v>
      </c>
      <c r="B1951" s="565" t="s">
        <v>296</v>
      </c>
      <c r="C1951" s="565"/>
      <c r="D1951" s="562"/>
      <c r="E1951" s="563">
        <f>G1936+G1950</f>
        <v>58484.53</v>
      </c>
      <c r="F1951" s="574">
        <f>费率!F6</f>
        <v>0.07</v>
      </c>
      <c r="G1951" s="566">
        <f t="shared" si="74"/>
        <v>4093.92</v>
      </c>
    </row>
    <row r="1952" customHeight="1" spans="1:7">
      <c r="A1952" s="567" t="s">
        <v>18</v>
      </c>
      <c r="B1952" s="568" t="s">
        <v>466</v>
      </c>
      <c r="C1952" s="568"/>
      <c r="D1952" s="569"/>
      <c r="E1952" s="569"/>
      <c r="F1952" s="569"/>
      <c r="G1952" s="570">
        <f>SUM(G1953:G1957)</f>
        <v>8677.37</v>
      </c>
    </row>
    <row r="1953" customHeight="1" spans="1:7">
      <c r="A1953" s="567"/>
      <c r="B1953" s="568" t="s">
        <v>405</v>
      </c>
      <c r="C1953" s="568"/>
      <c r="D1953" s="569" t="s">
        <v>158</v>
      </c>
      <c r="E1953" s="569">
        <f>E662/100*E1942+E1943*混凝土单价!E7</f>
        <v>36.83</v>
      </c>
      <c r="F1953" s="569">
        <f>主材!N6</f>
        <v>135.66</v>
      </c>
      <c r="G1953" s="570">
        <f t="shared" ref="G1953:G1959" si="75">E1953*F1953</f>
        <v>4996.36</v>
      </c>
    </row>
    <row r="1954" customHeight="1" spans="1:7">
      <c r="A1954" s="567"/>
      <c r="B1954" s="568" t="s">
        <v>396</v>
      </c>
      <c r="C1954" s="568"/>
      <c r="D1954" s="569" t="s">
        <v>395</v>
      </c>
      <c r="E1954" s="569">
        <f>E663/100*E1942+E1943*混凝土单价!G7</f>
        <v>65.04</v>
      </c>
      <c r="F1954" s="569">
        <f>主材!N8</f>
        <v>37.93</v>
      </c>
      <c r="G1954" s="570">
        <f t="shared" si="75"/>
        <v>2466.97</v>
      </c>
    </row>
    <row r="1955" customHeight="1" spans="1:7">
      <c r="A1955" s="567"/>
      <c r="B1955" s="568" t="s">
        <v>467</v>
      </c>
      <c r="C1955" s="568"/>
      <c r="D1955" s="569" t="s">
        <v>395</v>
      </c>
      <c r="E1955" s="569">
        <f>E664/100*E1942+E1943*混凝土单价!I7</f>
        <v>93.91</v>
      </c>
      <c r="F1955" s="569">
        <f>主材!N10</f>
        <v>7.03</v>
      </c>
      <c r="G1955" s="570">
        <f t="shared" si="75"/>
        <v>660.19</v>
      </c>
    </row>
    <row r="1956" customHeight="1" spans="1:7">
      <c r="A1956" s="551"/>
      <c r="B1956" s="565" t="s">
        <v>317</v>
      </c>
      <c r="C1956" s="565"/>
      <c r="D1956" s="562" t="s">
        <v>323</v>
      </c>
      <c r="E1956" s="563">
        <f>E339/100*E1942</f>
        <v>119.42</v>
      </c>
      <c r="F1956" s="575">
        <f>主材!N13</f>
        <v>4.13</v>
      </c>
      <c r="G1956" s="566">
        <f t="shared" si="75"/>
        <v>493.2</v>
      </c>
    </row>
    <row r="1957" customHeight="1" spans="1:7">
      <c r="A1957" s="551"/>
      <c r="B1957" s="565" t="s">
        <v>522</v>
      </c>
      <c r="C1957" s="565"/>
      <c r="D1957" s="562" t="s">
        <v>323</v>
      </c>
      <c r="E1957" s="563">
        <f>E665/100*E1942</f>
        <v>11.17</v>
      </c>
      <c r="F1957" s="575">
        <f>主材!N14</f>
        <v>5.43</v>
      </c>
      <c r="G1957" s="566">
        <f t="shared" si="75"/>
        <v>60.65</v>
      </c>
    </row>
    <row r="1958" customHeight="1" spans="1:7">
      <c r="A1958" s="551" t="s">
        <v>20</v>
      </c>
      <c r="B1958" s="565" t="s">
        <v>297</v>
      </c>
      <c r="C1958" s="565"/>
      <c r="D1958" s="562"/>
      <c r="E1958" s="563">
        <f>G1952+G1951+G1950+G1936</f>
        <v>71255.82</v>
      </c>
      <c r="F1958" s="576">
        <f>费率!F7</f>
        <v>0.09</v>
      </c>
      <c r="G1958" s="566">
        <f t="shared" si="75"/>
        <v>6413.02</v>
      </c>
    </row>
    <row r="1959" customHeight="1" spans="1:7">
      <c r="A1959" s="551"/>
      <c r="B1959" s="565" t="s">
        <v>675</v>
      </c>
      <c r="C1959" s="565"/>
      <c r="D1959" s="562"/>
      <c r="E1959" s="563">
        <f>G1936+G1950+G1951+G1952+G1958</f>
        <v>77668.84</v>
      </c>
      <c r="F1959" s="574">
        <f>费率!F8</f>
        <v>0.03</v>
      </c>
      <c r="G1959" s="566">
        <f t="shared" si="75"/>
        <v>2330.07</v>
      </c>
    </row>
    <row r="1960" customHeight="1" spans="1:7">
      <c r="A1960" s="577"/>
      <c r="B1960" s="578" t="s">
        <v>560</v>
      </c>
      <c r="C1960" s="578"/>
      <c r="D1960" s="578"/>
      <c r="E1960" s="579"/>
      <c r="F1960" s="578"/>
      <c r="G1960" s="580">
        <f>G1959+E1958+G1958</f>
        <v>79998.91</v>
      </c>
    </row>
    <row r="1961" customHeight="1" spans="1:7">
      <c r="A1961" s="543"/>
      <c r="B1961" s="544"/>
      <c r="C1961" s="543"/>
      <c r="D1961" s="545"/>
      <c r="E1961" s="543"/>
      <c r="F1961" s="543"/>
      <c r="G1961" s="544"/>
    </row>
    <row r="1962" customHeight="1" spans="1:7">
      <c r="A1962" s="546" t="s">
        <v>274</v>
      </c>
      <c r="B1962" s="546"/>
      <c r="C1962" s="546"/>
      <c r="D1962" s="546"/>
      <c r="E1962" s="546"/>
      <c r="F1962" s="546"/>
      <c r="G1962" s="546"/>
    </row>
    <row r="1963" customHeight="1" spans="1:7">
      <c r="A1963" s="547" t="s">
        <v>275</v>
      </c>
      <c r="B1963" s="548"/>
      <c r="C1963" s="548" t="s">
        <v>680</v>
      </c>
      <c r="D1963" s="548" t="s">
        <v>276</v>
      </c>
      <c r="E1963" s="549" t="s">
        <v>854</v>
      </c>
      <c r="F1963" s="549"/>
      <c r="G1963" s="550"/>
    </row>
    <row r="1964" customHeight="1" spans="1:7">
      <c r="A1964" s="551" t="s">
        <v>278</v>
      </c>
      <c r="B1964" s="552"/>
      <c r="C1964" s="553" t="s">
        <v>855</v>
      </c>
      <c r="D1964" s="553"/>
      <c r="E1964" s="553"/>
      <c r="F1964" s="554" t="s">
        <v>280</v>
      </c>
      <c r="G1964" s="555" t="s">
        <v>281</v>
      </c>
    </row>
    <row r="1965" customHeight="1" spans="1:7">
      <c r="A1965" s="556" t="s">
        <v>683</v>
      </c>
      <c r="B1965" s="553"/>
      <c r="C1965" s="553"/>
      <c r="D1965" s="553"/>
      <c r="E1965" s="553"/>
      <c r="F1965" s="553"/>
      <c r="G1965" s="557"/>
    </row>
    <row r="1966" customHeight="1" spans="1:7">
      <c r="A1966" s="558" t="s">
        <v>684</v>
      </c>
      <c r="B1966" s="559"/>
      <c r="C1966" s="560"/>
      <c r="D1966" s="560"/>
      <c r="E1966" s="560"/>
      <c r="F1966" s="560"/>
      <c r="G1966" s="561"/>
    </row>
    <row r="1967" customHeight="1" spans="1:7">
      <c r="A1967" s="551" t="s">
        <v>284</v>
      </c>
      <c r="B1967" s="562" t="s">
        <v>233</v>
      </c>
      <c r="C1967" s="562"/>
      <c r="D1967" s="562" t="s">
        <v>88</v>
      </c>
      <c r="E1967" s="563" t="s">
        <v>130</v>
      </c>
      <c r="F1967" s="562" t="s">
        <v>285</v>
      </c>
      <c r="G1967" s="564" t="s">
        <v>286</v>
      </c>
    </row>
    <row r="1968" customHeight="1" spans="1:7">
      <c r="A1968" s="551" t="s">
        <v>9</v>
      </c>
      <c r="B1968" s="565" t="s">
        <v>287</v>
      </c>
      <c r="C1968" s="565"/>
      <c r="D1968" s="562"/>
      <c r="E1968" s="563"/>
      <c r="F1968" s="563"/>
      <c r="G1968" s="566">
        <f>G1969+G1981</f>
        <v>52865.41</v>
      </c>
    </row>
    <row r="1969" customHeight="1" spans="1:7">
      <c r="A1969" s="551" t="s">
        <v>132</v>
      </c>
      <c r="B1969" s="565" t="s">
        <v>288</v>
      </c>
      <c r="C1969" s="565"/>
      <c r="D1969" s="562"/>
      <c r="E1969" s="563"/>
      <c r="F1969" s="563"/>
      <c r="G1969" s="566">
        <f>G1970+G1973+G1977+G1980</f>
        <v>50444.09</v>
      </c>
    </row>
    <row r="1970" customHeight="1" spans="1:7">
      <c r="A1970" s="551" t="s">
        <v>39</v>
      </c>
      <c r="B1970" s="565" t="s">
        <v>247</v>
      </c>
      <c r="C1970" s="565"/>
      <c r="D1970" s="562"/>
      <c r="E1970" s="563"/>
      <c r="F1970" s="563"/>
      <c r="G1970" s="566">
        <f>SUM(G1971:G1972)</f>
        <v>8195.1</v>
      </c>
    </row>
    <row r="1971" customHeight="1" spans="1:7">
      <c r="A1971" s="551"/>
      <c r="B1971" s="565" t="s">
        <v>289</v>
      </c>
      <c r="C1971" s="565"/>
      <c r="D1971" s="562" t="s">
        <v>290</v>
      </c>
      <c r="E1971" s="563">
        <v>775.1</v>
      </c>
      <c r="F1971" s="563">
        <f>人工!D4</f>
        <v>8.1</v>
      </c>
      <c r="G1971" s="566">
        <f>E1971*F1971</f>
        <v>6278.31</v>
      </c>
    </row>
    <row r="1972" customHeight="1" spans="1:7">
      <c r="A1972" s="551"/>
      <c r="B1972" s="565" t="s">
        <v>291</v>
      </c>
      <c r="C1972" s="565"/>
      <c r="D1972" s="562" t="s">
        <v>290</v>
      </c>
      <c r="E1972" s="563">
        <v>332.2</v>
      </c>
      <c r="F1972" s="563">
        <f>人工!D5</f>
        <v>5.77</v>
      </c>
      <c r="G1972" s="566">
        <f>E1972*F1972</f>
        <v>1916.79</v>
      </c>
    </row>
    <row r="1973" customHeight="1" spans="1:7">
      <c r="A1973" s="551" t="s">
        <v>41</v>
      </c>
      <c r="B1973" s="565" t="s">
        <v>248</v>
      </c>
      <c r="C1973" s="565"/>
      <c r="D1973" s="562"/>
      <c r="E1973" s="563"/>
      <c r="F1973" s="563"/>
      <c r="G1973" s="566">
        <f>SUM(G1974:G1976)</f>
        <v>40281.49</v>
      </c>
    </row>
    <row r="1974" customHeight="1" spans="1:7">
      <c r="A1974" s="567"/>
      <c r="B1974" s="568" t="s">
        <v>685</v>
      </c>
      <c r="C1974" s="568"/>
      <c r="D1974" s="569" t="s">
        <v>395</v>
      </c>
      <c r="E1974" s="563">
        <v>79.5</v>
      </c>
      <c r="F1974" s="569">
        <f>G641/100</f>
        <v>425.44</v>
      </c>
      <c r="G1974" s="570">
        <f>E1974*F1974</f>
        <v>33822.48</v>
      </c>
    </row>
    <row r="1975" customHeight="1" spans="1:7">
      <c r="A1975" s="567"/>
      <c r="B1975" s="568" t="s">
        <v>686</v>
      </c>
      <c r="C1975" s="568"/>
      <c r="D1975" s="569" t="s">
        <v>395</v>
      </c>
      <c r="E1975" s="563">
        <v>34.2</v>
      </c>
      <c r="F1975" s="569">
        <f>混凝土单价!M7</f>
        <v>183</v>
      </c>
      <c r="G1975" s="570">
        <f>E1975*F1975</f>
        <v>6258.6</v>
      </c>
    </row>
    <row r="1976" customHeight="1" spans="1:7">
      <c r="A1976" s="567"/>
      <c r="B1976" s="568" t="s">
        <v>397</v>
      </c>
      <c r="C1976" s="568"/>
      <c r="D1976" s="569" t="s">
        <v>293</v>
      </c>
      <c r="E1976" s="571">
        <v>0.005</v>
      </c>
      <c r="F1976" s="569">
        <f>SUM(G1974:G1975)</f>
        <v>40081.08</v>
      </c>
      <c r="G1976" s="570">
        <f>E1976*F1976</f>
        <v>200.41</v>
      </c>
    </row>
    <row r="1977" customHeight="1" spans="1:7">
      <c r="A1977" s="572">
        <v>3</v>
      </c>
      <c r="B1977" s="568" t="s">
        <v>464</v>
      </c>
      <c r="C1977" s="568"/>
      <c r="D1977" s="569"/>
      <c r="E1977" s="569"/>
      <c r="F1977" s="569"/>
      <c r="G1977" s="570">
        <f>SUM(G1978:G1979)</f>
        <v>215.32</v>
      </c>
    </row>
    <row r="1978" customHeight="1" spans="1:7">
      <c r="A1978" s="567"/>
      <c r="B1978" s="568" t="s">
        <v>673</v>
      </c>
      <c r="C1978" s="568"/>
      <c r="D1978" s="569" t="s">
        <v>316</v>
      </c>
      <c r="E1978" s="563">
        <v>4.81</v>
      </c>
      <c r="F1978" s="569">
        <f>机械!E16</f>
        <v>23.75</v>
      </c>
      <c r="G1978" s="570">
        <f>E1978*F1978</f>
        <v>114.24</v>
      </c>
    </row>
    <row r="1979" customHeight="1" spans="1:7">
      <c r="A1979" s="567"/>
      <c r="B1979" s="568" t="s">
        <v>472</v>
      </c>
      <c r="C1979" s="568"/>
      <c r="D1979" s="569" t="s">
        <v>316</v>
      </c>
      <c r="E1979" s="563">
        <v>123.27</v>
      </c>
      <c r="F1979" s="569">
        <f>机械!E29</f>
        <v>0.82</v>
      </c>
      <c r="G1979" s="570">
        <f>E1979*F1979</f>
        <v>101.08</v>
      </c>
    </row>
    <row r="1980" customHeight="1" spans="1:7">
      <c r="A1980" s="572">
        <v>4</v>
      </c>
      <c r="B1980" s="568" t="s">
        <v>687</v>
      </c>
      <c r="C1980" s="568"/>
      <c r="D1980" s="569" t="s">
        <v>395</v>
      </c>
      <c r="E1980" s="563">
        <f>E1974</f>
        <v>79.5</v>
      </c>
      <c r="F1980" s="569">
        <f>G328/100</f>
        <v>22.04</v>
      </c>
      <c r="G1980" s="570">
        <f t="shared" ref="G1980:G1983" si="76">E1980*F1980</f>
        <v>1752.18</v>
      </c>
    </row>
    <row r="1981" customHeight="1" spans="1:7">
      <c r="A1981" s="572" t="s">
        <v>133</v>
      </c>
      <c r="B1981" s="568" t="s">
        <v>294</v>
      </c>
      <c r="C1981" s="568"/>
      <c r="D1981" s="569"/>
      <c r="E1981" s="563">
        <f>G1969</f>
        <v>50444.09</v>
      </c>
      <c r="F1981" s="573">
        <f>费率!F4</f>
        <v>0.048</v>
      </c>
      <c r="G1981" s="570">
        <f t="shared" si="76"/>
        <v>2421.32</v>
      </c>
    </row>
    <row r="1982" customHeight="1" spans="1:7">
      <c r="A1982" s="551" t="s">
        <v>14</v>
      </c>
      <c r="B1982" s="565" t="s">
        <v>295</v>
      </c>
      <c r="C1982" s="565"/>
      <c r="D1982" s="562"/>
      <c r="E1982" s="563">
        <f>G1968</f>
        <v>52865.41</v>
      </c>
      <c r="F1982" s="574">
        <f>费率!F5</f>
        <v>0.07</v>
      </c>
      <c r="G1982" s="566">
        <f t="shared" si="76"/>
        <v>3700.58</v>
      </c>
    </row>
    <row r="1983" customHeight="1" spans="1:7">
      <c r="A1983" s="551" t="s">
        <v>16</v>
      </c>
      <c r="B1983" s="565" t="s">
        <v>296</v>
      </c>
      <c r="C1983" s="565"/>
      <c r="D1983" s="562"/>
      <c r="E1983" s="563">
        <f>G1968+G1982</f>
        <v>56565.99</v>
      </c>
      <c r="F1983" s="574">
        <f>费率!F6</f>
        <v>0.07</v>
      </c>
      <c r="G1983" s="566">
        <f t="shared" si="76"/>
        <v>3959.62</v>
      </c>
    </row>
    <row r="1984" customHeight="1" spans="1:7">
      <c r="A1984" s="567" t="s">
        <v>18</v>
      </c>
      <c r="B1984" s="568" t="s">
        <v>466</v>
      </c>
      <c r="C1984" s="568"/>
      <c r="D1984" s="569"/>
      <c r="E1984" s="569"/>
      <c r="F1984" s="569"/>
      <c r="G1984" s="570">
        <f>SUM(G1985:G1989)</f>
        <v>8668.76</v>
      </c>
    </row>
    <row r="1985" customHeight="1" spans="1:7">
      <c r="A1985" s="567"/>
      <c r="B1985" s="568" t="s">
        <v>405</v>
      </c>
      <c r="C1985" s="568"/>
      <c r="D1985" s="569" t="s">
        <v>158</v>
      </c>
      <c r="E1985" s="569">
        <f>E662/100*E1974+E1975*混凝土单价!E7</f>
        <v>36.97</v>
      </c>
      <c r="F1985" s="569">
        <f>主材!N6</f>
        <v>135.66</v>
      </c>
      <c r="G1985" s="570">
        <f t="shared" ref="G1985:G1991" si="77">E1985*F1985</f>
        <v>5015.35</v>
      </c>
    </row>
    <row r="1986" customHeight="1" spans="1:7">
      <c r="A1986" s="567"/>
      <c r="B1986" s="568" t="s">
        <v>396</v>
      </c>
      <c r="C1986" s="568"/>
      <c r="D1986" s="569" t="s">
        <v>395</v>
      </c>
      <c r="E1986" s="569">
        <f>E663/100*E1974+E1975*混凝土单价!G7</f>
        <v>65.25</v>
      </c>
      <c r="F1986" s="569">
        <f>主材!N8</f>
        <v>37.93</v>
      </c>
      <c r="G1986" s="570">
        <f t="shared" si="77"/>
        <v>2474.93</v>
      </c>
    </row>
    <row r="1987" customHeight="1" spans="1:7">
      <c r="A1987" s="567"/>
      <c r="B1987" s="568" t="s">
        <v>467</v>
      </c>
      <c r="C1987" s="568"/>
      <c r="D1987" s="569" t="s">
        <v>395</v>
      </c>
      <c r="E1987" s="569">
        <f>E664/100*E1974+E1975*混凝土单价!I7</f>
        <v>93.34</v>
      </c>
      <c r="F1987" s="569">
        <f>主材!N10</f>
        <v>7.03</v>
      </c>
      <c r="G1987" s="570">
        <f t="shared" si="77"/>
        <v>656.18</v>
      </c>
    </row>
    <row r="1988" customHeight="1" spans="1:7">
      <c r="A1988" s="551"/>
      <c r="B1988" s="565" t="s">
        <v>317</v>
      </c>
      <c r="C1988" s="565"/>
      <c r="D1988" s="562" t="s">
        <v>323</v>
      </c>
      <c r="E1988" s="563">
        <f>E339/100*E1974</f>
        <v>112.62</v>
      </c>
      <c r="F1988" s="575">
        <f>主材!N13</f>
        <v>4.13</v>
      </c>
      <c r="G1988" s="566">
        <f t="shared" si="77"/>
        <v>465.12</v>
      </c>
    </row>
    <row r="1989" customHeight="1" spans="1:7">
      <c r="A1989" s="551"/>
      <c r="B1989" s="565" t="s">
        <v>522</v>
      </c>
      <c r="C1989" s="565"/>
      <c r="D1989" s="562" t="s">
        <v>323</v>
      </c>
      <c r="E1989" s="563">
        <f>E665/100*E1974</f>
        <v>10.53</v>
      </c>
      <c r="F1989" s="575">
        <f>主材!N14</f>
        <v>5.43</v>
      </c>
      <c r="G1989" s="566">
        <f t="shared" si="77"/>
        <v>57.18</v>
      </c>
    </row>
    <row r="1990" customHeight="1" spans="1:7">
      <c r="A1990" s="551" t="s">
        <v>20</v>
      </c>
      <c r="B1990" s="565" t="s">
        <v>297</v>
      </c>
      <c r="C1990" s="565"/>
      <c r="D1990" s="562"/>
      <c r="E1990" s="563">
        <f>G1984+G1983+G1982+G1968</f>
        <v>69194.37</v>
      </c>
      <c r="F1990" s="576">
        <f>费率!F7</f>
        <v>0.09</v>
      </c>
      <c r="G1990" s="566">
        <f t="shared" si="77"/>
        <v>6227.49</v>
      </c>
    </row>
    <row r="1991" customHeight="1" spans="1:7">
      <c r="A1991" s="551"/>
      <c r="B1991" s="565" t="s">
        <v>675</v>
      </c>
      <c r="C1991" s="565"/>
      <c r="D1991" s="562"/>
      <c r="E1991" s="563">
        <f>G1968+G1982+G1983+G1984+G1990</f>
        <v>75421.86</v>
      </c>
      <c r="F1991" s="574">
        <f>费率!F8</f>
        <v>0.03</v>
      </c>
      <c r="G1991" s="566">
        <f t="shared" si="77"/>
        <v>2262.66</v>
      </c>
    </row>
    <row r="1992" customHeight="1" spans="1:7">
      <c r="A1992" s="577"/>
      <c r="B1992" s="578" t="s">
        <v>560</v>
      </c>
      <c r="C1992" s="578"/>
      <c r="D1992" s="578"/>
      <c r="E1992" s="579"/>
      <c r="F1992" s="578"/>
      <c r="G1992" s="580">
        <f>G1991+E1990+G1990</f>
        <v>77684.52</v>
      </c>
    </row>
    <row r="1993" customHeight="1" spans="1:7">
      <c r="A1993" s="543"/>
      <c r="B1993" s="544"/>
      <c r="C1993" s="543"/>
      <c r="D1993" s="545"/>
      <c r="E1993" s="543"/>
      <c r="F1993" s="543"/>
      <c r="G1993" s="544"/>
    </row>
    <row r="1994" customHeight="1" spans="1:7">
      <c r="A1994" s="581" t="s">
        <v>274</v>
      </c>
      <c r="B1994" s="581"/>
      <c r="C1994" s="581"/>
      <c r="D1994" s="581"/>
      <c r="E1994" s="581"/>
      <c r="F1994" s="581"/>
      <c r="G1994" s="581"/>
    </row>
    <row r="1995" customHeight="1" spans="1:7">
      <c r="A1995" s="582" t="s">
        <v>275</v>
      </c>
      <c r="B1995" s="583"/>
      <c r="C1995" s="583" t="s">
        <v>680</v>
      </c>
      <c r="D1995" s="583" t="s">
        <v>276</v>
      </c>
      <c r="E1995" s="584" t="s">
        <v>856</v>
      </c>
      <c r="F1995" s="584"/>
      <c r="G1995" s="585"/>
    </row>
    <row r="1996" customHeight="1" spans="1:7">
      <c r="A1996" s="586" t="s">
        <v>278</v>
      </c>
      <c r="B1996" s="587"/>
      <c r="C1996" s="588" t="s">
        <v>857</v>
      </c>
      <c r="D1996" s="588"/>
      <c r="E1996" s="588"/>
      <c r="F1996" s="589" t="s">
        <v>280</v>
      </c>
      <c r="G1996" s="590" t="s">
        <v>858</v>
      </c>
    </row>
    <row r="1997" customHeight="1" spans="1:7">
      <c r="A1997" s="591" t="s">
        <v>683</v>
      </c>
      <c r="B1997" s="588"/>
      <c r="C1997" s="588"/>
      <c r="D1997" s="588"/>
      <c r="E1997" s="588"/>
      <c r="F1997" s="588"/>
      <c r="G1997" s="592"/>
    </row>
    <row r="1998" customHeight="1" spans="1:7">
      <c r="A1998" s="593" t="s">
        <v>684</v>
      </c>
      <c r="B1998" s="594"/>
      <c r="C1998" s="595"/>
      <c r="D1998" s="595"/>
      <c r="E1998" s="595"/>
      <c r="F1998" s="595"/>
      <c r="G1998" s="596"/>
    </row>
    <row r="1999" customHeight="1" spans="1:7">
      <c r="A1999" s="586" t="s">
        <v>284</v>
      </c>
      <c r="B1999" s="597" t="s">
        <v>233</v>
      </c>
      <c r="C1999" s="597"/>
      <c r="D1999" s="597" t="s">
        <v>88</v>
      </c>
      <c r="E1999" s="598" t="s">
        <v>130</v>
      </c>
      <c r="F1999" s="597" t="s">
        <v>285</v>
      </c>
      <c r="G1999" s="599" t="s">
        <v>286</v>
      </c>
    </row>
    <row r="2000" customHeight="1" spans="1:7">
      <c r="A2000" s="586" t="s">
        <v>9</v>
      </c>
      <c r="B2000" s="600" t="s">
        <v>287</v>
      </c>
      <c r="C2000" s="600"/>
      <c r="D2000" s="597"/>
      <c r="E2000" s="598"/>
      <c r="F2000" s="598"/>
      <c r="G2000" s="601">
        <f>G2001+G2013</f>
        <v>51417.59</v>
      </c>
    </row>
    <row r="2001" customHeight="1" spans="1:7">
      <c r="A2001" s="586" t="s">
        <v>132</v>
      </c>
      <c r="B2001" s="600" t="s">
        <v>288</v>
      </c>
      <c r="C2001" s="600"/>
      <c r="D2001" s="597"/>
      <c r="E2001" s="598"/>
      <c r="F2001" s="598"/>
      <c r="G2001" s="601">
        <f>G2002+G2005+G2009+G2012</f>
        <v>49062.59</v>
      </c>
    </row>
    <row r="2002" customHeight="1" spans="1:7">
      <c r="A2002" s="586" t="s">
        <v>39</v>
      </c>
      <c r="B2002" s="600" t="s">
        <v>247</v>
      </c>
      <c r="C2002" s="600"/>
      <c r="D2002" s="597"/>
      <c r="E2002" s="598"/>
      <c r="F2002" s="598"/>
      <c r="G2002" s="601">
        <f>SUM(G2003:G2004)</f>
        <v>8016.09</v>
      </c>
    </row>
    <row r="2003" customHeight="1" spans="1:7">
      <c r="A2003" s="586"/>
      <c r="B2003" s="600" t="s">
        <v>289</v>
      </c>
      <c r="C2003" s="600"/>
      <c r="D2003" s="597" t="s">
        <v>290</v>
      </c>
      <c r="E2003" s="598">
        <v>758.2</v>
      </c>
      <c r="F2003" s="598">
        <f>人工!D4</f>
        <v>8.1</v>
      </c>
      <c r="G2003" s="601">
        <f>E2003*F2003</f>
        <v>6141.42</v>
      </c>
    </row>
    <row r="2004" customHeight="1" spans="1:7">
      <c r="A2004" s="586"/>
      <c r="B2004" s="600" t="s">
        <v>291</v>
      </c>
      <c r="C2004" s="600"/>
      <c r="D2004" s="597" t="s">
        <v>290</v>
      </c>
      <c r="E2004" s="598">
        <v>324.9</v>
      </c>
      <c r="F2004" s="598">
        <f>人工!D5</f>
        <v>5.77</v>
      </c>
      <c r="G2004" s="601">
        <f>E2004*F2004</f>
        <v>1874.67</v>
      </c>
    </row>
    <row r="2005" customHeight="1" spans="1:7">
      <c r="A2005" s="586" t="s">
        <v>41</v>
      </c>
      <c r="B2005" s="600" t="s">
        <v>248</v>
      </c>
      <c r="C2005" s="600"/>
      <c r="D2005" s="597"/>
      <c r="E2005" s="598"/>
      <c r="F2005" s="598"/>
      <c r="G2005" s="601">
        <f>SUM(G2006:G2008)</f>
        <v>39160.69</v>
      </c>
    </row>
    <row r="2006" customHeight="1" spans="1:7">
      <c r="A2006" s="602"/>
      <c r="B2006" s="603" t="s">
        <v>685</v>
      </c>
      <c r="C2006" s="603"/>
      <c r="D2006" s="604" t="s">
        <v>859</v>
      </c>
      <c r="E2006" s="598">
        <v>74.9</v>
      </c>
      <c r="F2006" s="604">
        <f>G641/100</f>
        <v>425.44</v>
      </c>
      <c r="G2006" s="605">
        <f>E2006*F2006</f>
        <v>31865.46</v>
      </c>
    </row>
    <row r="2007" customHeight="1" spans="1:7">
      <c r="A2007" s="602"/>
      <c r="B2007" s="603" t="s">
        <v>686</v>
      </c>
      <c r="C2007" s="603"/>
      <c r="D2007" s="604" t="s">
        <v>859</v>
      </c>
      <c r="E2007" s="598">
        <v>38.8</v>
      </c>
      <c r="F2007" s="604">
        <f>混凝土单价!M7</f>
        <v>183</v>
      </c>
      <c r="G2007" s="605">
        <f>E2007*F2007</f>
        <v>7100.4</v>
      </c>
    </row>
    <row r="2008" customHeight="1" spans="1:7">
      <c r="A2008" s="602"/>
      <c r="B2008" s="603" t="s">
        <v>397</v>
      </c>
      <c r="C2008" s="603"/>
      <c r="D2008" s="604" t="s">
        <v>293</v>
      </c>
      <c r="E2008" s="606">
        <v>0.005</v>
      </c>
      <c r="F2008" s="604">
        <f>SUM(G2006:G2007)</f>
        <v>38965.86</v>
      </c>
      <c r="G2008" s="605">
        <f>E2008*F2008</f>
        <v>194.83</v>
      </c>
    </row>
    <row r="2009" customHeight="1" spans="1:7">
      <c r="A2009" s="607">
        <v>3</v>
      </c>
      <c r="B2009" s="603" t="s">
        <v>464</v>
      </c>
      <c r="C2009" s="603"/>
      <c r="D2009" s="604"/>
      <c r="E2009" s="604"/>
      <c r="F2009" s="604"/>
      <c r="G2009" s="605">
        <f>SUM(G2010:G2011)</f>
        <v>235.01</v>
      </c>
    </row>
    <row r="2010" customHeight="1" spans="1:7">
      <c r="A2010" s="602"/>
      <c r="B2010" s="603" t="s">
        <v>860</v>
      </c>
      <c r="C2010" s="603"/>
      <c r="D2010" s="604" t="s">
        <v>316</v>
      </c>
      <c r="E2010" s="598">
        <v>5.6</v>
      </c>
      <c r="F2010" s="604">
        <f>机械!E16</f>
        <v>23.75</v>
      </c>
      <c r="G2010" s="605">
        <f>E2010*F2010</f>
        <v>133</v>
      </c>
    </row>
    <row r="2011" customHeight="1" spans="1:7">
      <c r="A2011" s="602"/>
      <c r="B2011" s="603" t="s">
        <v>472</v>
      </c>
      <c r="C2011" s="603"/>
      <c r="D2011" s="604" t="s">
        <v>316</v>
      </c>
      <c r="E2011" s="598">
        <v>124.4</v>
      </c>
      <c r="F2011" s="604">
        <f>机械!E29</f>
        <v>0.82</v>
      </c>
      <c r="G2011" s="605">
        <f>E2011*F2011</f>
        <v>102.01</v>
      </c>
    </row>
    <row r="2012" customHeight="1" spans="1:7">
      <c r="A2012" s="607">
        <v>4</v>
      </c>
      <c r="B2012" s="603" t="s">
        <v>687</v>
      </c>
      <c r="C2012" s="603"/>
      <c r="D2012" s="604" t="s">
        <v>859</v>
      </c>
      <c r="E2012" s="598">
        <f>E2006</f>
        <v>74.9</v>
      </c>
      <c r="F2012" s="604">
        <f>G328/100</f>
        <v>22.04</v>
      </c>
      <c r="G2012" s="605">
        <f t="shared" ref="G2012:G2015" si="78">E2012*F2012</f>
        <v>1650.8</v>
      </c>
    </row>
    <row r="2013" customHeight="1" spans="1:7">
      <c r="A2013" s="607" t="s">
        <v>133</v>
      </c>
      <c r="B2013" s="603" t="s">
        <v>294</v>
      </c>
      <c r="C2013" s="603"/>
      <c r="D2013" s="604"/>
      <c r="E2013" s="598">
        <f>G2001</f>
        <v>49062.59</v>
      </c>
      <c r="F2013" s="608">
        <f>费率!F4</f>
        <v>0.048</v>
      </c>
      <c r="G2013" s="605">
        <f t="shared" si="78"/>
        <v>2355</v>
      </c>
    </row>
    <row r="2014" customHeight="1" spans="1:7">
      <c r="A2014" s="586" t="s">
        <v>14</v>
      </c>
      <c r="B2014" s="600" t="s">
        <v>295</v>
      </c>
      <c r="C2014" s="600"/>
      <c r="D2014" s="597"/>
      <c r="E2014" s="598">
        <f>G2000</f>
        <v>51417.59</v>
      </c>
      <c r="F2014" s="609">
        <f>费率!F5</f>
        <v>0.07</v>
      </c>
      <c r="G2014" s="601">
        <f t="shared" si="78"/>
        <v>3599.23</v>
      </c>
    </row>
    <row r="2015" customHeight="1" spans="1:7">
      <c r="A2015" s="586" t="s">
        <v>16</v>
      </c>
      <c r="B2015" s="600" t="s">
        <v>296</v>
      </c>
      <c r="C2015" s="600"/>
      <c r="D2015" s="597"/>
      <c r="E2015" s="598">
        <f>G2000+G2014</f>
        <v>55016.82</v>
      </c>
      <c r="F2015" s="609">
        <f>费率!F6</f>
        <v>0.07</v>
      </c>
      <c r="G2015" s="601">
        <f t="shared" si="78"/>
        <v>3851.18</v>
      </c>
    </row>
    <row r="2016" customHeight="1" spans="1:7">
      <c r="A2016" s="602" t="s">
        <v>18</v>
      </c>
      <c r="B2016" s="603" t="s">
        <v>466</v>
      </c>
      <c r="C2016" s="603"/>
      <c r="D2016" s="604"/>
      <c r="E2016" s="604"/>
      <c r="F2016" s="604"/>
      <c r="G2016" s="605">
        <f>SUM(G2017:G2021)</f>
        <v>8660.85</v>
      </c>
    </row>
    <row r="2017" customHeight="1" spans="1:7">
      <c r="A2017" s="602"/>
      <c r="B2017" s="603" t="s">
        <v>405</v>
      </c>
      <c r="C2017" s="603"/>
      <c r="D2017" s="604" t="s">
        <v>158</v>
      </c>
      <c r="E2017" s="604">
        <f>E662/100*E2006+E2007*混凝土单价!E7</f>
        <v>37.11</v>
      </c>
      <c r="F2017" s="604">
        <f>主材!N6</f>
        <v>135.66</v>
      </c>
      <c r="G2017" s="605">
        <f t="shared" ref="G2017:G2023" si="79">E2017*F2017</f>
        <v>5034.34</v>
      </c>
    </row>
    <row r="2018" customHeight="1" spans="1:7">
      <c r="A2018" s="602"/>
      <c r="B2018" s="603" t="s">
        <v>396</v>
      </c>
      <c r="C2018" s="603"/>
      <c r="D2018" s="604" t="s">
        <v>859</v>
      </c>
      <c r="E2018" s="604">
        <f>E663/100*E2006+E2007*混凝土单价!G7</f>
        <v>65.44</v>
      </c>
      <c r="F2018" s="604">
        <f>主材!N8</f>
        <v>37.93</v>
      </c>
      <c r="G2018" s="605">
        <f t="shared" si="79"/>
        <v>2482.14</v>
      </c>
    </row>
    <row r="2019" customHeight="1" spans="1:7">
      <c r="A2019" s="602"/>
      <c r="B2019" s="603" t="s">
        <v>467</v>
      </c>
      <c r="C2019" s="603"/>
      <c r="D2019" s="604" t="s">
        <v>859</v>
      </c>
      <c r="E2019" s="604">
        <f>E664/100*E2006+E2007*混凝土单价!I7</f>
        <v>92.79</v>
      </c>
      <c r="F2019" s="604">
        <f>主材!N10</f>
        <v>7.03</v>
      </c>
      <c r="G2019" s="605">
        <f t="shared" si="79"/>
        <v>652.31</v>
      </c>
    </row>
    <row r="2020" customHeight="1" spans="1:7">
      <c r="A2020" s="586"/>
      <c r="B2020" s="600" t="s">
        <v>317</v>
      </c>
      <c r="C2020" s="600"/>
      <c r="D2020" s="597" t="s">
        <v>323</v>
      </c>
      <c r="E2020" s="598">
        <f>E339/100*E2006</f>
        <v>106.1</v>
      </c>
      <c r="F2020" s="610">
        <f>主材!N13</f>
        <v>4.13</v>
      </c>
      <c r="G2020" s="601">
        <f t="shared" si="79"/>
        <v>438.19</v>
      </c>
    </row>
    <row r="2021" customHeight="1" spans="1:7">
      <c r="A2021" s="586"/>
      <c r="B2021" s="600" t="s">
        <v>522</v>
      </c>
      <c r="C2021" s="600"/>
      <c r="D2021" s="597" t="s">
        <v>323</v>
      </c>
      <c r="E2021" s="598">
        <f>E665/100*E2006</f>
        <v>9.92</v>
      </c>
      <c r="F2021" s="610">
        <f>主材!N14</f>
        <v>5.43</v>
      </c>
      <c r="G2021" s="601">
        <f t="shared" si="79"/>
        <v>53.87</v>
      </c>
    </row>
    <row r="2022" customHeight="1" spans="1:7">
      <c r="A2022" s="586" t="s">
        <v>20</v>
      </c>
      <c r="B2022" s="600" t="s">
        <v>297</v>
      </c>
      <c r="C2022" s="600"/>
      <c r="D2022" s="597"/>
      <c r="E2022" s="598">
        <f>G2016+G2015+G2014+G2000</f>
        <v>67528.85</v>
      </c>
      <c r="F2022" s="611">
        <f>费率!F7</f>
        <v>0.09</v>
      </c>
      <c r="G2022" s="601">
        <f t="shared" si="79"/>
        <v>6077.6</v>
      </c>
    </row>
    <row r="2023" customHeight="1" spans="1:7">
      <c r="A2023" s="586"/>
      <c r="B2023" s="600" t="s">
        <v>675</v>
      </c>
      <c r="C2023" s="600"/>
      <c r="D2023" s="597"/>
      <c r="E2023" s="598">
        <f>G2000+G2014+G2015+G2016+G2022</f>
        <v>73606.45</v>
      </c>
      <c r="F2023" s="609">
        <f>费率!F8</f>
        <v>0.03</v>
      </c>
      <c r="G2023" s="601">
        <f t="shared" si="79"/>
        <v>2208.19</v>
      </c>
    </row>
    <row r="2024" customHeight="1" spans="1:7">
      <c r="A2024" s="612"/>
      <c r="B2024" s="613" t="s">
        <v>560</v>
      </c>
      <c r="C2024" s="613"/>
      <c r="D2024" s="613"/>
      <c r="E2024" s="614"/>
      <c r="F2024" s="613"/>
      <c r="G2024" s="615">
        <f>G2023+E2022+G2022</f>
        <v>75814.64</v>
      </c>
    </row>
    <row r="2025" customHeight="1" spans="1:7">
      <c r="A2025" s="543"/>
      <c r="B2025" s="544"/>
      <c r="C2025" s="543"/>
      <c r="D2025" s="545"/>
      <c r="E2025" s="543"/>
      <c r="F2025" s="543"/>
      <c r="G2025" s="544"/>
    </row>
    <row r="2026" customHeight="1" spans="1:7">
      <c r="A2026" s="546" t="s">
        <v>274</v>
      </c>
      <c r="B2026" s="546"/>
      <c r="C2026" s="546"/>
      <c r="D2026" s="546"/>
      <c r="E2026" s="546"/>
      <c r="F2026" s="546"/>
      <c r="G2026" s="546"/>
    </row>
    <row r="2027" customHeight="1" spans="1:7">
      <c r="A2027" s="547" t="s">
        <v>275</v>
      </c>
      <c r="B2027" s="548"/>
      <c r="C2027" s="548" t="s">
        <v>680</v>
      </c>
      <c r="D2027" s="548" t="s">
        <v>276</v>
      </c>
      <c r="E2027" s="549" t="s">
        <v>681</v>
      </c>
      <c r="F2027" s="549"/>
      <c r="G2027" s="550"/>
    </row>
    <row r="2028" customHeight="1" spans="1:7">
      <c r="A2028" s="551" t="s">
        <v>278</v>
      </c>
      <c r="B2028" s="552"/>
      <c r="C2028" s="553" t="s">
        <v>861</v>
      </c>
      <c r="D2028" s="553"/>
      <c r="E2028" s="553"/>
      <c r="F2028" s="554" t="s">
        <v>280</v>
      </c>
      <c r="G2028" s="555" t="s">
        <v>281</v>
      </c>
    </row>
    <row r="2029" customHeight="1" spans="1:7">
      <c r="A2029" s="556" t="s">
        <v>683</v>
      </c>
      <c r="B2029" s="553"/>
      <c r="C2029" s="553"/>
      <c r="D2029" s="553"/>
      <c r="E2029" s="553"/>
      <c r="F2029" s="553"/>
      <c r="G2029" s="557"/>
    </row>
    <row r="2030" customHeight="1" spans="1:7">
      <c r="A2030" s="558" t="s">
        <v>684</v>
      </c>
      <c r="B2030" s="559"/>
      <c r="C2030" s="560"/>
      <c r="D2030" s="560"/>
      <c r="E2030" s="560"/>
      <c r="F2030" s="560"/>
      <c r="G2030" s="561"/>
    </row>
    <row r="2031" customHeight="1" spans="1:7">
      <c r="A2031" s="551" t="s">
        <v>284</v>
      </c>
      <c r="B2031" s="562" t="s">
        <v>233</v>
      </c>
      <c r="C2031" s="562"/>
      <c r="D2031" s="562" t="s">
        <v>88</v>
      </c>
      <c r="E2031" s="563" t="s">
        <v>130</v>
      </c>
      <c r="F2031" s="562" t="s">
        <v>285</v>
      </c>
      <c r="G2031" s="564" t="s">
        <v>286</v>
      </c>
    </row>
    <row r="2032" customHeight="1" spans="1:7">
      <c r="A2032" s="551" t="s">
        <v>9</v>
      </c>
      <c r="B2032" s="565" t="s">
        <v>287</v>
      </c>
      <c r="C2032" s="565"/>
      <c r="D2032" s="562"/>
      <c r="E2032" s="563"/>
      <c r="F2032" s="563"/>
      <c r="G2032" s="566">
        <f>G2033+G2045</f>
        <v>55787.29</v>
      </c>
    </row>
    <row r="2033" customHeight="1" spans="1:7">
      <c r="A2033" s="551" t="s">
        <v>132</v>
      </c>
      <c r="B2033" s="565" t="s">
        <v>288</v>
      </c>
      <c r="C2033" s="565"/>
      <c r="D2033" s="562"/>
      <c r="E2033" s="563"/>
      <c r="F2033" s="563"/>
      <c r="G2033" s="566">
        <f>G2034+G2037+G2041+G2044</f>
        <v>53232.15</v>
      </c>
    </row>
    <row r="2034" customHeight="1" spans="1:7">
      <c r="A2034" s="551" t="s">
        <v>39</v>
      </c>
      <c r="B2034" s="565" t="s">
        <v>247</v>
      </c>
      <c r="C2034" s="565"/>
      <c r="D2034" s="562"/>
      <c r="E2034" s="563"/>
      <c r="F2034" s="563"/>
      <c r="G2034" s="566">
        <f>SUM(G2035:G2036)</f>
        <v>8877.82</v>
      </c>
    </row>
    <row r="2035" customHeight="1" spans="1:7">
      <c r="A2035" s="551"/>
      <c r="B2035" s="565" t="s">
        <v>289</v>
      </c>
      <c r="C2035" s="565"/>
      <c r="D2035" s="562" t="s">
        <v>290</v>
      </c>
      <c r="E2035" s="563">
        <f>855.6-(855.6-818.4)/(0.21-0.14)*(0.17-0.14)</f>
        <v>839.66</v>
      </c>
      <c r="F2035" s="563">
        <f>人工!D4</f>
        <v>8.1</v>
      </c>
      <c r="G2035" s="566">
        <f>E2035*F2035</f>
        <v>6801.25</v>
      </c>
    </row>
    <row r="2036" customHeight="1" spans="1:7">
      <c r="A2036" s="551"/>
      <c r="B2036" s="565" t="s">
        <v>291</v>
      </c>
      <c r="C2036" s="565"/>
      <c r="D2036" s="562" t="s">
        <v>290</v>
      </c>
      <c r="E2036" s="563">
        <f>366.7-(366.7-350.8)/(0.21-0.14)*(0.17-0.14)</f>
        <v>359.89</v>
      </c>
      <c r="F2036" s="563">
        <f>人工!D5</f>
        <v>5.77</v>
      </c>
      <c r="G2036" s="566">
        <f>E2036*F2036</f>
        <v>2076.57</v>
      </c>
    </row>
    <row r="2037" customHeight="1" spans="1:7">
      <c r="A2037" s="551" t="s">
        <v>41</v>
      </c>
      <c r="B2037" s="565" t="s">
        <v>248</v>
      </c>
      <c r="C2037" s="565"/>
      <c r="D2037" s="562"/>
      <c r="E2037" s="563"/>
      <c r="F2037" s="563"/>
      <c r="G2037" s="566">
        <f>SUM(G2038:G2040)</f>
        <v>42245.33</v>
      </c>
    </row>
    <row r="2038" customHeight="1" spans="1:7">
      <c r="A2038" s="567"/>
      <c r="B2038" s="568" t="s">
        <v>685</v>
      </c>
      <c r="C2038" s="568"/>
      <c r="D2038" s="569" t="s">
        <v>395</v>
      </c>
      <c r="E2038" s="563">
        <f>90-(90-84.3)/(0.21-0.14)*(0.17-0.14)</f>
        <v>87.56</v>
      </c>
      <c r="F2038" s="569">
        <f>G641/100</f>
        <v>425.44</v>
      </c>
      <c r="G2038" s="570">
        <f>E2038*F2038</f>
        <v>37251.53</v>
      </c>
    </row>
    <row r="2039" customHeight="1" spans="1:7">
      <c r="A2039" s="567"/>
      <c r="B2039" s="568" t="s">
        <v>686</v>
      </c>
      <c r="C2039" s="568"/>
      <c r="D2039" s="569" t="s">
        <v>395</v>
      </c>
      <c r="E2039" s="563">
        <f>23.7+(29.4-23.7)/(0.21-0.14)*(0.17-0.14)</f>
        <v>26.14</v>
      </c>
      <c r="F2039" s="569">
        <f>混凝土单价!M7</f>
        <v>183</v>
      </c>
      <c r="G2039" s="570">
        <f>E2039*F2039</f>
        <v>4783.62</v>
      </c>
    </row>
    <row r="2040" customHeight="1" spans="1:7">
      <c r="A2040" s="567"/>
      <c r="B2040" s="568" t="s">
        <v>397</v>
      </c>
      <c r="C2040" s="568"/>
      <c r="D2040" s="569" t="s">
        <v>293</v>
      </c>
      <c r="E2040" s="571">
        <v>0.005</v>
      </c>
      <c r="F2040" s="569">
        <f>SUM(G2038:G2039)</f>
        <v>42035.15</v>
      </c>
      <c r="G2040" s="570">
        <f>E2040*F2040</f>
        <v>210.18</v>
      </c>
    </row>
    <row r="2041" customHeight="1" spans="1:7">
      <c r="A2041" s="572">
        <v>3</v>
      </c>
      <c r="B2041" s="568" t="s">
        <v>464</v>
      </c>
      <c r="C2041" s="568"/>
      <c r="D2041" s="569"/>
      <c r="E2041" s="569"/>
      <c r="F2041" s="569"/>
      <c r="G2041" s="570">
        <f>SUM(G2042:G2043)</f>
        <v>179.18</v>
      </c>
    </row>
    <row r="2042" customHeight="1" spans="1:7">
      <c r="A2042" s="567"/>
      <c r="B2042" s="568" t="s">
        <v>673</v>
      </c>
      <c r="C2042" s="568"/>
      <c r="D2042" s="569" t="s">
        <v>316</v>
      </c>
      <c r="E2042" s="563">
        <f>2.95+(3.92-2.95)/(0.21-0.14)*(0.17-0.14)</f>
        <v>3.37</v>
      </c>
      <c r="F2042" s="569">
        <f>机械!E16</f>
        <v>23.75</v>
      </c>
      <c r="G2042" s="570">
        <f>E2042*F2042</f>
        <v>80.04</v>
      </c>
    </row>
    <row r="2043" customHeight="1" spans="1:7">
      <c r="A2043" s="567"/>
      <c r="B2043" s="568" t="s">
        <v>472</v>
      </c>
      <c r="C2043" s="568"/>
      <c r="D2043" s="569" t="s">
        <v>316</v>
      </c>
      <c r="E2043" s="563">
        <f>120.33+(121.66-120.33)/(0.21-0.14)*(0.17-0.14)</f>
        <v>120.9</v>
      </c>
      <c r="F2043" s="569">
        <f>机械!E29</f>
        <v>0.82</v>
      </c>
      <c r="G2043" s="570">
        <f>E2043*F2043</f>
        <v>99.14</v>
      </c>
    </row>
    <row r="2044" customHeight="1" spans="1:7">
      <c r="A2044" s="572">
        <v>4</v>
      </c>
      <c r="B2044" s="568" t="s">
        <v>687</v>
      </c>
      <c r="C2044" s="568"/>
      <c r="D2044" s="569" t="s">
        <v>395</v>
      </c>
      <c r="E2044" s="563">
        <f>E2038</f>
        <v>87.56</v>
      </c>
      <c r="F2044" s="569">
        <f>G328/100</f>
        <v>22.04</v>
      </c>
      <c r="G2044" s="570">
        <f t="shared" ref="G2044:G2047" si="80">E2044*F2044</f>
        <v>1929.82</v>
      </c>
    </row>
    <row r="2045" customHeight="1" spans="1:7">
      <c r="A2045" s="572" t="s">
        <v>133</v>
      </c>
      <c r="B2045" s="568" t="s">
        <v>294</v>
      </c>
      <c r="C2045" s="568"/>
      <c r="D2045" s="569"/>
      <c r="E2045" s="563">
        <f>G2033</f>
        <v>53232.15</v>
      </c>
      <c r="F2045" s="573">
        <f>费率!F4</f>
        <v>0.048</v>
      </c>
      <c r="G2045" s="570">
        <f t="shared" si="80"/>
        <v>2555.14</v>
      </c>
    </row>
    <row r="2046" customHeight="1" spans="1:7">
      <c r="A2046" s="551" t="s">
        <v>14</v>
      </c>
      <c r="B2046" s="565" t="s">
        <v>295</v>
      </c>
      <c r="C2046" s="565"/>
      <c r="D2046" s="562"/>
      <c r="E2046" s="563">
        <f>G2032</f>
        <v>55787.29</v>
      </c>
      <c r="F2046" s="574">
        <f>费率!F5</f>
        <v>0.07</v>
      </c>
      <c r="G2046" s="566">
        <f t="shared" si="80"/>
        <v>3905.11</v>
      </c>
    </row>
    <row r="2047" customHeight="1" spans="1:7">
      <c r="A2047" s="551" t="s">
        <v>16</v>
      </c>
      <c r="B2047" s="565" t="s">
        <v>296</v>
      </c>
      <c r="C2047" s="565"/>
      <c r="D2047" s="562"/>
      <c r="E2047" s="563">
        <f>G2032+G2046</f>
        <v>59692.4</v>
      </c>
      <c r="F2047" s="574">
        <f>费率!F6</f>
        <v>0.07</v>
      </c>
      <c r="G2047" s="566">
        <f t="shared" si="80"/>
        <v>4178.47</v>
      </c>
    </row>
    <row r="2048" customHeight="1" spans="1:7">
      <c r="A2048" s="567" t="s">
        <v>18</v>
      </c>
      <c r="B2048" s="568" t="s">
        <v>466</v>
      </c>
      <c r="C2048" s="568"/>
      <c r="D2048" s="569"/>
      <c r="E2048" s="569"/>
      <c r="F2048" s="569"/>
      <c r="G2048" s="570">
        <f>SUM(G2049:G2053)</f>
        <v>8682.66</v>
      </c>
    </row>
    <row r="2049" customHeight="1" spans="1:7">
      <c r="A2049" s="567"/>
      <c r="B2049" s="568" t="s">
        <v>405</v>
      </c>
      <c r="C2049" s="568"/>
      <c r="D2049" s="569" t="s">
        <v>158</v>
      </c>
      <c r="E2049" s="569">
        <f>E662/100*E2038+E2039*混凝土单价!E7</f>
        <v>36.73</v>
      </c>
      <c r="F2049" s="569">
        <f>主材!N6</f>
        <v>135.66</v>
      </c>
      <c r="G2049" s="570">
        <f t="shared" ref="G2049:G2055" si="81">E2049*F2049</f>
        <v>4982.79</v>
      </c>
    </row>
    <row r="2050" customHeight="1" spans="1:7">
      <c r="A2050" s="567"/>
      <c r="B2050" s="568" t="s">
        <v>396</v>
      </c>
      <c r="C2050" s="568"/>
      <c r="D2050" s="569" t="s">
        <v>395</v>
      </c>
      <c r="E2050" s="569">
        <f>E663/100*E2038+E2039*混凝土单价!G7</f>
        <v>64.9</v>
      </c>
      <c r="F2050" s="569">
        <f>主材!N8</f>
        <v>37.93</v>
      </c>
      <c r="G2050" s="570">
        <f t="shared" si="81"/>
        <v>2461.66</v>
      </c>
    </row>
    <row r="2051" customHeight="1" spans="1:7">
      <c r="A2051" s="567"/>
      <c r="B2051" s="568" t="s">
        <v>467</v>
      </c>
      <c r="C2051" s="568"/>
      <c r="D2051" s="569" t="s">
        <v>395</v>
      </c>
      <c r="E2051" s="569">
        <f>E664/100*E2038+E2039*混凝土单价!I7</f>
        <v>94.3</v>
      </c>
      <c r="F2051" s="569">
        <f>主材!N10</f>
        <v>7.03</v>
      </c>
      <c r="G2051" s="570">
        <f t="shared" si="81"/>
        <v>662.93</v>
      </c>
    </row>
    <row r="2052" customHeight="1" spans="1:7">
      <c r="A2052" s="551"/>
      <c r="B2052" s="565" t="s">
        <v>317</v>
      </c>
      <c r="C2052" s="565"/>
      <c r="D2052" s="562" t="s">
        <v>323</v>
      </c>
      <c r="E2052" s="563">
        <f>E339/100*E2038</f>
        <v>124.04</v>
      </c>
      <c r="F2052" s="575">
        <f>主材!N13</f>
        <v>4.13</v>
      </c>
      <c r="G2052" s="566">
        <f t="shared" si="81"/>
        <v>512.29</v>
      </c>
    </row>
    <row r="2053" customHeight="1" spans="1:7">
      <c r="A2053" s="551"/>
      <c r="B2053" s="565" t="s">
        <v>522</v>
      </c>
      <c r="C2053" s="565"/>
      <c r="D2053" s="562" t="s">
        <v>323</v>
      </c>
      <c r="E2053" s="563">
        <f>E665/100*E2038</f>
        <v>11.6</v>
      </c>
      <c r="F2053" s="575">
        <f>主材!N14</f>
        <v>5.43</v>
      </c>
      <c r="G2053" s="566">
        <f t="shared" si="81"/>
        <v>62.99</v>
      </c>
    </row>
    <row r="2054" customHeight="1" spans="1:7">
      <c r="A2054" s="551" t="s">
        <v>20</v>
      </c>
      <c r="B2054" s="565" t="s">
        <v>297</v>
      </c>
      <c r="C2054" s="565"/>
      <c r="D2054" s="562"/>
      <c r="E2054" s="563">
        <f>G2048+G2047+G2046+G2032</f>
        <v>72553.53</v>
      </c>
      <c r="F2054" s="576">
        <f>费率!F7</f>
        <v>0.09</v>
      </c>
      <c r="G2054" s="566">
        <f t="shared" si="81"/>
        <v>6529.82</v>
      </c>
    </row>
    <row r="2055" customHeight="1" spans="1:7">
      <c r="A2055" s="551"/>
      <c r="B2055" s="565" t="s">
        <v>675</v>
      </c>
      <c r="C2055" s="565"/>
      <c r="D2055" s="562"/>
      <c r="E2055" s="563">
        <f>G2032+G2046+G2047+G2048+G2054</f>
        <v>79083.35</v>
      </c>
      <c r="F2055" s="574">
        <f>费率!F8</f>
        <v>0.03</v>
      </c>
      <c r="G2055" s="566">
        <f t="shared" si="81"/>
        <v>2372.5</v>
      </c>
    </row>
    <row r="2056" customHeight="1" spans="1:7">
      <c r="A2056" s="577"/>
      <c r="B2056" s="578" t="s">
        <v>560</v>
      </c>
      <c r="C2056" s="578"/>
      <c r="D2056" s="578"/>
      <c r="E2056" s="579"/>
      <c r="F2056" s="578"/>
      <c r="G2056" s="580">
        <f>G2055+E2054+G2054</f>
        <v>81455.85</v>
      </c>
    </row>
    <row r="2057" customHeight="1" spans="1:7">
      <c r="A2057" s="543"/>
      <c r="B2057" s="544"/>
      <c r="C2057" s="543"/>
      <c r="D2057" s="545"/>
      <c r="E2057" s="543"/>
      <c r="F2057" s="543"/>
      <c r="G2057" s="544"/>
    </row>
    <row r="2058" customHeight="1" spans="1:7">
      <c r="A2058" s="616" t="s">
        <v>274</v>
      </c>
      <c r="B2058" s="616"/>
      <c r="C2058" s="616"/>
      <c r="D2058" s="616"/>
      <c r="E2058" s="616"/>
      <c r="F2058" s="616"/>
      <c r="G2058" s="616"/>
    </row>
    <row r="2059" customHeight="1" spans="1:7">
      <c r="A2059" s="547" t="s">
        <v>275</v>
      </c>
      <c r="B2059" s="548"/>
      <c r="C2059" s="548" t="s">
        <v>680</v>
      </c>
      <c r="D2059" s="548" t="s">
        <v>276</v>
      </c>
      <c r="E2059" s="549" t="s">
        <v>862</v>
      </c>
      <c r="F2059" s="549"/>
      <c r="G2059" s="550"/>
    </row>
    <row r="2060" customHeight="1" spans="1:7">
      <c r="A2060" s="551" t="s">
        <v>278</v>
      </c>
      <c r="B2060" s="552"/>
      <c r="C2060" s="553" t="s">
        <v>863</v>
      </c>
      <c r="D2060" s="553"/>
      <c r="E2060" s="553"/>
      <c r="F2060" s="554" t="s">
        <v>280</v>
      </c>
      <c r="G2060" s="555" t="s">
        <v>281</v>
      </c>
    </row>
    <row r="2061" customHeight="1" spans="1:7">
      <c r="A2061" s="556" t="s">
        <v>683</v>
      </c>
      <c r="B2061" s="553"/>
      <c r="C2061" s="553"/>
      <c r="D2061" s="553"/>
      <c r="E2061" s="553"/>
      <c r="F2061" s="553"/>
      <c r="G2061" s="557"/>
    </row>
    <row r="2062" customHeight="1" spans="1:7">
      <c r="A2062" s="558" t="s">
        <v>684</v>
      </c>
      <c r="B2062" s="559"/>
      <c r="C2062" s="560"/>
      <c r="D2062" s="560"/>
      <c r="E2062" s="560"/>
      <c r="F2062" s="560"/>
      <c r="G2062" s="561"/>
    </row>
    <row r="2063" customHeight="1" spans="1:7">
      <c r="A2063" s="551" t="s">
        <v>284</v>
      </c>
      <c r="B2063" s="562" t="s">
        <v>233</v>
      </c>
      <c r="C2063" s="562"/>
      <c r="D2063" s="562" t="s">
        <v>88</v>
      </c>
      <c r="E2063" s="563" t="s">
        <v>130</v>
      </c>
      <c r="F2063" s="562" t="s">
        <v>285</v>
      </c>
      <c r="G2063" s="564" t="s">
        <v>286</v>
      </c>
    </row>
    <row r="2064" customHeight="1" spans="1:7">
      <c r="A2064" s="551" t="s">
        <v>9</v>
      </c>
      <c r="B2064" s="565" t="s">
        <v>287</v>
      </c>
      <c r="C2064" s="565"/>
      <c r="D2064" s="562"/>
      <c r="E2064" s="563"/>
      <c r="F2064" s="563"/>
      <c r="G2064" s="566">
        <f>G2065+G2077</f>
        <v>54223.14</v>
      </c>
    </row>
    <row r="2065" customHeight="1" spans="1:7">
      <c r="A2065" s="551" t="s">
        <v>132</v>
      </c>
      <c r="B2065" s="565" t="s">
        <v>288</v>
      </c>
      <c r="C2065" s="565"/>
      <c r="D2065" s="562"/>
      <c r="E2065" s="563"/>
      <c r="F2065" s="563"/>
      <c r="G2065" s="566">
        <f>G2066+G2069+G2073+G2076</f>
        <v>51739.64</v>
      </c>
    </row>
    <row r="2066" customHeight="1" spans="1:7">
      <c r="A2066" s="551" t="s">
        <v>39</v>
      </c>
      <c r="B2066" s="565" t="s">
        <v>247</v>
      </c>
      <c r="C2066" s="565"/>
      <c r="D2066" s="562"/>
      <c r="E2066" s="563"/>
      <c r="F2066" s="563"/>
      <c r="G2066" s="566">
        <f>SUM(G2067:G2068)</f>
        <v>8595.47</v>
      </c>
    </row>
    <row r="2067" customHeight="1" spans="1:7">
      <c r="A2067" s="551"/>
      <c r="B2067" s="565" t="s">
        <v>289</v>
      </c>
      <c r="C2067" s="565"/>
      <c r="D2067" s="562" t="s">
        <v>290</v>
      </c>
      <c r="E2067" s="563">
        <f>818.4-(818.4-775.11)/(0.28-0.021)*(0.23-0.21)</f>
        <v>815.06</v>
      </c>
      <c r="F2067" s="563">
        <f>人工!D4</f>
        <v>8.1</v>
      </c>
      <c r="G2067" s="566">
        <f>E2067*F2067</f>
        <v>6601.99</v>
      </c>
    </row>
    <row r="2068" customHeight="1" spans="1:7">
      <c r="A2068" s="551"/>
      <c r="B2068" s="565" t="s">
        <v>291</v>
      </c>
      <c r="C2068" s="565"/>
      <c r="D2068" s="562" t="s">
        <v>290</v>
      </c>
      <c r="E2068" s="563">
        <f>350.8-(350.8-332.2)/(0.28-0.21)*(0.23-0.21)</f>
        <v>345.49</v>
      </c>
      <c r="F2068" s="563">
        <f>人工!D5</f>
        <v>5.77</v>
      </c>
      <c r="G2068" s="566">
        <f>E2068*F2068</f>
        <v>1993.48</v>
      </c>
    </row>
    <row r="2069" customHeight="1" spans="1:7">
      <c r="A2069" s="551" t="s">
        <v>41</v>
      </c>
      <c r="B2069" s="565" t="s">
        <v>248</v>
      </c>
      <c r="C2069" s="565"/>
      <c r="D2069" s="562"/>
      <c r="E2069" s="563"/>
      <c r="F2069" s="563"/>
      <c r="G2069" s="566">
        <f>SUM(G2070:G2072)</f>
        <v>41117.21</v>
      </c>
    </row>
    <row r="2070" customHeight="1" spans="1:7">
      <c r="A2070" s="567"/>
      <c r="B2070" s="568" t="s">
        <v>685</v>
      </c>
      <c r="C2070" s="568"/>
      <c r="D2070" s="569" t="s">
        <v>395</v>
      </c>
      <c r="E2070" s="563">
        <f>84.3-(84.3-79.5)/(0.28-0.21)*(0.23-0.21)</f>
        <v>82.93</v>
      </c>
      <c r="F2070" s="569">
        <f>G641/100</f>
        <v>425.44</v>
      </c>
      <c r="G2070" s="570">
        <f>E2070*F2070</f>
        <v>35281.74</v>
      </c>
    </row>
    <row r="2071" customHeight="1" spans="1:7">
      <c r="A2071" s="567"/>
      <c r="B2071" s="568" t="s">
        <v>686</v>
      </c>
      <c r="C2071" s="568"/>
      <c r="D2071" s="569" t="s">
        <v>395</v>
      </c>
      <c r="E2071" s="563">
        <f>29.4+(34.2-29.4)/(0.28-0.21)*(0.23-0.21)</f>
        <v>30.77</v>
      </c>
      <c r="F2071" s="569">
        <f>混凝土单价!M7</f>
        <v>183</v>
      </c>
      <c r="G2071" s="570">
        <f>E2071*F2071</f>
        <v>5630.91</v>
      </c>
    </row>
    <row r="2072" customHeight="1" spans="1:7">
      <c r="A2072" s="567"/>
      <c r="B2072" s="568" t="s">
        <v>397</v>
      </c>
      <c r="C2072" s="568"/>
      <c r="D2072" s="569" t="s">
        <v>293</v>
      </c>
      <c r="E2072" s="571">
        <v>0.005</v>
      </c>
      <c r="F2072" s="569">
        <f>SUM(G2070:G2071)</f>
        <v>40912.65</v>
      </c>
      <c r="G2072" s="570">
        <f>E2072*F2072</f>
        <v>204.56</v>
      </c>
    </row>
    <row r="2073" customHeight="1" spans="1:7">
      <c r="A2073" s="572">
        <v>3</v>
      </c>
      <c r="B2073" s="568" t="s">
        <v>464</v>
      </c>
      <c r="C2073" s="568"/>
      <c r="D2073" s="569"/>
      <c r="E2073" s="569"/>
      <c r="F2073" s="569"/>
      <c r="G2073" s="570">
        <f>SUM(G2074:G2075)</f>
        <v>199.18</v>
      </c>
    </row>
    <row r="2074" customHeight="1" spans="1:7">
      <c r="A2074" s="567"/>
      <c r="B2074" s="568" t="s">
        <v>673</v>
      </c>
      <c r="C2074" s="568"/>
      <c r="D2074" s="569" t="s">
        <v>316</v>
      </c>
      <c r="E2074" s="563">
        <f>3.92+(4.81-3.92)/(0.28-0.21)*(0.23-0.21)</f>
        <v>4.17</v>
      </c>
      <c r="F2074" s="569">
        <f>机械!E16</f>
        <v>23.75</v>
      </c>
      <c r="G2074" s="570">
        <f>E2074*F2074</f>
        <v>99.04</v>
      </c>
    </row>
    <row r="2075" customHeight="1" spans="1:7">
      <c r="A2075" s="567"/>
      <c r="B2075" s="568" t="s">
        <v>472</v>
      </c>
      <c r="C2075" s="568"/>
      <c r="D2075" s="569" t="s">
        <v>316</v>
      </c>
      <c r="E2075" s="563">
        <f>121.66+(123.27-121.66)/(0.28-0.21)*(0.23-0.21)</f>
        <v>122.12</v>
      </c>
      <c r="F2075" s="569">
        <f>机械!E29</f>
        <v>0.82</v>
      </c>
      <c r="G2075" s="570">
        <f>E2075*F2075</f>
        <v>100.14</v>
      </c>
    </row>
    <row r="2076" customHeight="1" spans="1:7">
      <c r="A2076" s="572">
        <v>4</v>
      </c>
      <c r="B2076" s="568" t="s">
        <v>687</v>
      </c>
      <c r="C2076" s="568"/>
      <c r="D2076" s="569" t="s">
        <v>395</v>
      </c>
      <c r="E2076" s="563">
        <f>E2070</f>
        <v>82.93</v>
      </c>
      <c r="F2076" s="569">
        <f>G328/100</f>
        <v>22.04</v>
      </c>
      <c r="G2076" s="570">
        <f t="shared" ref="G2076:G2079" si="82">E2076*F2076</f>
        <v>1827.78</v>
      </c>
    </row>
    <row r="2077" customHeight="1" spans="1:7">
      <c r="A2077" s="572" t="s">
        <v>133</v>
      </c>
      <c r="B2077" s="568" t="s">
        <v>294</v>
      </c>
      <c r="C2077" s="568"/>
      <c r="D2077" s="569"/>
      <c r="E2077" s="563">
        <f>G2065</f>
        <v>51739.64</v>
      </c>
      <c r="F2077" s="573">
        <f>费率!F4</f>
        <v>0.048</v>
      </c>
      <c r="G2077" s="570">
        <f t="shared" si="82"/>
        <v>2483.5</v>
      </c>
    </row>
    <row r="2078" customHeight="1" spans="1:7">
      <c r="A2078" s="551" t="s">
        <v>14</v>
      </c>
      <c r="B2078" s="565" t="s">
        <v>295</v>
      </c>
      <c r="C2078" s="565"/>
      <c r="D2078" s="562"/>
      <c r="E2078" s="563">
        <f>G2064</f>
        <v>54223.14</v>
      </c>
      <c r="F2078" s="574">
        <f>费率!F5</f>
        <v>0.07</v>
      </c>
      <c r="G2078" s="566">
        <f t="shared" si="82"/>
        <v>3795.62</v>
      </c>
    </row>
    <row r="2079" customHeight="1" spans="1:7">
      <c r="A2079" s="551" t="s">
        <v>16</v>
      </c>
      <c r="B2079" s="565" t="s">
        <v>296</v>
      </c>
      <c r="C2079" s="565"/>
      <c r="D2079" s="562"/>
      <c r="E2079" s="563">
        <f>G2064+G2078</f>
        <v>58018.76</v>
      </c>
      <c r="F2079" s="574">
        <f>费率!F6</f>
        <v>0.07</v>
      </c>
      <c r="G2079" s="566">
        <f t="shared" si="82"/>
        <v>4061.31</v>
      </c>
    </row>
    <row r="2080" customHeight="1" spans="1:7">
      <c r="A2080" s="567" t="s">
        <v>18</v>
      </c>
      <c r="B2080" s="568" t="s">
        <v>466</v>
      </c>
      <c r="C2080" s="568"/>
      <c r="D2080" s="569"/>
      <c r="E2080" s="569"/>
      <c r="F2080" s="569"/>
      <c r="G2080" s="570">
        <f>SUM(G2081:G2085)</f>
        <v>8674.95</v>
      </c>
    </row>
    <row r="2081" customHeight="1" spans="1:7">
      <c r="A2081" s="567"/>
      <c r="B2081" s="568" t="s">
        <v>405</v>
      </c>
      <c r="C2081" s="568"/>
      <c r="D2081" s="569" t="s">
        <v>158</v>
      </c>
      <c r="E2081" s="569">
        <f>E662/100*E2070+E2071*混凝土单价!E7</f>
        <v>36.87</v>
      </c>
      <c r="F2081" s="569">
        <f>主材!N6</f>
        <v>135.66</v>
      </c>
      <c r="G2081" s="570">
        <f t="shared" ref="G2081:G2087" si="83">E2081*F2081</f>
        <v>5001.78</v>
      </c>
    </row>
    <row r="2082" customHeight="1" spans="1:7">
      <c r="A2082" s="567"/>
      <c r="B2082" s="568" t="s">
        <v>396</v>
      </c>
      <c r="C2082" s="568"/>
      <c r="D2082" s="569" t="s">
        <v>395</v>
      </c>
      <c r="E2082" s="569">
        <f>E663/100*E2070+E2071*混凝土单价!G7</f>
        <v>65.1</v>
      </c>
      <c r="F2082" s="569">
        <f>主材!N8</f>
        <v>37.93</v>
      </c>
      <c r="G2082" s="570">
        <f t="shared" si="83"/>
        <v>2469.24</v>
      </c>
    </row>
    <row r="2083" customHeight="1" spans="1:7">
      <c r="A2083" s="567"/>
      <c r="B2083" s="568" t="s">
        <v>467</v>
      </c>
      <c r="C2083" s="568"/>
      <c r="D2083" s="569" t="s">
        <v>395</v>
      </c>
      <c r="E2083" s="569">
        <f>E664/100*E2070+E2071*混凝土单价!I7</f>
        <v>93.75</v>
      </c>
      <c r="F2083" s="569">
        <f>主材!N10</f>
        <v>7.03</v>
      </c>
      <c r="G2083" s="570">
        <f t="shared" si="83"/>
        <v>659.06</v>
      </c>
    </row>
    <row r="2084" customHeight="1" spans="1:7">
      <c r="A2084" s="551"/>
      <c r="B2084" s="565" t="s">
        <v>317</v>
      </c>
      <c r="C2084" s="565"/>
      <c r="D2084" s="562" t="s">
        <v>323</v>
      </c>
      <c r="E2084" s="563">
        <f>E339/100*E2070</f>
        <v>117.48</v>
      </c>
      <c r="F2084" s="575">
        <f>主材!N13</f>
        <v>4.13</v>
      </c>
      <c r="G2084" s="566">
        <f t="shared" si="83"/>
        <v>485.19</v>
      </c>
    </row>
    <row r="2085" customHeight="1" spans="1:7">
      <c r="A2085" s="551"/>
      <c r="B2085" s="565" t="s">
        <v>522</v>
      </c>
      <c r="C2085" s="565"/>
      <c r="D2085" s="562" t="s">
        <v>323</v>
      </c>
      <c r="E2085" s="563">
        <f>E665/100*E2070</f>
        <v>10.99</v>
      </c>
      <c r="F2085" s="575">
        <f>主材!N14</f>
        <v>5.43</v>
      </c>
      <c r="G2085" s="566">
        <f t="shared" si="83"/>
        <v>59.68</v>
      </c>
    </row>
    <row r="2086" customHeight="1" spans="1:7">
      <c r="A2086" s="551" t="s">
        <v>20</v>
      </c>
      <c r="B2086" s="565" t="s">
        <v>297</v>
      </c>
      <c r="C2086" s="565"/>
      <c r="D2086" s="562"/>
      <c r="E2086" s="563">
        <f>G2080+G2079+G2078+G2064</f>
        <v>70755.02</v>
      </c>
      <c r="F2086" s="576">
        <f>费率!F7</f>
        <v>0.09</v>
      </c>
      <c r="G2086" s="566">
        <f t="shared" si="83"/>
        <v>6367.95</v>
      </c>
    </row>
    <row r="2087" customHeight="1" spans="1:7">
      <c r="A2087" s="551"/>
      <c r="B2087" s="565" t="s">
        <v>675</v>
      </c>
      <c r="C2087" s="565"/>
      <c r="D2087" s="562"/>
      <c r="E2087" s="563">
        <f>G2064+G2078+G2079+G2080+G2086</f>
        <v>77122.97</v>
      </c>
      <c r="F2087" s="574">
        <f>费率!F8</f>
        <v>0.03</v>
      </c>
      <c r="G2087" s="566">
        <f t="shared" si="83"/>
        <v>2313.69</v>
      </c>
    </row>
    <row r="2088" customHeight="1" spans="1:7">
      <c r="A2088" s="577"/>
      <c r="B2088" s="578" t="s">
        <v>560</v>
      </c>
      <c r="C2088" s="578"/>
      <c r="D2088" s="578"/>
      <c r="E2088" s="579"/>
      <c r="F2088" s="578"/>
      <c r="G2088" s="580">
        <f>G2087+E2086+G2086</f>
        <v>79436.66</v>
      </c>
    </row>
  </sheetData>
  <mergeCells count="2033">
    <mergeCell ref="A1:G1"/>
    <mergeCell ref="A2:B2"/>
    <mergeCell ref="E2:G2"/>
    <mergeCell ref="A3:B3"/>
    <mergeCell ref="C3:E3"/>
    <mergeCell ref="A4:G4"/>
    <mergeCell ref="A5:G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45:G45"/>
    <mergeCell ref="A46:B46"/>
    <mergeCell ref="E46:G46"/>
    <mergeCell ref="A47:B47"/>
    <mergeCell ref="C47:E47"/>
    <mergeCell ref="A48:G48"/>
    <mergeCell ref="A49:G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A89:G89"/>
    <mergeCell ref="A90:B90"/>
    <mergeCell ref="E90:G90"/>
    <mergeCell ref="A91:B91"/>
    <mergeCell ref="C91:E91"/>
    <mergeCell ref="A92:G92"/>
    <mergeCell ref="A93:G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A134:G134"/>
    <mergeCell ref="A135:B135"/>
    <mergeCell ref="E135:G135"/>
    <mergeCell ref="A136:B136"/>
    <mergeCell ref="C136:E136"/>
    <mergeCell ref="A137:G137"/>
    <mergeCell ref="A138:G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A168:G168"/>
    <mergeCell ref="A169:B169"/>
    <mergeCell ref="E169:G169"/>
    <mergeCell ref="A170:B170"/>
    <mergeCell ref="C170:E170"/>
    <mergeCell ref="A171:G171"/>
    <mergeCell ref="A172:G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A203:G203"/>
    <mergeCell ref="A204:B204"/>
    <mergeCell ref="E204:G204"/>
    <mergeCell ref="A205:B205"/>
    <mergeCell ref="C205:E205"/>
    <mergeCell ref="A206:G206"/>
    <mergeCell ref="A207:G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A246:G246"/>
    <mergeCell ref="A247:B247"/>
    <mergeCell ref="E247:G247"/>
    <mergeCell ref="A248:B248"/>
    <mergeCell ref="C248:E248"/>
    <mergeCell ref="A249:G249"/>
    <mergeCell ref="A250:G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A283:G283"/>
    <mergeCell ref="A284:B284"/>
    <mergeCell ref="E284:G284"/>
    <mergeCell ref="A285:B285"/>
    <mergeCell ref="C285:E285"/>
    <mergeCell ref="A286:G286"/>
    <mergeCell ref="A287:G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A321:G321"/>
    <mergeCell ref="A322:B322"/>
    <mergeCell ref="E322:G322"/>
    <mergeCell ref="A323:B323"/>
    <mergeCell ref="C323:E323"/>
    <mergeCell ref="A324:G324"/>
    <mergeCell ref="A325:G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A344:G344"/>
    <mergeCell ref="I344:O344"/>
    <mergeCell ref="A345:B345"/>
    <mergeCell ref="E345:G345"/>
    <mergeCell ref="I345:J345"/>
    <mergeCell ref="M345:O345"/>
    <mergeCell ref="A346:B346"/>
    <mergeCell ref="C346:E346"/>
    <mergeCell ref="I346:J346"/>
    <mergeCell ref="K346:M346"/>
    <mergeCell ref="A347:G347"/>
    <mergeCell ref="I347:O347"/>
    <mergeCell ref="A348:G348"/>
    <mergeCell ref="I348:O348"/>
    <mergeCell ref="B349:C349"/>
    <mergeCell ref="J349:K349"/>
    <mergeCell ref="B350:C350"/>
    <mergeCell ref="J350:K350"/>
    <mergeCell ref="B351:C351"/>
    <mergeCell ref="J351:K351"/>
    <mergeCell ref="B352:C352"/>
    <mergeCell ref="J352:K352"/>
    <mergeCell ref="B353:C353"/>
    <mergeCell ref="J353:K353"/>
    <mergeCell ref="B354:C354"/>
    <mergeCell ref="J354:K354"/>
    <mergeCell ref="B355:C355"/>
    <mergeCell ref="J355:K355"/>
    <mergeCell ref="B356:C356"/>
    <mergeCell ref="J356:K356"/>
    <mergeCell ref="B357:C357"/>
    <mergeCell ref="J357:K357"/>
    <mergeCell ref="B358:C358"/>
    <mergeCell ref="J358:K358"/>
    <mergeCell ref="B359:C359"/>
    <mergeCell ref="J359:K359"/>
    <mergeCell ref="B360:C360"/>
    <mergeCell ref="J360:K360"/>
    <mergeCell ref="B361:C361"/>
    <mergeCell ref="J361:K361"/>
    <mergeCell ref="B362:C362"/>
    <mergeCell ref="J362:K362"/>
    <mergeCell ref="B363:C363"/>
    <mergeCell ref="J363:K363"/>
    <mergeCell ref="B364:C364"/>
    <mergeCell ref="J364:K364"/>
    <mergeCell ref="B365:C365"/>
    <mergeCell ref="J365:K365"/>
    <mergeCell ref="B366:C366"/>
    <mergeCell ref="J366:K366"/>
    <mergeCell ref="B367:C367"/>
    <mergeCell ref="J367:K367"/>
    <mergeCell ref="B368:C368"/>
    <mergeCell ref="J368:K368"/>
    <mergeCell ref="B369:C369"/>
    <mergeCell ref="J369:K369"/>
    <mergeCell ref="B370:C370"/>
    <mergeCell ref="J370:K370"/>
    <mergeCell ref="B371:C371"/>
    <mergeCell ref="J371:K371"/>
    <mergeCell ref="B372:C372"/>
    <mergeCell ref="J372:K372"/>
    <mergeCell ref="A374:G374"/>
    <mergeCell ref="A375:B375"/>
    <mergeCell ref="E375:G375"/>
    <mergeCell ref="A376:B376"/>
    <mergeCell ref="C376:E376"/>
    <mergeCell ref="A377:G377"/>
    <mergeCell ref="A378:G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A410:G410"/>
    <mergeCell ref="A411:B411"/>
    <mergeCell ref="E411:G411"/>
    <mergeCell ref="A412:B412"/>
    <mergeCell ref="C412:E412"/>
    <mergeCell ref="A413:G413"/>
    <mergeCell ref="A414:G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A435:G435"/>
    <mergeCell ref="A436:B436"/>
    <mergeCell ref="E436:G436"/>
    <mergeCell ref="A437:B437"/>
    <mergeCell ref="C437:E437"/>
    <mergeCell ref="A438:G438"/>
    <mergeCell ref="A439:G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A462:G462"/>
    <mergeCell ref="A463:B463"/>
    <mergeCell ref="E463:G463"/>
    <mergeCell ref="A464:B464"/>
    <mergeCell ref="C464:E464"/>
    <mergeCell ref="A465:G465"/>
    <mergeCell ref="A466:G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A497:G497"/>
    <mergeCell ref="A498:B498"/>
    <mergeCell ref="E498:G498"/>
    <mergeCell ref="A499:B499"/>
    <mergeCell ref="C499:E499"/>
    <mergeCell ref="A500:G500"/>
    <mergeCell ref="A501:G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A528:G528"/>
    <mergeCell ref="A529:B529"/>
    <mergeCell ref="E529:G529"/>
    <mergeCell ref="A530:B530"/>
    <mergeCell ref="C530:E530"/>
    <mergeCell ref="A531:G531"/>
    <mergeCell ref="A532:G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A556:G556"/>
    <mergeCell ref="A557:B557"/>
    <mergeCell ref="E557:G557"/>
    <mergeCell ref="A558:B558"/>
    <mergeCell ref="C558:E558"/>
    <mergeCell ref="A559:G559"/>
    <mergeCell ref="A560:G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A571:G571"/>
    <mergeCell ref="A572:B572"/>
    <mergeCell ref="E572:G572"/>
    <mergeCell ref="A573:B573"/>
    <mergeCell ref="C573:E573"/>
    <mergeCell ref="A574:G574"/>
    <mergeCell ref="A575:G575"/>
    <mergeCell ref="B576:C576"/>
    <mergeCell ref="B577:C577"/>
    <mergeCell ref="B578:C578"/>
    <mergeCell ref="B579:C579"/>
    <mergeCell ref="B580:C580"/>
    <mergeCell ref="B581:C581"/>
    <mergeCell ref="B582:C582"/>
    <mergeCell ref="A584:G584"/>
    <mergeCell ref="A585:B585"/>
    <mergeCell ref="E585:G585"/>
    <mergeCell ref="A586:B586"/>
    <mergeCell ref="C586:E586"/>
    <mergeCell ref="A587:G587"/>
    <mergeCell ref="A588:G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A601:G601"/>
    <mergeCell ref="A602:B602"/>
    <mergeCell ref="E602:G602"/>
    <mergeCell ref="A603:B603"/>
    <mergeCell ref="C603:E603"/>
    <mergeCell ref="A604:G604"/>
    <mergeCell ref="A605:G605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A634:G634"/>
    <mergeCell ref="A635:B635"/>
    <mergeCell ref="E635:G635"/>
    <mergeCell ref="A636:B636"/>
    <mergeCell ref="C636:E636"/>
    <mergeCell ref="A637:G637"/>
    <mergeCell ref="A638:G638"/>
    <mergeCell ref="B639:C63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67:C667"/>
    <mergeCell ref="B668:C668"/>
    <mergeCell ref="A670:G670"/>
    <mergeCell ref="A671:B671"/>
    <mergeCell ref="E671:G671"/>
    <mergeCell ref="A672:B672"/>
    <mergeCell ref="C672:E672"/>
    <mergeCell ref="A673:G673"/>
    <mergeCell ref="A674:G674"/>
    <mergeCell ref="B675:C675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A702:G702"/>
    <mergeCell ref="A703:B703"/>
    <mergeCell ref="E703:G703"/>
    <mergeCell ref="A704:B704"/>
    <mergeCell ref="C704:E704"/>
    <mergeCell ref="A705:G705"/>
    <mergeCell ref="A706:G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A734:G734"/>
    <mergeCell ref="A735:B735"/>
    <mergeCell ref="E735:G735"/>
    <mergeCell ref="A736:B736"/>
    <mergeCell ref="C736:E736"/>
    <mergeCell ref="A737:G737"/>
    <mergeCell ref="A738:G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A772:G772"/>
    <mergeCell ref="A773:B773"/>
    <mergeCell ref="E773:G773"/>
    <mergeCell ref="A774:B774"/>
    <mergeCell ref="C774:E774"/>
    <mergeCell ref="A775:G775"/>
    <mergeCell ref="A776:G776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A814:G814"/>
    <mergeCell ref="A815:B815"/>
    <mergeCell ref="E815:G815"/>
    <mergeCell ref="A816:B816"/>
    <mergeCell ref="C816:E816"/>
    <mergeCell ref="A817:G817"/>
    <mergeCell ref="A818:G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50:C850"/>
    <mergeCell ref="B851:C851"/>
    <mergeCell ref="B852:C852"/>
    <mergeCell ref="B853:C853"/>
    <mergeCell ref="A855:G855"/>
    <mergeCell ref="J855:O855"/>
    <mergeCell ref="A856:B856"/>
    <mergeCell ref="E856:G856"/>
    <mergeCell ref="N856:O856"/>
    <mergeCell ref="A857:B857"/>
    <mergeCell ref="C857:E857"/>
    <mergeCell ref="N857:O857"/>
    <mergeCell ref="A858:G858"/>
    <mergeCell ref="J858:O858"/>
    <mergeCell ref="A859:G859"/>
    <mergeCell ref="B860:C860"/>
    <mergeCell ref="B861:C861"/>
    <mergeCell ref="B862:C862"/>
    <mergeCell ref="B863:C863"/>
    <mergeCell ref="B864:C864"/>
    <mergeCell ref="B865:C865"/>
    <mergeCell ref="B866:C866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A888:G888"/>
    <mergeCell ref="A889:B889"/>
    <mergeCell ref="E889:G889"/>
    <mergeCell ref="A890:B890"/>
    <mergeCell ref="C890:E890"/>
    <mergeCell ref="B891:G891"/>
    <mergeCell ref="J903:O903"/>
    <mergeCell ref="K904:L904"/>
    <mergeCell ref="N904:O904"/>
    <mergeCell ref="K905:L905"/>
    <mergeCell ref="N905:O905"/>
    <mergeCell ref="K906:O906"/>
    <mergeCell ref="A926:G926"/>
    <mergeCell ref="A927:B927"/>
    <mergeCell ref="E927:G927"/>
    <mergeCell ref="A928:B928"/>
    <mergeCell ref="C928:E928"/>
    <mergeCell ref="A929:G929"/>
    <mergeCell ref="A930:G930"/>
    <mergeCell ref="B931:C931"/>
    <mergeCell ref="B932:C932"/>
    <mergeCell ref="B933:C933"/>
    <mergeCell ref="B934:C934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69:C969"/>
    <mergeCell ref="A971:G971"/>
    <mergeCell ref="A972:B972"/>
    <mergeCell ref="E972:G972"/>
    <mergeCell ref="A973:B973"/>
    <mergeCell ref="C973:E973"/>
    <mergeCell ref="A974:G974"/>
    <mergeCell ref="A975:G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A997:G997"/>
    <mergeCell ref="A998:B998"/>
    <mergeCell ref="E998:G998"/>
    <mergeCell ref="A999:B999"/>
    <mergeCell ref="C999:E999"/>
    <mergeCell ref="A1000:G1000"/>
    <mergeCell ref="A1001:G1001"/>
    <mergeCell ref="B1002:C1002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A1019:G1019"/>
    <mergeCell ref="A1020:B1020"/>
    <mergeCell ref="E1020:G1020"/>
    <mergeCell ref="A1021:B1021"/>
    <mergeCell ref="C1021:E1021"/>
    <mergeCell ref="A1022:G1022"/>
    <mergeCell ref="A1023:G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A1046:G1046"/>
    <mergeCell ref="A1047:B1047"/>
    <mergeCell ref="E1047:G1047"/>
    <mergeCell ref="A1048:B1048"/>
    <mergeCell ref="C1048:E1048"/>
    <mergeCell ref="A1049:G1049"/>
    <mergeCell ref="A1050:G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71:C1071"/>
    <mergeCell ref="A1073:G1073"/>
    <mergeCell ref="A1074:B1074"/>
    <mergeCell ref="E1074:G1074"/>
    <mergeCell ref="A1075:B1075"/>
    <mergeCell ref="C1075:E1075"/>
    <mergeCell ref="A1076:G1076"/>
    <mergeCell ref="A1077:G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0:G1100"/>
    <mergeCell ref="A1101:B1101"/>
    <mergeCell ref="E1101:G1101"/>
    <mergeCell ref="A1102:B1102"/>
    <mergeCell ref="C1102:E1102"/>
    <mergeCell ref="A1103:G1103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A1140:G1140"/>
    <mergeCell ref="A1141:B1141"/>
    <mergeCell ref="E1141:G1141"/>
    <mergeCell ref="A1142:B1142"/>
    <mergeCell ref="C1142:E1142"/>
    <mergeCell ref="A1143:G1143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73:C1173"/>
    <mergeCell ref="B1174:C1174"/>
    <mergeCell ref="B1175:C1175"/>
    <mergeCell ref="B1176:C1176"/>
    <mergeCell ref="B1177:C1177"/>
    <mergeCell ref="A1180:G1180"/>
    <mergeCell ref="A1181:B1181"/>
    <mergeCell ref="E1181:G1181"/>
    <mergeCell ref="A1182:B1182"/>
    <mergeCell ref="C1182:E1182"/>
    <mergeCell ref="A1183:G1183"/>
    <mergeCell ref="B1185:C1185"/>
    <mergeCell ref="B1186:C1186"/>
    <mergeCell ref="B1187:C1187"/>
    <mergeCell ref="B1188:C1188"/>
    <mergeCell ref="B1189:C1189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A1224:G1224"/>
    <mergeCell ref="A1225:B1225"/>
    <mergeCell ref="E1225:G1225"/>
    <mergeCell ref="A1226:B1226"/>
    <mergeCell ref="C1226:E1226"/>
    <mergeCell ref="A1227:G1227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41:C1241"/>
    <mergeCell ref="B1242:C1242"/>
    <mergeCell ref="B1243:C1243"/>
    <mergeCell ref="B1244:C1244"/>
    <mergeCell ref="B1245:C1245"/>
    <mergeCell ref="A1248:G1248"/>
    <mergeCell ref="A1249:B1249"/>
    <mergeCell ref="E1249:G1249"/>
    <mergeCell ref="A1250:B1250"/>
    <mergeCell ref="C1250:E1250"/>
    <mergeCell ref="A1251:G1251"/>
    <mergeCell ref="B1253:C1253"/>
    <mergeCell ref="B1254:C1254"/>
    <mergeCell ref="B1255:C1255"/>
    <mergeCell ref="B1256:C1256"/>
    <mergeCell ref="B1257:C1257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A1275:G1275"/>
    <mergeCell ref="A1276:B1276"/>
    <mergeCell ref="E1276:G1276"/>
    <mergeCell ref="A1277:B1277"/>
    <mergeCell ref="C1277:E1277"/>
    <mergeCell ref="A1278:G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92:C1292"/>
    <mergeCell ref="B1293:C1293"/>
    <mergeCell ref="B1294:C1294"/>
    <mergeCell ref="B1295:C1295"/>
    <mergeCell ref="B1296:C1296"/>
    <mergeCell ref="A1299:G1299"/>
    <mergeCell ref="A1300:B1300"/>
    <mergeCell ref="E1300:G1300"/>
    <mergeCell ref="A1301:B1301"/>
    <mergeCell ref="C1301:E1301"/>
    <mergeCell ref="A1302:G1302"/>
    <mergeCell ref="A1303:G1303"/>
    <mergeCell ref="B1304:C1304"/>
    <mergeCell ref="B1305:C1305"/>
    <mergeCell ref="B1306:C1306"/>
    <mergeCell ref="B1307:C1307"/>
    <mergeCell ref="B1308:C1308"/>
    <mergeCell ref="B1309:C1309"/>
    <mergeCell ref="B1310:C1310"/>
    <mergeCell ref="B1311:C1311"/>
    <mergeCell ref="B1312:C1312"/>
    <mergeCell ref="B1313:C1313"/>
    <mergeCell ref="B1314:C1314"/>
    <mergeCell ref="B1315:C1315"/>
    <mergeCell ref="B1316:C1316"/>
    <mergeCell ref="B1317:C1317"/>
    <mergeCell ref="B1318:C1318"/>
    <mergeCell ref="B1319:C1319"/>
    <mergeCell ref="B1320:C1320"/>
    <mergeCell ref="B1321:C1321"/>
    <mergeCell ref="B1322:C1322"/>
    <mergeCell ref="B1323:C1323"/>
    <mergeCell ref="B1324:C1324"/>
    <mergeCell ref="B1325:C1325"/>
    <mergeCell ref="B1326:C1326"/>
    <mergeCell ref="B1327:C1327"/>
    <mergeCell ref="B1328:C1328"/>
    <mergeCell ref="B1329:C1329"/>
    <mergeCell ref="A1330:G1330"/>
    <mergeCell ref="A1331:B1331"/>
    <mergeCell ref="E1331:G1331"/>
    <mergeCell ref="A1332:B1332"/>
    <mergeCell ref="C1332:E1332"/>
    <mergeCell ref="A1333:G1333"/>
    <mergeCell ref="A1334:G1334"/>
    <mergeCell ref="B1335:C1335"/>
    <mergeCell ref="B1336:C1336"/>
    <mergeCell ref="B1337:C1337"/>
    <mergeCell ref="B1338:C1338"/>
    <mergeCell ref="B1339:C1339"/>
    <mergeCell ref="B1340:C1340"/>
    <mergeCell ref="B1341:C1341"/>
    <mergeCell ref="B1342:C1342"/>
    <mergeCell ref="B1343:C1343"/>
    <mergeCell ref="B1344:C1344"/>
    <mergeCell ref="B1345:C1345"/>
    <mergeCell ref="B1346:C1346"/>
    <mergeCell ref="B1347:C1347"/>
    <mergeCell ref="B1348:C1348"/>
    <mergeCell ref="B1349:C1349"/>
    <mergeCell ref="B1350:C1350"/>
    <mergeCell ref="B1351:C1351"/>
    <mergeCell ref="B1352:C1352"/>
    <mergeCell ref="B1353:C1353"/>
    <mergeCell ref="B1354:C1354"/>
    <mergeCell ref="B1355:C1355"/>
    <mergeCell ref="B1356:C1356"/>
    <mergeCell ref="B1357:C1357"/>
    <mergeCell ref="B1358:C1358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B1371:C1371"/>
    <mergeCell ref="B1372:C1372"/>
    <mergeCell ref="A1374:F1374"/>
    <mergeCell ref="A1375:F1375"/>
    <mergeCell ref="A1376:F1376"/>
    <mergeCell ref="A1399:F1399"/>
    <mergeCell ref="A1400:F1400"/>
    <mergeCell ref="A1401:F1401"/>
    <mergeCell ref="A1444:B1444"/>
    <mergeCell ref="A1445:B1445"/>
    <mergeCell ref="A1447:G1447"/>
    <mergeCell ref="A1448:B1448"/>
    <mergeCell ref="E1448:G1448"/>
    <mergeCell ref="A1449:B1449"/>
    <mergeCell ref="C1449:E1449"/>
    <mergeCell ref="A1450:G1450"/>
    <mergeCell ref="A1451:G1451"/>
    <mergeCell ref="B1452:C1452"/>
    <mergeCell ref="B1453:C1453"/>
    <mergeCell ref="B1454:C1454"/>
    <mergeCell ref="B1455:C1455"/>
    <mergeCell ref="B1456:C1456"/>
    <mergeCell ref="B1457:C1457"/>
    <mergeCell ref="B1458:C1458"/>
    <mergeCell ref="B1459:C1459"/>
    <mergeCell ref="B1460:C1460"/>
    <mergeCell ref="B1461:C1461"/>
    <mergeCell ref="B1462:C1462"/>
    <mergeCell ref="B1463:C1463"/>
    <mergeCell ref="B1464:C1464"/>
    <mergeCell ref="B1465:C1465"/>
    <mergeCell ref="B1466:C1466"/>
    <mergeCell ref="B1467:C1467"/>
    <mergeCell ref="B1468:C1468"/>
    <mergeCell ref="B1469:C1469"/>
    <mergeCell ref="B1470:C1470"/>
    <mergeCell ref="B1471:C1471"/>
    <mergeCell ref="B1472:C1472"/>
    <mergeCell ref="B1473:C1473"/>
    <mergeCell ref="B1474:C1474"/>
    <mergeCell ref="B1475:C1475"/>
    <mergeCell ref="B1476:C1476"/>
    <mergeCell ref="B1477:C1477"/>
    <mergeCell ref="B1478:C1478"/>
    <mergeCell ref="B1479:C1479"/>
    <mergeCell ref="B1480:C1480"/>
    <mergeCell ref="B1481:C1481"/>
    <mergeCell ref="B1482:C1482"/>
    <mergeCell ref="B1483:C1483"/>
    <mergeCell ref="B1484:C1484"/>
    <mergeCell ref="B1485:C1485"/>
    <mergeCell ref="B1486:C1486"/>
    <mergeCell ref="B1487:C1487"/>
    <mergeCell ref="B1488:C1488"/>
    <mergeCell ref="B1489:C1489"/>
    <mergeCell ref="A1491:F1491"/>
    <mergeCell ref="A1492:F1492"/>
    <mergeCell ref="A1493:F1493"/>
    <mergeCell ref="A1533:B1533"/>
    <mergeCell ref="A1534:B1534"/>
    <mergeCell ref="A1536:G1536"/>
    <mergeCell ref="A1537:B1537"/>
    <mergeCell ref="E1537:G1537"/>
    <mergeCell ref="A1538:B1538"/>
    <mergeCell ref="C1538:E1538"/>
    <mergeCell ref="A1539:G1539"/>
    <mergeCell ref="A1540:G1540"/>
    <mergeCell ref="B1541:C1541"/>
    <mergeCell ref="B1542:C1542"/>
    <mergeCell ref="B1543:C1543"/>
    <mergeCell ref="B1544:C1544"/>
    <mergeCell ref="B1545:C1545"/>
    <mergeCell ref="B1546:C1546"/>
    <mergeCell ref="B1547:C1547"/>
    <mergeCell ref="B1548:C1548"/>
    <mergeCell ref="B1549:C1549"/>
    <mergeCell ref="B1550:C1550"/>
    <mergeCell ref="B1551:C1551"/>
    <mergeCell ref="B1552:C1552"/>
    <mergeCell ref="B1553:C1553"/>
    <mergeCell ref="B1554:C1554"/>
    <mergeCell ref="B1555:C1555"/>
    <mergeCell ref="B1556:C1556"/>
    <mergeCell ref="B1557:C1557"/>
    <mergeCell ref="B1558:C1558"/>
    <mergeCell ref="B1559:C1559"/>
    <mergeCell ref="B1560:C1560"/>
    <mergeCell ref="B1561:C1561"/>
    <mergeCell ref="B1562:C1562"/>
    <mergeCell ref="B1563:C1563"/>
    <mergeCell ref="B1564:C1564"/>
    <mergeCell ref="B1565:C1565"/>
    <mergeCell ref="A1567:G1567"/>
    <mergeCell ref="A1568:B1568"/>
    <mergeCell ref="E1568:G1568"/>
    <mergeCell ref="A1569:B1569"/>
    <mergeCell ref="C1569:E1569"/>
    <mergeCell ref="A1570:G1570"/>
    <mergeCell ref="A1571:G1571"/>
    <mergeCell ref="B1572:C1572"/>
    <mergeCell ref="B1573:C1573"/>
    <mergeCell ref="B1574:C1574"/>
    <mergeCell ref="B1575:C1575"/>
    <mergeCell ref="B1576:C1576"/>
    <mergeCell ref="B1577:C1577"/>
    <mergeCell ref="B1578:C1578"/>
    <mergeCell ref="B1579:C1579"/>
    <mergeCell ref="B1580:C1580"/>
    <mergeCell ref="B1581:C1581"/>
    <mergeCell ref="B1582:C1582"/>
    <mergeCell ref="B1583:C1583"/>
    <mergeCell ref="B1584:C1584"/>
    <mergeCell ref="B1585:C1585"/>
    <mergeCell ref="B1586:C1586"/>
    <mergeCell ref="B1587:C1587"/>
    <mergeCell ref="B1588:C1588"/>
    <mergeCell ref="B1589:C1589"/>
    <mergeCell ref="B1590:C1590"/>
    <mergeCell ref="B1591:C1591"/>
    <mergeCell ref="B1592:C1592"/>
    <mergeCell ref="A1594:G1594"/>
    <mergeCell ref="A1595:B1595"/>
    <mergeCell ref="E1595:G1595"/>
    <mergeCell ref="A1596:B1596"/>
    <mergeCell ref="C1596:E1596"/>
    <mergeCell ref="A1597:G1597"/>
    <mergeCell ref="B1599:C1599"/>
    <mergeCell ref="B1600:C1600"/>
    <mergeCell ref="B1601:C1601"/>
    <mergeCell ref="B1602:C1602"/>
    <mergeCell ref="B1603:C1603"/>
    <mergeCell ref="B1604:C1604"/>
    <mergeCell ref="B1605:C1605"/>
    <mergeCell ref="B1606:C1606"/>
    <mergeCell ref="B1607:C1607"/>
    <mergeCell ref="B1608:C1608"/>
    <mergeCell ref="B1609:C1609"/>
    <mergeCell ref="B1610:C1610"/>
    <mergeCell ref="A1613:G1613"/>
    <mergeCell ref="A1614:B1614"/>
    <mergeCell ref="E1614:G1614"/>
    <mergeCell ref="A1615:B1615"/>
    <mergeCell ref="C1615:E1615"/>
    <mergeCell ref="A1616:G1616"/>
    <mergeCell ref="A1617:G1617"/>
    <mergeCell ref="B1618:C1618"/>
    <mergeCell ref="B1619:C1619"/>
    <mergeCell ref="B1620:C1620"/>
    <mergeCell ref="B1621:C1621"/>
    <mergeCell ref="B1622:C1622"/>
    <mergeCell ref="B1623:C1623"/>
    <mergeCell ref="B1624:C1624"/>
    <mergeCell ref="B1625:C1625"/>
    <mergeCell ref="B1626:C1626"/>
    <mergeCell ref="B1627:C1627"/>
    <mergeCell ref="B1628:C1628"/>
    <mergeCell ref="B1629:C1629"/>
    <mergeCell ref="B1630:C1630"/>
    <mergeCell ref="B1631:C1631"/>
    <mergeCell ref="B1632:C1632"/>
    <mergeCell ref="B1633:C1633"/>
    <mergeCell ref="B1634:C1634"/>
    <mergeCell ref="B1635:C1635"/>
    <mergeCell ref="B1636:C1636"/>
    <mergeCell ref="A1638:G1638"/>
    <mergeCell ref="A1639:B1639"/>
    <mergeCell ref="E1639:G1639"/>
    <mergeCell ref="A1640:B1640"/>
    <mergeCell ref="C1640:E1640"/>
    <mergeCell ref="A1641:G1641"/>
    <mergeCell ref="A1642:G1642"/>
    <mergeCell ref="B1643:C1643"/>
    <mergeCell ref="B1644:C1644"/>
    <mergeCell ref="B1645:C1645"/>
    <mergeCell ref="B1646:C1646"/>
    <mergeCell ref="B1647:C1647"/>
    <mergeCell ref="B1648:C1648"/>
    <mergeCell ref="B1649:C1649"/>
    <mergeCell ref="B1650:C1650"/>
    <mergeCell ref="B1651:C1651"/>
    <mergeCell ref="B1652:C1652"/>
    <mergeCell ref="B1653:C1653"/>
    <mergeCell ref="B1654:C1654"/>
    <mergeCell ref="B1655:C1655"/>
    <mergeCell ref="B1656:C1656"/>
    <mergeCell ref="B1657:C1657"/>
    <mergeCell ref="B1658:C1658"/>
    <mergeCell ref="B1659:C1659"/>
    <mergeCell ref="B1660:C1660"/>
    <mergeCell ref="B1661:C1661"/>
    <mergeCell ref="B1662:C1662"/>
    <mergeCell ref="B1663:C1663"/>
    <mergeCell ref="B1664:C1664"/>
    <mergeCell ref="B1665:C1665"/>
    <mergeCell ref="B1666:C1666"/>
    <mergeCell ref="B1667:C1667"/>
    <mergeCell ref="B1668:C1668"/>
    <mergeCell ref="B1669:C1669"/>
    <mergeCell ref="B1670:C1670"/>
    <mergeCell ref="B1671:C1671"/>
    <mergeCell ref="B1672:C1672"/>
    <mergeCell ref="B1673:C1673"/>
    <mergeCell ref="A1675:G1675"/>
    <mergeCell ref="A1676:B1676"/>
    <mergeCell ref="E1676:G1676"/>
    <mergeCell ref="A1677:B1677"/>
    <mergeCell ref="C1677:E1677"/>
    <mergeCell ref="A1678:G1678"/>
    <mergeCell ref="A1679:G1679"/>
    <mergeCell ref="B1680:C1680"/>
    <mergeCell ref="B1681:C1681"/>
    <mergeCell ref="B1682:C1682"/>
    <mergeCell ref="B1683:C1683"/>
    <mergeCell ref="B1684:C1684"/>
    <mergeCell ref="B1685:C1685"/>
    <mergeCell ref="B1686:C1686"/>
    <mergeCell ref="B1687:C1687"/>
    <mergeCell ref="B1688:C1688"/>
    <mergeCell ref="B1689:C1689"/>
    <mergeCell ref="B1690:C1690"/>
    <mergeCell ref="B1691:C1691"/>
    <mergeCell ref="B1692:C1692"/>
    <mergeCell ref="B1693:C1693"/>
    <mergeCell ref="B1694:C1694"/>
    <mergeCell ref="B1695:C1695"/>
    <mergeCell ref="B1696:C1696"/>
    <mergeCell ref="B1697:C1697"/>
    <mergeCell ref="B1698:C1698"/>
    <mergeCell ref="B1699:C1699"/>
    <mergeCell ref="B1700:C1700"/>
    <mergeCell ref="B1701:C1701"/>
    <mergeCell ref="B1702:C1702"/>
    <mergeCell ref="A1704:G1704"/>
    <mergeCell ref="A1705:B1705"/>
    <mergeCell ref="E1705:G1705"/>
    <mergeCell ref="A1706:B1706"/>
    <mergeCell ref="C1706:E1706"/>
    <mergeCell ref="A1707:G1707"/>
    <mergeCell ref="A1708:G1708"/>
    <mergeCell ref="B1709:C1709"/>
    <mergeCell ref="B1710:C1710"/>
    <mergeCell ref="B1711:C1711"/>
    <mergeCell ref="B1712:C1712"/>
    <mergeCell ref="B1713:C1713"/>
    <mergeCell ref="B1714:C1714"/>
    <mergeCell ref="B1715:C1715"/>
    <mergeCell ref="B1716:C1716"/>
    <mergeCell ref="B1717:C1717"/>
    <mergeCell ref="B1718:C1718"/>
    <mergeCell ref="B1719:C1719"/>
    <mergeCell ref="B1720:C1720"/>
    <mergeCell ref="B1721:C1721"/>
    <mergeCell ref="A1723:G1723"/>
    <mergeCell ref="A1724:B1724"/>
    <mergeCell ref="E1724:G1724"/>
    <mergeCell ref="A1725:B1725"/>
    <mergeCell ref="C1725:E1725"/>
    <mergeCell ref="A1726:G1726"/>
    <mergeCell ref="A1727:G1727"/>
    <mergeCell ref="B1728:C1728"/>
    <mergeCell ref="B1729:C1729"/>
    <mergeCell ref="B1730:C1730"/>
    <mergeCell ref="B1731:C1731"/>
    <mergeCell ref="B1732:C1732"/>
    <mergeCell ref="B1733:C1733"/>
    <mergeCell ref="B1734:C1734"/>
    <mergeCell ref="B1735:C1735"/>
    <mergeCell ref="B1736:C1736"/>
    <mergeCell ref="B1737:C1737"/>
    <mergeCell ref="B1738:C1738"/>
    <mergeCell ref="B1739:C1739"/>
    <mergeCell ref="B1740:C1740"/>
    <mergeCell ref="A1742:G1742"/>
    <mergeCell ref="A1743:B1743"/>
    <mergeCell ref="E1743:G1743"/>
    <mergeCell ref="A1744:B1744"/>
    <mergeCell ref="C1744:E1744"/>
    <mergeCell ref="A1745:G1745"/>
    <mergeCell ref="A1746:G1746"/>
    <mergeCell ref="B1747:C1747"/>
    <mergeCell ref="B1748:C1748"/>
    <mergeCell ref="B1749:C1749"/>
    <mergeCell ref="B1750:C1750"/>
    <mergeCell ref="B1751:C1751"/>
    <mergeCell ref="B1752:C1752"/>
    <mergeCell ref="B1753:C1753"/>
    <mergeCell ref="B1754:C1754"/>
    <mergeCell ref="B1755:C1755"/>
    <mergeCell ref="B1756:C1756"/>
    <mergeCell ref="B1757:C1757"/>
    <mergeCell ref="B1758:C1758"/>
    <mergeCell ref="B1759:C1759"/>
    <mergeCell ref="B1760:C1760"/>
    <mergeCell ref="B1761:C1761"/>
    <mergeCell ref="B1762:C1762"/>
    <mergeCell ref="B1763:C1763"/>
    <mergeCell ref="A1765:G1765"/>
    <mergeCell ref="A1766:B1766"/>
    <mergeCell ref="E1766:G1766"/>
    <mergeCell ref="A1767:B1767"/>
    <mergeCell ref="C1767:E1767"/>
    <mergeCell ref="A1768:G1768"/>
    <mergeCell ref="A1769:G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B1779:C1779"/>
    <mergeCell ref="B1780:C1780"/>
    <mergeCell ref="B1781:C1781"/>
    <mergeCell ref="B1782:C1782"/>
    <mergeCell ref="B1783:C1783"/>
    <mergeCell ref="B1784:C1784"/>
    <mergeCell ref="B1785:C1785"/>
    <mergeCell ref="B1786:C1786"/>
    <mergeCell ref="B1787:C1787"/>
    <mergeCell ref="B1788:C1788"/>
    <mergeCell ref="B1789:C1789"/>
    <mergeCell ref="B1790:C1790"/>
    <mergeCell ref="B1791:C1791"/>
    <mergeCell ref="B1792:C1792"/>
    <mergeCell ref="B1793:C1793"/>
    <mergeCell ref="B1794:C1794"/>
    <mergeCell ref="A1796:G1796"/>
    <mergeCell ref="A1797:B1797"/>
    <mergeCell ref="E1797:G1797"/>
    <mergeCell ref="A1798:B1798"/>
    <mergeCell ref="C1798:E1798"/>
    <mergeCell ref="A1799:G1799"/>
    <mergeCell ref="A1800:G1800"/>
    <mergeCell ref="B1801:C1801"/>
    <mergeCell ref="B1802:C1802"/>
    <mergeCell ref="B1803:C1803"/>
    <mergeCell ref="B1804:C1804"/>
    <mergeCell ref="B1805:C1805"/>
    <mergeCell ref="B1806:C1806"/>
    <mergeCell ref="B1807:C1807"/>
    <mergeCell ref="B1808:C1808"/>
    <mergeCell ref="B1809:C1809"/>
    <mergeCell ref="B1810:C1810"/>
    <mergeCell ref="B1811:C1811"/>
    <mergeCell ref="B1812:C1812"/>
    <mergeCell ref="B1813:C1813"/>
    <mergeCell ref="A1815:G1815"/>
    <mergeCell ref="A1816:B1816"/>
    <mergeCell ref="E1816:G1816"/>
    <mergeCell ref="A1817:B1817"/>
    <mergeCell ref="C1817:E1817"/>
    <mergeCell ref="A1818:G1818"/>
    <mergeCell ref="A1819:G1819"/>
    <mergeCell ref="B1820:C1820"/>
    <mergeCell ref="B1821:C1821"/>
    <mergeCell ref="B1822:C1822"/>
    <mergeCell ref="B1823:C1823"/>
    <mergeCell ref="B1824:C1824"/>
    <mergeCell ref="B1825:C1825"/>
    <mergeCell ref="B1826:C1826"/>
    <mergeCell ref="B1829:C1829"/>
    <mergeCell ref="B1830:C1830"/>
    <mergeCell ref="B1834:C1834"/>
    <mergeCell ref="B1835:C1835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A1847:G1847"/>
    <mergeCell ref="A1848:B1848"/>
    <mergeCell ref="E1848:G1848"/>
    <mergeCell ref="A1849:B1849"/>
    <mergeCell ref="C1849:E1849"/>
    <mergeCell ref="A1850:G1850"/>
    <mergeCell ref="A1851:G1851"/>
    <mergeCell ref="B1852:C1852"/>
    <mergeCell ref="B1853:C1853"/>
    <mergeCell ref="B1854:C1854"/>
    <mergeCell ref="B1855:C1855"/>
    <mergeCell ref="B1856:C1856"/>
    <mergeCell ref="B1857:C1857"/>
    <mergeCell ref="B1858:C1858"/>
    <mergeCell ref="B1859:C1859"/>
    <mergeCell ref="B1860:C1860"/>
    <mergeCell ref="B1861:C1861"/>
    <mergeCell ref="B1862:C1862"/>
    <mergeCell ref="B1863:C1863"/>
    <mergeCell ref="B1864:C1864"/>
    <mergeCell ref="A1866:G1866"/>
    <mergeCell ref="A1867:B1867"/>
    <mergeCell ref="E1867:G1867"/>
    <mergeCell ref="A1868:B1868"/>
    <mergeCell ref="C1868:E1868"/>
    <mergeCell ref="A1869:G1869"/>
    <mergeCell ref="A1870:G1870"/>
    <mergeCell ref="B1871:C1871"/>
    <mergeCell ref="B1872:C1872"/>
    <mergeCell ref="B1873:C1873"/>
    <mergeCell ref="B1874:C1874"/>
    <mergeCell ref="B1875:C1875"/>
    <mergeCell ref="B1876:C1876"/>
    <mergeCell ref="B1877:C1877"/>
    <mergeCell ref="B1878:C1878"/>
    <mergeCell ref="B1879:C1879"/>
    <mergeCell ref="B1880:C1880"/>
    <mergeCell ref="B1881:C1881"/>
    <mergeCell ref="B1882:C1882"/>
    <mergeCell ref="B1883:C1883"/>
    <mergeCell ref="B1884:C1884"/>
    <mergeCell ref="B1885:C1885"/>
    <mergeCell ref="B1886:C1886"/>
    <mergeCell ref="B1887:C1887"/>
    <mergeCell ref="B1888:C1888"/>
    <mergeCell ref="B1889:C1889"/>
    <mergeCell ref="B1890:C1890"/>
    <mergeCell ref="B1891:C1891"/>
    <mergeCell ref="B1892:C1892"/>
    <mergeCell ref="B1893:C1893"/>
    <mergeCell ref="B1894:C1894"/>
    <mergeCell ref="B1895:C1895"/>
    <mergeCell ref="B1896:C1896"/>
    <mergeCell ref="A1898:G1898"/>
    <mergeCell ref="A1899:B1899"/>
    <mergeCell ref="E1899:G1899"/>
    <mergeCell ref="A1900:B1900"/>
    <mergeCell ref="C1900:E1900"/>
    <mergeCell ref="A1901:G1901"/>
    <mergeCell ref="A1902:G1902"/>
    <mergeCell ref="B1903:C1903"/>
    <mergeCell ref="B1904:C1904"/>
    <mergeCell ref="B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B1915:C1915"/>
    <mergeCell ref="B1916:C1916"/>
    <mergeCell ref="B1917:C1917"/>
    <mergeCell ref="B1918:C1918"/>
    <mergeCell ref="B1919:C1919"/>
    <mergeCell ref="B1920:C1920"/>
    <mergeCell ref="B1921:C1921"/>
    <mergeCell ref="B1922:C1922"/>
    <mergeCell ref="B1923:C1923"/>
    <mergeCell ref="B1924:C1924"/>
    <mergeCell ref="B1925:C1925"/>
    <mergeCell ref="B1926:C1926"/>
    <mergeCell ref="B1927:C1927"/>
    <mergeCell ref="B1928:C1928"/>
    <mergeCell ref="A1930:G1930"/>
    <mergeCell ref="A1931:B1931"/>
    <mergeCell ref="E1931:G1931"/>
    <mergeCell ref="A1932:B1932"/>
    <mergeCell ref="C1932:E1932"/>
    <mergeCell ref="A1933:G1933"/>
    <mergeCell ref="A1934:G1934"/>
    <mergeCell ref="B1935:C1935"/>
    <mergeCell ref="B1936:C1936"/>
    <mergeCell ref="B1937:C1937"/>
    <mergeCell ref="B1938:C1938"/>
    <mergeCell ref="B1939:C1939"/>
    <mergeCell ref="B1940:C1940"/>
    <mergeCell ref="B1941:C1941"/>
    <mergeCell ref="B1942:C1942"/>
    <mergeCell ref="B1943:C1943"/>
    <mergeCell ref="B1944:C1944"/>
    <mergeCell ref="B1945:C1945"/>
    <mergeCell ref="B1946:C1946"/>
    <mergeCell ref="B1947:C1947"/>
    <mergeCell ref="B1948:C1948"/>
    <mergeCell ref="B1949:C1949"/>
    <mergeCell ref="B1950:C1950"/>
    <mergeCell ref="B1951:C1951"/>
    <mergeCell ref="B1952:C1952"/>
    <mergeCell ref="B1953:C1953"/>
    <mergeCell ref="B1954:C1954"/>
    <mergeCell ref="B1955:C1955"/>
    <mergeCell ref="B1956:C1956"/>
    <mergeCell ref="B1957:C1957"/>
    <mergeCell ref="B1958:C1958"/>
    <mergeCell ref="B1959:C1959"/>
    <mergeCell ref="B1960:C1960"/>
    <mergeCell ref="A1962:G1962"/>
    <mergeCell ref="A1963:B1963"/>
    <mergeCell ref="E1963:G1963"/>
    <mergeCell ref="A1964:B1964"/>
    <mergeCell ref="C1964:E1964"/>
    <mergeCell ref="A1965:G1965"/>
    <mergeCell ref="A1966:G1966"/>
    <mergeCell ref="B1967:C1967"/>
    <mergeCell ref="B1968:C1968"/>
    <mergeCell ref="B1969:C1969"/>
    <mergeCell ref="B1970:C1970"/>
    <mergeCell ref="B1971:C1971"/>
    <mergeCell ref="B1972:C1972"/>
    <mergeCell ref="B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B1983:C1983"/>
    <mergeCell ref="B1984:C1984"/>
    <mergeCell ref="B1985:C1985"/>
    <mergeCell ref="B1986:C1986"/>
    <mergeCell ref="B1987:C1987"/>
    <mergeCell ref="B1988:C1988"/>
    <mergeCell ref="B1989:C1989"/>
    <mergeCell ref="B1990:C1990"/>
    <mergeCell ref="B1991:C1991"/>
    <mergeCell ref="B1992:C1992"/>
    <mergeCell ref="A1994:G1994"/>
    <mergeCell ref="A1995:B1995"/>
    <mergeCell ref="E1995:G1995"/>
    <mergeCell ref="A1996:B1996"/>
    <mergeCell ref="C1996:E1996"/>
    <mergeCell ref="A1997:G1997"/>
    <mergeCell ref="A1998:G1998"/>
    <mergeCell ref="B1999:C1999"/>
    <mergeCell ref="B2000:C2000"/>
    <mergeCell ref="B2001:C2001"/>
    <mergeCell ref="B2002:C2002"/>
    <mergeCell ref="B2003:C2003"/>
    <mergeCell ref="B2004:C2004"/>
    <mergeCell ref="B2005:C2005"/>
    <mergeCell ref="B2006:C2006"/>
    <mergeCell ref="B2007:C2007"/>
    <mergeCell ref="B2008:C2008"/>
    <mergeCell ref="B2009:C2009"/>
    <mergeCell ref="B2010:C2010"/>
    <mergeCell ref="B2011:C2011"/>
    <mergeCell ref="B2012:C2012"/>
    <mergeCell ref="B2013:C2013"/>
    <mergeCell ref="B2014:C2014"/>
    <mergeCell ref="B2015:C2015"/>
    <mergeCell ref="B2016:C2016"/>
    <mergeCell ref="B2017:C2017"/>
    <mergeCell ref="B2018:C2018"/>
    <mergeCell ref="B2019:C2019"/>
    <mergeCell ref="B2020:C2020"/>
    <mergeCell ref="B2021:C2021"/>
    <mergeCell ref="B2022:C2022"/>
    <mergeCell ref="B2023:C2023"/>
    <mergeCell ref="B2024:C2024"/>
    <mergeCell ref="A2026:G2026"/>
    <mergeCell ref="A2027:B2027"/>
    <mergeCell ref="E2027:G2027"/>
    <mergeCell ref="A2028:B2028"/>
    <mergeCell ref="C2028:E2028"/>
    <mergeCell ref="A2029:G2029"/>
    <mergeCell ref="A2030:G2030"/>
    <mergeCell ref="B2031:C2031"/>
    <mergeCell ref="B2032:C2032"/>
    <mergeCell ref="B2033:C2033"/>
    <mergeCell ref="B2034:C2034"/>
    <mergeCell ref="B2035:C2035"/>
    <mergeCell ref="B2036:C2036"/>
    <mergeCell ref="B2037:C2037"/>
    <mergeCell ref="B2038:C2038"/>
    <mergeCell ref="B2039:C2039"/>
    <mergeCell ref="B2040:C2040"/>
    <mergeCell ref="B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B2051:C2051"/>
    <mergeCell ref="B2052:C2052"/>
    <mergeCell ref="B2053:C2053"/>
    <mergeCell ref="B2054:C2054"/>
    <mergeCell ref="B2055:C2055"/>
    <mergeCell ref="B2056:C2056"/>
    <mergeCell ref="A2058:G2058"/>
    <mergeCell ref="A2059:B2059"/>
    <mergeCell ref="E2059:G2059"/>
    <mergeCell ref="A2060:B2060"/>
    <mergeCell ref="C2060:E2060"/>
    <mergeCell ref="A2061:G2061"/>
    <mergeCell ref="A2062:G2062"/>
    <mergeCell ref="B2063:C2063"/>
    <mergeCell ref="B2064:C2064"/>
    <mergeCell ref="B2065:C2065"/>
    <mergeCell ref="B2066:C2066"/>
    <mergeCell ref="B2067:C2067"/>
    <mergeCell ref="B2068:C2068"/>
    <mergeCell ref="B2069:C2069"/>
    <mergeCell ref="B2070:C2070"/>
    <mergeCell ref="B2071:C2071"/>
    <mergeCell ref="B2072:C2072"/>
    <mergeCell ref="B2073:C2073"/>
    <mergeCell ref="B2074:C2074"/>
    <mergeCell ref="B2075:C2075"/>
    <mergeCell ref="B2076:C2076"/>
    <mergeCell ref="B2077:C2077"/>
    <mergeCell ref="B2078:C2078"/>
    <mergeCell ref="B2079:C2079"/>
    <mergeCell ref="B2080:C2080"/>
    <mergeCell ref="B2081:C2081"/>
    <mergeCell ref="B2082:C2082"/>
    <mergeCell ref="B2083:C2083"/>
    <mergeCell ref="B2084:C2084"/>
    <mergeCell ref="B2085:C2085"/>
    <mergeCell ref="B2086:C2086"/>
    <mergeCell ref="B2087:C2087"/>
    <mergeCell ref="B2088:C2088"/>
  </mergeCells>
  <printOptions horizontalCentered="1"/>
  <pageMargins left="0.78740157480315" right="0.78740157480315" top="0.78740157480315" bottom="0.78740157480315" header="0.511811023622047" footer="0.393700787401575"/>
  <pageSetup paperSize="9" scale="99" firstPageNumber="49" orientation="portrait" useFirstPageNumber="1"/>
  <headerFooter alignWithMargins="0" scaleWithDoc="0">
    <oddFooter>&amp;C第 &amp;P 页</oddFooter>
  </headerFooter>
  <rowBreaks count="9" manualBreakCount="9">
    <brk id="434" max="6" man="1"/>
    <brk id="669" max="6" man="1"/>
    <brk id="701" max="6" man="1"/>
    <brk id="771" max="6" man="1"/>
    <brk id="887" max="6" man="1"/>
    <brk id="925" max="6" man="1"/>
    <brk id="970" max="6" man="1"/>
    <brk id="1045" max="6" man="1"/>
    <brk id="1099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U26"/>
  <sheetViews>
    <sheetView view="pageBreakPreview" zoomScaleNormal="100" workbookViewId="0">
      <selection activeCell="H6" sqref="H6"/>
    </sheetView>
  </sheetViews>
  <sheetFormatPr defaultColWidth="9" defaultRowHeight="14.25"/>
  <cols>
    <col min="1" max="1" width="7.25" style="205" customWidth="1"/>
    <col min="2" max="2" width="17.75" style="205" customWidth="1"/>
    <col min="3" max="3" width="8.5" style="205" customWidth="1"/>
    <col min="4" max="4" width="7.625" style="205" customWidth="1"/>
    <col min="5" max="12" width="8.75" style="205" customWidth="1"/>
    <col min="13" max="14" width="9.75" style="205" customWidth="1"/>
    <col min="15" max="15" width="7.375" style="205" customWidth="1"/>
    <col min="16" max="16" width="12" style="205" customWidth="1"/>
    <col min="17" max="17" width="12.375" style="205" customWidth="1"/>
    <col min="18" max="19" width="10.125" style="205" customWidth="1"/>
    <col min="20" max="20" width="9.5" style="205" customWidth="1"/>
    <col min="21" max="21" width="10.125" style="205" customWidth="1"/>
    <col min="22" max="16384" width="9" style="205"/>
  </cols>
  <sheetData>
    <row r="1" ht="25.5" customHeight="1" spans="1:21">
      <c r="A1" s="285" t="s">
        <v>864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305"/>
      <c r="O1" s="306" t="s">
        <v>865</v>
      </c>
      <c r="P1" s="306"/>
      <c r="Q1" s="306"/>
      <c r="R1" s="306"/>
      <c r="S1" s="306"/>
      <c r="T1" s="306"/>
      <c r="U1" s="306"/>
    </row>
    <row r="2" ht="20.1" customHeight="1" spans="1:21">
      <c r="A2" s="286" t="s">
        <v>284</v>
      </c>
      <c r="B2" s="287" t="s">
        <v>866</v>
      </c>
      <c r="C2" s="287" t="s">
        <v>867</v>
      </c>
      <c r="D2" s="288" t="s">
        <v>868</v>
      </c>
      <c r="E2" s="289" t="s">
        <v>869</v>
      </c>
      <c r="F2" s="290"/>
      <c r="G2" s="289" t="s">
        <v>870</v>
      </c>
      <c r="H2" s="290"/>
      <c r="I2" s="289" t="s">
        <v>871</v>
      </c>
      <c r="J2" s="290"/>
      <c r="K2" s="289" t="s">
        <v>872</v>
      </c>
      <c r="L2" s="290"/>
      <c r="M2" s="307" t="s">
        <v>873</v>
      </c>
      <c r="N2" s="308"/>
      <c r="O2" s="309" t="s">
        <v>874</v>
      </c>
      <c r="P2" s="310"/>
      <c r="Q2" s="310"/>
      <c r="R2" s="310"/>
      <c r="S2" s="310"/>
      <c r="T2" s="310"/>
      <c r="U2" s="336"/>
    </row>
    <row r="3" ht="20.1" customHeight="1" spans="1:21">
      <c r="A3" s="291"/>
      <c r="B3" s="292"/>
      <c r="C3" s="292"/>
      <c r="D3" s="293"/>
      <c r="E3" s="294" t="s">
        <v>875</v>
      </c>
      <c r="F3" s="294" t="s">
        <v>876</v>
      </c>
      <c r="G3" s="294" t="s">
        <v>877</v>
      </c>
      <c r="H3" s="294" t="s">
        <v>876</v>
      </c>
      <c r="I3" s="294" t="s">
        <v>877</v>
      </c>
      <c r="J3" s="294" t="s">
        <v>876</v>
      </c>
      <c r="K3" s="294" t="s">
        <v>877</v>
      </c>
      <c r="L3" s="294" t="s">
        <v>876</v>
      </c>
      <c r="M3" s="311"/>
      <c r="N3" s="308"/>
      <c r="O3" s="312" t="s">
        <v>878</v>
      </c>
      <c r="P3" s="313"/>
      <c r="Q3" s="313" t="s">
        <v>879</v>
      </c>
      <c r="R3" s="313" t="s">
        <v>880</v>
      </c>
      <c r="S3" s="313" t="s">
        <v>881</v>
      </c>
      <c r="T3" s="313" t="s">
        <v>882</v>
      </c>
      <c r="U3" s="337" t="s">
        <v>883</v>
      </c>
    </row>
    <row r="4" ht="20.1" customHeight="1" spans="1:21">
      <c r="A4" s="295">
        <v>1</v>
      </c>
      <c r="B4" s="296" t="s">
        <v>884</v>
      </c>
      <c r="C4" s="296">
        <v>32.5</v>
      </c>
      <c r="D4" s="296">
        <v>2</v>
      </c>
      <c r="E4" s="296">
        <f>0.245</f>
        <v>0.245</v>
      </c>
      <c r="F4" s="297">
        <f>E4*主材!M6</f>
        <v>62.48</v>
      </c>
      <c r="G4" s="296">
        <v>0.59</v>
      </c>
      <c r="H4" s="297">
        <f>G4*主材!$M$8</f>
        <v>41.3</v>
      </c>
      <c r="I4" s="296">
        <v>0.82</v>
      </c>
      <c r="J4" s="296">
        <f>I4*主材!M10</f>
        <v>57.4</v>
      </c>
      <c r="K4" s="296">
        <v>0.177</v>
      </c>
      <c r="L4" s="314">
        <f>K4*主材!D18</f>
        <v>0.77</v>
      </c>
      <c r="M4" s="315">
        <f>E4*1000*P5+G4*R5+I4*S5+K4*U5</f>
        <v>161.95</v>
      </c>
      <c r="N4" s="316">
        <f>F4+H4+J4+L4</f>
        <v>161.95</v>
      </c>
      <c r="O4" s="312"/>
      <c r="P4" s="313"/>
      <c r="Q4" s="313"/>
      <c r="R4" s="313"/>
      <c r="S4" s="313"/>
      <c r="T4" s="313"/>
      <c r="U4" s="337"/>
    </row>
    <row r="5" ht="20.1" customHeight="1" spans="1:21">
      <c r="A5" s="295">
        <v>2</v>
      </c>
      <c r="B5" s="296" t="s">
        <v>585</v>
      </c>
      <c r="C5" s="296">
        <v>32.5</v>
      </c>
      <c r="D5" s="296">
        <v>2</v>
      </c>
      <c r="E5" s="296">
        <f>0.285</f>
        <v>0.285</v>
      </c>
      <c r="F5" s="297">
        <f>E5*主材!M6</f>
        <v>72.68</v>
      </c>
      <c r="G5" s="296">
        <v>0.56</v>
      </c>
      <c r="H5" s="297">
        <f>G5*主材!$M$8</f>
        <v>39.2</v>
      </c>
      <c r="I5" s="296">
        <v>0.84</v>
      </c>
      <c r="J5" s="296">
        <f>I5*主材!M10</f>
        <v>58.8</v>
      </c>
      <c r="K5" s="296">
        <v>0.177</v>
      </c>
      <c r="L5" s="314">
        <f>K5*主材!D18</f>
        <v>0.77</v>
      </c>
      <c r="M5" s="315">
        <f>E5*1000*P5+G5*R5+I5*S5+K5*U5</f>
        <v>171.45</v>
      </c>
      <c r="N5" s="316"/>
      <c r="O5" s="317">
        <f>主材!M6/1000</f>
        <v>0.255</v>
      </c>
      <c r="P5" s="318">
        <f>主材!M6/1000</f>
        <v>0.255</v>
      </c>
      <c r="Q5" s="338"/>
      <c r="R5" s="338">
        <f>主材!M8</f>
        <v>70</v>
      </c>
      <c r="S5" s="338">
        <f>主材!M10</f>
        <v>70</v>
      </c>
      <c r="T5" s="338">
        <v>0.5</v>
      </c>
      <c r="U5" s="339">
        <f>主材!D18</f>
        <v>4.37</v>
      </c>
    </row>
    <row r="6" ht="20.1" customHeight="1" spans="1:21">
      <c r="A6" s="295">
        <v>3</v>
      </c>
      <c r="B6" s="296" t="s">
        <v>553</v>
      </c>
      <c r="C6" s="296">
        <v>42.5</v>
      </c>
      <c r="D6" s="296">
        <v>2</v>
      </c>
      <c r="E6" s="296">
        <v>0.31</v>
      </c>
      <c r="F6" s="297">
        <f>E6*主材!M6</f>
        <v>79.05</v>
      </c>
      <c r="G6" s="296">
        <v>0.55</v>
      </c>
      <c r="H6" s="297">
        <f>G6*主材!$M$8</f>
        <v>38.5</v>
      </c>
      <c r="I6" s="296">
        <v>0.84</v>
      </c>
      <c r="J6" s="296">
        <f>I6*主材!M10</f>
        <v>58.8</v>
      </c>
      <c r="K6" s="296">
        <v>0.177</v>
      </c>
      <c r="L6" s="314">
        <f>K6*主材!D18</f>
        <v>0.77</v>
      </c>
      <c r="M6" s="315">
        <f>E6*1000*P5+G6*R5+I6*S5+K6*U5</f>
        <v>177.12</v>
      </c>
      <c r="N6" s="316"/>
      <c r="O6" s="319" t="s">
        <v>885</v>
      </c>
      <c r="P6" s="320"/>
      <c r="Q6" s="320"/>
      <c r="R6" s="320"/>
      <c r="S6" s="320"/>
      <c r="T6" s="320"/>
      <c r="U6" s="340"/>
    </row>
    <row r="7" ht="20.1" customHeight="1" spans="1:21">
      <c r="A7" s="295">
        <v>4</v>
      </c>
      <c r="B7" s="296" t="s">
        <v>886</v>
      </c>
      <c r="C7" s="296">
        <v>42.5</v>
      </c>
      <c r="D7" s="296">
        <v>2</v>
      </c>
      <c r="E7" s="298">
        <f>0.294*1.1*1.07</f>
        <v>0.346038</v>
      </c>
      <c r="F7" s="299">
        <f>E7*255</f>
        <v>88.24</v>
      </c>
      <c r="G7" s="300">
        <f>0.56*1.1*0.98</f>
        <v>0.6037</v>
      </c>
      <c r="H7" s="300">
        <f>G7*70</f>
        <v>42.259</v>
      </c>
      <c r="I7" s="300">
        <f>0.71*1.06*0.98</f>
        <v>0.7375</v>
      </c>
      <c r="J7" s="300">
        <f>I7*70</f>
        <v>51.625</v>
      </c>
      <c r="K7" s="300">
        <f>0.17*1.1*1.07</f>
        <v>0.2001</v>
      </c>
      <c r="L7" s="300">
        <f>K7*U5</f>
        <v>0.8744</v>
      </c>
      <c r="M7" s="321">
        <f>E7*1000*P5+G7*R5+I7*S5+K7*U5</f>
        <v>183</v>
      </c>
      <c r="N7" s="316"/>
      <c r="O7" s="319"/>
      <c r="P7" s="320"/>
      <c r="Q7" s="320"/>
      <c r="R7" s="320"/>
      <c r="S7" s="320"/>
      <c r="T7" s="320"/>
      <c r="U7" s="340"/>
    </row>
    <row r="8" ht="20.1" customHeight="1" spans="1:21">
      <c r="A8" s="295">
        <v>5</v>
      </c>
      <c r="B8" s="296" t="s">
        <v>698</v>
      </c>
      <c r="C8" s="296">
        <v>42.5</v>
      </c>
      <c r="D8" s="296">
        <v>2</v>
      </c>
      <c r="E8" s="296">
        <v>0.34</v>
      </c>
      <c r="F8" s="297">
        <f>E8*主材!M6</f>
        <v>86.7</v>
      </c>
      <c r="G8" s="296">
        <v>0.53</v>
      </c>
      <c r="H8" s="297">
        <f>G8*主材!$M$8</f>
        <v>37.1</v>
      </c>
      <c r="I8" s="296">
        <v>0.84</v>
      </c>
      <c r="J8" s="296">
        <f>I8*主材!M10</f>
        <v>58.8</v>
      </c>
      <c r="K8" s="296">
        <v>0.177</v>
      </c>
      <c r="L8" s="314">
        <f>K8*主材!D18</f>
        <v>0.77</v>
      </c>
      <c r="M8" s="315">
        <f>E8*1000*P5+G8*R5+I8*S5+K8*U5</f>
        <v>183.37</v>
      </c>
      <c r="N8" s="316"/>
      <c r="O8" s="322">
        <v>1</v>
      </c>
      <c r="P8" s="323">
        <v>1</v>
      </c>
      <c r="Q8" s="323">
        <v>1</v>
      </c>
      <c r="R8" s="323">
        <v>1</v>
      </c>
      <c r="S8" s="323">
        <v>1.6</v>
      </c>
      <c r="T8" s="323">
        <v>1</v>
      </c>
      <c r="U8" s="341">
        <v>1.1</v>
      </c>
    </row>
    <row r="9" ht="20.1" customHeight="1" spans="1:21">
      <c r="A9" s="295">
        <v>6</v>
      </c>
      <c r="B9" s="296" t="s">
        <v>887</v>
      </c>
      <c r="C9" s="296">
        <v>42.5</v>
      </c>
      <c r="D9" s="296">
        <v>2</v>
      </c>
      <c r="E9" s="296">
        <v>0.37</v>
      </c>
      <c r="F9" s="297">
        <f>E9*主材!M6</f>
        <v>94.35</v>
      </c>
      <c r="G9" s="296">
        <v>0.51</v>
      </c>
      <c r="H9" s="297">
        <f>G9*主材!$M$8</f>
        <v>35.7</v>
      </c>
      <c r="I9" s="296">
        <v>0.84</v>
      </c>
      <c r="J9" s="296">
        <f>I9*主材!M10</f>
        <v>58.8</v>
      </c>
      <c r="K9" s="296">
        <v>0.177</v>
      </c>
      <c r="L9" s="314">
        <f>K9*主材!D18</f>
        <v>0.77</v>
      </c>
      <c r="M9" s="315">
        <f>E9*1000*P5+G9*R5+I9*S5+K9*U5</f>
        <v>189.62</v>
      </c>
      <c r="N9" s="316"/>
      <c r="O9" s="324">
        <v>1.07</v>
      </c>
      <c r="P9" s="325">
        <v>1.07</v>
      </c>
      <c r="Q9" s="325">
        <v>1</v>
      </c>
      <c r="R9" s="325">
        <v>0.98</v>
      </c>
      <c r="S9" s="325">
        <v>0.98</v>
      </c>
      <c r="T9" s="325">
        <v>1</v>
      </c>
      <c r="U9" s="342">
        <v>1.07</v>
      </c>
    </row>
    <row r="10" ht="20.1" customHeight="1" spans="1:14">
      <c r="A10" s="295">
        <v>7</v>
      </c>
      <c r="B10" s="296" t="s">
        <v>888</v>
      </c>
      <c r="C10" s="296">
        <v>42.5</v>
      </c>
      <c r="D10" s="296"/>
      <c r="E10" s="301">
        <f>0.261*0.86</f>
        <v>0.224</v>
      </c>
      <c r="F10" s="297">
        <f>E10*主材!M6</f>
        <v>57.12</v>
      </c>
      <c r="G10" s="296">
        <v>1.11</v>
      </c>
      <c r="H10" s="297">
        <f>G10*主材!$M$8</f>
        <v>77.7</v>
      </c>
      <c r="I10" s="296"/>
      <c r="J10" s="296"/>
      <c r="K10" s="296">
        <v>0.157</v>
      </c>
      <c r="L10" s="314">
        <f>K10*主材!D18</f>
        <v>0.69</v>
      </c>
      <c r="M10" s="315">
        <f>E10*1000*P5+G10*R5+I10*S5+K10*U5</f>
        <v>135.51</v>
      </c>
      <c r="N10" s="316"/>
    </row>
    <row r="11" ht="20.1" customHeight="1" spans="1:14">
      <c r="A11" s="295">
        <v>8</v>
      </c>
      <c r="B11" s="296" t="s">
        <v>653</v>
      </c>
      <c r="C11" s="296">
        <v>42.5</v>
      </c>
      <c r="D11" s="296"/>
      <c r="E11" s="301">
        <f>0.305*0.86</f>
        <v>0.262</v>
      </c>
      <c r="F11" s="297">
        <f>E11*主材!M6</f>
        <v>66.81</v>
      </c>
      <c r="G11" s="296">
        <v>1.1</v>
      </c>
      <c r="H11" s="297">
        <f>G11*主材!$M$8</f>
        <v>77</v>
      </c>
      <c r="I11" s="296"/>
      <c r="J11" s="296"/>
      <c r="K11" s="296">
        <v>0.183</v>
      </c>
      <c r="L11" s="314">
        <f>K11*主材!D18</f>
        <v>0.8</v>
      </c>
      <c r="M11" s="315">
        <f>E11*1000*P5+G11*R5+I11*S5+K11*U5</f>
        <v>144.61</v>
      </c>
      <c r="N11" s="316"/>
    </row>
    <row r="12" ht="20.1" customHeight="1" spans="1:21">
      <c r="A12" s="295"/>
      <c r="B12" s="296"/>
      <c r="C12" s="296"/>
      <c r="D12" s="296"/>
      <c r="E12" s="296"/>
      <c r="F12" s="297"/>
      <c r="G12" s="296"/>
      <c r="H12" s="297"/>
      <c r="I12" s="296"/>
      <c r="J12" s="296"/>
      <c r="K12" s="296"/>
      <c r="L12" s="314"/>
      <c r="M12" s="315"/>
      <c r="N12" s="316"/>
      <c r="O12" s="326" t="s">
        <v>889</v>
      </c>
      <c r="P12" s="327"/>
      <c r="Q12" s="327"/>
      <c r="R12" s="327"/>
      <c r="S12" s="327"/>
      <c r="T12" s="327"/>
      <c r="U12" s="343"/>
    </row>
    <row r="13" ht="20.1" customHeight="1" spans="1:21">
      <c r="A13" s="295"/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28"/>
      <c r="N13" s="316"/>
      <c r="O13" s="329" t="s">
        <v>890</v>
      </c>
      <c r="P13" s="330"/>
      <c r="Q13" s="344"/>
      <c r="R13" s="345" t="s">
        <v>405</v>
      </c>
      <c r="S13" s="345" t="s">
        <v>462</v>
      </c>
      <c r="T13" s="345" t="s">
        <v>467</v>
      </c>
      <c r="U13" s="346" t="s">
        <v>672</v>
      </c>
    </row>
    <row r="14" ht="20.1" customHeight="1" spans="1:21">
      <c r="A14" s="295"/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28"/>
      <c r="N14" s="316"/>
      <c r="O14" s="329" t="s">
        <v>891</v>
      </c>
      <c r="P14" s="330"/>
      <c r="Q14" s="344"/>
      <c r="R14" s="347">
        <v>1.1</v>
      </c>
      <c r="S14" s="347">
        <v>1.1</v>
      </c>
      <c r="T14" s="347">
        <v>1.06</v>
      </c>
      <c r="U14" s="348">
        <v>1</v>
      </c>
    </row>
    <row r="15" ht="20.1" customHeight="1" spans="1:21">
      <c r="A15" s="295"/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315"/>
      <c r="O15" s="329" t="s">
        <v>892</v>
      </c>
      <c r="P15" s="330"/>
      <c r="Q15" s="344"/>
      <c r="R15" s="347">
        <v>1.07</v>
      </c>
      <c r="S15" s="347">
        <v>0.98</v>
      </c>
      <c r="T15" s="347">
        <v>0.98</v>
      </c>
      <c r="U15" s="348">
        <v>1.07</v>
      </c>
    </row>
    <row r="16" ht="20.1" customHeight="1" spans="1:2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315"/>
      <c r="N16" s="316"/>
      <c r="O16" s="329" t="s">
        <v>893</v>
      </c>
      <c r="P16" s="330"/>
      <c r="Q16" s="344"/>
      <c r="R16" s="347">
        <v>1.1</v>
      </c>
      <c r="S16" s="347">
        <v>0.96</v>
      </c>
      <c r="T16" s="347">
        <v>0.97</v>
      </c>
      <c r="U16" s="348">
        <v>1.1</v>
      </c>
    </row>
    <row r="17" ht="20.1" customHeight="1" spans="1:21">
      <c r="A17" s="295"/>
      <c r="B17" s="296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315"/>
      <c r="N17" s="316"/>
      <c r="O17" s="331" t="s">
        <v>894</v>
      </c>
      <c r="P17" s="332"/>
      <c r="Q17" s="349"/>
      <c r="R17" s="350">
        <v>1.16</v>
      </c>
      <c r="S17" s="350">
        <v>0.9</v>
      </c>
      <c r="T17" s="350">
        <v>0.95</v>
      </c>
      <c r="U17" s="351">
        <v>1.16</v>
      </c>
    </row>
    <row r="18" ht="20.1" customHeight="1" spans="1:21">
      <c r="A18" s="295"/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315"/>
      <c r="N18" s="316"/>
      <c r="O18" s="333"/>
      <c r="P18" s="333"/>
      <c r="Q18" s="333"/>
      <c r="R18" s="352"/>
      <c r="S18" s="352"/>
      <c r="T18" s="352"/>
      <c r="U18" s="352"/>
    </row>
    <row r="19" ht="20.1" customHeight="1" spans="1:14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34"/>
      <c r="N19" s="316"/>
    </row>
    <row r="20" ht="20.1" customHeight="1" spans="14:14">
      <c r="N20" s="316"/>
    </row>
    <row r="21" ht="20.1" customHeight="1" spans="15:15">
      <c r="O21" s="335"/>
    </row>
    <row r="22" ht="20.1" customHeight="1"/>
    <row r="23" ht="20.1" customHeight="1"/>
    <row r="24" ht="20.1" customHeight="1"/>
    <row r="25" ht="20.1" customHeight="1"/>
    <row r="26" ht="20.1" customHeight="1"/>
  </sheetData>
  <mergeCells count="24">
    <mergeCell ref="A1:M1"/>
    <mergeCell ref="O1:U1"/>
    <mergeCell ref="E2:F2"/>
    <mergeCell ref="G2:H2"/>
    <mergeCell ref="I2:J2"/>
    <mergeCell ref="K2:L2"/>
    <mergeCell ref="O2:U2"/>
    <mergeCell ref="O12:U12"/>
    <mergeCell ref="O13:Q13"/>
    <mergeCell ref="O14:Q14"/>
    <mergeCell ref="O15:Q15"/>
    <mergeCell ref="O16:Q16"/>
    <mergeCell ref="O17:Q17"/>
    <mergeCell ref="A2:A3"/>
    <mergeCell ref="B2:B3"/>
    <mergeCell ref="C2:C3"/>
    <mergeCell ref="D2:D3"/>
    <mergeCell ref="M2:M3"/>
    <mergeCell ref="Q3:Q4"/>
    <mergeCell ref="R3:R4"/>
    <mergeCell ref="S3:S4"/>
    <mergeCell ref="T3:T4"/>
    <mergeCell ref="U3:U4"/>
    <mergeCell ref="O3:P4"/>
  </mergeCells>
  <printOptions horizontalCentered="1"/>
  <pageMargins left="0.78740157480315" right="0.78740157480315" top="0.78740157480315" bottom="0.78740157480315" header="0.393700787401575" footer="0.393700787401575"/>
  <pageSetup paperSize="9" firstPageNumber="82" orientation="landscape" useFirstPageNumber="1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W55"/>
  <sheetViews>
    <sheetView view="pageBreakPreview" zoomScaleNormal="100" topLeftCell="B1" workbookViewId="0">
      <pane ySplit="4" topLeftCell="A11" activePane="bottomLeft" state="frozen"/>
      <selection/>
      <selection pane="bottomLeft" activeCell="G48" sqref="G48"/>
    </sheetView>
  </sheetViews>
  <sheetFormatPr defaultColWidth="9" defaultRowHeight="26.25" customHeight="1"/>
  <cols>
    <col min="1" max="1" width="7" style="236" hidden="1" customWidth="1"/>
    <col min="2" max="2" width="6.75" style="237" customWidth="1"/>
    <col min="3" max="3" width="8.5" style="237" customWidth="1"/>
    <col min="4" max="4" width="17.875" style="236" customWidth="1"/>
    <col min="5" max="5" width="9" style="238"/>
    <col min="6" max="6" width="7.75" style="239" customWidth="1"/>
    <col min="7" max="7" width="8.375" style="239" customWidth="1"/>
    <col min="8" max="8" width="6.375" style="239" customWidth="1"/>
    <col min="9" max="9" width="6.625" style="239" customWidth="1"/>
    <col min="10" max="10" width="6.375" style="239" customWidth="1"/>
    <col min="11" max="11" width="8.625" style="236" customWidth="1"/>
    <col min="12" max="12" width="8.875" style="236" customWidth="1"/>
    <col min="13" max="13" width="10.25" style="236" customWidth="1"/>
    <col min="14" max="14" width="9.125" style="236" customWidth="1"/>
    <col min="15" max="15" width="9.875" style="236" customWidth="1"/>
    <col min="16" max="17" width="11.125" style="236" customWidth="1"/>
    <col min="18" max="16384" width="9" style="236"/>
  </cols>
  <sheetData>
    <row r="1" ht="24" customHeight="1" spans="2:23">
      <c r="B1" s="240" t="s">
        <v>895</v>
      </c>
      <c r="C1" s="241"/>
      <c r="D1" s="241"/>
      <c r="E1" s="241"/>
      <c r="F1" s="241"/>
      <c r="G1" s="241"/>
      <c r="H1" s="241"/>
      <c r="I1" s="241"/>
      <c r="J1" s="241"/>
      <c r="K1" s="266"/>
      <c r="L1" s="266"/>
      <c r="M1" s="266"/>
      <c r="N1" s="266"/>
      <c r="O1" s="266"/>
      <c r="P1" s="267"/>
      <c r="Q1" s="267"/>
      <c r="R1" s="267"/>
      <c r="S1" s="267"/>
      <c r="T1" s="267"/>
      <c r="U1" s="267"/>
      <c r="V1" s="267"/>
      <c r="W1" s="267"/>
    </row>
    <row r="2" ht="13.15" customHeight="1" spans="1:22">
      <c r="A2" s="242" t="s">
        <v>896</v>
      </c>
      <c r="B2" s="243" t="s">
        <v>2</v>
      </c>
      <c r="C2" s="244" t="s">
        <v>278</v>
      </c>
      <c r="D2" s="245" t="s">
        <v>458</v>
      </c>
      <c r="E2" s="246" t="s">
        <v>897</v>
      </c>
      <c r="F2" s="247" t="s">
        <v>898</v>
      </c>
      <c r="G2" s="247"/>
      <c r="H2" s="247"/>
      <c r="I2" s="247"/>
      <c r="J2" s="268"/>
      <c r="K2" s="237"/>
      <c r="L2" s="237"/>
      <c r="M2" s="237"/>
      <c r="N2" s="237"/>
      <c r="O2" s="237"/>
      <c r="P2" s="269" t="s">
        <v>899</v>
      </c>
      <c r="Q2" s="269"/>
      <c r="R2" s="269"/>
      <c r="S2" s="269"/>
      <c r="T2" s="269"/>
      <c r="U2" s="269"/>
      <c r="V2" s="269"/>
    </row>
    <row r="3" ht="24.6" customHeight="1" spans="1:23">
      <c r="A3" s="248"/>
      <c r="B3" s="249"/>
      <c r="C3" s="250"/>
      <c r="D3" s="251"/>
      <c r="E3" s="252"/>
      <c r="F3" s="253" t="s">
        <v>900</v>
      </c>
      <c r="G3" s="254" t="s">
        <v>901</v>
      </c>
      <c r="H3" s="255" t="s">
        <v>902</v>
      </c>
      <c r="I3" s="255" t="s">
        <v>247</v>
      </c>
      <c r="J3" s="270" t="s">
        <v>903</v>
      </c>
      <c r="K3" s="271" t="s">
        <v>904</v>
      </c>
      <c r="L3" s="271" t="s">
        <v>905</v>
      </c>
      <c r="M3" s="271" t="s">
        <v>906</v>
      </c>
      <c r="N3" s="271" t="s">
        <v>907</v>
      </c>
      <c r="O3" s="271" t="s">
        <v>908</v>
      </c>
      <c r="P3" s="272" t="s">
        <v>909</v>
      </c>
      <c r="Q3" s="278" t="s">
        <v>291</v>
      </c>
      <c r="R3" s="279" t="s">
        <v>904</v>
      </c>
      <c r="S3" s="279" t="s">
        <v>905</v>
      </c>
      <c r="T3" s="279" t="s">
        <v>906</v>
      </c>
      <c r="U3" s="279" t="s">
        <v>910</v>
      </c>
      <c r="V3" s="280" t="s">
        <v>911</v>
      </c>
      <c r="W3" s="271"/>
    </row>
    <row r="4" ht="13.9" customHeight="1" spans="1:22">
      <c r="A4" s="256" t="s">
        <v>912</v>
      </c>
      <c r="B4" s="257">
        <v>1</v>
      </c>
      <c r="C4" s="258">
        <v>1004</v>
      </c>
      <c r="D4" s="259" t="s">
        <v>913</v>
      </c>
      <c r="E4" s="260">
        <f>SUM(F4:J4)</f>
        <v>122.94</v>
      </c>
      <c r="F4" s="260">
        <f>35.63/1.15</f>
        <v>30.98</v>
      </c>
      <c r="G4" s="260">
        <f>25.46/1.09</f>
        <v>23.36</v>
      </c>
      <c r="H4" s="260">
        <v>2.18</v>
      </c>
      <c r="I4" s="260">
        <f>2.7*P4</f>
        <v>21.87</v>
      </c>
      <c r="J4" s="273">
        <f>14.9*S4</f>
        <v>44.55</v>
      </c>
      <c r="K4" s="237"/>
      <c r="L4" s="237">
        <v>14.9</v>
      </c>
      <c r="M4" s="237"/>
      <c r="N4" s="237"/>
      <c r="O4" s="237"/>
      <c r="P4" s="274">
        <f>主材!D21</f>
        <v>8.1</v>
      </c>
      <c r="Q4" s="281">
        <v>5.77</v>
      </c>
      <c r="R4" s="282">
        <f>主材!M14</f>
        <v>3.075</v>
      </c>
      <c r="S4" s="282">
        <f>主材!M13</f>
        <v>2.99</v>
      </c>
      <c r="T4" s="282">
        <f>主材!D20</f>
        <v>0.51</v>
      </c>
      <c r="U4" s="283">
        <f>主材!D19</f>
        <v>0.15</v>
      </c>
      <c r="V4" s="284">
        <f>主材!D18</f>
        <v>4.37</v>
      </c>
    </row>
    <row r="5" ht="13.9" customHeight="1" spans="1:22">
      <c r="A5" s="256"/>
      <c r="B5" s="257">
        <v>2</v>
      </c>
      <c r="C5" s="258">
        <v>1010</v>
      </c>
      <c r="D5" s="259" t="s">
        <v>914</v>
      </c>
      <c r="E5" s="260">
        <f t="shared" ref="E5:E35" si="0">SUM(F5:J5)</f>
        <v>54.67</v>
      </c>
      <c r="F5" s="260">
        <f>5.7/1.15</f>
        <v>4.96</v>
      </c>
      <c r="G5" s="260">
        <f>6.84/1.09</f>
        <v>6.28</v>
      </c>
      <c r="H5" s="260">
        <v>0.37</v>
      </c>
      <c r="I5" s="260">
        <f>2.4*P4</f>
        <v>19.44</v>
      </c>
      <c r="J5" s="273">
        <f>7.9*S4</f>
        <v>23.62</v>
      </c>
      <c r="K5" s="237"/>
      <c r="L5" s="237">
        <v>7.9</v>
      </c>
      <c r="M5" s="237"/>
      <c r="N5" s="237"/>
      <c r="O5" s="237"/>
      <c r="P5" s="275"/>
      <c r="Q5" s="275"/>
      <c r="R5" s="275"/>
      <c r="S5" s="275"/>
      <c r="T5" s="275"/>
      <c r="U5" s="237"/>
      <c r="V5" s="275"/>
    </row>
    <row r="6" ht="13.9" customHeight="1" spans="1:22">
      <c r="A6" s="256"/>
      <c r="B6" s="257">
        <v>3</v>
      </c>
      <c r="C6" s="258">
        <v>1011</v>
      </c>
      <c r="D6" s="259" t="s">
        <v>367</v>
      </c>
      <c r="E6" s="260">
        <f t="shared" si="0"/>
        <v>68.41</v>
      </c>
      <c r="F6" s="260">
        <f>9.65/1.15</f>
        <v>8.39</v>
      </c>
      <c r="G6" s="260">
        <f>11.38/1.09</f>
        <v>10.44</v>
      </c>
      <c r="H6" s="260">
        <v>0.54</v>
      </c>
      <c r="I6" s="260">
        <f>2.4*P4</f>
        <v>19.44</v>
      </c>
      <c r="J6" s="273">
        <f>9.9*S4</f>
        <v>29.6</v>
      </c>
      <c r="K6" s="237"/>
      <c r="L6" s="237">
        <v>9.9</v>
      </c>
      <c r="M6" s="237"/>
      <c r="N6" s="237"/>
      <c r="O6" s="237"/>
      <c r="P6" s="275"/>
      <c r="Q6" s="275"/>
      <c r="R6" s="275"/>
      <c r="S6" s="275"/>
      <c r="T6" s="275"/>
      <c r="U6" s="237"/>
      <c r="V6" s="275"/>
    </row>
    <row r="7" ht="13.9" customHeight="1" spans="1:22">
      <c r="A7" s="256"/>
      <c r="B7" s="257">
        <v>4</v>
      </c>
      <c r="C7" s="258">
        <v>1014</v>
      </c>
      <c r="D7" s="259" t="s">
        <v>915</v>
      </c>
      <c r="E7" s="260">
        <f t="shared" si="0"/>
        <v>61.18</v>
      </c>
      <c r="F7" s="260">
        <f>7.14/1.15</f>
        <v>6.21</v>
      </c>
      <c r="G7" s="260">
        <f>12.5/1.09</f>
        <v>11.47</v>
      </c>
      <c r="H7" s="260">
        <v>0.44</v>
      </c>
      <c r="I7" s="260">
        <f>2.4*P4</f>
        <v>19.44</v>
      </c>
      <c r="J7" s="273">
        <f>7.9*S4</f>
        <v>23.62</v>
      </c>
      <c r="K7" s="237"/>
      <c r="L7" s="237">
        <v>7.9</v>
      </c>
      <c r="M7" s="237"/>
      <c r="N7" s="237"/>
      <c r="O7" s="237"/>
      <c r="P7" s="275"/>
      <c r="Q7" s="275"/>
      <c r="R7" s="275"/>
      <c r="S7" s="275"/>
      <c r="T7" s="275"/>
      <c r="U7" s="237"/>
      <c r="V7" s="275"/>
    </row>
    <row r="8" ht="13.9" customHeight="1" spans="1:22">
      <c r="A8" s="256"/>
      <c r="B8" s="257">
        <v>5</v>
      </c>
      <c r="C8" s="258">
        <v>1015</v>
      </c>
      <c r="D8" s="259" t="s">
        <v>916</v>
      </c>
      <c r="E8" s="260">
        <f t="shared" si="0"/>
        <v>66.38</v>
      </c>
      <c r="F8" s="260">
        <f>10.8/1.15</f>
        <v>9.39</v>
      </c>
      <c r="G8" s="260">
        <f>13.02/1.09</f>
        <v>11.94</v>
      </c>
      <c r="H8" s="260">
        <v>0.49</v>
      </c>
      <c r="I8" s="260">
        <f>2.4*P4</f>
        <v>19.44</v>
      </c>
      <c r="J8" s="273">
        <f>8.4*S4</f>
        <v>25.12</v>
      </c>
      <c r="K8" s="237"/>
      <c r="L8" s="237">
        <v>8.4</v>
      </c>
      <c r="M8" s="237"/>
      <c r="N8" s="237"/>
      <c r="O8" s="237"/>
      <c r="P8" s="275"/>
      <c r="Q8" s="275"/>
      <c r="R8" s="275"/>
      <c r="S8" s="275"/>
      <c r="T8" s="275"/>
      <c r="U8" s="237"/>
      <c r="V8" s="275"/>
    </row>
    <row r="9" ht="13.9" customHeight="1" spans="1:22">
      <c r="A9" s="256"/>
      <c r="B9" s="257">
        <v>6</v>
      </c>
      <c r="C9" s="258">
        <v>1016</v>
      </c>
      <c r="D9" s="259" t="s">
        <v>328</v>
      </c>
      <c r="E9" s="260">
        <f t="shared" si="0"/>
        <v>89.44</v>
      </c>
      <c r="F9" s="260">
        <f>19/1.15</f>
        <v>16.52</v>
      </c>
      <c r="G9" s="260">
        <f>22.81/1.09</f>
        <v>20.93</v>
      </c>
      <c r="H9" s="260">
        <v>0.86</v>
      </c>
      <c r="I9" s="260">
        <f>2.4*P4</f>
        <v>19.44</v>
      </c>
      <c r="J9" s="273">
        <f>10.6*S4</f>
        <v>31.69</v>
      </c>
      <c r="K9" s="237"/>
      <c r="L9" s="237">
        <v>10.6</v>
      </c>
      <c r="M9" s="237"/>
      <c r="N9" s="237"/>
      <c r="O9" s="237"/>
      <c r="P9" s="275"/>
      <c r="Q9" s="275"/>
      <c r="R9" s="275"/>
      <c r="S9" s="275"/>
      <c r="T9" s="275"/>
      <c r="U9" s="237"/>
      <c r="V9" s="275"/>
    </row>
    <row r="10" ht="13.9" customHeight="1" spans="1:15">
      <c r="A10" s="256"/>
      <c r="B10" s="257">
        <v>7</v>
      </c>
      <c r="C10" s="258">
        <v>1021</v>
      </c>
      <c r="D10" s="259" t="s">
        <v>917</v>
      </c>
      <c r="E10" s="260">
        <f t="shared" si="0"/>
        <v>15.9</v>
      </c>
      <c r="F10" s="260">
        <f>0.81/1.15</f>
        <v>0.7</v>
      </c>
      <c r="G10" s="260">
        <f>2.12/1.09</f>
        <v>1.94</v>
      </c>
      <c r="H10" s="260">
        <v>0.08</v>
      </c>
      <c r="I10" s="260">
        <f>1*P4</f>
        <v>8.1</v>
      </c>
      <c r="J10" s="273">
        <f>1.7*S4</f>
        <v>5.08</v>
      </c>
      <c r="K10" s="237"/>
      <c r="L10" s="237">
        <v>1.7</v>
      </c>
      <c r="M10" s="237"/>
      <c r="N10" s="237"/>
      <c r="O10" s="237"/>
    </row>
    <row r="11" ht="13.9" customHeight="1" spans="1:15">
      <c r="A11" s="256"/>
      <c r="B11" s="257">
        <v>8</v>
      </c>
      <c r="C11" s="258">
        <v>1030</v>
      </c>
      <c r="D11" s="259" t="s">
        <v>918</v>
      </c>
      <c r="E11" s="260">
        <f t="shared" si="0"/>
        <v>2.07</v>
      </c>
      <c r="F11" s="260">
        <f>1.27/1.15</f>
        <v>1.1</v>
      </c>
      <c r="G11" s="260">
        <f>1.06/1.09</f>
        <v>0.97</v>
      </c>
      <c r="H11" s="260"/>
      <c r="I11" s="260"/>
      <c r="J11" s="273"/>
      <c r="K11" s="237"/>
      <c r="L11" s="237"/>
      <c r="M11" s="237"/>
      <c r="N11" s="237"/>
      <c r="O11" s="237"/>
    </row>
    <row r="12" ht="13.9" customHeight="1" spans="1:15">
      <c r="A12" s="256"/>
      <c r="B12" s="257">
        <v>9</v>
      </c>
      <c r="C12" s="258">
        <v>1033</v>
      </c>
      <c r="D12" s="259" t="s">
        <v>919</v>
      </c>
      <c r="E12" s="260">
        <f t="shared" si="0"/>
        <v>63.53</v>
      </c>
      <c r="F12" s="260">
        <f>10.12/1.15</f>
        <v>8.8</v>
      </c>
      <c r="G12" s="260">
        <f>17.28/1.09</f>
        <v>15.85</v>
      </c>
      <c r="H12" s="260"/>
      <c r="I12" s="260">
        <f>2.4*P4</f>
        <v>19.44</v>
      </c>
      <c r="J12" s="273">
        <f>6.5*S4</f>
        <v>19.44</v>
      </c>
      <c r="K12" s="237"/>
      <c r="L12" s="237">
        <v>6.5</v>
      </c>
      <c r="M12" s="237"/>
      <c r="N12" s="237"/>
      <c r="O12" s="237"/>
    </row>
    <row r="13" ht="13.9" customHeight="1" spans="1:15">
      <c r="A13" s="256"/>
      <c r="B13" s="257">
        <v>10</v>
      </c>
      <c r="C13" s="258">
        <v>1034</v>
      </c>
      <c r="D13" s="259" t="s">
        <v>920</v>
      </c>
      <c r="E13" s="260">
        <f t="shared" si="0"/>
        <v>18.56</v>
      </c>
      <c r="F13" s="260">
        <f>0.17/1.15</f>
        <v>0.15</v>
      </c>
      <c r="G13" s="260">
        <f>1.01/1.09</f>
        <v>0.93</v>
      </c>
      <c r="H13" s="260"/>
      <c r="I13" s="260">
        <f>2*P4</f>
        <v>16.2</v>
      </c>
      <c r="J13" s="273">
        <f>2.5*T4</f>
        <v>1.28</v>
      </c>
      <c r="K13" s="237"/>
      <c r="L13" s="237"/>
      <c r="M13" s="237">
        <v>2.5</v>
      </c>
      <c r="N13" s="237"/>
      <c r="O13" s="237"/>
    </row>
    <row r="14" ht="13.9" customHeight="1" spans="1:15">
      <c r="A14" s="256"/>
      <c r="B14" s="257">
        <v>11</v>
      </c>
      <c r="C14" s="258">
        <v>1035</v>
      </c>
      <c r="D14" s="259" t="s">
        <v>921</v>
      </c>
      <c r="E14" s="260">
        <f t="shared" si="0"/>
        <v>30.53</v>
      </c>
      <c r="F14" s="260">
        <f>0.54/1.15</f>
        <v>0.47</v>
      </c>
      <c r="G14" s="260">
        <f>1.89/1.09</f>
        <v>1.73</v>
      </c>
      <c r="H14" s="260"/>
      <c r="I14" s="260"/>
      <c r="J14" s="273">
        <f>180.1*U4+0.3*V4</f>
        <v>28.33</v>
      </c>
      <c r="K14" s="237"/>
      <c r="L14" s="237"/>
      <c r="M14" s="237"/>
      <c r="N14" s="237">
        <v>180.1</v>
      </c>
      <c r="O14" s="237">
        <v>0.3</v>
      </c>
    </row>
    <row r="15" ht="13.9" customHeight="1" spans="1:15">
      <c r="A15" s="256"/>
      <c r="B15" s="257">
        <v>12</v>
      </c>
      <c r="C15" s="258">
        <v>1045</v>
      </c>
      <c r="D15" s="259" t="s">
        <v>922</v>
      </c>
      <c r="E15" s="260">
        <f t="shared" si="0"/>
        <v>251.42</v>
      </c>
      <c r="F15" s="260">
        <f>178.76/1.15</f>
        <v>155.44</v>
      </c>
      <c r="G15" s="260">
        <f>46.2/1.09</f>
        <v>42.39</v>
      </c>
      <c r="H15" s="260"/>
      <c r="I15" s="260">
        <f>3.7*P4</f>
        <v>29.97</v>
      </c>
      <c r="J15" s="273">
        <f>7.9*S4</f>
        <v>23.62</v>
      </c>
      <c r="K15" s="237"/>
      <c r="L15" s="237"/>
      <c r="M15" s="237">
        <v>7.9</v>
      </c>
      <c r="N15" s="237"/>
      <c r="O15" s="237"/>
    </row>
    <row r="16" ht="13.9" customHeight="1" spans="1:15">
      <c r="A16" s="256"/>
      <c r="B16" s="257">
        <v>13</v>
      </c>
      <c r="C16" s="258">
        <v>2002</v>
      </c>
      <c r="D16" s="259" t="s">
        <v>923</v>
      </c>
      <c r="E16" s="260">
        <f t="shared" si="0"/>
        <v>23.75</v>
      </c>
      <c r="F16" s="260">
        <f>3.29/1.15</f>
        <v>2.86</v>
      </c>
      <c r="G16" s="260">
        <f>5.34/1.09</f>
        <v>4.9</v>
      </c>
      <c r="H16" s="260">
        <v>1.07</v>
      </c>
      <c r="I16" s="260">
        <f>1.3*P4</f>
        <v>10.53</v>
      </c>
      <c r="J16" s="273">
        <f>8.6*T4</f>
        <v>4.39</v>
      </c>
      <c r="K16" s="237"/>
      <c r="L16" s="237"/>
      <c r="M16" s="237">
        <v>8.6</v>
      </c>
      <c r="N16" s="237"/>
      <c r="O16" s="237"/>
    </row>
    <row r="17" ht="13.9" customHeight="1" spans="1:15">
      <c r="A17" s="256"/>
      <c r="B17" s="257">
        <v>14</v>
      </c>
      <c r="C17" s="258">
        <v>2009</v>
      </c>
      <c r="D17" s="259" t="s">
        <v>924</v>
      </c>
      <c r="E17" s="260">
        <f t="shared" si="0"/>
        <v>1.81</v>
      </c>
      <c r="F17" s="260">
        <f>0.32/1.15</f>
        <v>0.28</v>
      </c>
      <c r="G17" s="260">
        <f>1.22/1.09</f>
        <v>1.12</v>
      </c>
      <c r="H17" s="260"/>
      <c r="I17" s="260"/>
      <c r="J17" s="273">
        <f>0.8*T4</f>
        <v>0.41</v>
      </c>
      <c r="K17" s="237"/>
      <c r="L17" s="237"/>
      <c r="M17" s="237">
        <v>0.8</v>
      </c>
      <c r="N17" s="237"/>
      <c r="O17" s="237"/>
    </row>
    <row r="18" ht="13.9" customHeight="1" spans="1:15">
      <c r="A18" s="256"/>
      <c r="B18" s="257">
        <v>15</v>
      </c>
      <c r="C18" s="258">
        <v>2010</v>
      </c>
      <c r="D18" s="259" t="s">
        <v>925</v>
      </c>
      <c r="E18" s="260">
        <f t="shared" si="0"/>
        <v>2.65</v>
      </c>
      <c r="F18" s="260">
        <f>0.51/1.15</f>
        <v>0.44</v>
      </c>
      <c r="G18" s="260">
        <f>1.8/1.09</f>
        <v>1.65</v>
      </c>
      <c r="H18" s="260"/>
      <c r="I18" s="260"/>
      <c r="J18" s="273">
        <f>1.1*T4</f>
        <v>0.56</v>
      </c>
      <c r="K18" s="237"/>
      <c r="L18" s="237"/>
      <c r="M18" s="237">
        <v>1.1</v>
      </c>
      <c r="N18" s="237"/>
      <c r="O18" s="237"/>
    </row>
    <row r="19" ht="13.9" customHeight="1" spans="1:15">
      <c r="A19" s="256"/>
      <c r="B19" s="257">
        <v>16</v>
      </c>
      <c r="C19" s="258">
        <v>2012</v>
      </c>
      <c r="D19" s="259" t="s">
        <v>926</v>
      </c>
      <c r="E19" s="260">
        <f t="shared" si="0"/>
        <v>2.38</v>
      </c>
      <c r="F19" s="260">
        <f>0.43/1.15</f>
        <v>0.37</v>
      </c>
      <c r="G19" s="260">
        <f>1.24/1.09</f>
        <v>1.14</v>
      </c>
      <c r="H19" s="260"/>
      <c r="I19" s="260"/>
      <c r="J19" s="273">
        <f>1.7*T4</f>
        <v>0.87</v>
      </c>
      <c r="K19" s="237"/>
      <c r="L19" s="237"/>
      <c r="M19" s="237">
        <v>1.7</v>
      </c>
      <c r="N19" s="237"/>
      <c r="O19" s="237"/>
    </row>
    <row r="20" ht="13.9" customHeight="1" spans="1:15">
      <c r="A20" s="256"/>
      <c r="B20" s="257">
        <v>17</v>
      </c>
      <c r="C20" s="258">
        <v>2013</v>
      </c>
      <c r="D20" s="259" t="s">
        <v>927</v>
      </c>
      <c r="E20" s="260">
        <f t="shared" si="0"/>
        <v>7.68</v>
      </c>
      <c r="F20" s="260">
        <f>1.32/1.15</f>
        <v>1.15</v>
      </c>
      <c r="G20" s="260">
        <f>4.79/1.09</f>
        <v>4.39</v>
      </c>
      <c r="H20" s="260"/>
      <c r="I20" s="260"/>
      <c r="J20" s="273">
        <f>4.2*T4</f>
        <v>2.14</v>
      </c>
      <c r="K20" s="237"/>
      <c r="L20" s="237"/>
      <c r="M20" s="237">
        <v>4.2</v>
      </c>
      <c r="N20" s="237"/>
      <c r="O20" s="237"/>
    </row>
    <row r="21" ht="13.9" customHeight="1" spans="1:15">
      <c r="A21" s="256"/>
      <c r="B21" s="257">
        <v>18</v>
      </c>
      <c r="C21" s="258">
        <v>2021</v>
      </c>
      <c r="D21" s="259" t="s">
        <v>928</v>
      </c>
      <c r="E21" s="260">
        <f t="shared" si="0"/>
        <v>2.29</v>
      </c>
      <c r="F21" s="260">
        <f>0.61/1.15</f>
        <v>0.53</v>
      </c>
      <c r="G21" s="260">
        <f>1.92/1.09</f>
        <v>1.76</v>
      </c>
      <c r="H21" s="260"/>
      <c r="I21" s="260"/>
      <c r="J21" s="273"/>
      <c r="K21" s="237"/>
      <c r="L21" s="237"/>
      <c r="M21" s="237"/>
      <c r="N21" s="237"/>
      <c r="O21" s="237"/>
    </row>
    <row r="22" ht="13.9" customHeight="1" spans="1:15">
      <c r="A22" s="256"/>
      <c r="B22" s="257">
        <v>19</v>
      </c>
      <c r="C22" s="258">
        <v>2022</v>
      </c>
      <c r="D22" s="259" t="s">
        <v>929</v>
      </c>
      <c r="E22" s="260">
        <f t="shared" si="0"/>
        <v>48.89</v>
      </c>
      <c r="F22" s="260">
        <f>0.24/1.15</f>
        <v>0.21</v>
      </c>
      <c r="G22" s="260">
        <f>0.42/1.09</f>
        <v>0.39</v>
      </c>
      <c r="H22" s="260"/>
      <c r="I22" s="260"/>
      <c r="J22" s="273">
        <f>202.5*U4+4.1*V4</f>
        <v>48.29</v>
      </c>
      <c r="K22" s="237"/>
      <c r="L22" s="237"/>
      <c r="M22" s="237"/>
      <c r="N22" s="237">
        <v>202.5</v>
      </c>
      <c r="O22" s="237">
        <v>4.1</v>
      </c>
    </row>
    <row r="23" ht="13.9" customHeight="1" spans="1:15">
      <c r="A23" s="256"/>
      <c r="B23" s="257">
        <v>20</v>
      </c>
      <c r="C23" s="258">
        <v>3002</v>
      </c>
      <c r="D23" s="259" t="s">
        <v>556</v>
      </c>
      <c r="E23" s="260">
        <f t="shared" si="0"/>
        <v>49.39</v>
      </c>
      <c r="F23" s="260">
        <f>7.77/1.15</f>
        <v>6.76</v>
      </c>
      <c r="G23" s="260">
        <f>10.86/1.09</f>
        <v>9.96</v>
      </c>
      <c r="H23" s="260"/>
      <c r="I23" s="260">
        <f>1.3*P4</f>
        <v>10.53</v>
      </c>
      <c r="J23" s="273">
        <f>7.2*R4</f>
        <v>22.14</v>
      </c>
      <c r="K23" s="237">
        <v>7.2</v>
      </c>
      <c r="L23" s="237"/>
      <c r="M23" s="237"/>
      <c r="N23" s="237"/>
      <c r="O23" s="237"/>
    </row>
    <row r="24" ht="13.9" customHeight="1" spans="1:15">
      <c r="A24" s="256"/>
      <c r="B24" s="257">
        <v>21</v>
      </c>
      <c r="C24" s="258">
        <v>3003</v>
      </c>
      <c r="D24" s="259" t="s">
        <v>930</v>
      </c>
      <c r="E24" s="260">
        <f t="shared" si="0"/>
        <v>74.46</v>
      </c>
      <c r="F24" s="260">
        <f>20.95/1.15</f>
        <v>18.22</v>
      </c>
      <c r="G24" s="260">
        <f>20.82/1.09</f>
        <v>19.1</v>
      </c>
      <c r="H24" s="260"/>
      <c r="I24" s="260">
        <f>1.3*P4</f>
        <v>10.53</v>
      </c>
      <c r="J24" s="273">
        <f>8.9*S4</f>
        <v>26.61</v>
      </c>
      <c r="K24" s="237"/>
      <c r="L24" s="237">
        <v>8.9</v>
      </c>
      <c r="M24" s="237"/>
      <c r="N24" s="237"/>
      <c r="O24" s="237"/>
    </row>
    <row r="25" ht="13.9" customHeight="1" spans="1:15">
      <c r="A25" s="256"/>
      <c r="B25" s="257">
        <v>22</v>
      </c>
      <c r="C25" s="258">
        <v>3005</v>
      </c>
      <c r="D25" s="259" t="s">
        <v>931</v>
      </c>
      <c r="E25" s="260">
        <f t="shared" si="0"/>
        <v>52</v>
      </c>
      <c r="F25" s="260">
        <f>10.73/1.15</f>
        <v>9.33</v>
      </c>
      <c r="G25" s="260">
        <f>5.37/1.09</f>
        <v>4.93</v>
      </c>
      <c r="H25" s="260"/>
      <c r="I25" s="260">
        <f>1.3*P4</f>
        <v>10.53</v>
      </c>
      <c r="J25" s="273">
        <f>9.1*S4</f>
        <v>27.21</v>
      </c>
      <c r="K25" s="237"/>
      <c r="L25" s="237">
        <v>9.1</v>
      </c>
      <c r="M25" s="237"/>
      <c r="N25" s="237"/>
      <c r="O25" s="237"/>
    </row>
    <row r="26" ht="13.9" customHeight="1" spans="1:15">
      <c r="A26" s="256" t="s">
        <v>932</v>
      </c>
      <c r="B26" s="257">
        <v>23</v>
      </c>
      <c r="C26" s="258">
        <v>3006</v>
      </c>
      <c r="D26" s="259" t="s">
        <v>341</v>
      </c>
      <c r="E26" s="260">
        <f t="shared" si="0"/>
        <v>73.1</v>
      </c>
      <c r="F26" s="260">
        <f>22.59/1.15</f>
        <v>19.64</v>
      </c>
      <c r="G26" s="260">
        <f>13.55/1.09</f>
        <v>12.43</v>
      </c>
      <c r="H26" s="260"/>
      <c r="I26" s="260">
        <f>1.3*P4</f>
        <v>10.53</v>
      </c>
      <c r="J26" s="273">
        <f>10.2*S4</f>
        <v>30.5</v>
      </c>
      <c r="K26" s="237"/>
      <c r="L26" s="237">
        <v>10.2</v>
      </c>
      <c r="M26" s="237"/>
      <c r="N26" s="237"/>
      <c r="O26" s="237"/>
    </row>
    <row r="27" ht="13.9" customHeight="1" spans="1:15">
      <c r="A27" s="256" t="s">
        <v>933</v>
      </c>
      <c r="B27" s="257">
        <v>24</v>
      </c>
      <c r="C27" s="258">
        <v>3007</v>
      </c>
      <c r="D27" s="259" t="s">
        <v>934</v>
      </c>
      <c r="E27" s="260">
        <f t="shared" si="0"/>
        <v>86.12</v>
      </c>
      <c r="F27" s="260">
        <f>30.49/1.15</f>
        <v>26.51</v>
      </c>
      <c r="G27" s="260">
        <f>18.3/1.09</f>
        <v>16.79</v>
      </c>
      <c r="H27" s="260"/>
      <c r="I27" s="260">
        <f>1.3*P4</f>
        <v>10.53</v>
      </c>
      <c r="J27" s="273">
        <f>10.8*S4</f>
        <v>32.29</v>
      </c>
      <c r="K27" s="237"/>
      <c r="L27" s="237">
        <v>10.8</v>
      </c>
      <c r="M27" s="237"/>
      <c r="N27" s="237"/>
      <c r="O27" s="237"/>
    </row>
    <row r="28" ht="13.9" customHeight="1" spans="1:15">
      <c r="A28" s="256" t="s">
        <v>935</v>
      </c>
      <c r="B28" s="257">
        <v>25</v>
      </c>
      <c r="C28" s="258">
        <v>3030</v>
      </c>
      <c r="D28" s="259" t="s">
        <v>936</v>
      </c>
      <c r="E28" s="260">
        <f t="shared" si="0"/>
        <v>17.2</v>
      </c>
      <c r="F28" s="260">
        <f>1.22/1.15</f>
        <v>1.06</v>
      </c>
      <c r="G28" s="260">
        <f>1.22/1.09</f>
        <v>1.12</v>
      </c>
      <c r="H28" s="260"/>
      <c r="I28" s="260">
        <f>1.3*P4</f>
        <v>10.53</v>
      </c>
      <c r="J28" s="273">
        <f>1.5*S4</f>
        <v>4.49</v>
      </c>
      <c r="K28" s="237"/>
      <c r="L28" s="237">
        <v>1.5</v>
      </c>
      <c r="M28" s="237"/>
      <c r="N28" s="237"/>
      <c r="O28" s="237"/>
    </row>
    <row r="29" ht="13.9" customHeight="1" spans="1:15">
      <c r="A29" s="256" t="s">
        <v>937</v>
      </c>
      <c r="B29" s="257">
        <v>26</v>
      </c>
      <c r="C29" s="258">
        <v>3031</v>
      </c>
      <c r="D29" s="259" t="s">
        <v>472</v>
      </c>
      <c r="E29" s="260">
        <f t="shared" si="0"/>
        <v>0.82</v>
      </c>
      <c r="F29" s="260">
        <f>0.26/1.15</f>
        <v>0.23</v>
      </c>
      <c r="G29" s="260">
        <f>0.64/1.09</f>
        <v>0.59</v>
      </c>
      <c r="H29" s="260"/>
      <c r="I29" s="260"/>
      <c r="J29" s="273"/>
      <c r="K29" s="237"/>
      <c r="L29" s="237"/>
      <c r="M29" s="237"/>
      <c r="N29" s="237"/>
      <c r="O29" s="237"/>
    </row>
    <row r="30" ht="13.9" customHeight="1" spans="1:15">
      <c r="A30" s="256"/>
      <c r="B30" s="257">
        <v>27</v>
      </c>
      <c r="C30" s="258">
        <v>4002</v>
      </c>
      <c r="D30" s="259" t="s">
        <v>664</v>
      </c>
      <c r="E30" s="260">
        <f t="shared" si="0"/>
        <v>62.59</v>
      </c>
      <c r="F30" s="260">
        <f>24.94/1.15</f>
        <v>21.69</v>
      </c>
      <c r="G30" s="260">
        <f>9.17/1.09</f>
        <v>8.41</v>
      </c>
      <c r="H30" s="260">
        <v>2.29</v>
      </c>
      <c r="I30" s="260">
        <f>2.4*P4</f>
        <v>19.44</v>
      </c>
      <c r="J30" s="273">
        <f>21.1*T4</f>
        <v>10.76</v>
      </c>
      <c r="K30" s="237"/>
      <c r="L30" s="237"/>
      <c r="M30" s="237">
        <v>21.1</v>
      </c>
      <c r="N30" s="237"/>
      <c r="O30" s="237"/>
    </row>
    <row r="31" ht="13.9" customHeight="1" spans="1:15">
      <c r="A31" s="256"/>
      <c r="B31" s="257">
        <v>28</v>
      </c>
      <c r="C31" s="258">
        <v>4004</v>
      </c>
      <c r="D31" s="259" t="s">
        <v>621</v>
      </c>
      <c r="E31" s="260">
        <f t="shared" si="0"/>
        <v>95.14</v>
      </c>
      <c r="F31" s="260">
        <f>41.37/1.15</f>
        <v>35.97</v>
      </c>
      <c r="G31" s="260">
        <f>16.89/1.09</f>
        <v>15.5</v>
      </c>
      <c r="H31" s="260">
        <v>3.1</v>
      </c>
      <c r="I31" s="260">
        <f>2.7*P4</f>
        <v>21.87</v>
      </c>
      <c r="J31" s="276">
        <f>36.7*T4</f>
        <v>18.7</v>
      </c>
      <c r="K31" s="237"/>
      <c r="L31" s="237"/>
      <c r="M31" s="237">
        <v>36.7</v>
      </c>
      <c r="N31" s="237"/>
      <c r="O31" s="237"/>
    </row>
    <row r="32" ht="13.9" customHeight="1" spans="1:15">
      <c r="A32" s="256"/>
      <c r="B32" s="257">
        <v>29</v>
      </c>
      <c r="C32" s="258">
        <v>4018</v>
      </c>
      <c r="D32" s="259" t="s">
        <v>938</v>
      </c>
      <c r="E32" s="260">
        <f t="shared" si="0"/>
        <v>92.66</v>
      </c>
      <c r="F32" s="260">
        <f>31.79/1.15</f>
        <v>27.64</v>
      </c>
      <c r="G32" s="260">
        <f>18.69/1.09</f>
        <v>17.15</v>
      </c>
      <c r="H32" s="260">
        <v>1.18</v>
      </c>
      <c r="I32" s="260">
        <f>2.7*P4</f>
        <v>21.87</v>
      </c>
      <c r="J32" s="273">
        <f>8.3*S4</f>
        <v>24.82</v>
      </c>
      <c r="K32" s="237"/>
      <c r="L32" s="237">
        <v>8.3</v>
      </c>
      <c r="M32" s="237"/>
      <c r="N32" s="237"/>
      <c r="O32" s="237"/>
    </row>
    <row r="33" ht="13.9" customHeight="1" spans="1:15">
      <c r="A33" s="256"/>
      <c r="B33" s="257">
        <v>30</v>
      </c>
      <c r="C33" s="258">
        <v>4027</v>
      </c>
      <c r="D33" s="259" t="s">
        <v>939</v>
      </c>
      <c r="E33" s="260">
        <f t="shared" si="0"/>
        <v>62.33</v>
      </c>
      <c r="F33" s="260">
        <f>12.92/1.15</f>
        <v>11.23</v>
      </c>
      <c r="G33" s="260">
        <f>12.42/1.09</f>
        <v>11.39</v>
      </c>
      <c r="H33" s="260"/>
      <c r="I33" s="260">
        <f>2.7*P4</f>
        <v>21.87</v>
      </c>
      <c r="J33" s="273">
        <f>5.8*R4</f>
        <v>17.84</v>
      </c>
      <c r="K33" s="237">
        <v>5.8</v>
      </c>
      <c r="L33" s="237"/>
      <c r="M33" s="237"/>
      <c r="N33" s="237"/>
      <c r="O33" s="237"/>
    </row>
    <row r="34" ht="13.9" customHeight="1" spans="1:15">
      <c r="A34" s="256"/>
      <c r="B34" s="257">
        <v>31</v>
      </c>
      <c r="C34" s="258">
        <v>4029</v>
      </c>
      <c r="D34" s="259" t="s">
        <v>940</v>
      </c>
      <c r="E34" s="260">
        <f t="shared" si="0"/>
        <v>76.51</v>
      </c>
      <c r="F34" s="260">
        <f>20.9/1.15</f>
        <v>18.17</v>
      </c>
      <c r="G34" s="260">
        <f>14.66/1.09</f>
        <v>13.45</v>
      </c>
      <c r="H34" s="260"/>
      <c r="I34" s="260">
        <f>2.7*P4</f>
        <v>21.87</v>
      </c>
      <c r="J34" s="273">
        <f>7.7*S4</f>
        <v>23.02</v>
      </c>
      <c r="K34" s="237"/>
      <c r="L34" s="237">
        <v>7.7</v>
      </c>
      <c r="M34" s="237"/>
      <c r="N34" s="237"/>
      <c r="O34" s="237"/>
    </row>
    <row r="35" ht="13.9" customHeight="1" spans="1:15">
      <c r="A35" s="256"/>
      <c r="B35" s="257">
        <v>32</v>
      </c>
      <c r="C35" s="258">
        <v>4030</v>
      </c>
      <c r="D35" s="259" t="s">
        <v>941</v>
      </c>
      <c r="E35" s="260">
        <f t="shared" si="0"/>
        <v>92.88</v>
      </c>
      <c r="F35" s="260">
        <f>25.08/1.15</f>
        <v>21.81</v>
      </c>
      <c r="G35" s="260">
        <f>17.45/1.09</f>
        <v>16.01</v>
      </c>
      <c r="H35" s="260"/>
      <c r="I35" s="260">
        <f>2.7*P4</f>
        <v>21.87</v>
      </c>
      <c r="J35" s="273">
        <f>11.1*S4</f>
        <v>33.19</v>
      </c>
      <c r="K35" s="237"/>
      <c r="L35" s="237">
        <v>8.55</v>
      </c>
      <c r="M35" s="237"/>
      <c r="N35" s="237"/>
      <c r="O35" s="237"/>
    </row>
    <row r="36" ht="13.9" customHeight="1" spans="1:15">
      <c r="A36" s="256"/>
      <c r="B36" s="257">
        <v>33</v>
      </c>
      <c r="C36" s="258">
        <v>4032</v>
      </c>
      <c r="D36" s="259" t="s">
        <v>942</v>
      </c>
      <c r="E36" s="260">
        <f t="shared" ref="E36:E55" si="1">SUM(F36:J36)</f>
        <v>123.22</v>
      </c>
      <c r="F36" s="260">
        <f>46.14/1.15</f>
        <v>40.12</v>
      </c>
      <c r="G36" s="260">
        <f>28.94/1.09</f>
        <v>26.55</v>
      </c>
      <c r="H36" s="260"/>
      <c r="I36" s="260">
        <f>2.7*P4</f>
        <v>21.87</v>
      </c>
      <c r="J36" s="273">
        <f>11.6*S4</f>
        <v>34.68</v>
      </c>
      <c r="K36" s="237"/>
      <c r="L36" s="237">
        <v>11.6</v>
      </c>
      <c r="M36" s="237"/>
      <c r="N36" s="237"/>
      <c r="O36" s="237"/>
    </row>
    <row r="37" ht="13.9" customHeight="1" spans="1:15">
      <c r="A37" s="256"/>
      <c r="B37" s="257">
        <v>34</v>
      </c>
      <c r="C37" s="258">
        <v>4033</v>
      </c>
      <c r="D37" s="259" t="s">
        <v>943</v>
      </c>
      <c r="E37" s="260">
        <f t="shared" si="1"/>
        <v>160.83</v>
      </c>
      <c r="F37" s="260">
        <f>74.64/1.15</f>
        <v>64.9</v>
      </c>
      <c r="G37" s="260">
        <f>40.31/1.09</f>
        <v>36.98</v>
      </c>
      <c r="H37" s="260"/>
      <c r="I37" s="260">
        <f>2.7*P4</f>
        <v>21.87</v>
      </c>
      <c r="J37" s="273">
        <f>12.4*S4</f>
        <v>37.08</v>
      </c>
      <c r="K37" s="237"/>
      <c r="L37" s="237">
        <v>12.4</v>
      </c>
      <c r="M37" s="237"/>
      <c r="N37" s="237"/>
      <c r="O37" s="237"/>
    </row>
    <row r="38" ht="13.9" customHeight="1" spans="1:15">
      <c r="A38" s="256"/>
      <c r="B38" s="257">
        <v>35</v>
      </c>
      <c r="C38" s="258">
        <v>4066</v>
      </c>
      <c r="D38" s="259" t="s">
        <v>944</v>
      </c>
      <c r="E38" s="260">
        <f t="shared" si="1"/>
        <v>3.82</v>
      </c>
      <c r="F38" s="260">
        <f>1.24/1.15</f>
        <v>1.08</v>
      </c>
      <c r="G38" s="260">
        <f>0.76/1.09</f>
        <v>0.7</v>
      </c>
      <c r="H38" s="260"/>
      <c r="I38" s="260"/>
      <c r="J38" s="273">
        <f>4*T4</f>
        <v>2.04</v>
      </c>
      <c r="K38" s="237"/>
      <c r="L38" s="237"/>
      <c r="M38" s="237">
        <v>4</v>
      </c>
      <c r="N38" s="237"/>
      <c r="O38" s="237"/>
    </row>
    <row r="39" ht="13.9" customHeight="1" spans="1:15">
      <c r="A39" s="256"/>
      <c r="B39" s="257">
        <v>36</v>
      </c>
      <c r="C39" s="258">
        <v>4069</v>
      </c>
      <c r="D39" s="259" t="s">
        <v>945</v>
      </c>
      <c r="E39" s="260">
        <f t="shared" si="1"/>
        <v>13.02</v>
      </c>
      <c r="F39" s="260">
        <f>1.75/1.15</f>
        <v>1.52</v>
      </c>
      <c r="G39" s="260">
        <f>0.68/1.09</f>
        <v>0.62</v>
      </c>
      <c r="H39" s="260">
        <v>0.03</v>
      </c>
      <c r="I39" s="260">
        <f>1*P4</f>
        <v>8.1</v>
      </c>
      <c r="J39" s="273">
        <f>5.4*T4</f>
        <v>2.75</v>
      </c>
      <c r="K39" s="237"/>
      <c r="L39" s="237"/>
      <c r="M39" s="237">
        <v>5.4</v>
      </c>
      <c r="N39" s="237"/>
      <c r="O39" s="237"/>
    </row>
    <row r="40" ht="13.9" customHeight="1" spans="1:15">
      <c r="A40" s="256"/>
      <c r="B40" s="257">
        <v>37</v>
      </c>
      <c r="C40" s="258">
        <v>4070</v>
      </c>
      <c r="D40" s="259" t="s">
        <v>946</v>
      </c>
      <c r="E40" s="260">
        <f t="shared" si="1"/>
        <v>18.25</v>
      </c>
      <c r="F40" s="260">
        <f>2.97/1.15</f>
        <v>2.58</v>
      </c>
      <c r="G40" s="260">
        <f>1.16/1.09</f>
        <v>1.06</v>
      </c>
      <c r="H40" s="260">
        <v>0.05</v>
      </c>
      <c r="I40" s="260">
        <f>1.3*P4</f>
        <v>10.53</v>
      </c>
      <c r="J40" s="273">
        <f>7.9*T4</f>
        <v>4.03</v>
      </c>
      <c r="K40" s="237"/>
      <c r="L40" s="237"/>
      <c r="M40" s="237">
        <v>7.9</v>
      </c>
      <c r="N40" s="237"/>
      <c r="O40" s="237"/>
    </row>
    <row r="41" ht="13.9" customHeight="1" spans="1:15">
      <c r="A41" s="256"/>
      <c r="B41" s="257">
        <v>38</v>
      </c>
      <c r="C41" s="258">
        <v>5005</v>
      </c>
      <c r="D41" s="259" t="s">
        <v>947</v>
      </c>
      <c r="E41" s="260">
        <f t="shared" si="1"/>
        <v>75.52</v>
      </c>
      <c r="F41" s="260">
        <f>16.5/1.15</f>
        <v>14.35</v>
      </c>
      <c r="G41" s="260">
        <f>23.42/1.09</f>
        <v>21.49</v>
      </c>
      <c r="H41" s="260">
        <v>6.19</v>
      </c>
      <c r="I41" s="260">
        <f>2.9*P4</f>
        <v>23.49</v>
      </c>
      <c r="J41" s="273">
        <f>19.6*T4</f>
        <v>10</v>
      </c>
      <c r="K41" s="237"/>
      <c r="L41" s="237"/>
      <c r="M41" s="237">
        <v>19.6</v>
      </c>
      <c r="N41" s="237"/>
      <c r="O41" s="237"/>
    </row>
    <row r="42" ht="13.9" customHeight="1" spans="1:15">
      <c r="A42" s="256"/>
      <c r="B42" s="257">
        <v>39</v>
      </c>
      <c r="C42" s="258">
        <v>5008</v>
      </c>
      <c r="D42" s="259" t="s">
        <v>948</v>
      </c>
      <c r="E42" s="260">
        <f t="shared" si="1"/>
        <v>26.45</v>
      </c>
      <c r="F42" s="260">
        <f>3.21/1.15</f>
        <v>2.79</v>
      </c>
      <c r="G42" s="260">
        <f>6.51/1.09</f>
        <v>5.97</v>
      </c>
      <c r="H42" s="260">
        <v>0.58</v>
      </c>
      <c r="I42" s="260">
        <f>1.3*P4</f>
        <v>10.53</v>
      </c>
      <c r="J42" s="273">
        <f>12.9*T4</f>
        <v>6.58</v>
      </c>
      <c r="K42" s="237"/>
      <c r="L42" s="237"/>
      <c r="M42" s="237">
        <v>12.9</v>
      </c>
      <c r="N42" s="237"/>
      <c r="O42" s="237"/>
    </row>
    <row r="43" ht="13.9" customHeight="1" spans="1:15">
      <c r="A43" s="256"/>
      <c r="B43" s="257">
        <v>40</v>
      </c>
      <c r="C43" s="258">
        <v>5009</v>
      </c>
      <c r="D43" s="259" t="s">
        <v>949</v>
      </c>
      <c r="E43" s="260">
        <f t="shared" si="1"/>
        <v>16.75</v>
      </c>
      <c r="F43" s="260">
        <f>0.83/1.15</f>
        <v>0.72</v>
      </c>
      <c r="G43" s="260">
        <f>2.28/1.09</f>
        <v>2.09</v>
      </c>
      <c r="H43" s="260">
        <v>0.2</v>
      </c>
      <c r="I43" s="260">
        <f>1.3*主材!D21</f>
        <v>10.53</v>
      </c>
      <c r="J43" s="273">
        <f>6.3*主材!D20</f>
        <v>3.21</v>
      </c>
      <c r="K43" s="237"/>
      <c r="L43" s="237"/>
      <c r="M43" s="237">
        <v>6.3</v>
      </c>
      <c r="N43" s="237"/>
      <c r="O43" s="237"/>
    </row>
    <row r="44" ht="13.9" customHeight="1" spans="1:15">
      <c r="A44" s="256"/>
      <c r="B44" s="257">
        <v>41</v>
      </c>
      <c r="C44" s="258">
        <v>5010</v>
      </c>
      <c r="D44" s="259" t="s">
        <v>950</v>
      </c>
      <c r="E44" s="260">
        <f t="shared" si="1"/>
        <v>35.19</v>
      </c>
      <c r="F44" s="260">
        <f>2.38/1.15</f>
        <v>2.07</v>
      </c>
      <c r="G44" s="260">
        <f>6.95/1.09</f>
        <v>6.38</v>
      </c>
      <c r="H44" s="260">
        <v>0.57</v>
      </c>
      <c r="I44" s="260">
        <f>2.4*P4</f>
        <v>19.44</v>
      </c>
      <c r="J44" s="273">
        <f>13.2*T4</f>
        <v>6.73</v>
      </c>
      <c r="K44" s="237"/>
      <c r="L44" s="237"/>
      <c r="M44" s="237">
        <v>13.2</v>
      </c>
      <c r="N44" s="237"/>
      <c r="O44" s="237"/>
    </row>
    <row r="45" ht="13.9" customHeight="1" spans="1:15">
      <c r="A45" s="256"/>
      <c r="B45" s="257">
        <v>42</v>
      </c>
      <c r="C45" s="258">
        <v>8014</v>
      </c>
      <c r="D45" s="259" t="s">
        <v>951</v>
      </c>
      <c r="E45" s="260">
        <f t="shared" si="1"/>
        <v>14.75</v>
      </c>
      <c r="F45" s="260">
        <f>0.62/1.15</f>
        <v>0.54</v>
      </c>
      <c r="G45" s="260">
        <f>2.87/1.09</f>
        <v>2.63</v>
      </c>
      <c r="H45" s="260">
        <v>1.02</v>
      </c>
      <c r="I45" s="260">
        <f>1.3*Q4</f>
        <v>7.5</v>
      </c>
      <c r="J45" s="273">
        <f>6*T4</f>
        <v>3.06</v>
      </c>
      <c r="K45" s="237"/>
      <c r="L45" s="237"/>
      <c r="M45" s="237">
        <v>6</v>
      </c>
      <c r="N45" s="237"/>
      <c r="O45" s="237"/>
    </row>
    <row r="46" ht="13.9" customHeight="1" spans="1:15">
      <c r="A46" s="256"/>
      <c r="B46" s="257">
        <v>43</v>
      </c>
      <c r="C46" s="258">
        <v>8017</v>
      </c>
      <c r="D46" s="259" t="s">
        <v>952</v>
      </c>
      <c r="E46" s="260">
        <f t="shared" si="1"/>
        <v>18.12</v>
      </c>
      <c r="F46" s="260">
        <f>0.48/1.15</f>
        <v>0.42</v>
      </c>
      <c r="G46" s="260">
        <f>2.61/1.09</f>
        <v>2.39</v>
      </c>
      <c r="H46" s="260">
        <v>0.95</v>
      </c>
      <c r="I46" s="260">
        <f>1.3*P4</f>
        <v>10.53</v>
      </c>
      <c r="J46" s="273">
        <f>7.5*T4</f>
        <v>3.83</v>
      </c>
      <c r="K46" s="237"/>
      <c r="L46" s="237"/>
      <c r="M46" s="237">
        <v>7.5</v>
      </c>
      <c r="N46" s="237"/>
      <c r="O46" s="237"/>
    </row>
    <row r="47" ht="13.9" customHeight="1" spans="1:15">
      <c r="A47" s="256"/>
      <c r="B47" s="257">
        <v>44</v>
      </c>
      <c r="C47" s="258">
        <v>8033</v>
      </c>
      <c r="D47" s="259" t="s">
        <v>953</v>
      </c>
      <c r="E47" s="260">
        <f t="shared" si="1"/>
        <v>8.06</v>
      </c>
      <c r="F47" s="260">
        <f>0.33/1.15</f>
        <v>0.29</v>
      </c>
      <c r="G47" s="260">
        <f>0.3/1.09</f>
        <v>0.28</v>
      </c>
      <c r="H47" s="260">
        <v>0.09</v>
      </c>
      <c r="I47" s="260"/>
      <c r="J47" s="273">
        <f>14.5*T4</f>
        <v>7.4</v>
      </c>
      <c r="K47" s="237"/>
      <c r="L47" s="237"/>
      <c r="M47" s="237">
        <v>14.5</v>
      </c>
      <c r="N47" s="237"/>
      <c r="O47" s="237"/>
    </row>
    <row r="48" ht="13.9" customHeight="1" spans="1:15">
      <c r="A48" s="256"/>
      <c r="B48" s="257">
        <v>45</v>
      </c>
      <c r="C48" s="258">
        <v>8036</v>
      </c>
      <c r="D48" s="259" t="s">
        <v>954</v>
      </c>
      <c r="E48" s="260">
        <f t="shared" si="1"/>
        <v>17.01</v>
      </c>
      <c r="F48" s="260">
        <f>1.03/1.15</f>
        <v>0.9</v>
      </c>
      <c r="G48" s="260">
        <f>0.68/1.09</f>
        <v>0.62</v>
      </c>
      <c r="H48" s="260">
        <v>0.19</v>
      </c>
      <c r="I48" s="260"/>
      <c r="J48" s="276">
        <f>30*T4</f>
        <v>15.3</v>
      </c>
      <c r="K48" s="237"/>
      <c r="L48" s="237"/>
      <c r="M48" s="237">
        <v>30</v>
      </c>
      <c r="N48" s="237"/>
      <c r="O48" s="237"/>
    </row>
    <row r="49" ht="13.9" customHeight="1" spans="1:15">
      <c r="A49" s="256"/>
      <c r="B49" s="257">
        <v>46</v>
      </c>
      <c r="C49" s="258">
        <v>8041</v>
      </c>
      <c r="D49" s="259" t="s">
        <v>955</v>
      </c>
      <c r="E49" s="260">
        <f t="shared" si="1"/>
        <v>56.19</v>
      </c>
      <c r="F49" s="260">
        <f>1.35/1.15</f>
        <v>1.17</v>
      </c>
      <c r="G49" s="260">
        <f>3.2/1.09</f>
        <v>2.94</v>
      </c>
      <c r="H49" s="260">
        <v>0.65</v>
      </c>
      <c r="I49" s="260">
        <f>1.3*P4</f>
        <v>10.53</v>
      </c>
      <c r="J49" s="276">
        <f>80.1*T4</f>
        <v>40.9</v>
      </c>
      <c r="K49" s="237"/>
      <c r="L49" s="237"/>
      <c r="M49" s="237">
        <v>80.1</v>
      </c>
      <c r="N49" s="237">
        <v>8.1</v>
      </c>
      <c r="O49" s="237">
        <v>3.2</v>
      </c>
    </row>
    <row r="50" ht="13.9" customHeight="1" spans="1:13">
      <c r="A50" s="256"/>
      <c r="B50" s="257">
        <v>47</v>
      </c>
      <c r="C50" s="258">
        <v>8044</v>
      </c>
      <c r="D50" s="259" t="s">
        <v>956</v>
      </c>
      <c r="E50" s="260">
        <f t="shared" si="1"/>
        <v>15.62</v>
      </c>
      <c r="F50" s="260">
        <f>0.53/1.15</f>
        <v>0.46</v>
      </c>
      <c r="G50" s="260">
        <f>1.45/1.09</f>
        <v>1.33</v>
      </c>
      <c r="H50" s="260">
        <v>0.24</v>
      </c>
      <c r="I50" s="260">
        <f>1.3*P4</f>
        <v>10.53</v>
      </c>
      <c r="J50" s="273">
        <f>6*T4</f>
        <v>3.06</v>
      </c>
      <c r="K50" s="237"/>
      <c r="L50" s="237"/>
      <c r="M50" s="236">
        <v>6</v>
      </c>
    </row>
    <row r="51" ht="13.9" customHeight="1" spans="1:15">
      <c r="A51" s="256"/>
      <c r="B51" s="257">
        <v>48</v>
      </c>
      <c r="C51" s="258">
        <v>8047</v>
      </c>
      <c r="D51" s="259" t="s">
        <v>957</v>
      </c>
      <c r="E51" s="260">
        <f t="shared" si="1"/>
        <v>22.18</v>
      </c>
      <c r="F51" s="260">
        <f>1.18/1.15</f>
        <v>1.03</v>
      </c>
      <c r="G51" s="260">
        <f>1.71/1.09</f>
        <v>1.57</v>
      </c>
      <c r="H51" s="260">
        <v>0.28</v>
      </c>
      <c r="I51" s="260">
        <f>1.3*P4</f>
        <v>10.53</v>
      </c>
      <c r="J51" s="273">
        <f>17.2*T4</f>
        <v>8.77</v>
      </c>
      <c r="K51" s="237"/>
      <c r="L51" s="237"/>
      <c r="M51" s="237">
        <v>17.2</v>
      </c>
      <c r="N51" s="237"/>
      <c r="O51" s="237"/>
    </row>
    <row r="52" ht="13.9" customHeight="1" spans="1:15">
      <c r="A52" s="256" t="s">
        <v>958</v>
      </c>
      <c r="B52" s="257">
        <v>49</v>
      </c>
      <c r="C52" s="258">
        <v>8048</v>
      </c>
      <c r="D52" s="259" t="s">
        <v>959</v>
      </c>
      <c r="E52" s="260">
        <f t="shared" si="1"/>
        <v>18.5</v>
      </c>
      <c r="F52" s="260">
        <f>1.6/1.15</f>
        <v>1.39</v>
      </c>
      <c r="G52" s="260">
        <f>2.69/1.09</f>
        <v>2.47</v>
      </c>
      <c r="H52" s="260">
        <v>0.44</v>
      </c>
      <c r="I52" s="260">
        <f>1.3*P4</f>
        <v>10.53</v>
      </c>
      <c r="J52" s="273">
        <f>7.2*T4</f>
        <v>3.67</v>
      </c>
      <c r="K52" s="237"/>
      <c r="L52" s="237"/>
      <c r="M52" s="237">
        <v>7.2</v>
      </c>
      <c r="N52" s="237"/>
      <c r="O52" s="237"/>
    </row>
    <row r="53" ht="13.9" customHeight="1" spans="1:15">
      <c r="A53" s="261"/>
      <c r="B53" s="257">
        <v>50</v>
      </c>
      <c r="C53" s="258" t="s">
        <v>960</v>
      </c>
      <c r="D53" s="259" t="s">
        <v>961</v>
      </c>
      <c r="E53" s="260">
        <f t="shared" si="1"/>
        <v>51.54</v>
      </c>
      <c r="F53" s="260">
        <f>30.48/1.15</f>
        <v>26.5</v>
      </c>
      <c r="G53" s="260">
        <f>20.63/1.09</f>
        <v>18.93</v>
      </c>
      <c r="H53" s="260">
        <v>2.1</v>
      </c>
      <c r="I53" s="260">
        <f>2.4*P24</f>
        <v>0</v>
      </c>
      <c r="J53" s="273">
        <f>26.7*U4</f>
        <v>4.01</v>
      </c>
      <c r="K53" s="237"/>
      <c r="L53" s="237"/>
      <c r="M53" s="237">
        <v>26.7</v>
      </c>
      <c r="N53" s="237"/>
      <c r="O53" s="237"/>
    </row>
    <row r="54" ht="13.9" customHeight="1" spans="1:12">
      <c r="A54" s="262"/>
      <c r="B54" s="257">
        <v>51</v>
      </c>
      <c r="C54" s="263">
        <v>1048</v>
      </c>
      <c r="D54" s="264" t="s">
        <v>962</v>
      </c>
      <c r="E54" s="265">
        <f t="shared" si="1"/>
        <v>461.74</v>
      </c>
      <c r="F54" s="265">
        <v>124.69</v>
      </c>
      <c r="G54" s="265">
        <v>174.57</v>
      </c>
      <c r="H54" s="265">
        <v>49.88</v>
      </c>
      <c r="I54" s="265">
        <v>5</v>
      </c>
      <c r="J54" s="277">
        <f>L54*S4</f>
        <v>107.6</v>
      </c>
      <c r="L54" s="237">
        <v>36</v>
      </c>
    </row>
    <row r="55" ht="13.9" customHeight="1" spans="1:12">
      <c r="A55" s="262"/>
      <c r="B55" s="257">
        <v>52</v>
      </c>
      <c r="C55" s="263">
        <v>3029</v>
      </c>
      <c r="D55" s="264" t="s">
        <v>963</v>
      </c>
      <c r="E55" s="265">
        <f t="shared" si="1"/>
        <v>58.3</v>
      </c>
      <c r="F55" s="265">
        <v>13.44</v>
      </c>
      <c r="G55" s="265">
        <v>15.53</v>
      </c>
      <c r="H55" s="265">
        <v>0</v>
      </c>
      <c r="I55" s="265">
        <f>1.3*P4</f>
        <v>10.53</v>
      </c>
      <c r="J55" s="277">
        <f>6.1*R4</f>
        <v>18.8</v>
      </c>
      <c r="K55" s="236">
        <v>6.1</v>
      </c>
      <c r="L55" s="237"/>
    </row>
  </sheetData>
  <mergeCells count="8">
    <mergeCell ref="B1:J1"/>
    <mergeCell ref="F2:J2"/>
    <mergeCell ref="P2:V2"/>
    <mergeCell ref="A2:A3"/>
    <mergeCell ref="B2:B3"/>
    <mergeCell ref="C2:C3"/>
    <mergeCell ref="D2:D3"/>
    <mergeCell ref="E2:E3"/>
  </mergeCells>
  <printOptions horizontalCentered="1"/>
  <pageMargins left="0.78740157480315" right="0.78740157480315" top="0.78740157480315" bottom="0.78740157480315" header="0.393700787401575" footer="0.393700787401575"/>
  <pageSetup paperSize="9" firstPageNumber="83" orientation="portrait" useFirstPageNumber="1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K23"/>
  <sheetViews>
    <sheetView view="pageBreakPreview" zoomScale="93" zoomScaleNormal="100" workbookViewId="0">
      <selection activeCell="N10" sqref="N10"/>
    </sheetView>
  </sheetViews>
  <sheetFormatPr defaultColWidth="9" defaultRowHeight="14.25"/>
  <cols>
    <col min="1" max="1" width="7.125" style="205" customWidth="1"/>
    <col min="2" max="2" width="16.125" style="205" customWidth="1"/>
    <col min="3" max="3" width="11.25" style="205" customWidth="1"/>
    <col min="4" max="4" width="11.125" style="205" customWidth="1"/>
    <col min="5" max="5" width="9.75" style="205" customWidth="1"/>
    <col min="6" max="6" width="10.875" style="205" customWidth="1"/>
    <col min="7" max="7" width="10.25" style="205" customWidth="1"/>
    <col min="8" max="8" width="13.625" style="205" customWidth="1"/>
    <col min="9" max="9" width="10.375" style="205" customWidth="1"/>
    <col min="10" max="10" width="10.25" style="205" customWidth="1"/>
    <col min="11" max="11" width="10.375" style="205" customWidth="1"/>
    <col min="12" max="12" width="8.625" style="205" customWidth="1"/>
    <col min="13" max="14" width="9.75" style="205" customWidth="1"/>
    <col min="15" max="15" width="14.625" style="205" customWidth="1"/>
    <col min="16" max="16" width="7.375" style="205" customWidth="1"/>
    <col min="17" max="17" width="12" style="205" customWidth="1"/>
    <col min="18" max="18" width="12.375" style="205" customWidth="1"/>
    <col min="19" max="20" width="10.125" style="205" customWidth="1"/>
    <col min="21" max="21" width="9.5" style="205" customWidth="1"/>
    <col min="22" max="22" width="10.125" style="205" customWidth="1"/>
    <col min="23" max="16384" width="9" style="205"/>
  </cols>
  <sheetData>
    <row r="1" ht="24" customHeight="1" spans="1:11">
      <c r="A1" s="206" t="s">
        <v>964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24.95" customHeight="1" spans="1:11">
      <c r="A2" s="208" t="s">
        <v>2</v>
      </c>
      <c r="B2" s="209" t="s">
        <v>233</v>
      </c>
      <c r="C2" s="209" t="s">
        <v>278</v>
      </c>
      <c r="D2" s="209"/>
      <c r="E2" s="209"/>
      <c r="F2" s="209"/>
      <c r="G2" s="209"/>
      <c r="H2" s="209"/>
      <c r="I2" s="209"/>
      <c r="J2" s="209"/>
      <c r="K2" s="229"/>
    </row>
    <row r="3" ht="24.95" customHeight="1" spans="1:11">
      <c r="A3" s="210"/>
      <c r="B3" s="109"/>
      <c r="C3" s="109" t="s">
        <v>965</v>
      </c>
      <c r="D3" s="109" t="s">
        <v>966</v>
      </c>
      <c r="E3" s="109" t="s">
        <v>967</v>
      </c>
      <c r="F3" s="109" t="s">
        <v>968</v>
      </c>
      <c r="G3" s="109" t="s">
        <v>969</v>
      </c>
      <c r="H3" s="109" t="s">
        <v>970</v>
      </c>
      <c r="I3" s="109" t="s">
        <v>971</v>
      </c>
      <c r="J3" s="109" t="s">
        <v>972</v>
      </c>
      <c r="K3" s="110" t="s">
        <v>973</v>
      </c>
    </row>
    <row r="4" ht="24.95" customHeight="1" spans="1:11">
      <c r="A4" s="210">
        <v>1</v>
      </c>
      <c r="B4" s="109" t="s">
        <v>294</v>
      </c>
      <c r="C4" s="94">
        <v>0.048</v>
      </c>
      <c r="D4" s="94">
        <v>0.048</v>
      </c>
      <c r="E4" s="94">
        <v>0.048</v>
      </c>
      <c r="F4" s="94">
        <v>0.048</v>
      </c>
      <c r="G4" s="94">
        <v>0.048</v>
      </c>
      <c r="H4" s="94">
        <v>0.048</v>
      </c>
      <c r="I4" s="94">
        <v>0.048</v>
      </c>
      <c r="J4" s="94">
        <v>0.048</v>
      </c>
      <c r="K4" s="230">
        <v>0.055</v>
      </c>
    </row>
    <row r="5" ht="24.95" customHeight="1" spans="1:11">
      <c r="A5" s="210">
        <v>2</v>
      </c>
      <c r="B5" s="109" t="s">
        <v>295</v>
      </c>
      <c r="C5" s="211">
        <v>0.04</v>
      </c>
      <c r="D5" s="211">
        <v>0.085</v>
      </c>
      <c r="E5" s="211">
        <v>0.085</v>
      </c>
      <c r="F5" s="211">
        <v>0.07</v>
      </c>
      <c r="G5" s="212">
        <v>0.05</v>
      </c>
      <c r="H5" s="211">
        <v>0.093</v>
      </c>
      <c r="I5" s="231">
        <v>0.0625</v>
      </c>
      <c r="J5" s="231">
        <v>0.0725</v>
      </c>
      <c r="K5" s="232">
        <v>0.7</v>
      </c>
    </row>
    <row r="6" ht="24.95" customHeight="1" spans="1:11">
      <c r="A6" s="210">
        <v>3</v>
      </c>
      <c r="B6" s="109" t="s">
        <v>296</v>
      </c>
      <c r="C6" s="93">
        <v>0.05</v>
      </c>
      <c r="D6" s="93">
        <v>0.07</v>
      </c>
      <c r="E6" s="93">
        <v>0.07</v>
      </c>
      <c r="F6" s="93">
        <v>0.07</v>
      </c>
      <c r="G6" s="93">
        <v>0.07</v>
      </c>
      <c r="H6" s="93">
        <v>0.07</v>
      </c>
      <c r="I6" s="93">
        <v>0.07</v>
      </c>
      <c r="J6" s="93">
        <v>0.07</v>
      </c>
      <c r="K6" s="233">
        <v>0.07</v>
      </c>
    </row>
    <row r="7" ht="24.95" customHeight="1" spans="1:11">
      <c r="A7" s="210">
        <v>4</v>
      </c>
      <c r="B7" s="109" t="s">
        <v>297</v>
      </c>
      <c r="C7" s="213">
        <v>0.09</v>
      </c>
      <c r="D7" s="213">
        <v>0.09</v>
      </c>
      <c r="E7" s="213">
        <v>0.09</v>
      </c>
      <c r="F7" s="213">
        <v>0.09</v>
      </c>
      <c r="G7" s="213">
        <v>0.09</v>
      </c>
      <c r="H7" s="213">
        <v>0.09</v>
      </c>
      <c r="I7" s="213">
        <v>0.09</v>
      </c>
      <c r="J7" s="213">
        <v>0.09</v>
      </c>
      <c r="K7" s="234">
        <v>0.09</v>
      </c>
    </row>
    <row r="8" ht="24.95" customHeight="1" spans="1:11">
      <c r="A8" s="123">
        <v>5</v>
      </c>
      <c r="B8" s="124" t="s">
        <v>675</v>
      </c>
      <c r="C8" s="214">
        <v>0.03</v>
      </c>
      <c r="D8" s="214">
        <v>0.03</v>
      </c>
      <c r="E8" s="214">
        <v>0.03</v>
      </c>
      <c r="F8" s="214">
        <v>0.03</v>
      </c>
      <c r="G8" s="214">
        <v>0.03</v>
      </c>
      <c r="H8" s="214">
        <v>0.03</v>
      </c>
      <c r="I8" s="214">
        <v>0.03</v>
      </c>
      <c r="J8" s="214">
        <v>0.03</v>
      </c>
      <c r="K8" s="235">
        <v>0.03</v>
      </c>
    </row>
    <row r="9" ht="24.95" customHeight="1" spans="1:11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ht="24.95" customHeight="1"/>
    <row r="11" ht="24.95" customHeight="1" spans="1:8">
      <c r="A11" s="216" t="s">
        <v>974</v>
      </c>
      <c r="B11" s="217"/>
      <c r="C11" s="217"/>
      <c r="D11" s="217"/>
      <c r="E11" s="217"/>
      <c r="F11" s="217"/>
      <c r="G11" s="217"/>
      <c r="H11" s="218"/>
    </row>
    <row r="12" ht="24.95" customHeight="1" spans="1:8">
      <c r="A12" s="219" t="s">
        <v>2</v>
      </c>
      <c r="B12" s="220" t="s">
        <v>975</v>
      </c>
      <c r="C12" s="220"/>
      <c r="D12" s="220" t="s">
        <v>976</v>
      </c>
      <c r="E12" s="220"/>
      <c r="F12" s="220" t="s">
        <v>977</v>
      </c>
      <c r="G12" s="220"/>
      <c r="H12" s="221"/>
    </row>
    <row r="13" ht="24.95" customHeight="1" spans="1:8">
      <c r="A13" s="210" t="s">
        <v>9</v>
      </c>
      <c r="B13" s="222" t="s">
        <v>978</v>
      </c>
      <c r="C13" s="222"/>
      <c r="D13" s="222"/>
      <c r="E13" s="222"/>
      <c r="F13" s="222"/>
      <c r="G13" s="222"/>
      <c r="H13" s="223"/>
    </row>
    <row r="14" ht="24.95" customHeight="1" spans="1:8">
      <c r="A14" s="224">
        <v>1</v>
      </c>
      <c r="B14" s="222" t="s">
        <v>965</v>
      </c>
      <c r="C14" s="222"/>
      <c r="D14" s="222" t="s">
        <v>287</v>
      </c>
      <c r="E14" s="222"/>
      <c r="F14" s="222" t="s">
        <v>979</v>
      </c>
      <c r="G14" s="222"/>
      <c r="H14" s="223"/>
    </row>
    <row r="15" ht="24.95" customHeight="1" spans="1:8">
      <c r="A15" s="224">
        <v>2</v>
      </c>
      <c r="B15" s="222" t="s">
        <v>966</v>
      </c>
      <c r="C15" s="222"/>
      <c r="D15" s="222" t="s">
        <v>287</v>
      </c>
      <c r="E15" s="222"/>
      <c r="F15" s="222" t="s">
        <v>980</v>
      </c>
      <c r="G15" s="222"/>
      <c r="H15" s="223"/>
    </row>
    <row r="16" ht="24.95" customHeight="1" spans="1:8">
      <c r="A16" s="224">
        <v>3</v>
      </c>
      <c r="B16" s="222" t="s">
        <v>967</v>
      </c>
      <c r="C16" s="222"/>
      <c r="D16" s="222" t="s">
        <v>287</v>
      </c>
      <c r="E16" s="222"/>
      <c r="F16" s="222" t="s">
        <v>980</v>
      </c>
      <c r="G16" s="222"/>
      <c r="H16" s="223"/>
    </row>
    <row r="17" ht="18.75" spans="1:8">
      <c r="A17" s="224">
        <v>4</v>
      </c>
      <c r="B17" s="222" t="s">
        <v>981</v>
      </c>
      <c r="C17" s="222"/>
      <c r="D17" s="222" t="s">
        <v>287</v>
      </c>
      <c r="E17" s="222"/>
      <c r="F17" s="222" t="s">
        <v>982</v>
      </c>
      <c r="G17" s="222"/>
      <c r="H17" s="223"/>
    </row>
    <row r="18" ht="18.75" spans="1:8">
      <c r="A18" s="224">
        <v>5</v>
      </c>
      <c r="B18" s="222" t="s">
        <v>969</v>
      </c>
      <c r="C18" s="222"/>
      <c r="D18" s="222" t="s">
        <v>287</v>
      </c>
      <c r="E18" s="222"/>
      <c r="F18" s="222">
        <v>5</v>
      </c>
      <c r="G18" s="222"/>
      <c r="H18" s="223"/>
    </row>
    <row r="19" ht="18.75" spans="1:8">
      <c r="A19" s="224">
        <v>6</v>
      </c>
      <c r="B19" s="222" t="s">
        <v>983</v>
      </c>
      <c r="C19" s="222"/>
      <c r="D19" s="222" t="s">
        <v>287</v>
      </c>
      <c r="E19" s="222"/>
      <c r="F19" s="222" t="s">
        <v>984</v>
      </c>
      <c r="G19" s="222"/>
      <c r="H19" s="223"/>
    </row>
    <row r="20" ht="19.5" customHeight="1" spans="1:8">
      <c r="A20" s="224">
        <v>7</v>
      </c>
      <c r="B20" s="222" t="s">
        <v>971</v>
      </c>
      <c r="C20" s="222"/>
      <c r="D20" s="222" t="s">
        <v>287</v>
      </c>
      <c r="E20" s="222"/>
      <c r="F20" s="222" t="s">
        <v>985</v>
      </c>
      <c r="G20" s="222"/>
      <c r="H20" s="223"/>
    </row>
    <row r="21" ht="19.5" customHeight="1" spans="1:8">
      <c r="A21" s="224">
        <v>8</v>
      </c>
      <c r="B21" s="222" t="s">
        <v>972</v>
      </c>
      <c r="C21" s="222"/>
      <c r="D21" s="222" t="s">
        <v>287</v>
      </c>
      <c r="E21" s="222"/>
      <c r="F21" s="222" t="s">
        <v>986</v>
      </c>
      <c r="G21" s="222"/>
      <c r="H21" s="223"/>
    </row>
    <row r="22" ht="19.5" spans="1:8">
      <c r="A22" s="225" t="s">
        <v>14</v>
      </c>
      <c r="B22" s="226" t="s">
        <v>973</v>
      </c>
      <c r="C22" s="226"/>
      <c r="D22" s="226" t="s">
        <v>247</v>
      </c>
      <c r="E22" s="226"/>
      <c r="F22" s="226">
        <v>70</v>
      </c>
      <c r="G22" s="226"/>
      <c r="H22" s="227"/>
    </row>
    <row r="23" ht="18.75" spans="1:4">
      <c r="A23" s="228" t="s">
        <v>987</v>
      </c>
      <c r="B23" s="154"/>
      <c r="C23" s="154"/>
      <c r="D23" s="154"/>
    </row>
  </sheetData>
  <mergeCells count="38">
    <mergeCell ref="A1:K1"/>
    <mergeCell ref="C2:K2"/>
    <mergeCell ref="A11:H11"/>
    <mergeCell ref="B12:C12"/>
    <mergeCell ref="D12:E12"/>
    <mergeCell ref="F12:H12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18:C18"/>
    <mergeCell ref="D18:E18"/>
    <mergeCell ref="F18:H18"/>
    <mergeCell ref="B19:C19"/>
    <mergeCell ref="D19:E19"/>
    <mergeCell ref="F19:H19"/>
    <mergeCell ref="B20:C20"/>
    <mergeCell ref="D20:E20"/>
    <mergeCell ref="F20:H20"/>
    <mergeCell ref="B21:C21"/>
    <mergeCell ref="D21:E21"/>
    <mergeCell ref="F21:H21"/>
    <mergeCell ref="B22:C22"/>
    <mergeCell ref="D22:E22"/>
    <mergeCell ref="F22:H22"/>
    <mergeCell ref="A2:A3"/>
    <mergeCell ref="B2:B3"/>
  </mergeCells>
  <printOptions horizontalCentered="1"/>
  <pageMargins left="0.78740157480315" right="0.78740157480315" top="0.984251968503937" bottom="0.78740157480315" header="0.393700787401575" footer="0.393700787401575"/>
  <pageSetup paperSize="9" firstPageNumber="84" orientation="landscape" useFirstPageNumber="1"/>
  <headerFooter alignWithMargins="0">
    <oddFooter>&amp;C第 &amp;P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F34"/>
  <sheetViews>
    <sheetView view="pageBreakPreview" zoomScaleNormal="100" workbookViewId="0">
      <selection activeCell="C8" sqref="C8"/>
    </sheetView>
  </sheetViews>
  <sheetFormatPr defaultColWidth="9" defaultRowHeight="14.25" outlineLevelCol="5"/>
  <cols>
    <col min="1" max="1" width="6.125" style="11" customWidth="1"/>
    <col min="2" max="2" width="14.125" style="11" customWidth="1"/>
    <col min="3" max="3" width="20.875" style="11" customWidth="1"/>
    <col min="4" max="4" width="15" style="11" customWidth="1"/>
    <col min="5" max="5" width="23" style="11" customWidth="1"/>
    <col min="6" max="16384" width="9" style="11"/>
  </cols>
  <sheetData>
    <row r="1" ht="24" customHeight="1" spans="1:5">
      <c r="A1" s="187" t="s">
        <v>988</v>
      </c>
      <c r="B1" s="187"/>
      <c r="C1" s="187"/>
      <c r="D1" s="187"/>
      <c r="E1" s="187"/>
    </row>
    <row r="2" ht="21" hidden="1" spans="1:5">
      <c r="A2" s="188"/>
      <c r="B2" s="188"/>
      <c r="C2" s="188"/>
      <c r="D2" s="188"/>
      <c r="E2" s="188"/>
    </row>
    <row r="3" ht="24.95" customHeight="1" spans="1:5">
      <c r="A3" s="189" t="s">
        <v>2</v>
      </c>
      <c r="B3" s="190" t="s">
        <v>276</v>
      </c>
      <c r="C3" s="190" t="s">
        <v>989</v>
      </c>
      <c r="D3" s="190" t="s">
        <v>990</v>
      </c>
      <c r="E3" s="191" t="s">
        <v>991</v>
      </c>
    </row>
    <row r="4" ht="24.95" customHeight="1" spans="1:6">
      <c r="A4" s="192">
        <v>1</v>
      </c>
      <c r="B4" s="193" t="s">
        <v>289</v>
      </c>
      <c r="C4" s="193"/>
      <c r="D4" s="193">
        <v>8.1</v>
      </c>
      <c r="E4" s="194">
        <f>D4*8</f>
        <v>64.8</v>
      </c>
      <c r="F4" s="195"/>
    </row>
    <row r="5" ht="24.95" customHeight="1" spans="1:5">
      <c r="A5" s="192">
        <v>2</v>
      </c>
      <c r="B5" s="193" t="s">
        <v>291</v>
      </c>
      <c r="C5" s="193"/>
      <c r="D5" s="193">
        <v>5.77</v>
      </c>
      <c r="E5" s="194">
        <f>D5*8</f>
        <v>46.16</v>
      </c>
    </row>
    <row r="6" ht="24.95" customHeight="1" spans="1:5">
      <c r="A6" s="196"/>
      <c r="B6" s="197"/>
      <c r="C6" s="198"/>
      <c r="D6" s="198"/>
      <c r="E6" s="199"/>
    </row>
    <row r="7" ht="24.95" customHeight="1" spans="1:5">
      <c r="A7" s="196"/>
      <c r="B7" s="197"/>
      <c r="C7" s="198"/>
      <c r="D7" s="198"/>
      <c r="E7" s="199"/>
    </row>
    <row r="8" ht="24.95" customHeight="1" spans="1:5">
      <c r="A8" s="196"/>
      <c r="B8" s="197"/>
      <c r="C8" s="198"/>
      <c r="D8" s="198"/>
      <c r="E8" s="199"/>
    </row>
    <row r="9" ht="24.95" customHeight="1" spans="1:5">
      <c r="A9" s="196"/>
      <c r="B9" s="197"/>
      <c r="C9" s="198"/>
      <c r="D9" s="198"/>
      <c r="E9" s="199"/>
    </row>
    <row r="10" ht="24.95" customHeight="1" spans="1:5">
      <c r="A10" s="196"/>
      <c r="B10" s="197"/>
      <c r="C10" s="198"/>
      <c r="D10" s="198"/>
      <c r="E10" s="199"/>
    </row>
    <row r="11" ht="24.95" customHeight="1" spans="1:5">
      <c r="A11" s="196"/>
      <c r="B11" s="197"/>
      <c r="C11" s="198"/>
      <c r="D11" s="198"/>
      <c r="E11" s="199"/>
    </row>
    <row r="12" ht="24.95" customHeight="1" spans="1:5">
      <c r="A12" s="196"/>
      <c r="B12" s="197"/>
      <c r="C12" s="198"/>
      <c r="D12" s="198"/>
      <c r="E12" s="199"/>
    </row>
    <row r="13" ht="24.95" customHeight="1" spans="1:5">
      <c r="A13" s="196"/>
      <c r="B13" s="197"/>
      <c r="C13" s="198"/>
      <c r="D13" s="198"/>
      <c r="E13" s="199"/>
    </row>
    <row r="14" ht="24.95" customHeight="1" spans="1:5">
      <c r="A14" s="196"/>
      <c r="B14" s="197"/>
      <c r="C14" s="198"/>
      <c r="D14" s="198"/>
      <c r="E14" s="199"/>
    </row>
    <row r="15" ht="24.95" customHeight="1" spans="1:5">
      <c r="A15" s="196"/>
      <c r="B15" s="197"/>
      <c r="C15" s="198"/>
      <c r="D15" s="198"/>
      <c r="E15" s="199"/>
    </row>
    <row r="16" ht="24.95" customHeight="1" spans="1:5">
      <c r="A16" s="196"/>
      <c r="B16" s="197"/>
      <c r="C16" s="198"/>
      <c r="D16" s="198"/>
      <c r="E16" s="199"/>
    </row>
    <row r="17" ht="24.95" customHeight="1" spans="1:5">
      <c r="A17" s="196"/>
      <c r="B17" s="197"/>
      <c r="C17" s="198"/>
      <c r="D17" s="198"/>
      <c r="E17" s="199"/>
    </row>
    <row r="18" ht="24.95" customHeight="1" spans="1:5">
      <c r="A18" s="196"/>
      <c r="B18" s="197"/>
      <c r="C18" s="198"/>
      <c r="D18" s="198"/>
      <c r="E18" s="199"/>
    </row>
    <row r="19" ht="24.95" customHeight="1" spans="1:5">
      <c r="A19" s="196"/>
      <c r="B19" s="197"/>
      <c r="C19" s="198"/>
      <c r="D19" s="198"/>
      <c r="E19" s="199"/>
    </row>
    <row r="20" ht="24.95" customHeight="1" spans="1:5">
      <c r="A20" s="196"/>
      <c r="B20" s="197"/>
      <c r="C20" s="198"/>
      <c r="D20" s="198"/>
      <c r="E20" s="199"/>
    </row>
    <row r="21" ht="24.95" customHeight="1" spans="1:5">
      <c r="A21" s="196"/>
      <c r="B21" s="197"/>
      <c r="C21" s="198"/>
      <c r="D21" s="198"/>
      <c r="E21" s="199"/>
    </row>
    <row r="22" ht="24.95" customHeight="1" spans="1:5">
      <c r="A22" s="196"/>
      <c r="B22" s="197"/>
      <c r="C22" s="198"/>
      <c r="D22" s="198"/>
      <c r="E22" s="199"/>
    </row>
    <row r="23" ht="24.95" customHeight="1" spans="1:5">
      <c r="A23" s="196"/>
      <c r="B23" s="197"/>
      <c r="C23" s="198"/>
      <c r="D23" s="198"/>
      <c r="E23" s="199"/>
    </row>
    <row r="24" ht="24.95" customHeight="1" spans="1:5">
      <c r="A24" s="196"/>
      <c r="B24" s="197"/>
      <c r="C24" s="198"/>
      <c r="D24" s="198"/>
      <c r="E24" s="199"/>
    </row>
    <row r="25" ht="24.95" customHeight="1" spans="1:5">
      <c r="A25" s="196"/>
      <c r="B25" s="197"/>
      <c r="C25" s="198"/>
      <c r="D25" s="198"/>
      <c r="E25" s="199"/>
    </row>
    <row r="26" ht="24.95" customHeight="1" spans="1:5">
      <c r="A26" s="196"/>
      <c r="B26" s="198"/>
      <c r="C26" s="198"/>
      <c r="D26" s="198"/>
      <c r="E26" s="199"/>
    </row>
    <row r="27" ht="24.95" customHeight="1" spans="1:5">
      <c r="A27" s="196"/>
      <c r="B27" s="198"/>
      <c r="C27" s="198"/>
      <c r="D27" s="198"/>
      <c r="E27" s="199"/>
    </row>
    <row r="28" ht="24.95" customHeight="1" spans="1:5">
      <c r="A28" s="196"/>
      <c r="B28" s="198"/>
      <c r="C28" s="198"/>
      <c r="D28" s="198"/>
      <c r="E28" s="199"/>
    </row>
    <row r="29" ht="24.95" customHeight="1" spans="1:5">
      <c r="A29" s="196"/>
      <c r="B29" s="198"/>
      <c r="C29" s="198"/>
      <c r="D29" s="198"/>
      <c r="E29" s="199"/>
    </row>
    <row r="30" ht="24.95" customHeight="1" spans="1:5">
      <c r="A30" s="196"/>
      <c r="B30" s="200"/>
      <c r="C30" s="200"/>
      <c r="D30" s="200"/>
      <c r="E30" s="199"/>
    </row>
    <row r="31" ht="24.95" customHeight="1" spans="1:5">
      <c r="A31" s="196"/>
      <c r="B31" s="200"/>
      <c r="C31" s="200"/>
      <c r="D31" s="200"/>
      <c r="E31" s="199"/>
    </row>
    <row r="32" ht="24.95" customHeight="1" spans="1:5">
      <c r="A32" s="201"/>
      <c r="B32" s="202"/>
      <c r="C32" s="203"/>
      <c r="D32" s="202"/>
      <c r="E32" s="204"/>
    </row>
    <row r="33" ht="24.95" customHeight="1" spans="1:5">
      <c r="A33"/>
      <c r="B33"/>
      <c r="C33"/>
      <c r="D33"/>
      <c r="E33"/>
    </row>
    <row r="34" ht="24.95" customHeight="1" spans="1:5">
      <c r="A34"/>
      <c r="B34"/>
      <c r="C34"/>
      <c r="D34"/>
      <c r="E34"/>
    </row>
  </sheetData>
  <mergeCells count="1">
    <mergeCell ref="A1:E1"/>
  </mergeCells>
  <printOptions horizontalCentered="1"/>
  <pageMargins left="0.590551181102362" right="0.590551181102362" top="0.78740157480315" bottom="0.78740157480315" header="0.393700787401575" footer="0.393700787401575"/>
  <pageSetup paperSize="9" firstPageNumber="28" orientation="portrait" useFirstPageNumber="1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8"/>
  <sheetViews>
    <sheetView workbookViewId="0">
      <selection activeCell="L20" sqref="L20"/>
    </sheetView>
  </sheetViews>
  <sheetFormatPr defaultColWidth="9" defaultRowHeight="14.25"/>
  <cols>
    <col min="1" max="16384" width="9" style="154"/>
  </cols>
  <sheetData>
    <row r="1" ht="18.75" spans="1:28">
      <c r="A1" s="155" t="s">
        <v>992</v>
      </c>
      <c r="B1" s="155"/>
      <c r="C1" s="156"/>
      <c r="D1" s="156"/>
      <c r="E1" s="156"/>
      <c r="F1" s="156"/>
      <c r="G1" s="156"/>
      <c r="H1" s="156"/>
      <c r="I1" s="156"/>
      <c r="J1" s="155" t="s">
        <v>992</v>
      </c>
      <c r="K1" s="155"/>
      <c r="L1" s="156"/>
      <c r="M1" s="156"/>
      <c r="N1" s="156"/>
      <c r="O1" s="156"/>
      <c r="P1" s="156"/>
      <c r="Q1" s="156"/>
      <c r="R1" s="156"/>
      <c r="S1" s="173" t="s">
        <v>993</v>
      </c>
      <c r="T1" s="173"/>
      <c r="U1" s="174"/>
      <c r="V1" s="174"/>
      <c r="W1" s="174"/>
      <c r="X1" s="174"/>
      <c r="Y1" s="174"/>
      <c r="Z1" s="174" t="s">
        <v>994</v>
      </c>
      <c r="AA1" s="174"/>
      <c r="AB1" s="185"/>
    </row>
    <row r="2" spans="1:28">
      <c r="A2" s="157"/>
      <c r="B2" s="157"/>
      <c r="C2" s="157"/>
      <c r="D2" s="157"/>
      <c r="E2" s="158" t="s">
        <v>995</v>
      </c>
      <c r="F2" s="159">
        <v>11000</v>
      </c>
      <c r="G2" s="157" t="s">
        <v>996</v>
      </c>
      <c r="H2" s="157" t="s">
        <v>997</v>
      </c>
      <c r="I2" s="157"/>
      <c r="J2" s="157"/>
      <c r="K2" s="157"/>
      <c r="L2" s="157"/>
      <c r="M2" s="157"/>
      <c r="N2" s="158" t="s">
        <v>995</v>
      </c>
      <c r="O2" s="159">
        <v>10500</v>
      </c>
      <c r="P2" s="157" t="s">
        <v>996</v>
      </c>
      <c r="Q2" s="157" t="s">
        <v>998</v>
      </c>
      <c r="R2" s="157">
        <f>O2/1000*AA5</f>
        <v>2.18715</v>
      </c>
      <c r="S2" s="175"/>
      <c r="T2" s="175"/>
      <c r="U2" s="174"/>
      <c r="V2" s="174"/>
      <c r="W2" s="174"/>
      <c r="X2" s="174"/>
      <c r="Y2" s="174"/>
      <c r="Z2" s="174"/>
      <c r="AA2" s="174"/>
      <c r="AB2" s="185"/>
    </row>
    <row r="3" spans="1:28">
      <c r="A3" s="160" t="s">
        <v>999</v>
      </c>
      <c r="B3" s="160"/>
      <c r="C3" s="160" t="s">
        <v>1000</v>
      </c>
      <c r="D3" s="160"/>
      <c r="E3" s="160"/>
      <c r="F3" s="160"/>
      <c r="G3" s="160"/>
      <c r="H3" s="160"/>
      <c r="I3" s="160"/>
      <c r="J3" s="160" t="s">
        <v>999</v>
      </c>
      <c r="K3" s="160"/>
      <c r="L3" s="160" t="s">
        <v>1000</v>
      </c>
      <c r="M3" s="160"/>
      <c r="N3" s="160"/>
      <c r="O3" s="160"/>
      <c r="P3" s="160"/>
      <c r="Q3" s="160"/>
      <c r="R3" s="160"/>
      <c r="S3" s="176" t="s">
        <v>1001</v>
      </c>
      <c r="T3" s="177" t="s">
        <v>1002</v>
      </c>
      <c r="U3" s="178"/>
      <c r="V3" s="178"/>
      <c r="W3" s="178"/>
      <c r="X3" s="178"/>
      <c r="Y3" s="178"/>
      <c r="Z3" s="178"/>
      <c r="AA3" s="186"/>
      <c r="AB3" s="185"/>
    </row>
    <row r="4" spans="1:28">
      <c r="A4" s="160"/>
      <c r="B4" s="161" t="s">
        <v>1003</v>
      </c>
      <c r="C4" s="162" t="s">
        <v>1004</v>
      </c>
      <c r="D4" s="162" t="s">
        <v>1005</v>
      </c>
      <c r="E4" s="162" t="s">
        <v>1006</v>
      </c>
      <c r="F4" s="162" t="s">
        <v>1007</v>
      </c>
      <c r="G4" s="162" t="s">
        <v>1008</v>
      </c>
      <c r="H4" s="162" t="s">
        <v>1009</v>
      </c>
      <c r="I4" s="162" t="s">
        <v>1010</v>
      </c>
      <c r="J4" s="160"/>
      <c r="K4" s="169" t="s">
        <v>1003</v>
      </c>
      <c r="L4" s="162" t="s">
        <v>1004</v>
      </c>
      <c r="M4" s="162" t="s">
        <v>1005</v>
      </c>
      <c r="N4" s="162" t="s">
        <v>1006</v>
      </c>
      <c r="O4" s="162" t="s">
        <v>1007</v>
      </c>
      <c r="P4" s="162" t="s">
        <v>1008</v>
      </c>
      <c r="Q4" s="162" t="s">
        <v>1009</v>
      </c>
      <c r="R4" s="162" t="s">
        <v>1010</v>
      </c>
      <c r="S4" s="179"/>
      <c r="T4" s="169" t="s">
        <v>1003</v>
      </c>
      <c r="U4" s="169" t="s">
        <v>1004</v>
      </c>
      <c r="V4" s="169" t="s">
        <v>1005</v>
      </c>
      <c r="W4" s="169" t="s">
        <v>1006</v>
      </c>
      <c r="X4" s="169" t="s">
        <v>1007</v>
      </c>
      <c r="Y4" s="169" t="s">
        <v>1008</v>
      </c>
      <c r="Z4" s="169" t="s">
        <v>1009</v>
      </c>
      <c r="AA4" s="169" t="s">
        <v>1010</v>
      </c>
      <c r="AB4" s="185"/>
    </row>
    <row r="5" ht="15" spans="1:28">
      <c r="A5" s="160" t="s">
        <v>1011</v>
      </c>
      <c r="B5" s="160"/>
      <c r="C5" s="163"/>
      <c r="D5" s="163"/>
      <c r="E5" s="163"/>
      <c r="F5" s="163"/>
      <c r="G5" s="163"/>
      <c r="H5" s="164">
        <f t="shared" ref="H5:H18" si="0">Q5*1000</f>
        <v>1920</v>
      </c>
      <c r="I5" s="164">
        <f t="shared" ref="I5:I18" si="1">R5*1000</f>
        <v>2190</v>
      </c>
      <c r="J5" s="160" t="s">
        <v>1011</v>
      </c>
      <c r="K5" s="160"/>
      <c r="L5" s="163"/>
      <c r="M5" s="163"/>
      <c r="N5" s="163"/>
      <c r="O5" s="163"/>
      <c r="P5" s="163"/>
      <c r="Q5" s="170">
        <f t="shared" ref="Q5:Q18" si="2">ROUND($O$2*Z5/1000,2)</f>
        <v>1.92</v>
      </c>
      <c r="R5" s="180">
        <f t="shared" ref="R5:R18" si="3">ROUND($O$2*AA5/1000,2)</f>
        <v>2.19</v>
      </c>
      <c r="S5" s="169" t="s">
        <v>1011</v>
      </c>
      <c r="T5" s="169"/>
      <c r="U5" s="181"/>
      <c r="V5" s="181"/>
      <c r="W5" s="181"/>
      <c r="X5" s="181"/>
      <c r="Y5" s="181"/>
      <c r="Z5" s="181">
        <v>0.1833</v>
      </c>
      <c r="AA5" s="181">
        <v>0.2083</v>
      </c>
      <c r="AB5" s="185"/>
    </row>
    <row r="6" ht="15" spans="1:28">
      <c r="A6" s="160" t="s">
        <v>1012</v>
      </c>
      <c r="B6" s="160"/>
      <c r="C6" s="163"/>
      <c r="D6" s="163"/>
      <c r="E6" s="163"/>
      <c r="F6" s="163"/>
      <c r="G6" s="164">
        <f t="shared" ref="G6:G26" si="4">P6*1000</f>
        <v>2430</v>
      </c>
      <c r="H6" s="164">
        <f t="shared" si="0"/>
        <v>2810</v>
      </c>
      <c r="I6" s="164">
        <f t="shared" si="1"/>
        <v>3290</v>
      </c>
      <c r="J6" s="160" t="s">
        <v>1012</v>
      </c>
      <c r="K6" s="160"/>
      <c r="L6" s="163"/>
      <c r="M6" s="163"/>
      <c r="N6" s="163"/>
      <c r="O6" s="163"/>
      <c r="P6" s="170">
        <f t="shared" ref="P6:P26" si="5">ROUND($O$2*Y6/1000,2)</f>
        <v>2.43</v>
      </c>
      <c r="Q6" s="170">
        <f t="shared" si="2"/>
        <v>2.81</v>
      </c>
      <c r="R6" s="170">
        <f t="shared" si="3"/>
        <v>3.29</v>
      </c>
      <c r="S6" s="169" t="s">
        <v>1012</v>
      </c>
      <c r="T6" s="169"/>
      <c r="U6" s="181"/>
      <c r="V6" s="181"/>
      <c r="W6" s="181"/>
      <c r="X6" s="181"/>
      <c r="Y6" s="181">
        <v>0.2311</v>
      </c>
      <c r="Z6" s="181">
        <v>0.268</v>
      </c>
      <c r="AA6" s="181">
        <v>0.3135</v>
      </c>
      <c r="AB6" s="185"/>
    </row>
    <row r="7" ht="15" spans="1:28">
      <c r="A7" s="160" t="s">
        <v>1013</v>
      </c>
      <c r="B7" s="160"/>
      <c r="C7" s="163"/>
      <c r="D7" s="163"/>
      <c r="E7" s="163"/>
      <c r="F7" s="164">
        <f t="shared" ref="F7:F26" si="6">O7*1000</f>
        <v>3180</v>
      </c>
      <c r="G7" s="164">
        <f t="shared" si="4"/>
        <v>3770</v>
      </c>
      <c r="H7" s="164">
        <f t="shared" si="0"/>
        <v>4470</v>
      </c>
      <c r="I7" s="164">
        <f t="shared" si="1"/>
        <v>5390</v>
      </c>
      <c r="J7" s="160" t="s">
        <v>1013</v>
      </c>
      <c r="K7" s="160"/>
      <c r="L7" s="163"/>
      <c r="M7" s="163"/>
      <c r="N7" s="163"/>
      <c r="O7" s="170">
        <f t="shared" ref="O7:O26" si="7">ROUND($O$2*X7/1000,2)</f>
        <v>3.18</v>
      </c>
      <c r="P7" s="170">
        <f t="shared" si="5"/>
        <v>3.77</v>
      </c>
      <c r="Q7" s="170">
        <f t="shared" si="2"/>
        <v>4.47</v>
      </c>
      <c r="R7" s="170">
        <f t="shared" si="3"/>
        <v>5.39</v>
      </c>
      <c r="S7" s="169" t="s">
        <v>1013</v>
      </c>
      <c r="T7" s="169"/>
      <c r="U7" s="181"/>
      <c r="V7" s="181"/>
      <c r="W7" s="181"/>
      <c r="X7" s="181">
        <v>0.3026</v>
      </c>
      <c r="Y7" s="181">
        <v>0.3589</v>
      </c>
      <c r="Z7" s="181">
        <v>0.4258</v>
      </c>
      <c r="AA7" s="181">
        <v>0.5134</v>
      </c>
      <c r="AB7" s="185"/>
    </row>
    <row r="8" ht="15" spans="1:28">
      <c r="A8" s="160" t="s">
        <v>1014</v>
      </c>
      <c r="B8" s="160"/>
      <c r="C8" s="163"/>
      <c r="D8" s="163"/>
      <c r="E8" s="164">
        <f t="shared" ref="E8:E26" si="8">N8*1000</f>
        <v>4030</v>
      </c>
      <c r="F8" s="164">
        <f t="shared" si="6"/>
        <v>4800</v>
      </c>
      <c r="G8" s="164">
        <f t="shared" si="4"/>
        <v>5800</v>
      </c>
      <c r="H8" s="164">
        <f t="shared" si="0"/>
        <v>7100</v>
      </c>
      <c r="I8" s="164">
        <f t="shared" si="1"/>
        <v>8410</v>
      </c>
      <c r="J8" s="160" t="s">
        <v>1014</v>
      </c>
      <c r="K8" s="160"/>
      <c r="L8" s="163"/>
      <c r="M8" s="163"/>
      <c r="N8" s="170">
        <f t="shared" ref="N8:N26" si="9">ROUND($O$2*W8/1000,2)</f>
        <v>4.03</v>
      </c>
      <c r="O8" s="170">
        <f t="shared" si="7"/>
        <v>4.8</v>
      </c>
      <c r="P8" s="170">
        <f t="shared" si="5"/>
        <v>5.8</v>
      </c>
      <c r="Q8" s="170">
        <f t="shared" si="2"/>
        <v>7.1</v>
      </c>
      <c r="R8" s="170">
        <f t="shared" si="3"/>
        <v>8.41</v>
      </c>
      <c r="S8" s="169" t="s">
        <v>1014</v>
      </c>
      <c r="T8" s="169"/>
      <c r="U8" s="181"/>
      <c r="V8" s="181"/>
      <c r="W8" s="181">
        <v>0.3841</v>
      </c>
      <c r="X8" s="181">
        <v>0.4574</v>
      </c>
      <c r="Y8" s="181">
        <v>0.5521</v>
      </c>
      <c r="Z8" s="181">
        <v>0.6761</v>
      </c>
      <c r="AA8" s="181">
        <v>0.8005</v>
      </c>
      <c r="AB8" s="185"/>
    </row>
    <row r="9" ht="15" spans="1:28">
      <c r="A9" s="160" t="s">
        <v>1015</v>
      </c>
      <c r="B9" s="160"/>
      <c r="C9" s="163"/>
      <c r="D9" s="164">
        <f t="shared" ref="D9:D26" si="10">M9*1000</f>
        <v>5130</v>
      </c>
      <c r="E9" s="164">
        <f t="shared" si="8"/>
        <v>6120</v>
      </c>
      <c r="F9" s="164">
        <f t="shared" si="6"/>
        <v>7420</v>
      </c>
      <c r="G9" s="164">
        <f t="shared" si="4"/>
        <v>9330</v>
      </c>
      <c r="H9" s="164">
        <f t="shared" si="0"/>
        <v>11060</v>
      </c>
      <c r="I9" s="164">
        <f t="shared" si="1"/>
        <v>13180</v>
      </c>
      <c r="J9" s="160" t="s">
        <v>1015</v>
      </c>
      <c r="K9" s="160"/>
      <c r="L9" s="163"/>
      <c r="M9" s="170">
        <f t="shared" ref="M9:M26" si="11">ROUND($O$2*V9/1000,2)</f>
        <v>5.13</v>
      </c>
      <c r="N9" s="170">
        <f t="shared" si="9"/>
        <v>6.12</v>
      </c>
      <c r="O9" s="170">
        <f t="shared" si="7"/>
        <v>7.42</v>
      </c>
      <c r="P9" s="170">
        <f t="shared" si="5"/>
        <v>9.33</v>
      </c>
      <c r="Q9" s="170">
        <f t="shared" si="2"/>
        <v>11.06</v>
      </c>
      <c r="R9" s="170">
        <f t="shared" si="3"/>
        <v>13.18</v>
      </c>
      <c r="S9" s="169" t="s">
        <v>1015</v>
      </c>
      <c r="T9" s="169"/>
      <c r="U9" s="181"/>
      <c r="V9" s="181">
        <v>0.4887</v>
      </c>
      <c r="W9" s="181">
        <v>0.5829</v>
      </c>
      <c r="X9" s="181">
        <v>0.7063</v>
      </c>
      <c r="Y9" s="181">
        <v>0.8889</v>
      </c>
      <c r="Z9" s="181">
        <v>1.0531</v>
      </c>
      <c r="AA9" s="181">
        <v>1.2556</v>
      </c>
      <c r="AB9" s="185"/>
    </row>
    <row r="10" ht="15" spans="1:28">
      <c r="A10" s="160" t="s">
        <v>1016</v>
      </c>
      <c r="B10" s="160"/>
      <c r="C10" s="164">
        <f t="shared" ref="C10:C26" si="12">L10*1000</f>
        <v>6570</v>
      </c>
      <c r="D10" s="164">
        <f t="shared" si="10"/>
        <v>8100</v>
      </c>
      <c r="E10" s="164">
        <f t="shared" si="8"/>
        <v>9490</v>
      </c>
      <c r="F10" s="164">
        <f t="shared" si="6"/>
        <v>11800</v>
      </c>
      <c r="G10" s="164">
        <f t="shared" si="4"/>
        <v>14430</v>
      </c>
      <c r="H10" s="164">
        <f t="shared" si="0"/>
        <v>17620</v>
      </c>
      <c r="I10" s="164">
        <f t="shared" si="1"/>
        <v>21030</v>
      </c>
      <c r="J10" s="160" t="s">
        <v>1016</v>
      </c>
      <c r="K10" s="160"/>
      <c r="L10" s="170">
        <f t="shared" ref="L10:L26" si="13">ROUND($O$2*U10/1000,2)</f>
        <v>6.57</v>
      </c>
      <c r="M10" s="170">
        <f t="shared" si="11"/>
        <v>8.1</v>
      </c>
      <c r="N10" s="170">
        <f t="shared" si="9"/>
        <v>9.49</v>
      </c>
      <c r="O10" s="170">
        <f t="shared" si="7"/>
        <v>11.8</v>
      </c>
      <c r="P10" s="170">
        <f t="shared" si="5"/>
        <v>14.43</v>
      </c>
      <c r="Q10" s="170">
        <f t="shared" si="2"/>
        <v>17.62</v>
      </c>
      <c r="R10" s="170">
        <f t="shared" si="3"/>
        <v>21.03</v>
      </c>
      <c r="S10" s="169" t="s">
        <v>1016</v>
      </c>
      <c r="T10" s="176"/>
      <c r="U10" s="181">
        <v>0.626</v>
      </c>
      <c r="V10" s="181">
        <v>0.7714</v>
      </c>
      <c r="W10" s="181">
        <v>0.9036</v>
      </c>
      <c r="X10" s="181">
        <v>1.1237</v>
      </c>
      <c r="Y10" s="181">
        <v>1.3743</v>
      </c>
      <c r="Z10" s="181">
        <v>1.6777</v>
      </c>
      <c r="AA10" s="181">
        <v>2.0029</v>
      </c>
      <c r="AB10" s="185"/>
    </row>
    <row r="11" ht="15" spans="1:28">
      <c r="A11" s="160" t="s">
        <v>1017</v>
      </c>
      <c r="B11" s="164">
        <f t="shared" ref="B11:B22" si="14">K11*1000</f>
        <v>5880</v>
      </c>
      <c r="C11" s="164">
        <f t="shared" si="12"/>
        <v>9040</v>
      </c>
      <c r="D11" s="164">
        <f t="shared" si="10"/>
        <v>11080</v>
      </c>
      <c r="E11" s="164">
        <f t="shared" si="8"/>
        <v>13570</v>
      </c>
      <c r="F11" s="164">
        <f t="shared" si="6"/>
        <v>16650</v>
      </c>
      <c r="G11" s="164">
        <f t="shared" si="4"/>
        <v>20420</v>
      </c>
      <c r="H11" s="164">
        <f t="shared" si="0"/>
        <v>25040</v>
      </c>
      <c r="I11" s="164">
        <f t="shared" si="1"/>
        <v>29690</v>
      </c>
      <c r="J11" s="160" t="s">
        <v>1017</v>
      </c>
      <c r="K11" s="170">
        <f t="shared" ref="K11:K22" si="15">ROUND($O$2*T11/1000,2)</f>
        <v>5.88</v>
      </c>
      <c r="L11" s="170">
        <f t="shared" si="13"/>
        <v>9.04</v>
      </c>
      <c r="M11" s="170">
        <f t="shared" si="11"/>
        <v>11.08</v>
      </c>
      <c r="N11" s="170">
        <f t="shared" si="9"/>
        <v>13.57</v>
      </c>
      <c r="O11" s="170">
        <f t="shared" si="7"/>
        <v>16.65</v>
      </c>
      <c r="P11" s="170">
        <f t="shared" si="5"/>
        <v>20.42</v>
      </c>
      <c r="Q11" s="170">
        <f t="shared" si="2"/>
        <v>25.04</v>
      </c>
      <c r="R11" s="170">
        <f t="shared" si="3"/>
        <v>29.69</v>
      </c>
      <c r="S11" s="182" t="s">
        <v>1017</v>
      </c>
      <c r="T11" s="183">
        <v>0.56</v>
      </c>
      <c r="U11" s="184">
        <v>0.8611</v>
      </c>
      <c r="V11" s="181">
        <v>1.0553</v>
      </c>
      <c r="W11" s="181">
        <v>1.2924</v>
      </c>
      <c r="X11" s="181">
        <v>1.5857</v>
      </c>
      <c r="Y11" s="181">
        <v>1.9443</v>
      </c>
      <c r="Z11" s="181">
        <v>2.3843</v>
      </c>
      <c r="AA11" s="181">
        <v>2.8278</v>
      </c>
      <c r="AB11" s="185"/>
    </row>
    <row r="12" ht="15" spans="1:28">
      <c r="A12" s="160" t="s">
        <v>1018</v>
      </c>
      <c r="B12" s="164">
        <f t="shared" si="14"/>
        <v>8680</v>
      </c>
      <c r="C12" s="164">
        <f t="shared" si="12"/>
        <v>12990</v>
      </c>
      <c r="D12" s="164">
        <f t="shared" si="10"/>
        <v>16040</v>
      </c>
      <c r="E12" s="164">
        <f t="shared" si="8"/>
        <v>19440</v>
      </c>
      <c r="F12" s="164">
        <f t="shared" si="6"/>
        <v>24110</v>
      </c>
      <c r="G12" s="164">
        <f t="shared" si="4"/>
        <v>30840</v>
      </c>
      <c r="H12" s="164">
        <f t="shared" si="0"/>
        <v>35760</v>
      </c>
      <c r="I12" s="164">
        <f t="shared" si="1"/>
        <v>42760</v>
      </c>
      <c r="J12" s="160" t="s">
        <v>1018</v>
      </c>
      <c r="K12" s="170">
        <f t="shared" si="15"/>
        <v>8.68</v>
      </c>
      <c r="L12" s="170">
        <f t="shared" si="13"/>
        <v>12.99</v>
      </c>
      <c r="M12" s="170">
        <f t="shared" si="11"/>
        <v>16.04</v>
      </c>
      <c r="N12" s="170">
        <f t="shared" si="9"/>
        <v>19.44</v>
      </c>
      <c r="O12" s="170">
        <f t="shared" si="7"/>
        <v>24.11</v>
      </c>
      <c r="P12" s="170">
        <f t="shared" si="5"/>
        <v>30.84</v>
      </c>
      <c r="Q12" s="170">
        <f t="shared" si="2"/>
        <v>35.76</v>
      </c>
      <c r="R12" s="170">
        <f t="shared" si="3"/>
        <v>42.76</v>
      </c>
      <c r="S12" s="182" t="s">
        <v>1018</v>
      </c>
      <c r="T12" s="183">
        <v>0.827</v>
      </c>
      <c r="U12" s="184">
        <v>1.2373</v>
      </c>
      <c r="V12" s="181">
        <v>1.528</v>
      </c>
      <c r="W12" s="181">
        <v>1.8512</v>
      </c>
      <c r="X12" s="181">
        <v>2.2963</v>
      </c>
      <c r="Y12" s="181">
        <v>2.937</v>
      </c>
      <c r="Z12" s="181">
        <v>3.4055</v>
      </c>
      <c r="AA12" s="181">
        <v>4.0721</v>
      </c>
      <c r="AB12" s="185"/>
    </row>
    <row r="13" ht="15" spans="1:28">
      <c r="A13" s="160" t="s">
        <v>1019</v>
      </c>
      <c r="B13" s="164">
        <f t="shared" si="14"/>
        <v>13280</v>
      </c>
      <c r="C13" s="164">
        <f t="shared" si="12"/>
        <v>15530</v>
      </c>
      <c r="D13" s="164">
        <f t="shared" si="10"/>
        <v>19340</v>
      </c>
      <c r="E13" s="164">
        <f t="shared" si="8"/>
        <v>23590</v>
      </c>
      <c r="F13" s="164">
        <f t="shared" si="6"/>
        <v>29230</v>
      </c>
      <c r="G13" s="164">
        <f t="shared" si="4"/>
        <v>35920</v>
      </c>
      <c r="H13" s="164">
        <f t="shared" si="0"/>
        <v>44250</v>
      </c>
      <c r="I13" s="164">
        <f t="shared" si="1"/>
        <v>53300</v>
      </c>
      <c r="J13" s="160" t="s">
        <v>1019</v>
      </c>
      <c r="K13" s="170">
        <f t="shared" si="15"/>
        <v>13.28</v>
      </c>
      <c r="L13" s="170">
        <f t="shared" si="13"/>
        <v>15.53</v>
      </c>
      <c r="M13" s="170">
        <f t="shared" si="11"/>
        <v>19.34</v>
      </c>
      <c r="N13" s="170">
        <f t="shared" si="9"/>
        <v>23.59</v>
      </c>
      <c r="O13" s="170">
        <f t="shared" si="7"/>
        <v>29.23</v>
      </c>
      <c r="P13" s="170">
        <f t="shared" si="5"/>
        <v>35.92</v>
      </c>
      <c r="Q13" s="170">
        <f t="shared" si="2"/>
        <v>44.25</v>
      </c>
      <c r="R13" s="170">
        <f t="shared" si="3"/>
        <v>53.3</v>
      </c>
      <c r="S13" s="182" t="s">
        <v>1019</v>
      </c>
      <c r="T13" s="183">
        <v>1.265</v>
      </c>
      <c r="U13" s="184">
        <v>1.4792</v>
      </c>
      <c r="V13" s="181">
        <v>1.8416</v>
      </c>
      <c r="W13" s="181">
        <v>2.2469</v>
      </c>
      <c r="X13" s="181">
        <v>2.7838</v>
      </c>
      <c r="Y13" s="181">
        <v>3.4208</v>
      </c>
      <c r="Z13" s="181">
        <v>4.2147</v>
      </c>
      <c r="AA13" s="181">
        <v>5.0758</v>
      </c>
      <c r="AB13" s="185"/>
    </row>
    <row r="14" ht="15" spans="1:28">
      <c r="A14" s="160" t="s">
        <v>1020</v>
      </c>
      <c r="B14" s="164">
        <f t="shared" si="14"/>
        <v>15650</v>
      </c>
      <c r="C14" s="164">
        <f t="shared" si="12"/>
        <v>20340</v>
      </c>
      <c r="D14" s="164">
        <f t="shared" si="10"/>
        <v>24960</v>
      </c>
      <c r="E14" s="164">
        <f t="shared" si="8"/>
        <v>30660</v>
      </c>
      <c r="F14" s="164">
        <f t="shared" si="6"/>
        <v>37600</v>
      </c>
      <c r="G14" s="164">
        <f t="shared" si="4"/>
        <v>46560</v>
      </c>
      <c r="H14" s="164">
        <f t="shared" si="0"/>
        <v>56970</v>
      </c>
      <c r="I14" s="164">
        <f t="shared" si="1"/>
        <v>69300</v>
      </c>
      <c r="J14" s="160" t="s">
        <v>1020</v>
      </c>
      <c r="K14" s="170">
        <f t="shared" si="15"/>
        <v>15.65</v>
      </c>
      <c r="L14" s="170">
        <f t="shared" si="13"/>
        <v>20.34</v>
      </c>
      <c r="M14" s="170">
        <f t="shared" si="11"/>
        <v>24.96</v>
      </c>
      <c r="N14" s="170">
        <f t="shared" si="9"/>
        <v>30.66</v>
      </c>
      <c r="O14" s="170">
        <f t="shared" si="7"/>
        <v>37.6</v>
      </c>
      <c r="P14" s="170">
        <f t="shared" si="5"/>
        <v>46.56</v>
      </c>
      <c r="Q14" s="170">
        <f t="shared" si="2"/>
        <v>56.97</v>
      </c>
      <c r="R14" s="170">
        <f t="shared" si="3"/>
        <v>69.3</v>
      </c>
      <c r="S14" s="182" t="s">
        <v>1020</v>
      </c>
      <c r="T14" s="183">
        <v>1.49</v>
      </c>
      <c r="U14" s="184">
        <v>1.9371</v>
      </c>
      <c r="V14" s="181">
        <v>2.3774</v>
      </c>
      <c r="W14" s="181">
        <v>2.9199</v>
      </c>
      <c r="X14" s="181">
        <v>3.5814</v>
      </c>
      <c r="Y14" s="181">
        <v>4.434</v>
      </c>
      <c r="Z14" s="181">
        <v>5.4254</v>
      </c>
      <c r="AA14" s="181">
        <v>6.6</v>
      </c>
      <c r="AB14" s="185"/>
    </row>
    <row r="15" ht="15" spans="1:28">
      <c r="A15" s="160" t="s">
        <v>1021</v>
      </c>
      <c r="B15" s="164">
        <f t="shared" si="14"/>
        <v>21910</v>
      </c>
      <c r="C15" s="164">
        <f t="shared" si="12"/>
        <v>25470</v>
      </c>
      <c r="D15" s="164">
        <f t="shared" si="10"/>
        <v>30970</v>
      </c>
      <c r="E15" s="164">
        <f t="shared" si="8"/>
        <v>38620</v>
      </c>
      <c r="F15" s="164">
        <f t="shared" si="6"/>
        <v>47330</v>
      </c>
      <c r="G15" s="164">
        <f t="shared" si="4"/>
        <v>58800</v>
      </c>
      <c r="H15" s="164">
        <f t="shared" si="0"/>
        <v>71530</v>
      </c>
      <c r="I15" s="164">
        <f t="shared" si="1"/>
        <v>86500</v>
      </c>
      <c r="J15" s="160" t="s">
        <v>1021</v>
      </c>
      <c r="K15" s="170">
        <f t="shared" si="15"/>
        <v>21.91</v>
      </c>
      <c r="L15" s="170">
        <f t="shared" si="13"/>
        <v>25.47</v>
      </c>
      <c r="M15" s="170">
        <f t="shared" si="11"/>
        <v>30.97</v>
      </c>
      <c r="N15" s="170">
        <f t="shared" si="9"/>
        <v>38.62</v>
      </c>
      <c r="O15" s="170">
        <f t="shared" si="7"/>
        <v>47.33</v>
      </c>
      <c r="P15" s="170">
        <f t="shared" si="5"/>
        <v>58.8</v>
      </c>
      <c r="Q15" s="170">
        <f t="shared" si="2"/>
        <v>71.53</v>
      </c>
      <c r="R15" s="170">
        <f t="shared" si="3"/>
        <v>86.5</v>
      </c>
      <c r="S15" s="182" t="s">
        <v>1021</v>
      </c>
      <c r="T15" s="183">
        <v>2.087</v>
      </c>
      <c r="U15" s="184">
        <v>2.4254</v>
      </c>
      <c r="V15" s="181">
        <v>2.9496</v>
      </c>
      <c r="W15" s="181">
        <v>3.678</v>
      </c>
      <c r="X15" s="181">
        <v>4.5078</v>
      </c>
      <c r="Y15" s="181">
        <v>5.5998</v>
      </c>
      <c r="Z15" s="181">
        <v>6.8123</v>
      </c>
      <c r="AA15" s="181">
        <v>8.2383</v>
      </c>
      <c r="AB15" s="185"/>
    </row>
    <row r="16" ht="15" spans="1:28">
      <c r="A16" s="160" t="s">
        <v>1022</v>
      </c>
      <c r="B16" s="164">
        <f t="shared" si="14"/>
        <v>27040</v>
      </c>
      <c r="C16" s="164">
        <f t="shared" si="12"/>
        <v>32970</v>
      </c>
      <c r="D16" s="164">
        <f t="shared" si="10"/>
        <v>40380</v>
      </c>
      <c r="E16" s="164">
        <f t="shared" si="8"/>
        <v>50580</v>
      </c>
      <c r="F16" s="164">
        <f t="shared" si="6"/>
        <v>61970</v>
      </c>
      <c r="G16" s="164">
        <f t="shared" si="4"/>
        <v>75550</v>
      </c>
      <c r="H16" s="164">
        <f t="shared" si="0"/>
        <v>93600</v>
      </c>
      <c r="I16" s="164">
        <f t="shared" si="1"/>
        <v>113350</v>
      </c>
      <c r="J16" s="160" t="s">
        <v>1022</v>
      </c>
      <c r="K16" s="170">
        <f t="shared" si="15"/>
        <v>27.04</v>
      </c>
      <c r="L16" s="170">
        <f t="shared" si="13"/>
        <v>32.97</v>
      </c>
      <c r="M16" s="170">
        <f t="shared" si="11"/>
        <v>40.38</v>
      </c>
      <c r="N16" s="170">
        <f t="shared" si="9"/>
        <v>50.58</v>
      </c>
      <c r="O16" s="170">
        <f t="shared" si="7"/>
        <v>61.97</v>
      </c>
      <c r="P16" s="170">
        <f t="shared" si="5"/>
        <v>75.55</v>
      </c>
      <c r="Q16" s="170">
        <f t="shared" si="2"/>
        <v>93.6</v>
      </c>
      <c r="R16" s="170">
        <f t="shared" si="3"/>
        <v>113.35</v>
      </c>
      <c r="S16" s="182" t="s">
        <v>1022</v>
      </c>
      <c r="T16" s="183">
        <v>2.575</v>
      </c>
      <c r="U16" s="184">
        <v>3.1401</v>
      </c>
      <c r="V16" s="181">
        <v>3.8456</v>
      </c>
      <c r="W16" s="181">
        <v>4.817</v>
      </c>
      <c r="X16" s="181">
        <v>5.9022</v>
      </c>
      <c r="Y16" s="181">
        <v>7.1951</v>
      </c>
      <c r="Z16" s="181">
        <v>8.9141</v>
      </c>
      <c r="AA16" s="181">
        <v>10.7954</v>
      </c>
      <c r="AB16" s="185"/>
    </row>
    <row r="17" ht="15" spans="1:28">
      <c r="A17" s="160" t="s">
        <v>1023</v>
      </c>
      <c r="B17" s="164">
        <f t="shared" si="14"/>
        <v>32700</v>
      </c>
      <c r="C17" s="164">
        <f t="shared" si="12"/>
        <v>41020</v>
      </c>
      <c r="D17" s="164">
        <f t="shared" si="10"/>
        <v>51040</v>
      </c>
      <c r="E17" s="164">
        <f t="shared" si="8"/>
        <v>63360</v>
      </c>
      <c r="F17" s="164">
        <f t="shared" si="6"/>
        <v>77800</v>
      </c>
      <c r="G17" s="164">
        <f t="shared" si="4"/>
        <v>97780</v>
      </c>
      <c r="H17" s="164">
        <f t="shared" si="0"/>
        <v>118650</v>
      </c>
      <c r="I17" s="164">
        <f t="shared" si="1"/>
        <v>143490</v>
      </c>
      <c r="J17" s="160" t="s">
        <v>1023</v>
      </c>
      <c r="K17" s="170">
        <f t="shared" si="15"/>
        <v>32.7</v>
      </c>
      <c r="L17" s="170">
        <f t="shared" si="13"/>
        <v>41.02</v>
      </c>
      <c r="M17" s="170">
        <f t="shared" si="11"/>
        <v>51.04</v>
      </c>
      <c r="N17" s="170">
        <f t="shared" si="9"/>
        <v>63.36</v>
      </c>
      <c r="O17" s="170">
        <f t="shared" si="7"/>
        <v>77.8</v>
      </c>
      <c r="P17" s="170">
        <f t="shared" si="5"/>
        <v>97.78</v>
      </c>
      <c r="Q17" s="170">
        <f t="shared" si="2"/>
        <v>118.65</v>
      </c>
      <c r="R17" s="170">
        <f t="shared" si="3"/>
        <v>143.49</v>
      </c>
      <c r="S17" s="182" t="s">
        <v>1023</v>
      </c>
      <c r="T17" s="183">
        <v>3.114</v>
      </c>
      <c r="U17" s="184">
        <v>3.9071</v>
      </c>
      <c r="V17" s="181">
        <v>4.8608</v>
      </c>
      <c r="W17" s="181">
        <v>6.0346</v>
      </c>
      <c r="X17" s="181">
        <v>7.4098</v>
      </c>
      <c r="Y17" s="181">
        <v>9.3123</v>
      </c>
      <c r="Z17" s="181">
        <v>11.3001</v>
      </c>
      <c r="AA17" s="181">
        <v>13.6653</v>
      </c>
      <c r="AB17" s="185"/>
    </row>
    <row r="18" ht="15" spans="1:28">
      <c r="A18" s="160" t="s">
        <v>1024</v>
      </c>
      <c r="B18" s="164">
        <f t="shared" si="14"/>
        <v>40290</v>
      </c>
      <c r="C18" s="164">
        <f t="shared" si="12"/>
        <v>51020</v>
      </c>
      <c r="D18" s="164">
        <f t="shared" si="10"/>
        <v>64040</v>
      </c>
      <c r="E18" s="164">
        <f t="shared" si="8"/>
        <v>78670</v>
      </c>
      <c r="F18" s="164">
        <f t="shared" si="6"/>
        <v>99500</v>
      </c>
      <c r="G18" s="164">
        <f t="shared" si="4"/>
        <v>120280</v>
      </c>
      <c r="H18" s="164">
        <f t="shared" si="0"/>
        <v>146630</v>
      </c>
      <c r="I18" s="164">
        <f t="shared" si="1"/>
        <v>177630</v>
      </c>
      <c r="J18" s="160" t="s">
        <v>1024</v>
      </c>
      <c r="K18" s="170">
        <f t="shared" si="15"/>
        <v>40.29</v>
      </c>
      <c r="L18" s="170">
        <f t="shared" si="13"/>
        <v>51.02</v>
      </c>
      <c r="M18" s="170">
        <f t="shared" si="11"/>
        <v>64.04</v>
      </c>
      <c r="N18" s="170">
        <f t="shared" si="9"/>
        <v>78.67</v>
      </c>
      <c r="O18" s="170">
        <f t="shared" si="7"/>
        <v>99.5</v>
      </c>
      <c r="P18" s="170">
        <f t="shared" si="5"/>
        <v>120.28</v>
      </c>
      <c r="Q18" s="170">
        <f t="shared" si="2"/>
        <v>146.63</v>
      </c>
      <c r="R18" s="170">
        <f t="shared" si="3"/>
        <v>177.63</v>
      </c>
      <c r="S18" s="182" t="s">
        <v>1024</v>
      </c>
      <c r="T18" s="183">
        <v>3.837</v>
      </c>
      <c r="U18" s="184">
        <v>4.8592</v>
      </c>
      <c r="V18" s="181">
        <v>6.0994</v>
      </c>
      <c r="W18" s="181">
        <v>7.4926</v>
      </c>
      <c r="X18" s="181">
        <v>9.4761</v>
      </c>
      <c r="Y18" s="181">
        <v>11.4555</v>
      </c>
      <c r="Z18" s="181">
        <v>13.9648</v>
      </c>
      <c r="AA18" s="181">
        <v>16.9172</v>
      </c>
      <c r="AB18" s="185"/>
    </row>
    <row r="19" ht="15" spans="1:28">
      <c r="A19" s="160" t="s">
        <v>1025</v>
      </c>
      <c r="B19" s="164">
        <f t="shared" si="14"/>
        <v>52610</v>
      </c>
      <c r="C19" s="164">
        <f t="shared" si="12"/>
        <v>64500</v>
      </c>
      <c r="D19" s="164">
        <f t="shared" si="10"/>
        <v>80200</v>
      </c>
      <c r="E19" s="164">
        <f t="shared" si="8"/>
        <v>98760</v>
      </c>
      <c r="F19" s="164">
        <f t="shared" si="6"/>
        <v>123000</v>
      </c>
      <c r="G19" s="164">
        <f t="shared" si="4"/>
        <v>152880</v>
      </c>
      <c r="H19" s="164">
        <f t="shared" ref="H19:H26" si="16">Q19*1000</f>
        <v>185910</v>
      </c>
      <c r="I19" s="163"/>
      <c r="J19" s="160" t="s">
        <v>1025</v>
      </c>
      <c r="K19" s="170">
        <f t="shared" si="15"/>
        <v>52.61</v>
      </c>
      <c r="L19" s="170">
        <f t="shared" si="13"/>
        <v>64.5</v>
      </c>
      <c r="M19" s="170">
        <f t="shared" si="11"/>
        <v>80.2</v>
      </c>
      <c r="N19" s="170">
        <f t="shared" si="9"/>
        <v>98.76</v>
      </c>
      <c r="O19" s="170">
        <f t="shared" si="7"/>
        <v>123</v>
      </c>
      <c r="P19" s="170">
        <f t="shared" si="5"/>
        <v>152.88</v>
      </c>
      <c r="Q19" s="170">
        <f t="shared" ref="Q19:Q26" si="17">ROUND($O$2*Z19/1000,2)</f>
        <v>185.91</v>
      </c>
      <c r="R19" s="163"/>
      <c r="S19" s="182" t="s">
        <v>1025</v>
      </c>
      <c r="T19" s="183">
        <v>5.01</v>
      </c>
      <c r="U19" s="184">
        <v>6.1425</v>
      </c>
      <c r="V19" s="181">
        <v>7.6384</v>
      </c>
      <c r="W19" s="181">
        <v>9.4057</v>
      </c>
      <c r="X19" s="181">
        <v>11.7145</v>
      </c>
      <c r="Y19" s="181">
        <v>14.5597</v>
      </c>
      <c r="Z19" s="181">
        <v>17.7056</v>
      </c>
      <c r="AA19" s="181"/>
      <c r="AB19" s="185"/>
    </row>
    <row r="20" ht="15" spans="1:28">
      <c r="A20" s="160" t="s">
        <v>1026</v>
      </c>
      <c r="B20" s="164">
        <f t="shared" si="14"/>
        <v>63300</v>
      </c>
      <c r="C20" s="164">
        <f t="shared" si="12"/>
        <v>80860</v>
      </c>
      <c r="D20" s="164">
        <f t="shared" si="10"/>
        <v>99520</v>
      </c>
      <c r="E20" s="164">
        <f t="shared" si="8"/>
        <v>123040</v>
      </c>
      <c r="F20" s="164">
        <f t="shared" si="6"/>
        <v>150620</v>
      </c>
      <c r="G20" s="164">
        <f t="shared" si="4"/>
        <v>186340</v>
      </c>
      <c r="H20" s="164">
        <f t="shared" si="16"/>
        <v>229720</v>
      </c>
      <c r="I20" s="163"/>
      <c r="J20" s="160" t="s">
        <v>1026</v>
      </c>
      <c r="K20" s="170">
        <f t="shared" si="15"/>
        <v>63.3</v>
      </c>
      <c r="L20" s="170">
        <f t="shared" si="13"/>
        <v>80.86</v>
      </c>
      <c r="M20" s="170">
        <f t="shared" si="11"/>
        <v>99.52</v>
      </c>
      <c r="N20" s="170">
        <f t="shared" si="9"/>
        <v>123.04</v>
      </c>
      <c r="O20" s="170">
        <f t="shared" si="7"/>
        <v>150.62</v>
      </c>
      <c r="P20" s="170">
        <f t="shared" si="5"/>
        <v>186.34</v>
      </c>
      <c r="Q20" s="170">
        <f t="shared" si="17"/>
        <v>229.72</v>
      </c>
      <c r="R20" s="163"/>
      <c r="S20" s="182" t="s">
        <v>1026</v>
      </c>
      <c r="T20" s="183">
        <v>6.029</v>
      </c>
      <c r="U20" s="184">
        <v>7.7013</v>
      </c>
      <c r="V20" s="181">
        <v>9.4781</v>
      </c>
      <c r="W20" s="181">
        <v>11.7183</v>
      </c>
      <c r="X20" s="181">
        <v>14.3448</v>
      </c>
      <c r="Y20" s="181">
        <v>17.7469</v>
      </c>
      <c r="Z20" s="181">
        <v>21.8783</v>
      </c>
      <c r="AA20" s="181"/>
      <c r="AB20" s="185"/>
    </row>
    <row r="21" ht="15" spans="1:28">
      <c r="A21" s="160" t="s">
        <v>1027</v>
      </c>
      <c r="B21" s="164">
        <f t="shared" si="14"/>
        <v>80850</v>
      </c>
      <c r="C21" s="164">
        <f t="shared" si="12"/>
        <v>101220</v>
      </c>
      <c r="D21" s="164">
        <f t="shared" si="10"/>
        <v>125500</v>
      </c>
      <c r="E21" s="164">
        <f t="shared" si="8"/>
        <v>154560</v>
      </c>
      <c r="F21" s="164">
        <f t="shared" si="6"/>
        <v>191160</v>
      </c>
      <c r="G21" s="164">
        <f t="shared" si="4"/>
        <v>235310</v>
      </c>
      <c r="H21" s="164">
        <f t="shared" si="16"/>
        <v>289250</v>
      </c>
      <c r="I21" s="163"/>
      <c r="J21" s="160" t="s">
        <v>1027</v>
      </c>
      <c r="K21" s="170">
        <f t="shared" si="15"/>
        <v>80.85</v>
      </c>
      <c r="L21" s="170">
        <f t="shared" si="13"/>
        <v>101.22</v>
      </c>
      <c r="M21" s="170">
        <f t="shared" si="11"/>
        <v>125.5</v>
      </c>
      <c r="N21" s="170">
        <f t="shared" si="9"/>
        <v>154.56</v>
      </c>
      <c r="O21" s="170">
        <f t="shared" si="7"/>
        <v>191.16</v>
      </c>
      <c r="P21" s="170">
        <f t="shared" si="5"/>
        <v>235.31</v>
      </c>
      <c r="Q21" s="170">
        <f t="shared" si="17"/>
        <v>289.25</v>
      </c>
      <c r="R21" s="163"/>
      <c r="S21" s="182" t="s">
        <v>1027</v>
      </c>
      <c r="T21" s="183">
        <v>7.7</v>
      </c>
      <c r="U21" s="184">
        <v>9.64</v>
      </c>
      <c r="V21" s="181">
        <v>11.9522</v>
      </c>
      <c r="W21" s="181">
        <v>14.7198</v>
      </c>
      <c r="X21" s="181">
        <v>18.2057</v>
      </c>
      <c r="Y21" s="181">
        <v>22.41</v>
      </c>
      <c r="Z21" s="181">
        <v>27.5478</v>
      </c>
      <c r="AA21" s="181"/>
      <c r="AB21" s="185"/>
    </row>
    <row r="22" ht="15" spans="1:28">
      <c r="A22" s="160" t="s">
        <v>1028</v>
      </c>
      <c r="B22" s="164">
        <f t="shared" si="14"/>
        <v>101790</v>
      </c>
      <c r="C22" s="164">
        <f t="shared" si="12"/>
        <v>127100</v>
      </c>
      <c r="D22" s="164">
        <f t="shared" si="10"/>
        <v>158900</v>
      </c>
      <c r="E22" s="164">
        <f t="shared" si="8"/>
        <v>196750</v>
      </c>
      <c r="F22" s="164">
        <f t="shared" si="6"/>
        <v>240880</v>
      </c>
      <c r="G22" s="164">
        <f t="shared" si="4"/>
        <v>296630</v>
      </c>
      <c r="H22" s="164">
        <f t="shared" si="16"/>
        <v>367090</v>
      </c>
      <c r="I22" s="163"/>
      <c r="J22" s="160" t="s">
        <v>1028</v>
      </c>
      <c r="K22" s="170">
        <f t="shared" si="15"/>
        <v>101.79</v>
      </c>
      <c r="L22" s="170">
        <f t="shared" si="13"/>
        <v>127.1</v>
      </c>
      <c r="M22" s="170">
        <f t="shared" si="11"/>
        <v>158.9</v>
      </c>
      <c r="N22" s="170">
        <f t="shared" si="9"/>
        <v>196.75</v>
      </c>
      <c r="O22" s="170">
        <f t="shared" si="7"/>
        <v>240.88</v>
      </c>
      <c r="P22" s="170">
        <f t="shared" si="5"/>
        <v>296.63</v>
      </c>
      <c r="Q22" s="170">
        <f t="shared" si="17"/>
        <v>367.09</v>
      </c>
      <c r="R22" s="163"/>
      <c r="S22" s="182" t="s">
        <v>1028</v>
      </c>
      <c r="T22" s="183">
        <v>9.694</v>
      </c>
      <c r="U22" s="184">
        <v>12.1052</v>
      </c>
      <c r="V22" s="181">
        <v>15.1333</v>
      </c>
      <c r="W22" s="181">
        <v>18.7378</v>
      </c>
      <c r="X22" s="181">
        <v>22.9414</v>
      </c>
      <c r="Y22" s="181">
        <v>28.25</v>
      </c>
      <c r="Z22" s="181">
        <v>34.9614</v>
      </c>
      <c r="AA22" s="181"/>
      <c r="AB22" s="185"/>
    </row>
    <row r="23" ht="15" spans="1:28">
      <c r="A23" s="160" t="s">
        <v>1029</v>
      </c>
      <c r="B23" s="165"/>
      <c r="C23" s="164">
        <f t="shared" si="12"/>
        <v>162600</v>
      </c>
      <c r="D23" s="164">
        <f t="shared" si="10"/>
        <v>201860</v>
      </c>
      <c r="E23" s="164">
        <f t="shared" si="8"/>
        <v>249550</v>
      </c>
      <c r="F23" s="164">
        <f t="shared" si="6"/>
        <v>306610</v>
      </c>
      <c r="G23" s="164">
        <f t="shared" si="4"/>
        <v>377690</v>
      </c>
      <c r="H23" s="164">
        <f t="shared" si="16"/>
        <v>467090</v>
      </c>
      <c r="I23" s="163"/>
      <c r="J23" s="160" t="s">
        <v>1029</v>
      </c>
      <c r="K23" s="165"/>
      <c r="L23" s="170">
        <f t="shared" si="13"/>
        <v>162.6</v>
      </c>
      <c r="M23" s="170">
        <f t="shared" si="11"/>
        <v>201.86</v>
      </c>
      <c r="N23" s="170">
        <f t="shared" si="9"/>
        <v>249.55</v>
      </c>
      <c r="O23" s="170">
        <f t="shared" si="7"/>
        <v>306.61</v>
      </c>
      <c r="P23" s="170">
        <f t="shared" si="5"/>
        <v>377.69</v>
      </c>
      <c r="Q23" s="170">
        <f t="shared" si="17"/>
        <v>467.09</v>
      </c>
      <c r="R23" s="163"/>
      <c r="S23" s="182" t="s">
        <v>1029</v>
      </c>
      <c r="T23" s="183"/>
      <c r="U23" s="184">
        <v>15.4857</v>
      </c>
      <c r="V23" s="181">
        <v>19.2246</v>
      </c>
      <c r="W23" s="181">
        <v>23.7668</v>
      </c>
      <c r="X23" s="181">
        <v>29.2006</v>
      </c>
      <c r="Y23" s="181">
        <v>35.97</v>
      </c>
      <c r="Z23" s="181">
        <v>44.4849</v>
      </c>
      <c r="AA23" s="181"/>
      <c r="AB23" s="185"/>
    </row>
    <row r="24" ht="15" spans="1:28">
      <c r="A24" s="160" t="s">
        <v>1030</v>
      </c>
      <c r="B24" s="164">
        <f>K24*1000</f>
        <v>160210</v>
      </c>
      <c r="C24" s="164">
        <f t="shared" si="12"/>
        <v>206630</v>
      </c>
      <c r="D24" s="164">
        <f t="shared" si="10"/>
        <v>257710</v>
      </c>
      <c r="E24" s="164">
        <f t="shared" si="8"/>
        <v>317120</v>
      </c>
      <c r="F24" s="164">
        <f t="shared" si="6"/>
        <v>391950</v>
      </c>
      <c r="G24" s="164">
        <f t="shared" si="4"/>
        <v>480690</v>
      </c>
      <c r="H24" s="164">
        <f t="shared" si="16"/>
        <v>595660</v>
      </c>
      <c r="I24" s="163"/>
      <c r="J24" s="160" t="s">
        <v>1030</v>
      </c>
      <c r="K24" s="170">
        <f>ROUND($O$2*T24/1000,2)</f>
        <v>160.21</v>
      </c>
      <c r="L24" s="170">
        <f t="shared" si="13"/>
        <v>206.63</v>
      </c>
      <c r="M24" s="170">
        <f t="shared" si="11"/>
        <v>257.71</v>
      </c>
      <c r="N24" s="170">
        <f t="shared" si="9"/>
        <v>317.12</v>
      </c>
      <c r="O24" s="170">
        <f t="shared" si="7"/>
        <v>391.95</v>
      </c>
      <c r="P24" s="170">
        <f t="shared" si="5"/>
        <v>480.69</v>
      </c>
      <c r="Q24" s="170">
        <f t="shared" si="17"/>
        <v>595.66</v>
      </c>
      <c r="R24" s="163"/>
      <c r="S24" s="182" t="s">
        <v>1030</v>
      </c>
      <c r="T24" s="183">
        <v>15.258</v>
      </c>
      <c r="U24" s="184">
        <v>19.6794</v>
      </c>
      <c r="V24" s="181">
        <v>24.5442</v>
      </c>
      <c r="W24" s="181">
        <v>30.2023</v>
      </c>
      <c r="X24" s="181">
        <v>37.329</v>
      </c>
      <c r="Y24" s="181">
        <v>45.78</v>
      </c>
      <c r="Z24" s="181">
        <v>56.7297</v>
      </c>
      <c r="AA24" s="181"/>
      <c r="AB24" s="185"/>
    </row>
    <row r="25" ht="15" spans="1:28">
      <c r="A25" s="160" t="s">
        <v>1031</v>
      </c>
      <c r="B25" s="165"/>
      <c r="C25" s="164">
        <f t="shared" si="12"/>
        <v>261320</v>
      </c>
      <c r="D25" s="164">
        <f t="shared" si="10"/>
        <v>325240</v>
      </c>
      <c r="E25" s="164">
        <f t="shared" si="8"/>
        <v>401550</v>
      </c>
      <c r="F25" s="164">
        <f t="shared" si="6"/>
        <v>497070</v>
      </c>
      <c r="G25" s="164">
        <f t="shared" si="4"/>
        <v>609210</v>
      </c>
      <c r="H25" s="164">
        <f t="shared" si="16"/>
        <v>758240</v>
      </c>
      <c r="I25" s="163"/>
      <c r="J25" s="160" t="s">
        <v>1031</v>
      </c>
      <c r="K25" s="165"/>
      <c r="L25" s="170">
        <f t="shared" si="13"/>
        <v>261.32</v>
      </c>
      <c r="M25" s="170">
        <f t="shared" si="11"/>
        <v>325.24</v>
      </c>
      <c r="N25" s="170">
        <f t="shared" si="9"/>
        <v>401.55</v>
      </c>
      <c r="O25" s="170">
        <f t="shared" si="7"/>
        <v>497.07</v>
      </c>
      <c r="P25" s="170">
        <f t="shared" si="5"/>
        <v>609.21</v>
      </c>
      <c r="Q25" s="170">
        <f t="shared" si="17"/>
        <v>758.24</v>
      </c>
      <c r="R25" s="163"/>
      <c r="S25" s="182" t="s">
        <v>1031</v>
      </c>
      <c r="T25" s="183"/>
      <c r="U25" s="184">
        <v>24.8877</v>
      </c>
      <c r="V25" s="181">
        <v>30.9748</v>
      </c>
      <c r="W25" s="181">
        <v>38.2429</v>
      </c>
      <c r="X25" s="181">
        <v>47.3397</v>
      </c>
      <c r="Y25" s="181">
        <v>58.02</v>
      </c>
      <c r="Z25" s="181">
        <v>72.2129</v>
      </c>
      <c r="AA25" s="181"/>
      <c r="AB25" s="185"/>
    </row>
    <row r="26" ht="15" spans="1:28">
      <c r="A26" s="166" t="s">
        <v>1032</v>
      </c>
      <c r="B26" s="167">
        <f>K26*1000</f>
        <v>245210</v>
      </c>
      <c r="C26" s="167">
        <f t="shared" si="12"/>
        <v>324610</v>
      </c>
      <c r="D26" s="167">
        <f t="shared" si="10"/>
        <v>400350</v>
      </c>
      <c r="E26" s="167">
        <f t="shared" si="8"/>
        <v>501900</v>
      </c>
      <c r="F26" s="167">
        <f t="shared" si="6"/>
        <v>613160</v>
      </c>
      <c r="G26" s="167">
        <f t="shared" si="4"/>
        <v>755580</v>
      </c>
      <c r="H26" s="167">
        <f t="shared" si="16"/>
        <v>944620</v>
      </c>
      <c r="I26" s="171"/>
      <c r="J26" s="166" t="s">
        <v>1032</v>
      </c>
      <c r="K26" s="172">
        <f>ROUND($O$2*T26/1000,2)</f>
        <v>245.21</v>
      </c>
      <c r="L26" s="172">
        <f t="shared" si="13"/>
        <v>324.61</v>
      </c>
      <c r="M26" s="170">
        <f t="shared" si="11"/>
        <v>400.35</v>
      </c>
      <c r="N26" s="170">
        <f t="shared" si="9"/>
        <v>501.9</v>
      </c>
      <c r="O26" s="170">
        <f t="shared" si="7"/>
        <v>613.16</v>
      </c>
      <c r="P26" s="170">
        <f t="shared" si="5"/>
        <v>755.58</v>
      </c>
      <c r="Q26" s="170">
        <f t="shared" si="17"/>
        <v>944.62</v>
      </c>
      <c r="R26" s="163"/>
      <c r="S26" s="182" t="s">
        <v>1032</v>
      </c>
      <c r="T26" s="183">
        <v>23.353</v>
      </c>
      <c r="U26" s="184">
        <v>30.9153</v>
      </c>
      <c r="V26" s="181">
        <v>38.1289</v>
      </c>
      <c r="W26" s="181">
        <v>47.8</v>
      </c>
      <c r="X26" s="181">
        <v>58.3963</v>
      </c>
      <c r="Y26" s="181">
        <v>71.96</v>
      </c>
      <c r="Z26" s="181">
        <v>89.9635</v>
      </c>
      <c r="AA26" s="181"/>
      <c r="AB26" s="185"/>
    </row>
    <row r="27" spans="1:28">
      <c r="A27" s="168"/>
      <c r="B27" s="168"/>
      <c r="C27" s="168"/>
      <c r="D27" s="168"/>
      <c r="E27" s="168"/>
      <c r="F27" s="168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85"/>
    </row>
    <row r="28" ht="18.75" spans="1:28">
      <c r="A28" s="156"/>
      <c r="B28" s="156"/>
      <c r="C28" s="158"/>
      <c r="D28" s="157"/>
      <c r="E28" s="157"/>
      <c r="F28" s="157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5" t="s">
        <v>1033</v>
      </c>
      <c r="T28" s="155"/>
      <c r="U28" s="156"/>
      <c r="V28" s="156"/>
      <c r="W28" s="156"/>
      <c r="X28" s="156"/>
      <c r="Y28" s="156"/>
      <c r="Z28" s="156"/>
      <c r="AA28" s="156"/>
      <c r="AB28" s="185"/>
    </row>
  </sheetData>
  <mergeCells count="7">
    <mergeCell ref="C3:I3"/>
    <mergeCell ref="L3:R3"/>
    <mergeCell ref="T3:AA3"/>
    <mergeCell ref="A27:F27"/>
    <mergeCell ref="A3:A4"/>
    <mergeCell ref="J3:J4"/>
    <mergeCell ref="S3:S4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I202"/>
  <sheetViews>
    <sheetView view="pageBreakPreview" zoomScaleNormal="100" topLeftCell="A29" workbookViewId="0">
      <selection activeCell="K46" sqref="K46"/>
    </sheetView>
  </sheetViews>
  <sheetFormatPr defaultColWidth="9" defaultRowHeight="20.1" customHeight="1"/>
  <cols>
    <col min="1" max="1" width="5.625" style="127" customWidth="1"/>
    <col min="2" max="2" width="12.25" style="128" customWidth="1"/>
    <col min="3" max="3" width="7.125" style="127" customWidth="1"/>
    <col min="4" max="4" width="10.625" style="129" customWidth="1"/>
    <col min="5" max="5" width="12.875" style="127" customWidth="1"/>
    <col min="6" max="6" width="12.75" style="127" customWidth="1"/>
    <col min="7" max="7" width="13.75" style="128" customWidth="1"/>
    <col min="8" max="8" width="10.5" style="128" customWidth="1"/>
    <col min="9" max="9" width="10.375" style="128" customWidth="1"/>
    <col min="10" max="16384" width="9" style="128"/>
  </cols>
  <sheetData>
    <row r="1" ht="19.9" customHeight="1" spans="1:7">
      <c r="A1" s="130" t="s">
        <v>274</v>
      </c>
      <c r="B1" s="130"/>
      <c r="C1" s="130"/>
      <c r="D1" s="130"/>
      <c r="E1" s="130"/>
      <c r="F1" s="130"/>
      <c r="G1" s="130"/>
    </row>
    <row r="2" ht="15.4" customHeight="1" spans="1:7">
      <c r="A2" s="102" t="s">
        <v>275</v>
      </c>
      <c r="B2" s="103"/>
      <c r="C2" s="103" t="s">
        <v>1034</v>
      </c>
      <c r="D2" s="103" t="s">
        <v>276</v>
      </c>
      <c r="E2" s="104" t="s">
        <v>1035</v>
      </c>
      <c r="F2" s="104"/>
      <c r="G2" s="105"/>
    </row>
    <row r="3" ht="15.4" customHeight="1" spans="1:9">
      <c r="A3" s="106" t="s">
        <v>278</v>
      </c>
      <c r="B3" s="107"/>
      <c r="C3" s="108" t="s">
        <v>1036</v>
      </c>
      <c r="D3" s="108"/>
      <c r="E3" s="108"/>
      <c r="F3" s="109" t="s">
        <v>280</v>
      </c>
      <c r="G3" s="110" t="s">
        <v>814</v>
      </c>
      <c r="I3" s="146"/>
    </row>
    <row r="4" ht="15.4" customHeight="1" spans="1:7">
      <c r="A4" s="111" t="s">
        <v>1037</v>
      </c>
      <c r="B4" s="108"/>
      <c r="C4" s="108"/>
      <c r="D4" s="108"/>
      <c r="E4" s="108"/>
      <c r="F4" s="108"/>
      <c r="G4" s="112"/>
    </row>
    <row r="5" ht="15.4" customHeight="1" spans="1:7">
      <c r="A5" s="113" t="s">
        <v>1038</v>
      </c>
      <c r="B5" s="114"/>
      <c r="C5" s="54"/>
      <c r="D5" s="54"/>
      <c r="E5" s="54"/>
      <c r="F5" s="54"/>
      <c r="G5" s="55"/>
    </row>
    <row r="6" ht="15.4" customHeight="1" spans="1:7">
      <c r="A6" s="106" t="s">
        <v>284</v>
      </c>
      <c r="B6" s="109" t="s">
        <v>233</v>
      </c>
      <c r="C6" s="109"/>
      <c r="D6" s="109" t="s">
        <v>88</v>
      </c>
      <c r="E6" s="115" t="s">
        <v>130</v>
      </c>
      <c r="F6" s="109" t="s">
        <v>285</v>
      </c>
      <c r="G6" s="110" t="s">
        <v>286</v>
      </c>
    </row>
    <row r="7" ht="15.4" customHeight="1" spans="1:7">
      <c r="A7" s="106" t="s">
        <v>9</v>
      </c>
      <c r="B7" s="116" t="s">
        <v>287</v>
      </c>
      <c r="C7" s="116"/>
      <c r="D7" s="109"/>
      <c r="E7" s="115"/>
      <c r="F7" s="115"/>
      <c r="G7" s="117">
        <f>G8+G19</f>
        <v>462.45</v>
      </c>
    </row>
    <row r="8" ht="15.4" customHeight="1" spans="1:7">
      <c r="A8" s="106" t="s">
        <v>132</v>
      </c>
      <c r="B8" s="116" t="s">
        <v>288</v>
      </c>
      <c r="C8" s="116"/>
      <c r="D8" s="109"/>
      <c r="E8" s="115"/>
      <c r="F8" s="115"/>
      <c r="G8" s="117">
        <f>G9+G12+G15</f>
        <v>441.27</v>
      </c>
    </row>
    <row r="9" ht="15.4" customHeight="1" spans="1:7">
      <c r="A9" s="106" t="s">
        <v>39</v>
      </c>
      <c r="B9" s="116" t="s">
        <v>247</v>
      </c>
      <c r="C9" s="116"/>
      <c r="D9" s="109"/>
      <c r="E9" s="115"/>
      <c r="F9" s="115"/>
      <c r="G9" s="117">
        <f>SUM(G10:G11)</f>
        <v>149.66</v>
      </c>
    </row>
    <row r="10" ht="15.4" customHeight="1" spans="1:7">
      <c r="A10" s="106"/>
      <c r="B10" s="116" t="s">
        <v>289</v>
      </c>
      <c r="C10" s="116"/>
      <c r="D10" s="109" t="s">
        <v>290</v>
      </c>
      <c r="E10" s="118">
        <v>4.8</v>
      </c>
      <c r="F10" s="115">
        <f>主材!D21</f>
        <v>8.1</v>
      </c>
      <c r="G10" s="117">
        <f>E10*F10</f>
        <v>38.88</v>
      </c>
    </row>
    <row r="11" ht="15.4" customHeight="1" spans="1:7">
      <c r="A11" s="106"/>
      <c r="B11" s="116" t="s">
        <v>291</v>
      </c>
      <c r="C11" s="116"/>
      <c r="D11" s="109" t="s">
        <v>290</v>
      </c>
      <c r="E11" s="118">
        <v>19.2</v>
      </c>
      <c r="F11" s="115">
        <f>主材!D22</f>
        <v>5.77</v>
      </c>
      <c r="G11" s="117">
        <f>E11*F11</f>
        <v>110.78</v>
      </c>
    </row>
    <row r="12" ht="15.4" customHeight="1" spans="1:7">
      <c r="A12" s="106" t="s">
        <v>41</v>
      </c>
      <c r="B12" s="116" t="s">
        <v>248</v>
      </c>
      <c r="C12" s="116"/>
      <c r="D12" s="109"/>
      <c r="E12" s="115"/>
      <c r="F12" s="115"/>
      <c r="G12" s="117">
        <f>SUM(G13:G14)</f>
        <v>13.25</v>
      </c>
    </row>
    <row r="13" ht="15.4" customHeight="1" spans="1:7">
      <c r="A13" s="106"/>
      <c r="B13" s="116" t="s">
        <v>1039</v>
      </c>
      <c r="C13" s="116"/>
      <c r="D13" s="109" t="s">
        <v>161</v>
      </c>
      <c r="E13" s="115">
        <v>106</v>
      </c>
      <c r="F13" s="115">
        <v>12.5</v>
      </c>
      <c r="G13" s="117"/>
    </row>
    <row r="14" ht="15.4" customHeight="1" spans="1:7">
      <c r="A14" s="106"/>
      <c r="B14" s="116" t="s">
        <v>397</v>
      </c>
      <c r="C14" s="116"/>
      <c r="D14" s="109" t="s">
        <v>293</v>
      </c>
      <c r="E14" s="131">
        <v>1</v>
      </c>
      <c r="F14" s="115">
        <f>E13*F13</f>
        <v>1325</v>
      </c>
      <c r="G14" s="117">
        <f>E14*F14/100</f>
        <v>13.25</v>
      </c>
    </row>
    <row r="15" ht="15.4" customHeight="1" spans="1:7">
      <c r="A15" s="106" t="s">
        <v>46</v>
      </c>
      <c r="B15" s="116" t="s">
        <v>314</v>
      </c>
      <c r="C15" s="116"/>
      <c r="D15" s="109"/>
      <c r="E15" s="115"/>
      <c r="F15" s="115"/>
      <c r="G15" s="117">
        <f>SUM(G16:G18)</f>
        <v>278.36</v>
      </c>
    </row>
    <row r="16" ht="15.4" customHeight="1" spans="1:7">
      <c r="A16" s="106"/>
      <c r="B16" s="116" t="s">
        <v>1040</v>
      </c>
      <c r="C16" s="116"/>
      <c r="D16" s="109" t="s">
        <v>316</v>
      </c>
      <c r="E16" s="115">
        <v>0.35</v>
      </c>
      <c r="F16" s="115">
        <f>机械!E54</f>
        <v>461.74</v>
      </c>
      <c r="G16" s="117">
        <f t="shared" ref="G16:G21" si="0">E16*F16</f>
        <v>161.61</v>
      </c>
    </row>
    <row r="17" ht="15.4" customHeight="1" spans="1:7">
      <c r="A17" s="106"/>
      <c r="B17" s="116" t="s">
        <v>1041</v>
      </c>
      <c r="C17" s="116"/>
      <c r="D17" s="109" t="s">
        <v>316</v>
      </c>
      <c r="E17" s="115">
        <v>2.68</v>
      </c>
      <c r="F17" s="115">
        <f>机械!E16</f>
        <v>23.75</v>
      </c>
      <c r="G17" s="117">
        <f t="shared" si="0"/>
        <v>63.65</v>
      </c>
    </row>
    <row r="18" ht="15.4" customHeight="1" spans="1:7">
      <c r="A18" s="106"/>
      <c r="B18" s="132" t="s">
        <v>1042</v>
      </c>
      <c r="C18" s="132"/>
      <c r="D18" s="133" t="s">
        <v>316</v>
      </c>
      <c r="E18" s="134">
        <v>0.8</v>
      </c>
      <c r="F18" s="135">
        <f>机械!E8</f>
        <v>66.38</v>
      </c>
      <c r="G18" s="136">
        <f t="shared" si="0"/>
        <v>53.1</v>
      </c>
    </row>
    <row r="19" ht="15.4" customHeight="1" spans="1:7">
      <c r="A19" s="106" t="s">
        <v>133</v>
      </c>
      <c r="B19" s="116" t="s">
        <v>294</v>
      </c>
      <c r="C19" s="116"/>
      <c r="D19" s="109"/>
      <c r="E19" s="119">
        <f>G8</f>
        <v>441.27</v>
      </c>
      <c r="F19" s="120">
        <f>费率!C4</f>
        <v>0.048</v>
      </c>
      <c r="G19" s="117">
        <f t="shared" si="0"/>
        <v>21.18</v>
      </c>
    </row>
    <row r="20" ht="15.4" customHeight="1" spans="1:7">
      <c r="A20" s="106" t="s">
        <v>14</v>
      </c>
      <c r="B20" s="116" t="s">
        <v>295</v>
      </c>
      <c r="C20" s="116"/>
      <c r="D20" s="109"/>
      <c r="E20" s="115">
        <f>G7</f>
        <v>462.45</v>
      </c>
      <c r="F20" s="120">
        <v>0.0725</v>
      </c>
      <c r="G20" s="117">
        <f t="shared" si="0"/>
        <v>33.53</v>
      </c>
    </row>
    <row r="21" ht="15.4" customHeight="1" spans="1:7">
      <c r="A21" s="106" t="s">
        <v>16</v>
      </c>
      <c r="B21" s="116" t="s">
        <v>296</v>
      </c>
      <c r="C21" s="116"/>
      <c r="D21" s="109"/>
      <c r="E21" s="115">
        <f>G7+G20</f>
        <v>495.98</v>
      </c>
      <c r="F21" s="120">
        <f>费率!C6</f>
        <v>0.05</v>
      </c>
      <c r="G21" s="117">
        <f t="shared" si="0"/>
        <v>24.8</v>
      </c>
    </row>
    <row r="22" ht="15.4" customHeight="1" spans="1:7">
      <c r="A22" s="106" t="s">
        <v>18</v>
      </c>
      <c r="B22" s="116" t="s">
        <v>254</v>
      </c>
      <c r="C22" s="116"/>
      <c r="D22" s="109"/>
      <c r="E22" s="115"/>
      <c r="F22" s="120"/>
      <c r="G22" s="117">
        <f>SUM(G23:G24)</f>
        <v>1402.42</v>
      </c>
    </row>
    <row r="23" ht="15.4" customHeight="1" spans="1:7">
      <c r="A23" s="106"/>
      <c r="B23" s="116" t="s">
        <v>1039</v>
      </c>
      <c r="C23" s="116"/>
      <c r="D23" s="109" t="s">
        <v>161</v>
      </c>
      <c r="E23" s="115">
        <v>106</v>
      </c>
      <c r="F23" s="115">
        <v>12.3</v>
      </c>
      <c r="G23" s="117">
        <f>E23*F23</f>
        <v>1303.8</v>
      </c>
    </row>
    <row r="24" ht="15.4" customHeight="1" spans="1:7">
      <c r="A24" s="106"/>
      <c r="B24" s="116" t="s">
        <v>317</v>
      </c>
      <c r="C24" s="116"/>
      <c r="D24" s="109" t="s">
        <v>323</v>
      </c>
      <c r="E24" s="115">
        <f>E18*机械!L8+河道治理工程!E17*机械!L10+河道治理工程!E16*机械!L54</f>
        <v>23.88</v>
      </c>
      <c r="F24" s="137">
        <f>主材!N13</f>
        <v>4.13</v>
      </c>
      <c r="G24" s="117">
        <f>E24*F24</f>
        <v>98.62</v>
      </c>
    </row>
    <row r="25" ht="15.4" customHeight="1" spans="1:7">
      <c r="A25" s="106" t="s">
        <v>20</v>
      </c>
      <c r="B25" s="116" t="s">
        <v>297</v>
      </c>
      <c r="C25" s="116"/>
      <c r="D25" s="109"/>
      <c r="E25" s="115">
        <f>G7+G20++G21+G22</f>
        <v>1923.2</v>
      </c>
      <c r="F25" s="122">
        <f>费率!C7</f>
        <v>0.09</v>
      </c>
      <c r="G25" s="117">
        <f>E25*F25</f>
        <v>173.09</v>
      </c>
    </row>
    <row r="26" ht="15.4" customHeight="1" spans="1:7">
      <c r="A26" s="106"/>
      <c r="B26" s="116" t="s">
        <v>298</v>
      </c>
      <c r="C26" s="116"/>
      <c r="D26" s="109"/>
      <c r="E26" s="115">
        <f>G7+G20+G21+G22+G25</f>
        <v>2096.29</v>
      </c>
      <c r="F26" s="122">
        <f>费率!C8</f>
        <v>0.03</v>
      </c>
      <c r="G26" s="117">
        <f>E26*F26</f>
        <v>62.89</v>
      </c>
    </row>
    <row r="27" ht="15.4" customHeight="1" spans="1:7">
      <c r="A27" s="123"/>
      <c r="B27" s="124" t="s">
        <v>560</v>
      </c>
      <c r="C27" s="124"/>
      <c r="D27" s="124"/>
      <c r="E27" s="125"/>
      <c r="F27" s="124"/>
      <c r="G27" s="126">
        <f>G7+G20+G21+G22+G25+G26</f>
        <v>2159.18</v>
      </c>
    </row>
    <row r="28" ht="15" customHeight="1" spans="1:7">
      <c r="A28" s="138"/>
      <c r="B28" s="138"/>
      <c r="C28" s="138"/>
      <c r="D28" s="138"/>
      <c r="E28" s="139"/>
      <c r="F28" s="138"/>
      <c r="G28" s="139"/>
    </row>
    <row r="29" ht="19.9" customHeight="1" spans="1:7">
      <c r="A29" s="130" t="s">
        <v>274</v>
      </c>
      <c r="B29" s="130"/>
      <c r="C29" s="130"/>
      <c r="D29" s="130"/>
      <c r="E29" s="130"/>
      <c r="F29" s="130"/>
      <c r="G29" s="130"/>
    </row>
    <row r="30" ht="16.15" customHeight="1" spans="1:7">
      <c r="A30" s="102" t="s">
        <v>275</v>
      </c>
      <c r="B30" s="103"/>
      <c r="C30" s="103" t="s">
        <v>1043</v>
      </c>
      <c r="D30" s="103" t="s">
        <v>276</v>
      </c>
      <c r="E30" s="104" t="s">
        <v>1044</v>
      </c>
      <c r="F30" s="104"/>
      <c r="G30" s="105"/>
    </row>
    <row r="31" ht="16.15" customHeight="1" spans="1:7">
      <c r="A31" s="106" t="s">
        <v>278</v>
      </c>
      <c r="B31" s="107"/>
      <c r="C31" s="108" t="s">
        <v>1045</v>
      </c>
      <c r="D31" s="108"/>
      <c r="E31" s="108"/>
      <c r="F31" s="109" t="s">
        <v>280</v>
      </c>
      <c r="G31" s="110" t="s">
        <v>357</v>
      </c>
    </row>
    <row r="32" ht="16.15" customHeight="1" spans="1:7">
      <c r="A32" s="111" t="s">
        <v>1046</v>
      </c>
      <c r="B32" s="108"/>
      <c r="C32" s="108"/>
      <c r="D32" s="108"/>
      <c r="E32" s="108"/>
      <c r="F32" s="108"/>
      <c r="G32" s="112"/>
    </row>
    <row r="33" ht="16.15" customHeight="1" spans="1:7">
      <c r="A33" s="113" t="s">
        <v>1047</v>
      </c>
      <c r="B33" s="114"/>
      <c r="C33" s="54"/>
      <c r="D33" s="54"/>
      <c r="E33" s="54"/>
      <c r="F33" s="54"/>
      <c r="G33" s="55"/>
    </row>
    <row r="34" ht="16.15" customHeight="1" spans="1:7">
      <c r="A34" s="106" t="s">
        <v>284</v>
      </c>
      <c r="B34" s="109" t="s">
        <v>233</v>
      </c>
      <c r="C34" s="109"/>
      <c r="D34" s="109" t="s">
        <v>88</v>
      </c>
      <c r="E34" s="115" t="s">
        <v>130</v>
      </c>
      <c r="F34" s="109" t="s">
        <v>285</v>
      </c>
      <c r="G34" s="110" t="s">
        <v>286</v>
      </c>
    </row>
    <row r="35" ht="16.15" customHeight="1" spans="1:7">
      <c r="A35" s="106" t="s">
        <v>9</v>
      </c>
      <c r="B35" s="116" t="s">
        <v>287</v>
      </c>
      <c r="C35" s="116"/>
      <c r="D35" s="109"/>
      <c r="E35" s="115"/>
      <c r="F35" s="115"/>
      <c r="G35" s="117">
        <f>G36+G43</f>
        <v>524.5</v>
      </c>
    </row>
    <row r="36" ht="16.15" customHeight="1" spans="1:7">
      <c r="A36" s="106" t="s">
        <v>132</v>
      </c>
      <c r="B36" s="116" t="s">
        <v>288</v>
      </c>
      <c r="C36" s="116"/>
      <c r="D36" s="109"/>
      <c r="E36" s="115"/>
      <c r="F36" s="115"/>
      <c r="G36" s="117">
        <f>G37+G40</f>
        <v>500.48</v>
      </c>
    </row>
    <row r="37" ht="16.15" customHeight="1" spans="1:7">
      <c r="A37" s="106" t="s">
        <v>39</v>
      </c>
      <c r="B37" s="116" t="s">
        <v>247</v>
      </c>
      <c r="C37" s="116"/>
      <c r="D37" s="109"/>
      <c r="E37" s="115"/>
      <c r="F37" s="115"/>
      <c r="G37" s="117">
        <f>SUM(G38:G39)</f>
        <v>342.98</v>
      </c>
    </row>
    <row r="38" ht="16.15" customHeight="1" spans="1:7">
      <c r="A38" s="106"/>
      <c r="B38" s="116" t="s">
        <v>289</v>
      </c>
      <c r="C38" s="116"/>
      <c r="D38" s="109" t="s">
        <v>290</v>
      </c>
      <c r="E38" s="118">
        <v>11</v>
      </c>
      <c r="F38" s="115">
        <f>主材!D21</f>
        <v>8.1</v>
      </c>
      <c r="G38" s="117">
        <f>E38*F38</f>
        <v>89.1</v>
      </c>
    </row>
    <row r="39" ht="16.15" customHeight="1" spans="1:7">
      <c r="A39" s="106"/>
      <c r="B39" s="116" t="s">
        <v>291</v>
      </c>
      <c r="C39" s="116"/>
      <c r="D39" s="109" t="s">
        <v>290</v>
      </c>
      <c r="E39" s="118">
        <v>44</v>
      </c>
      <c r="F39" s="115">
        <f>主材!D22</f>
        <v>5.77</v>
      </c>
      <c r="G39" s="117">
        <f>E39*F39</f>
        <v>253.88</v>
      </c>
    </row>
    <row r="40" ht="16.15" customHeight="1" spans="1:7">
      <c r="A40" s="106" t="s">
        <v>41</v>
      </c>
      <c r="B40" s="116" t="s">
        <v>248</v>
      </c>
      <c r="C40" s="116"/>
      <c r="D40" s="109"/>
      <c r="E40" s="115"/>
      <c r="F40" s="115"/>
      <c r="G40" s="117">
        <f>SUM(G41:G42)</f>
        <v>157.5</v>
      </c>
    </row>
    <row r="41" ht="16.15" customHeight="1" spans="1:7">
      <c r="A41" s="106"/>
      <c r="B41" s="116" t="s">
        <v>1048</v>
      </c>
      <c r="C41" s="116"/>
      <c r="D41" s="109" t="s">
        <v>423</v>
      </c>
      <c r="E41" s="115">
        <v>125</v>
      </c>
      <c r="F41" s="115">
        <v>1.2</v>
      </c>
      <c r="G41" s="117">
        <f>E41*F41</f>
        <v>150</v>
      </c>
    </row>
    <row r="42" ht="16.15" customHeight="1" spans="1:7">
      <c r="A42" s="106"/>
      <c r="B42" s="116" t="s">
        <v>397</v>
      </c>
      <c r="C42" s="116"/>
      <c r="D42" s="109" t="s">
        <v>293</v>
      </c>
      <c r="E42" s="131">
        <v>5</v>
      </c>
      <c r="F42" s="115">
        <f>SUM(G41:G41)</f>
        <v>150</v>
      </c>
      <c r="G42" s="117">
        <f>E42*F42/100</f>
        <v>7.5</v>
      </c>
    </row>
    <row r="43" ht="16.15" customHeight="1" spans="1:7">
      <c r="A43" s="106" t="s">
        <v>133</v>
      </c>
      <c r="B43" s="116" t="s">
        <v>294</v>
      </c>
      <c r="C43" s="116"/>
      <c r="D43" s="109"/>
      <c r="E43" s="119">
        <f>G36</f>
        <v>500.48</v>
      </c>
      <c r="F43" s="120">
        <f>费率!J4</f>
        <v>0.048</v>
      </c>
      <c r="G43" s="117">
        <f>E43*F43</f>
        <v>24.02</v>
      </c>
    </row>
    <row r="44" ht="16.15" customHeight="1" spans="1:7">
      <c r="A44" s="106" t="s">
        <v>14</v>
      </c>
      <c r="B44" s="116" t="s">
        <v>295</v>
      </c>
      <c r="C44" s="116"/>
      <c r="D44" s="109"/>
      <c r="E44" s="115">
        <f>G35</f>
        <v>524.5</v>
      </c>
      <c r="F44" s="120">
        <f>费率!J5</f>
        <v>0.0725</v>
      </c>
      <c r="G44" s="117">
        <f>E44*F44</f>
        <v>38.03</v>
      </c>
    </row>
    <row r="45" ht="16.15" customHeight="1" spans="1:7">
      <c r="A45" s="106" t="s">
        <v>16</v>
      </c>
      <c r="B45" s="116" t="s">
        <v>296</v>
      </c>
      <c r="C45" s="116"/>
      <c r="D45" s="109"/>
      <c r="E45" s="115">
        <f>G35+G44</f>
        <v>562.53</v>
      </c>
      <c r="F45" s="120">
        <f>费率!J6</f>
        <v>0.07</v>
      </c>
      <c r="G45" s="117">
        <f>E45*F45</f>
        <v>39.38</v>
      </c>
    </row>
    <row r="46" ht="16.15" customHeight="1" spans="1:7">
      <c r="A46" s="106" t="s">
        <v>20</v>
      </c>
      <c r="B46" s="116" t="s">
        <v>297</v>
      </c>
      <c r="C46" s="116"/>
      <c r="D46" s="109"/>
      <c r="E46" s="115">
        <f>G35+G44++G45</f>
        <v>601.91</v>
      </c>
      <c r="F46" s="122">
        <f>费率!J7</f>
        <v>0.09</v>
      </c>
      <c r="G46" s="117">
        <f>E46*F46</f>
        <v>54.17</v>
      </c>
    </row>
    <row r="47" ht="16.15" customHeight="1" spans="1:7">
      <c r="A47" s="106"/>
      <c r="B47" s="116" t="s">
        <v>298</v>
      </c>
      <c r="C47" s="116"/>
      <c r="D47" s="109"/>
      <c r="E47" s="115">
        <f>G35+G44+G45+G46</f>
        <v>656.08</v>
      </c>
      <c r="F47" s="122">
        <f>费率!J8</f>
        <v>0.03</v>
      </c>
      <c r="G47" s="117">
        <f>E47*F47</f>
        <v>19.68</v>
      </c>
    </row>
    <row r="48" ht="16.15" customHeight="1" spans="1:7">
      <c r="A48" s="123"/>
      <c r="B48" s="124" t="s">
        <v>560</v>
      </c>
      <c r="C48" s="124"/>
      <c r="D48" s="124"/>
      <c r="E48" s="125"/>
      <c r="F48" s="124"/>
      <c r="G48" s="126">
        <f>G35+G44+G45+G46+G47</f>
        <v>675.76</v>
      </c>
    </row>
    <row r="50" customHeight="1" spans="1:7">
      <c r="A50" s="38" t="s">
        <v>274</v>
      </c>
      <c r="B50" s="38"/>
      <c r="C50" s="38"/>
      <c r="D50" s="38"/>
      <c r="E50" s="38"/>
      <c r="F50" s="38"/>
      <c r="G50" s="38"/>
    </row>
    <row r="51" ht="15.4" customHeight="1" spans="1:7">
      <c r="A51" s="102" t="s">
        <v>275</v>
      </c>
      <c r="B51" s="103"/>
      <c r="C51" s="140">
        <v>53</v>
      </c>
      <c r="D51" s="103" t="s">
        <v>276</v>
      </c>
      <c r="E51" s="104" t="s">
        <v>424</v>
      </c>
      <c r="F51" s="104"/>
      <c r="G51" s="105"/>
    </row>
    <row r="52" ht="15.4" customHeight="1" spans="1:7">
      <c r="A52" s="106" t="s">
        <v>278</v>
      </c>
      <c r="B52" s="107"/>
      <c r="C52" s="141" t="s">
        <v>1049</v>
      </c>
      <c r="D52" s="141"/>
      <c r="E52" s="141"/>
      <c r="F52" s="28" t="s">
        <v>280</v>
      </c>
      <c r="G52" s="142" t="s">
        <v>281</v>
      </c>
    </row>
    <row r="53" ht="15.4" customHeight="1" spans="1:7">
      <c r="A53" s="143" t="s">
        <v>456</v>
      </c>
      <c r="B53" s="144" t="s">
        <v>1050</v>
      </c>
      <c r="C53" s="144"/>
      <c r="D53" s="144"/>
      <c r="E53" s="144"/>
      <c r="F53" s="144"/>
      <c r="G53" s="145"/>
    </row>
    <row r="54" ht="15.4" customHeight="1" spans="1:7">
      <c r="A54" s="143" t="s">
        <v>284</v>
      </c>
      <c r="B54" s="28" t="s">
        <v>458</v>
      </c>
      <c r="C54" s="28"/>
      <c r="D54" s="28" t="s">
        <v>88</v>
      </c>
      <c r="E54" s="28" t="s">
        <v>130</v>
      </c>
      <c r="F54" s="28" t="s">
        <v>144</v>
      </c>
      <c r="G54" s="29" t="s">
        <v>234</v>
      </c>
    </row>
    <row r="55" ht="15.4" customHeight="1" spans="1:7">
      <c r="A55" s="143" t="s">
        <v>9</v>
      </c>
      <c r="B55" s="28" t="s">
        <v>459</v>
      </c>
      <c r="C55" s="28"/>
      <c r="D55" s="28"/>
      <c r="E55" s="28"/>
      <c r="F55" s="28"/>
      <c r="G55" s="29">
        <f>G56+G66</f>
        <v>12927.17</v>
      </c>
    </row>
    <row r="56" ht="15.4" customHeight="1" spans="1:7">
      <c r="A56" s="143">
        <v>1</v>
      </c>
      <c r="B56" s="28" t="s">
        <v>287</v>
      </c>
      <c r="C56" s="28"/>
      <c r="D56" s="28"/>
      <c r="E56" s="28"/>
      <c r="F56" s="28"/>
      <c r="G56" s="29">
        <f>G57+G60+G64</f>
        <v>12335.09</v>
      </c>
    </row>
    <row r="57" ht="15.4" customHeight="1" spans="1:7">
      <c r="A57" s="143" t="s">
        <v>460</v>
      </c>
      <c r="B57" s="28" t="s">
        <v>247</v>
      </c>
      <c r="C57" s="28"/>
      <c r="D57" s="28" t="s">
        <v>290</v>
      </c>
      <c r="E57" s="28">
        <f>SUM(E58:E59)</f>
        <v>304.1</v>
      </c>
      <c r="F57" s="28"/>
      <c r="G57" s="29">
        <f>SUM(G58:G59)</f>
        <v>1754.66</v>
      </c>
    </row>
    <row r="58" ht="15.4" customHeight="1" spans="1:7">
      <c r="A58" s="143"/>
      <c r="B58" s="28" t="s">
        <v>289</v>
      </c>
      <c r="C58" s="28"/>
      <c r="D58" s="28" t="s">
        <v>290</v>
      </c>
      <c r="E58" s="28"/>
      <c r="F58" s="28"/>
      <c r="G58" s="29">
        <f>E58*F58</f>
        <v>0</v>
      </c>
    </row>
    <row r="59" ht="15.4" customHeight="1" spans="1:7">
      <c r="A59" s="143"/>
      <c r="B59" s="28" t="s">
        <v>291</v>
      </c>
      <c r="C59" s="28"/>
      <c r="D59" s="28" t="s">
        <v>290</v>
      </c>
      <c r="E59" s="28">
        <v>304.1</v>
      </c>
      <c r="F59" s="28">
        <f>人工!D5</f>
        <v>5.77</v>
      </c>
      <c r="G59" s="29">
        <f>E59*F59</f>
        <v>1754.66</v>
      </c>
    </row>
    <row r="60" ht="15.4" customHeight="1" spans="1:7">
      <c r="A60" s="143" t="s">
        <v>461</v>
      </c>
      <c r="B60" s="28" t="s">
        <v>248</v>
      </c>
      <c r="C60" s="28"/>
      <c r="D60" s="28"/>
      <c r="E60" s="28"/>
      <c r="F60" s="28"/>
      <c r="G60" s="29">
        <f>SUM(G61:G63)</f>
        <v>10529.02</v>
      </c>
    </row>
    <row r="61" ht="15.4" customHeight="1" spans="1:7">
      <c r="A61" s="143"/>
      <c r="B61" s="28" t="s">
        <v>422</v>
      </c>
      <c r="C61" s="28"/>
      <c r="D61" s="28" t="s">
        <v>423</v>
      </c>
      <c r="E61" s="28">
        <v>650</v>
      </c>
      <c r="F61" s="28">
        <v>5.09</v>
      </c>
      <c r="G61" s="29">
        <f>E61*F61</f>
        <v>3308.5</v>
      </c>
    </row>
    <row r="62" ht="15.4" customHeight="1" spans="1:7">
      <c r="A62" s="143"/>
      <c r="B62" s="28" t="s">
        <v>401</v>
      </c>
      <c r="C62" s="28"/>
      <c r="D62" s="28" t="s">
        <v>395</v>
      </c>
      <c r="E62" s="28">
        <v>103</v>
      </c>
      <c r="F62" s="28">
        <f>主材!M11</f>
        <v>70</v>
      </c>
      <c r="G62" s="29">
        <f>E62*F62</f>
        <v>7210</v>
      </c>
    </row>
    <row r="63" ht="15.4" customHeight="1" spans="1:7">
      <c r="A63" s="143"/>
      <c r="B63" s="28" t="s">
        <v>397</v>
      </c>
      <c r="C63" s="28"/>
      <c r="D63" s="28" t="s">
        <v>293</v>
      </c>
      <c r="E63" s="30">
        <v>0.001</v>
      </c>
      <c r="F63" s="28">
        <f>SUM(G61:G62)</f>
        <v>10518.5</v>
      </c>
      <c r="G63" s="29">
        <f>E63*F63</f>
        <v>10.52</v>
      </c>
    </row>
    <row r="64" ht="15.4" customHeight="1" spans="1:7">
      <c r="A64" s="143" t="s">
        <v>729</v>
      </c>
      <c r="B64" s="28" t="s">
        <v>464</v>
      </c>
      <c r="C64" s="28"/>
      <c r="D64" s="28"/>
      <c r="E64" s="28"/>
      <c r="F64" s="28"/>
      <c r="G64" s="29">
        <f>SUM(G65:G65)</f>
        <v>51.41</v>
      </c>
    </row>
    <row r="65" ht="15.4" customHeight="1" spans="1:7">
      <c r="A65" s="143"/>
      <c r="B65" s="28" t="s">
        <v>472</v>
      </c>
      <c r="C65" s="28"/>
      <c r="D65" s="28" t="s">
        <v>316</v>
      </c>
      <c r="E65" s="28">
        <v>62.7</v>
      </c>
      <c r="F65" s="28">
        <f>机械!E29</f>
        <v>0.82</v>
      </c>
      <c r="G65" s="29">
        <f>E65*F65</f>
        <v>51.41</v>
      </c>
    </row>
    <row r="66" ht="15.4" customHeight="1" spans="1:7">
      <c r="A66" s="143">
        <v>2</v>
      </c>
      <c r="B66" s="28" t="s">
        <v>294</v>
      </c>
      <c r="C66" s="28"/>
      <c r="D66" s="28"/>
      <c r="E66" s="30">
        <f>费率!I4</f>
        <v>0.048</v>
      </c>
      <c r="F66" s="28">
        <f>G56</f>
        <v>12335.09</v>
      </c>
      <c r="G66" s="29">
        <f>E66*F66</f>
        <v>592.08</v>
      </c>
    </row>
    <row r="67" ht="15.4" customHeight="1" spans="1:7">
      <c r="A67" s="143" t="s">
        <v>14</v>
      </c>
      <c r="B67" s="28" t="s">
        <v>295</v>
      </c>
      <c r="C67" s="28"/>
      <c r="D67" s="28"/>
      <c r="E67" s="30">
        <v>0.085</v>
      </c>
      <c r="F67" s="28">
        <f>G55</f>
        <v>12927.17</v>
      </c>
      <c r="G67" s="29">
        <f>E67*F67</f>
        <v>1098.81</v>
      </c>
    </row>
    <row r="68" ht="15.4" customHeight="1" spans="1:7">
      <c r="A68" s="143" t="s">
        <v>16</v>
      </c>
      <c r="B68" s="28" t="s">
        <v>296</v>
      </c>
      <c r="C68" s="28"/>
      <c r="D68" s="28"/>
      <c r="E68" s="30">
        <f>费率!I6</f>
        <v>0.07</v>
      </c>
      <c r="F68" s="28">
        <f>SUM(F67:G67)</f>
        <v>14025.98</v>
      </c>
      <c r="G68" s="29">
        <f>E68*F68</f>
        <v>981.82</v>
      </c>
    </row>
    <row r="69" ht="15.4" customHeight="1" spans="1:7">
      <c r="A69" s="143"/>
      <c r="B69" s="28" t="s">
        <v>465</v>
      </c>
      <c r="C69" s="28"/>
      <c r="D69" s="28"/>
      <c r="E69" s="28"/>
      <c r="F69" s="28"/>
      <c r="G69" s="29">
        <f>SUM(F68:G68)</f>
        <v>15007.8</v>
      </c>
    </row>
    <row r="70" ht="15.4" customHeight="1" spans="1:7">
      <c r="A70" s="143" t="s">
        <v>18</v>
      </c>
      <c r="B70" s="28" t="s">
        <v>466</v>
      </c>
      <c r="C70" s="28"/>
      <c r="D70" s="28"/>
      <c r="E70" s="28"/>
      <c r="F70" s="28"/>
      <c r="G70" s="29">
        <f>SUM(G71:G72)</f>
        <v>12713.4</v>
      </c>
    </row>
    <row r="71" ht="15.4" customHeight="1" spans="1:7">
      <c r="A71" s="143"/>
      <c r="B71" s="28" t="s">
        <v>401</v>
      </c>
      <c r="C71" s="28"/>
      <c r="D71" s="28" t="s">
        <v>395</v>
      </c>
      <c r="E71" s="28">
        <f>E62</f>
        <v>103</v>
      </c>
      <c r="F71" s="28">
        <f>主材!N11</f>
        <v>57.8</v>
      </c>
      <c r="G71" s="29">
        <f>E71*F71</f>
        <v>5953.4</v>
      </c>
    </row>
    <row r="72" ht="15.4" customHeight="1" spans="1:7">
      <c r="A72" s="143"/>
      <c r="B72" s="24" t="s">
        <v>422</v>
      </c>
      <c r="C72" s="26"/>
      <c r="D72" s="28" t="s">
        <v>423</v>
      </c>
      <c r="E72" s="28">
        <f>E61</f>
        <v>650</v>
      </c>
      <c r="F72" s="28">
        <v>10.4</v>
      </c>
      <c r="G72" s="29">
        <f>E72*F72</f>
        <v>6760</v>
      </c>
    </row>
    <row r="73" ht="15.4" customHeight="1" spans="1:7">
      <c r="A73" s="143" t="s">
        <v>20</v>
      </c>
      <c r="B73" s="28" t="s">
        <v>297</v>
      </c>
      <c r="C73" s="28"/>
      <c r="D73" s="28"/>
      <c r="E73" s="30">
        <f>费率!I7</f>
        <v>0.09</v>
      </c>
      <c r="F73" s="28">
        <f>G69+G70</f>
        <v>27721.2</v>
      </c>
      <c r="G73" s="29">
        <f>F73*E73</f>
        <v>2494.91</v>
      </c>
    </row>
    <row r="74" ht="15.4" customHeight="1" spans="1:7">
      <c r="A74" s="143" t="s">
        <v>23</v>
      </c>
      <c r="B74" s="28" t="s">
        <v>298</v>
      </c>
      <c r="C74" s="28"/>
      <c r="D74" s="28"/>
      <c r="E74" s="30">
        <f>费率!I8</f>
        <v>0.03</v>
      </c>
      <c r="F74" s="28">
        <f>G69+G70+G73</f>
        <v>30216.11</v>
      </c>
      <c r="G74" s="29">
        <f>E74*F74</f>
        <v>906.48</v>
      </c>
    </row>
    <row r="75" ht="15.4" customHeight="1" spans="1:7">
      <c r="A75" s="147" t="s">
        <v>25</v>
      </c>
      <c r="B75" s="36" t="s">
        <v>121</v>
      </c>
      <c r="C75" s="36"/>
      <c r="D75" s="36"/>
      <c r="E75" s="36"/>
      <c r="F75" s="36"/>
      <c r="G75" s="148">
        <f>SUM(F74:G74)</f>
        <v>31122.59</v>
      </c>
    </row>
    <row r="76" ht="9" customHeight="1" spans="1:1">
      <c r="A76" s="149"/>
    </row>
    <row r="77" customHeight="1" spans="1:7">
      <c r="A77" s="38" t="s">
        <v>274</v>
      </c>
      <c r="B77" s="38"/>
      <c r="C77" s="38"/>
      <c r="D77" s="38"/>
      <c r="E77" s="38"/>
      <c r="F77" s="38"/>
      <c r="G77" s="38"/>
    </row>
    <row r="78" ht="15.4" customHeight="1" spans="1:7">
      <c r="A78" s="102" t="s">
        <v>275</v>
      </c>
      <c r="B78" s="103"/>
      <c r="C78" s="140">
        <v>54</v>
      </c>
      <c r="D78" s="103" t="s">
        <v>276</v>
      </c>
      <c r="E78" s="104" t="s">
        <v>1051</v>
      </c>
      <c r="F78" s="104"/>
      <c r="G78" s="105"/>
    </row>
    <row r="79" ht="15.4" customHeight="1" spans="1:7">
      <c r="A79" s="106" t="s">
        <v>278</v>
      </c>
      <c r="B79" s="107"/>
      <c r="C79" s="141" t="s">
        <v>1052</v>
      </c>
      <c r="D79" s="141"/>
      <c r="E79" s="141"/>
      <c r="F79" s="28" t="s">
        <v>280</v>
      </c>
      <c r="G79" s="29" t="s">
        <v>281</v>
      </c>
    </row>
    <row r="80" ht="15.4" customHeight="1" spans="1:7">
      <c r="A80" s="143" t="s">
        <v>456</v>
      </c>
      <c r="B80" s="144" t="s">
        <v>1053</v>
      </c>
      <c r="C80" s="144"/>
      <c r="D80" s="144"/>
      <c r="E80" s="144"/>
      <c r="F80" s="144"/>
      <c r="G80" s="145"/>
    </row>
    <row r="81" ht="15.4" customHeight="1" spans="1:7">
      <c r="A81" s="143" t="s">
        <v>284</v>
      </c>
      <c r="B81" s="28" t="s">
        <v>458</v>
      </c>
      <c r="C81" s="28"/>
      <c r="D81" s="28" t="s">
        <v>88</v>
      </c>
      <c r="E81" s="28" t="s">
        <v>130</v>
      </c>
      <c r="F81" s="28" t="s">
        <v>144</v>
      </c>
      <c r="G81" s="29" t="s">
        <v>234</v>
      </c>
    </row>
    <row r="82" ht="15.4" customHeight="1" spans="1:7">
      <c r="A82" s="143" t="s">
        <v>9</v>
      </c>
      <c r="B82" s="28" t="s">
        <v>459</v>
      </c>
      <c r="C82" s="28"/>
      <c r="D82" s="28"/>
      <c r="E82" s="28"/>
      <c r="F82" s="28"/>
      <c r="G82" s="29">
        <f>G83+G92</f>
        <v>12178.24</v>
      </c>
    </row>
    <row r="83" ht="15.4" customHeight="1" spans="1:7">
      <c r="A83" s="143">
        <v>1</v>
      </c>
      <c r="B83" s="28" t="s">
        <v>287</v>
      </c>
      <c r="C83" s="28"/>
      <c r="D83" s="28"/>
      <c r="E83" s="28"/>
      <c r="F83" s="28"/>
      <c r="G83" s="29">
        <f>G84+G87+G90</f>
        <v>11620.46</v>
      </c>
    </row>
    <row r="84" ht="15.4" customHeight="1" spans="1:7">
      <c r="A84" s="143" t="s">
        <v>460</v>
      </c>
      <c r="B84" s="28" t="s">
        <v>247</v>
      </c>
      <c r="C84" s="28"/>
      <c r="D84" s="28" t="s">
        <v>290</v>
      </c>
      <c r="E84" s="28">
        <f>SUM(E85:E86)</f>
        <v>524.9</v>
      </c>
      <c r="F84" s="28"/>
      <c r="G84" s="29">
        <f>SUM(G85:G86)</f>
        <v>3395.65</v>
      </c>
    </row>
    <row r="85" ht="15.4" customHeight="1" spans="1:7">
      <c r="A85" s="143"/>
      <c r="B85" s="28" t="s">
        <v>289</v>
      </c>
      <c r="C85" s="28"/>
      <c r="D85" s="28" t="s">
        <v>290</v>
      </c>
      <c r="E85" s="28">
        <v>157.5</v>
      </c>
      <c r="F85" s="28">
        <f>人工!D4</f>
        <v>8.1</v>
      </c>
      <c r="G85" s="29">
        <f>E85*F85</f>
        <v>1275.75</v>
      </c>
    </row>
    <row r="86" ht="15.4" customHeight="1" spans="1:7">
      <c r="A86" s="143"/>
      <c r="B86" s="28" t="s">
        <v>291</v>
      </c>
      <c r="C86" s="28"/>
      <c r="D86" s="28" t="s">
        <v>290</v>
      </c>
      <c r="E86" s="28">
        <v>367.4</v>
      </c>
      <c r="F86" s="28">
        <f>人工!D5</f>
        <v>5.77</v>
      </c>
      <c r="G86" s="29">
        <f>E86*F86</f>
        <v>2119.9</v>
      </c>
    </row>
    <row r="87" ht="15.4" customHeight="1" spans="1:7">
      <c r="A87" s="143" t="s">
        <v>461</v>
      </c>
      <c r="B87" s="28" t="s">
        <v>248</v>
      </c>
      <c r="C87" s="28"/>
      <c r="D87" s="28"/>
      <c r="E87" s="28"/>
      <c r="F87" s="28"/>
      <c r="G87" s="29">
        <f>SUM(G88:G89)</f>
        <v>8160.6</v>
      </c>
    </row>
    <row r="88" ht="15.4" customHeight="1" spans="1:7">
      <c r="A88" s="143"/>
      <c r="B88" s="28" t="s">
        <v>471</v>
      </c>
      <c r="C88" s="28"/>
      <c r="D88" s="28" t="s">
        <v>395</v>
      </c>
      <c r="E88" s="28">
        <v>116</v>
      </c>
      <c r="F88" s="28">
        <f>主材!M12</f>
        <v>70</v>
      </c>
      <c r="G88" s="29">
        <f>E88*F88</f>
        <v>8120</v>
      </c>
    </row>
    <row r="89" ht="15.4" customHeight="1" spans="1:7">
      <c r="A89" s="143"/>
      <c r="B89" s="28" t="s">
        <v>397</v>
      </c>
      <c r="C89" s="28"/>
      <c r="D89" s="28" t="s">
        <v>293</v>
      </c>
      <c r="E89" s="30">
        <v>0.005</v>
      </c>
      <c r="F89" s="28">
        <f>G88</f>
        <v>8120</v>
      </c>
      <c r="G89" s="29">
        <f>E89*F89</f>
        <v>40.6</v>
      </c>
    </row>
    <row r="90" ht="15.4" customHeight="1" spans="1:7">
      <c r="A90" s="143" t="s">
        <v>729</v>
      </c>
      <c r="B90" s="28" t="s">
        <v>464</v>
      </c>
      <c r="C90" s="28"/>
      <c r="D90" s="28"/>
      <c r="E90" s="28"/>
      <c r="F90" s="28"/>
      <c r="G90" s="29">
        <f>SUM(G91:G91)</f>
        <v>64.21</v>
      </c>
    </row>
    <row r="91" ht="15.4" customHeight="1" spans="1:7">
      <c r="A91" s="143"/>
      <c r="B91" s="28" t="s">
        <v>472</v>
      </c>
      <c r="C91" s="28"/>
      <c r="D91" s="28" t="s">
        <v>316</v>
      </c>
      <c r="E91" s="28">
        <v>78.3</v>
      </c>
      <c r="F91" s="28">
        <f>机械!E29</f>
        <v>0.82</v>
      </c>
      <c r="G91" s="29">
        <f>E91*F91</f>
        <v>64.21</v>
      </c>
    </row>
    <row r="92" ht="15.4" customHeight="1" spans="1:7">
      <c r="A92" s="143">
        <v>2</v>
      </c>
      <c r="B92" s="28" t="s">
        <v>294</v>
      </c>
      <c r="C92" s="28"/>
      <c r="D92" s="28"/>
      <c r="E92" s="30">
        <f>费率!I4</f>
        <v>0.048</v>
      </c>
      <c r="F92" s="28">
        <f>G83</f>
        <v>11620.46</v>
      </c>
      <c r="G92" s="29">
        <f>E92*F92</f>
        <v>557.78</v>
      </c>
    </row>
    <row r="93" ht="15.4" customHeight="1" spans="1:7">
      <c r="A93" s="143" t="s">
        <v>14</v>
      </c>
      <c r="B93" s="28" t="s">
        <v>295</v>
      </c>
      <c r="C93" s="28"/>
      <c r="D93" s="28"/>
      <c r="E93" s="30">
        <f>费率!I5</f>
        <v>0.0625</v>
      </c>
      <c r="F93" s="28">
        <f>G82</f>
        <v>12178.24</v>
      </c>
      <c r="G93" s="29">
        <f>F93*E93</f>
        <v>761.14</v>
      </c>
    </row>
    <row r="94" ht="15.4" customHeight="1" spans="1:7">
      <c r="A94" s="143" t="s">
        <v>16</v>
      </c>
      <c r="B94" s="28" t="s">
        <v>296</v>
      </c>
      <c r="C94" s="28"/>
      <c r="D94" s="28"/>
      <c r="E94" s="30">
        <f>费率!I6</f>
        <v>0.07</v>
      </c>
      <c r="F94" s="28">
        <f>SUM(F93:G93)</f>
        <v>12939.38</v>
      </c>
      <c r="G94" s="29">
        <f>F94*E94</f>
        <v>905.76</v>
      </c>
    </row>
    <row r="95" ht="15.4" customHeight="1" spans="1:7">
      <c r="A95" s="143"/>
      <c r="B95" s="28" t="s">
        <v>465</v>
      </c>
      <c r="C95" s="28"/>
      <c r="D95" s="28"/>
      <c r="E95" s="28"/>
      <c r="F95" s="28"/>
      <c r="G95" s="29">
        <f>SUM(F94:G94)</f>
        <v>13845.14</v>
      </c>
    </row>
    <row r="96" ht="15.4" customHeight="1" spans="1:7">
      <c r="A96" s="143" t="s">
        <v>18</v>
      </c>
      <c r="B96" s="28" t="s">
        <v>466</v>
      </c>
      <c r="C96" s="28"/>
      <c r="D96" s="28"/>
      <c r="E96" s="28"/>
      <c r="F96" s="28"/>
      <c r="G96" s="29">
        <f>SUM(G97:G97)</f>
        <v>6668.84</v>
      </c>
    </row>
    <row r="97" ht="15.4" customHeight="1" spans="1:7">
      <c r="A97" s="143"/>
      <c r="B97" s="28" t="s">
        <v>471</v>
      </c>
      <c r="C97" s="28"/>
      <c r="D97" s="28" t="s">
        <v>395</v>
      </c>
      <c r="E97" s="28">
        <v>116</v>
      </c>
      <c r="F97" s="28">
        <f>主材!N12</f>
        <v>57.49</v>
      </c>
      <c r="G97" s="29">
        <f>E97*F97</f>
        <v>6668.84</v>
      </c>
    </row>
    <row r="98" ht="15.4" customHeight="1" spans="1:7">
      <c r="A98" s="143" t="s">
        <v>20</v>
      </c>
      <c r="B98" s="28" t="s">
        <v>297</v>
      </c>
      <c r="C98" s="28"/>
      <c r="D98" s="28"/>
      <c r="E98" s="30">
        <f>费率!I7</f>
        <v>0.09</v>
      </c>
      <c r="F98" s="28">
        <f>G95+G96</f>
        <v>20513.98</v>
      </c>
      <c r="G98" s="29">
        <f>F98*E98</f>
        <v>1846.26</v>
      </c>
    </row>
    <row r="99" ht="15.4" customHeight="1" spans="1:7">
      <c r="A99" s="143" t="s">
        <v>23</v>
      </c>
      <c r="B99" s="28" t="s">
        <v>298</v>
      </c>
      <c r="C99" s="28"/>
      <c r="D99" s="28"/>
      <c r="E99" s="30">
        <f>费率!I8</f>
        <v>0.03</v>
      </c>
      <c r="F99" s="28">
        <f>G95+G96+G98</f>
        <v>22360.24</v>
      </c>
      <c r="G99" s="29">
        <f>E99*F99</f>
        <v>670.81</v>
      </c>
    </row>
    <row r="100" ht="14.45" customHeight="1" spans="1:7">
      <c r="A100" s="147" t="s">
        <v>25</v>
      </c>
      <c r="B100" s="36" t="s">
        <v>121</v>
      </c>
      <c r="C100" s="36"/>
      <c r="D100" s="36"/>
      <c r="E100" s="36"/>
      <c r="F100" s="36"/>
      <c r="G100" s="148">
        <f>SUM(F99:G99)</f>
        <v>23031.05</v>
      </c>
    </row>
    <row r="101" ht="19.9" hidden="1" customHeight="1" spans="1:1">
      <c r="A101" s="149"/>
    </row>
    <row r="102" ht="19.9" customHeight="1" spans="1:1">
      <c r="A102" s="149"/>
    </row>
    <row r="103" customHeight="1" spans="1:7">
      <c r="A103" s="38" t="s">
        <v>274</v>
      </c>
      <c r="B103" s="38"/>
      <c r="C103" s="38"/>
      <c r="D103" s="38"/>
      <c r="E103" s="38"/>
      <c r="F103" s="38"/>
      <c r="G103" s="38"/>
    </row>
    <row r="104" ht="16.15" customHeight="1" spans="1:7">
      <c r="A104" s="102" t="s">
        <v>275</v>
      </c>
      <c r="B104" s="103"/>
      <c r="C104" s="140">
        <v>55</v>
      </c>
      <c r="D104" s="103" t="s">
        <v>276</v>
      </c>
      <c r="E104" s="104" t="s">
        <v>1054</v>
      </c>
      <c r="F104" s="104"/>
      <c r="G104" s="105"/>
    </row>
    <row r="105" ht="16.15" customHeight="1" spans="1:7">
      <c r="A105" s="106" t="s">
        <v>278</v>
      </c>
      <c r="B105" s="107"/>
      <c r="C105" s="141" t="s">
        <v>1055</v>
      </c>
      <c r="D105" s="141"/>
      <c r="E105" s="141"/>
      <c r="F105" s="28" t="s">
        <v>280</v>
      </c>
      <c r="G105" s="29" t="s">
        <v>357</v>
      </c>
    </row>
    <row r="106" ht="16.15" customHeight="1" spans="1:7">
      <c r="A106" s="143" t="s">
        <v>456</v>
      </c>
      <c r="B106" s="28"/>
      <c r="C106" s="28"/>
      <c r="D106" s="28"/>
      <c r="E106" s="28"/>
      <c r="F106" s="28"/>
      <c r="G106" s="29"/>
    </row>
    <row r="107" ht="16.15" customHeight="1" spans="1:7">
      <c r="A107" s="143" t="s">
        <v>284</v>
      </c>
      <c r="B107" s="28" t="s">
        <v>458</v>
      </c>
      <c r="C107" s="28"/>
      <c r="D107" s="28" t="s">
        <v>88</v>
      </c>
      <c r="E107" s="28" t="s">
        <v>130</v>
      </c>
      <c r="F107" s="28" t="s">
        <v>144</v>
      </c>
      <c r="G107" s="29" t="s">
        <v>234</v>
      </c>
    </row>
    <row r="108" ht="16.15" customHeight="1" spans="1:7">
      <c r="A108" s="143" t="s">
        <v>9</v>
      </c>
      <c r="B108" s="28" t="s">
        <v>459</v>
      </c>
      <c r="C108" s="28"/>
      <c r="D108" s="28"/>
      <c r="E108" s="28"/>
      <c r="F108" s="28"/>
      <c r="G108" s="29">
        <f>G109+G118</f>
        <v>1245.23</v>
      </c>
    </row>
    <row r="109" ht="16.15" customHeight="1" spans="1:7">
      <c r="A109" s="143">
        <v>1</v>
      </c>
      <c r="B109" s="28" t="s">
        <v>287</v>
      </c>
      <c r="C109" s="28"/>
      <c r="D109" s="28"/>
      <c r="E109" s="28"/>
      <c r="F109" s="28"/>
      <c r="G109" s="29">
        <f>G110+G113+G117</f>
        <v>1188.2</v>
      </c>
    </row>
    <row r="110" ht="16.15" customHeight="1" spans="1:7">
      <c r="A110" s="143" t="s">
        <v>460</v>
      </c>
      <c r="B110" s="28" t="s">
        <v>247</v>
      </c>
      <c r="C110" s="28"/>
      <c r="D110" s="28"/>
      <c r="E110" s="28">
        <f>SUM(E111:E112)</f>
        <v>41</v>
      </c>
      <c r="F110" s="28"/>
      <c r="G110" s="29">
        <f>SUM(G111:G112)</f>
        <v>264.53</v>
      </c>
    </row>
    <row r="111" ht="16.15" customHeight="1" spans="1:7">
      <c r="A111" s="143"/>
      <c r="B111" s="28" t="s">
        <v>289</v>
      </c>
      <c r="C111" s="28"/>
      <c r="D111" s="28" t="s">
        <v>290</v>
      </c>
      <c r="E111" s="28">
        <v>12</v>
      </c>
      <c r="F111" s="28">
        <f>人工!D4</f>
        <v>8.1</v>
      </c>
      <c r="G111" s="29">
        <f>E111*F111</f>
        <v>97.2</v>
      </c>
    </row>
    <row r="112" ht="16.15" customHeight="1" spans="1:7">
      <c r="A112" s="143"/>
      <c r="B112" s="28" t="s">
        <v>291</v>
      </c>
      <c r="C112" s="28"/>
      <c r="D112" s="28" t="s">
        <v>290</v>
      </c>
      <c r="E112" s="28">
        <v>29</v>
      </c>
      <c r="F112" s="28">
        <f>人工!D5</f>
        <v>5.77</v>
      </c>
      <c r="G112" s="29">
        <f>E112*F112</f>
        <v>167.33</v>
      </c>
    </row>
    <row r="113" ht="16.15" customHeight="1" spans="1:7">
      <c r="A113" s="143" t="s">
        <v>461</v>
      </c>
      <c r="B113" s="28" t="s">
        <v>248</v>
      </c>
      <c r="C113" s="28"/>
      <c r="D113" s="28"/>
      <c r="E113" s="28"/>
      <c r="F113" s="28"/>
      <c r="G113" s="29">
        <f>SUM(G114:G116)</f>
        <v>923.67</v>
      </c>
    </row>
    <row r="114" ht="16.15" customHeight="1" spans="1:7">
      <c r="A114" s="143"/>
      <c r="B114" s="28" t="s">
        <v>1056</v>
      </c>
      <c r="C114" s="28"/>
      <c r="D114" s="28" t="s">
        <v>423</v>
      </c>
      <c r="E114" s="28">
        <v>106</v>
      </c>
      <c r="F114" s="28">
        <v>8.19</v>
      </c>
      <c r="G114" s="29">
        <f>E114*F114</f>
        <v>868.14</v>
      </c>
    </row>
    <row r="115" ht="16.15" customHeight="1" spans="1:7">
      <c r="A115" s="143"/>
      <c r="B115" s="28" t="s">
        <v>1057</v>
      </c>
      <c r="C115" s="28"/>
      <c r="D115" s="28" t="s">
        <v>323</v>
      </c>
      <c r="E115" s="28">
        <v>2</v>
      </c>
      <c r="F115" s="28">
        <v>10</v>
      </c>
      <c r="G115" s="29">
        <f>E115*F115</f>
        <v>20</v>
      </c>
    </row>
    <row r="116" ht="16.15" customHeight="1" spans="1:7">
      <c r="A116" s="143"/>
      <c r="B116" s="28" t="s">
        <v>1058</v>
      </c>
      <c r="C116" s="28"/>
      <c r="D116" s="28"/>
      <c r="E116" s="30">
        <v>0.04</v>
      </c>
      <c r="F116" s="28">
        <f>SUM(G114:G115)</f>
        <v>888.14</v>
      </c>
      <c r="G116" s="29">
        <f>E116*F116</f>
        <v>35.53</v>
      </c>
    </row>
    <row r="117" ht="16.15" customHeight="1" spans="1:7">
      <c r="A117" s="143" t="s">
        <v>729</v>
      </c>
      <c r="B117" s="28" t="s">
        <v>464</v>
      </c>
      <c r="C117" s="28"/>
      <c r="D117" s="28"/>
      <c r="E117" s="28"/>
      <c r="F117" s="28"/>
      <c r="G117" s="29">
        <v>0</v>
      </c>
    </row>
    <row r="118" ht="16.15" customHeight="1" spans="1:7">
      <c r="A118" s="143">
        <v>2</v>
      </c>
      <c r="B118" s="28" t="s">
        <v>294</v>
      </c>
      <c r="C118" s="28"/>
      <c r="D118" s="28"/>
      <c r="E118" s="30">
        <f>费率!J4</f>
        <v>0.048</v>
      </c>
      <c r="F118" s="28">
        <f>G109</f>
        <v>1188.2</v>
      </c>
      <c r="G118" s="29">
        <f>E118*F118</f>
        <v>57.03</v>
      </c>
    </row>
    <row r="119" ht="16.15" customHeight="1" spans="1:7">
      <c r="A119" s="143" t="s">
        <v>14</v>
      </c>
      <c r="B119" s="28" t="s">
        <v>295</v>
      </c>
      <c r="C119" s="28"/>
      <c r="D119" s="28"/>
      <c r="E119" s="30">
        <f>费率!J5</f>
        <v>0.0725</v>
      </c>
      <c r="F119" s="28">
        <f>G108</f>
        <v>1245.23</v>
      </c>
      <c r="G119" s="29">
        <f>F119*E119</f>
        <v>90.28</v>
      </c>
    </row>
    <row r="120" ht="16.15" customHeight="1" spans="1:7">
      <c r="A120" s="143" t="s">
        <v>16</v>
      </c>
      <c r="B120" s="28" t="s">
        <v>296</v>
      </c>
      <c r="C120" s="28"/>
      <c r="D120" s="28"/>
      <c r="E120" s="30">
        <f>费率!J6</f>
        <v>0.07</v>
      </c>
      <c r="F120" s="28">
        <f>SUM(F119:G119)</f>
        <v>1335.51</v>
      </c>
      <c r="G120" s="29">
        <f>F120*E120</f>
        <v>93.49</v>
      </c>
    </row>
    <row r="121" ht="16.15" customHeight="1" spans="1:7">
      <c r="A121" s="143"/>
      <c r="B121" s="28" t="s">
        <v>465</v>
      </c>
      <c r="C121" s="28"/>
      <c r="D121" s="28"/>
      <c r="E121" s="28"/>
      <c r="F121" s="28"/>
      <c r="G121" s="29">
        <f>SUM(F120:G120)</f>
        <v>1429</v>
      </c>
    </row>
    <row r="122" ht="16.15" customHeight="1" spans="1:7">
      <c r="A122" s="143" t="s">
        <v>18</v>
      </c>
      <c r="B122" s="28" t="s">
        <v>466</v>
      </c>
      <c r="C122" s="28"/>
      <c r="D122" s="150"/>
      <c r="E122" s="28"/>
      <c r="F122" s="28"/>
      <c r="G122" s="29">
        <v>0</v>
      </c>
    </row>
    <row r="123" ht="16.15" customHeight="1" spans="1:7">
      <c r="A123" s="143" t="s">
        <v>20</v>
      </c>
      <c r="B123" s="28" t="s">
        <v>297</v>
      </c>
      <c r="C123" s="28"/>
      <c r="D123" s="28"/>
      <c r="E123" s="30">
        <f>费率!J7</f>
        <v>0.09</v>
      </c>
      <c r="F123" s="28">
        <f>SUM(G121:G122)</f>
        <v>1429</v>
      </c>
      <c r="G123" s="29">
        <f>F123*E123</f>
        <v>128.61</v>
      </c>
    </row>
    <row r="124" ht="16.15" customHeight="1" spans="1:7">
      <c r="A124" s="143" t="s">
        <v>23</v>
      </c>
      <c r="B124" s="28" t="s">
        <v>298</v>
      </c>
      <c r="C124" s="28"/>
      <c r="D124" s="28"/>
      <c r="E124" s="30">
        <f>费率!J8</f>
        <v>0.03</v>
      </c>
      <c r="F124" s="28">
        <f>SUM(F123:G123)</f>
        <v>1557.61</v>
      </c>
      <c r="G124" s="29">
        <f>E124*F124</f>
        <v>46.73</v>
      </c>
    </row>
    <row r="125" ht="16.15" customHeight="1" spans="1:7">
      <c r="A125" s="147" t="s">
        <v>25</v>
      </c>
      <c r="B125" s="36" t="s">
        <v>121</v>
      </c>
      <c r="C125" s="36"/>
      <c r="D125" s="36"/>
      <c r="E125" s="36"/>
      <c r="F125" s="36"/>
      <c r="G125" s="148">
        <f>SUM(F124:G124)</f>
        <v>1604.34</v>
      </c>
    </row>
    <row r="126" ht="16.15" customHeight="1" spans="1:1">
      <c r="A126" s="149"/>
    </row>
    <row r="127" customHeight="1" spans="1:7">
      <c r="A127" s="38" t="s">
        <v>274</v>
      </c>
      <c r="B127" s="38"/>
      <c r="C127" s="38"/>
      <c r="D127" s="38"/>
      <c r="E127" s="38"/>
      <c r="F127" s="38"/>
      <c r="G127" s="38"/>
    </row>
    <row r="128" ht="16.15" customHeight="1" spans="1:7">
      <c r="A128" s="102" t="s">
        <v>275</v>
      </c>
      <c r="B128" s="103"/>
      <c r="C128" s="140">
        <v>56</v>
      </c>
      <c r="D128" s="103" t="s">
        <v>276</v>
      </c>
      <c r="E128" s="104" t="s">
        <v>1059</v>
      </c>
      <c r="F128" s="104"/>
      <c r="G128" s="105"/>
    </row>
    <row r="129" ht="16.15" customHeight="1" spans="1:7">
      <c r="A129" s="106" t="s">
        <v>278</v>
      </c>
      <c r="B129" s="107"/>
      <c r="C129" s="141" t="s">
        <v>1060</v>
      </c>
      <c r="D129" s="141"/>
      <c r="E129" s="141"/>
      <c r="F129" s="28" t="s">
        <v>280</v>
      </c>
      <c r="G129" s="29" t="s">
        <v>357</v>
      </c>
    </row>
    <row r="130" ht="16.15" customHeight="1" spans="1:7">
      <c r="A130" s="143" t="s">
        <v>456</v>
      </c>
      <c r="B130" s="28" t="s">
        <v>1061</v>
      </c>
      <c r="C130" s="28"/>
      <c r="D130" s="28"/>
      <c r="E130" s="28"/>
      <c r="F130" s="28"/>
      <c r="G130" s="29"/>
    </row>
    <row r="131" ht="16.15" customHeight="1" spans="1:7">
      <c r="A131" s="143" t="s">
        <v>284</v>
      </c>
      <c r="B131" s="28" t="s">
        <v>458</v>
      </c>
      <c r="C131" s="28"/>
      <c r="D131" s="28" t="s">
        <v>88</v>
      </c>
      <c r="E131" s="28" t="s">
        <v>130</v>
      </c>
      <c r="F131" s="28" t="s">
        <v>144</v>
      </c>
      <c r="G131" s="29" t="s">
        <v>234</v>
      </c>
    </row>
    <row r="132" ht="16.15" customHeight="1" spans="1:7">
      <c r="A132" s="143" t="s">
        <v>9</v>
      </c>
      <c r="B132" s="28" t="s">
        <v>459</v>
      </c>
      <c r="C132" s="28"/>
      <c r="D132" s="28"/>
      <c r="E132" s="28"/>
      <c r="F132" s="28"/>
      <c r="G132" s="29">
        <f>G133+G142</f>
        <v>1165.34</v>
      </c>
    </row>
    <row r="133" ht="16.15" customHeight="1" spans="1:7">
      <c r="A133" s="143">
        <v>1</v>
      </c>
      <c r="B133" s="28" t="s">
        <v>287</v>
      </c>
      <c r="C133" s="28"/>
      <c r="D133" s="28"/>
      <c r="E133" s="28"/>
      <c r="F133" s="28"/>
      <c r="G133" s="29">
        <f>G134+G137+G141</f>
        <v>1111.97</v>
      </c>
    </row>
    <row r="134" ht="16.15" customHeight="1" spans="1:7">
      <c r="A134" s="143" t="s">
        <v>460</v>
      </c>
      <c r="B134" s="28" t="s">
        <v>247</v>
      </c>
      <c r="C134" s="28"/>
      <c r="D134" s="28"/>
      <c r="E134" s="28">
        <f>SUM(E135:E136)</f>
        <v>29</v>
      </c>
      <c r="F134" s="28"/>
      <c r="G134" s="29">
        <f>SUM(G135:G136)</f>
        <v>188.3</v>
      </c>
    </row>
    <row r="135" ht="16.15" customHeight="1" spans="1:7">
      <c r="A135" s="143"/>
      <c r="B135" s="28" t="s">
        <v>289</v>
      </c>
      <c r="C135" s="28"/>
      <c r="D135" s="28" t="s">
        <v>290</v>
      </c>
      <c r="E135" s="28">
        <v>9</v>
      </c>
      <c r="F135" s="28">
        <f>人工!D4</f>
        <v>8.1</v>
      </c>
      <c r="G135" s="29">
        <f>E135*F135</f>
        <v>72.9</v>
      </c>
    </row>
    <row r="136" ht="16.15" customHeight="1" spans="1:7">
      <c r="A136" s="143"/>
      <c r="B136" s="28" t="s">
        <v>291</v>
      </c>
      <c r="C136" s="28"/>
      <c r="D136" s="28" t="s">
        <v>290</v>
      </c>
      <c r="E136" s="28">
        <v>20</v>
      </c>
      <c r="F136" s="28">
        <f>人工!D5</f>
        <v>5.77</v>
      </c>
      <c r="G136" s="29">
        <f>E136*F136</f>
        <v>115.4</v>
      </c>
    </row>
    <row r="137" ht="16.15" customHeight="1" spans="1:7">
      <c r="A137" s="143" t="s">
        <v>461</v>
      </c>
      <c r="B137" s="28" t="s">
        <v>248</v>
      </c>
      <c r="C137" s="28"/>
      <c r="D137" s="28"/>
      <c r="E137" s="28"/>
      <c r="F137" s="28"/>
      <c r="G137" s="29">
        <f>SUM(G138:G140)</f>
        <v>923.67</v>
      </c>
    </row>
    <row r="138" ht="16.15" customHeight="1" spans="1:7">
      <c r="A138" s="143"/>
      <c r="B138" s="28" t="s">
        <v>1056</v>
      </c>
      <c r="C138" s="28"/>
      <c r="D138" s="28" t="s">
        <v>423</v>
      </c>
      <c r="E138" s="28">
        <v>106</v>
      </c>
      <c r="F138" s="28">
        <v>8.19</v>
      </c>
      <c r="G138" s="29">
        <f>E138*F138</f>
        <v>868.14</v>
      </c>
    </row>
    <row r="139" ht="16.15" customHeight="1" spans="1:7">
      <c r="A139" s="143"/>
      <c r="B139" s="28" t="s">
        <v>1057</v>
      </c>
      <c r="C139" s="28"/>
      <c r="D139" s="28" t="s">
        <v>323</v>
      </c>
      <c r="E139" s="28">
        <v>2</v>
      </c>
      <c r="F139" s="28">
        <v>10</v>
      </c>
      <c r="G139" s="29">
        <f>E139*F139</f>
        <v>20</v>
      </c>
    </row>
    <row r="140" ht="16.15" customHeight="1" spans="1:7">
      <c r="A140" s="143"/>
      <c r="B140" s="28" t="s">
        <v>1058</v>
      </c>
      <c r="C140" s="28"/>
      <c r="D140" s="28"/>
      <c r="E140" s="30">
        <v>0.04</v>
      </c>
      <c r="F140" s="28">
        <f>SUM(G138:G139)</f>
        <v>888.14</v>
      </c>
      <c r="G140" s="29">
        <f>E140*F140</f>
        <v>35.53</v>
      </c>
    </row>
    <row r="141" ht="16.15" customHeight="1" spans="1:7">
      <c r="A141" s="143" t="s">
        <v>729</v>
      </c>
      <c r="B141" s="28" t="s">
        <v>464</v>
      </c>
      <c r="C141" s="28"/>
      <c r="D141" s="28"/>
      <c r="E141" s="28"/>
      <c r="F141" s="28"/>
      <c r="G141" s="29">
        <v>0</v>
      </c>
    </row>
    <row r="142" ht="16.15" customHeight="1" spans="1:7">
      <c r="A142" s="143">
        <v>2</v>
      </c>
      <c r="B142" s="28" t="s">
        <v>294</v>
      </c>
      <c r="C142" s="28"/>
      <c r="D142" s="28"/>
      <c r="E142" s="30">
        <f>费率!J4</f>
        <v>0.048</v>
      </c>
      <c r="F142" s="28">
        <f>G133</f>
        <v>1111.97</v>
      </c>
      <c r="G142" s="29">
        <f>E142*F142</f>
        <v>53.37</v>
      </c>
    </row>
    <row r="143" ht="16.15" customHeight="1" spans="1:7">
      <c r="A143" s="143" t="s">
        <v>14</v>
      </c>
      <c r="B143" s="28" t="s">
        <v>295</v>
      </c>
      <c r="C143" s="28"/>
      <c r="D143" s="28"/>
      <c r="E143" s="30">
        <f>费率!J5</f>
        <v>0.0725</v>
      </c>
      <c r="F143" s="28">
        <f>G132</f>
        <v>1165.34</v>
      </c>
      <c r="G143" s="29">
        <f>F143*E143</f>
        <v>84.49</v>
      </c>
    </row>
    <row r="144" ht="16.15" customHeight="1" spans="1:7">
      <c r="A144" s="143" t="s">
        <v>16</v>
      </c>
      <c r="B144" s="28" t="s">
        <v>296</v>
      </c>
      <c r="C144" s="28"/>
      <c r="D144" s="28"/>
      <c r="E144" s="30">
        <f>费率!J6</f>
        <v>0.07</v>
      </c>
      <c r="F144" s="28">
        <f>SUM(F143:G143)</f>
        <v>1249.83</v>
      </c>
      <c r="G144" s="29">
        <f>F144*E144</f>
        <v>87.49</v>
      </c>
    </row>
    <row r="145" ht="16.15" customHeight="1" spans="1:7">
      <c r="A145" s="143"/>
      <c r="B145" s="28" t="s">
        <v>465</v>
      </c>
      <c r="C145" s="28"/>
      <c r="D145" s="28"/>
      <c r="E145" s="28"/>
      <c r="F145" s="28"/>
      <c r="G145" s="29">
        <f>SUM(F144:G144)</f>
        <v>1337.32</v>
      </c>
    </row>
    <row r="146" ht="16.15" customHeight="1" spans="1:7">
      <c r="A146" s="143" t="s">
        <v>18</v>
      </c>
      <c r="B146" s="28" t="s">
        <v>466</v>
      </c>
      <c r="C146" s="28"/>
      <c r="D146" s="150"/>
      <c r="E146" s="28"/>
      <c r="F146" s="28"/>
      <c r="G146" s="29"/>
    </row>
    <row r="147" ht="16.15" customHeight="1" spans="1:7">
      <c r="A147" s="143" t="s">
        <v>20</v>
      </c>
      <c r="B147" s="28" t="s">
        <v>297</v>
      </c>
      <c r="C147" s="28"/>
      <c r="D147" s="28"/>
      <c r="E147" s="30">
        <f>费率!J7</f>
        <v>0.09</v>
      </c>
      <c r="F147" s="28">
        <f>SUM(G145:G146)</f>
        <v>1337.32</v>
      </c>
      <c r="G147" s="29">
        <f>F147*E147</f>
        <v>120.36</v>
      </c>
    </row>
    <row r="148" ht="16.15" customHeight="1" spans="1:7">
      <c r="A148" s="143" t="s">
        <v>23</v>
      </c>
      <c r="B148" s="28" t="s">
        <v>473</v>
      </c>
      <c r="C148" s="28"/>
      <c r="D148" s="28"/>
      <c r="E148" s="30">
        <f>费率!J8</f>
        <v>0.03</v>
      </c>
      <c r="F148" s="28">
        <f>SUM(F147:G147)</f>
        <v>1457.68</v>
      </c>
      <c r="G148" s="29">
        <f>E148*F148</f>
        <v>43.73</v>
      </c>
    </row>
    <row r="149" ht="14.45" customHeight="1" spans="1:7">
      <c r="A149" s="147" t="s">
        <v>25</v>
      </c>
      <c r="B149" s="36" t="s">
        <v>121</v>
      </c>
      <c r="C149" s="36"/>
      <c r="D149" s="36"/>
      <c r="E149" s="36"/>
      <c r="F149" s="36"/>
      <c r="G149" s="148">
        <f>SUM(F148:G148)</f>
        <v>1501.41</v>
      </c>
    </row>
    <row r="150" ht="19.9" hidden="1" customHeight="1" spans="1:1">
      <c r="A150" s="149"/>
    </row>
    <row r="151" ht="19.9" customHeight="1" spans="1:1">
      <c r="A151" s="149"/>
    </row>
    <row r="152" customHeight="1" spans="1:7">
      <c r="A152" s="38" t="s">
        <v>274</v>
      </c>
      <c r="B152" s="38"/>
      <c r="C152" s="38"/>
      <c r="D152" s="38"/>
      <c r="E152" s="38"/>
      <c r="F152" s="38"/>
      <c r="G152" s="38"/>
    </row>
    <row r="153" ht="15.4" customHeight="1" spans="1:7">
      <c r="A153" s="102" t="s">
        <v>275</v>
      </c>
      <c r="B153" s="103"/>
      <c r="C153" s="140">
        <v>57</v>
      </c>
      <c r="D153" s="103" t="s">
        <v>276</v>
      </c>
      <c r="E153" s="104" t="s">
        <v>1062</v>
      </c>
      <c r="F153" s="104"/>
      <c r="G153" s="105"/>
    </row>
    <row r="154" ht="15.4" customHeight="1" spans="1:7">
      <c r="A154" s="106" t="s">
        <v>278</v>
      </c>
      <c r="B154" s="107"/>
      <c r="C154" s="28" t="s">
        <v>1063</v>
      </c>
      <c r="D154" s="28"/>
      <c r="E154" s="28"/>
      <c r="F154" s="28" t="s">
        <v>280</v>
      </c>
      <c r="G154" s="29" t="s">
        <v>281</v>
      </c>
    </row>
    <row r="155" ht="15.4" customHeight="1" spans="1:7">
      <c r="A155" s="23" t="s">
        <v>456</v>
      </c>
      <c r="B155" s="151" t="s">
        <v>1064</v>
      </c>
      <c r="C155" s="151"/>
      <c r="D155" s="151"/>
      <c r="E155" s="151"/>
      <c r="F155" s="151"/>
      <c r="G155" s="152"/>
    </row>
    <row r="156" ht="15.4" customHeight="1" spans="1:7">
      <c r="A156" s="23" t="s">
        <v>284</v>
      </c>
      <c r="B156" s="28" t="s">
        <v>458</v>
      </c>
      <c r="C156" s="28"/>
      <c r="D156" s="28" t="s">
        <v>88</v>
      </c>
      <c r="E156" s="28" t="s">
        <v>130</v>
      </c>
      <c r="F156" s="28" t="s">
        <v>144</v>
      </c>
      <c r="G156" s="29" t="s">
        <v>234</v>
      </c>
    </row>
    <row r="157" ht="15.4" customHeight="1" spans="1:7">
      <c r="A157" s="23" t="s">
        <v>9</v>
      </c>
      <c r="B157" s="28" t="s">
        <v>459</v>
      </c>
      <c r="C157" s="28"/>
      <c r="D157" s="28"/>
      <c r="E157" s="28"/>
      <c r="F157" s="28"/>
      <c r="G157" s="29">
        <f>G158+G167</f>
        <v>5877.78</v>
      </c>
    </row>
    <row r="158" ht="15.4" customHeight="1" spans="1:7">
      <c r="A158" s="23">
        <v>1</v>
      </c>
      <c r="B158" s="28" t="s">
        <v>287</v>
      </c>
      <c r="C158" s="28"/>
      <c r="D158" s="28"/>
      <c r="E158" s="28"/>
      <c r="F158" s="28"/>
      <c r="G158" s="29">
        <f>G159+G162+G165</f>
        <v>5608.57</v>
      </c>
    </row>
    <row r="159" ht="15.4" customHeight="1" spans="1:7">
      <c r="A159" s="23" t="s">
        <v>460</v>
      </c>
      <c r="B159" s="28" t="s">
        <v>247</v>
      </c>
      <c r="C159" s="28"/>
      <c r="D159" s="28" t="s">
        <v>290</v>
      </c>
      <c r="E159" s="28">
        <f>SUM(E160:E161)</f>
        <v>685.2</v>
      </c>
      <c r="F159" s="28"/>
      <c r="G159" s="29">
        <f>SUM(G160:G161)</f>
        <v>3985.53</v>
      </c>
    </row>
    <row r="160" ht="15.4" customHeight="1" spans="1:7">
      <c r="A160" s="23"/>
      <c r="B160" s="28" t="s">
        <v>289</v>
      </c>
      <c r="C160" s="28"/>
      <c r="D160" s="28" t="s">
        <v>290</v>
      </c>
      <c r="E160" s="28">
        <v>13.7</v>
      </c>
      <c r="F160" s="28">
        <f>人工!D4</f>
        <v>8.1</v>
      </c>
      <c r="G160" s="29">
        <f>E160*F160</f>
        <v>110.97</v>
      </c>
    </row>
    <row r="161" ht="15.4" customHeight="1" spans="1:7">
      <c r="A161" s="23"/>
      <c r="B161" s="28" t="s">
        <v>291</v>
      </c>
      <c r="C161" s="28"/>
      <c r="D161" s="28" t="s">
        <v>290</v>
      </c>
      <c r="E161" s="28">
        <v>671.5</v>
      </c>
      <c r="F161" s="28">
        <f>人工!D5</f>
        <v>5.77</v>
      </c>
      <c r="G161" s="29">
        <f>E161*F161</f>
        <v>3874.56</v>
      </c>
    </row>
    <row r="162" ht="15.4" customHeight="1" spans="1:7">
      <c r="A162" s="23" t="s">
        <v>461</v>
      </c>
      <c r="B162" s="28" t="s">
        <v>248</v>
      </c>
      <c r="C162" s="28"/>
      <c r="D162" s="28"/>
      <c r="E162" s="28"/>
      <c r="F162" s="28"/>
      <c r="G162" s="29">
        <f>SUM(G163:G164)</f>
        <v>1224</v>
      </c>
    </row>
    <row r="163" ht="15.4" customHeight="1" spans="1:7">
      <c r="A163" s="23"/>
      <c r="B163" s="28" t="s">
        <v>647</v>
      </c>
      <c r="C163" s="28"/>
      <c r="D163" s="28" t="s">
        <v>395</v>
      </c>
      <c r="E163" s="28">
        <v>120</v>
      </c>
      <c r="F163" s="28">
        <v>10</v>
      </c>
      <c r="G163" s="29">
        <f>E163*F163</f>
        <v>1200</v>
      </c>
    </row>
    <row r="164" ht="15.4" customHeight="1" spans="1:7">
      <c r="A164" s="23"/>
      <c r="B164" s="28" t="s">
        <v>397</v>
      </c>
      <c r="C164" s="28"/>
      <c r="D164" s="28" t="s">
        <v>293</v>
      </c>
      <c r="E164" s="30">
        <v>0.02</v>
      </c>
      <c r="F164" s="28">
        <f>G163</f>
        <v>1200</v>
      </c>
      <c r="G164" s="29">
        <f>E164*F164</f>
        <v>24</v>
      </c>
    </row>
    <row r="165" ht="15.4" customHeight="1" spans="1:7">
      <c r="A165" s="23" t="s">
        <v>729</v>
      </c>
      <c r="B165" s="28" t="s">
        <v>464</v>
      </c>
      <c r="C165" s="28"/>
      <c r="D165" s="28"/>
      <c r="E165" s="28"/>
      <c r="F165" s="28"/>
      <c r="G165" s="29">
        <f>SUM(G166:G166)</f>
        <v>399.04</v>
      </c>
    </row>
    <row r="166" ht="15.4" customHeight="1" spans="1:7">
      <c r="A166" s="23"/>
      <c r="B166" s="28" t="s">
        <v>821</v>
      </c>
      <c r="C166" s="28"/>
      <c r="D166" s="28" t="s">
        <v>316</v>
      </c>
      <c r="E166" s="28">
        <v>21.5</v>
      </c>
      <c r="F166" s="28">
        <f>机械!E13</f>
        <v>18.56</v>
      </c>
      <c r="G166" s="29">
        <f>E166*F166</f>
        <v>399.04</v>
      </c>
    </row>
    <row r="167" ht="15.4" customHeight="1" spans="1:7">
      <c r="A167" s="23">
        <v>2</v>
      </c>
      <c r="B167" s="28" t="s">
        <v>294</v>
      </c>
      <c r="C167" s="28"/>
      <c r="D167" s="28"/>
      <c r="E167" s="30">
        <f>费率!J4</f>
        <v>0.048</v>
      </c>
      <c r="F167" s="28">
        <f>G158</f>
        <v>5608.57</v>
      </c>
      <c r="G167" s="29">
        <f>E167*F167</f>
        <v>269.21</v>
      </c>
    </row>
    <row r="168" ht="15.4" customHeight="1" spans="1:7">
      <c r="A168" s="23" t="s">
        <v>14</v>
      </c>
      <c r="B168" s="28" t="s">
        <v>295</v>
      </c>
      <c r="C168" s="28"/>
      <c r="D168" s="28"/>
      <c r="E168" s="30">
        <f>费率!J5</f>
        <v>0.0725</v>
      </c>
      <c r="F168" s="28">
        <f>G157</f>
        <v>5877.78</v>
      </c>
      <c r="G168" s="29">
        <f>F168*E168</f>
        <v>426.14</v>
      </c>
    </row>
    <row r="169" ht="15.4" customHeight="1" spans="1:7">
      <c r="A169" s="23" t="s">
        <v>16</v>
      </c>
      <c r="B169" s="28" t="s">
        <v>296</v>
      </c>
      <c r="C169" s="28"/>
      <c r="D169" s="28"/>
      <c r="E169" s="30">
        <f>费率!J6</f>
        <v>0.07</v>
      </c>
      <c r="F169" s="28">
        <f>SUM(F168:G168)</f>
        <v>6303.92</v>
      </c>
      <c r="G169" s="29">
        <f>F169*E169</f>
        <v>441.27</v>
      </c>
    </row>
    <row r="170" ht="15.4" customHeight="1" spans="1:7">
      <c r="A170" s="23"/>
      <c r="B170" s="28" t="s">
        <v>465</v>
      </c>
      <c r="C170" s="28"/>
      <c r="D170" s="28"/>
      <c r="E170" s="28"/>
      <c r="F170" s="28"/>
      <c r="G170" s="29">
        <f>SUM(F169:G169)</f>
        <v>6745.19</v>
      </c>
    </row>
    <row r="171" ht="15.4" customHeight="1" spans="1:7">
      <c r="A171" s="23" t="s">
        <v>18</v>
      </c>
      <c r="B171" s="28" t="s">
        <v>466</v>
      </c>
      <c r="C171" s="28"/>
      <c r="D171" s="28"/>
      <c r="E171" s="28"/>
      <c r="F171" s="28"/>
      <c r="G171" s="29">
        <v>0</v>
      </c>
    </row>
    <row r="172" ht="15.4" customHeight="1" spans="1:7">
      <c r="A172" s="23" t="s">
        <v>20</v>
      </c>
      <c r="B172" s="28" t="s">
        <v>297</v>
      </c>
      <c r="C172" s="28"/>
      <c r="D172" s="28"/>
      <c r="E172" s="30">
        <f>费率!J7</f>
        <v>0.09</v>
      </c>
      <c r="F172" s="28">
        <f>G170</f>
        <v>6745.19</v>
      </c>
      <c r="G172" s="29">
        <f>F172*E172</f>
        <v>607.07</v>
      </c>
    </row>
    <row r="173" ht="15.4" customHeight="1" spans="1:7">
      <c r="A173" s="23" t="s">
        <v>23</v>
      </c>
      <c r="B173" s="28" t="s">
        <v>298</v>
      </c>
      <c r="C173" s="28"/>
      <c r="D173" s="28"/>
      <c r="E173" s="30">
        <f>费率!J8</f>
        <v>0.03</v>
      </c>
      <c r="F173" s="28">
        <f>SUM(F172:G172)+G171</f>
        <v>7352.26</v>
      </c>
      <c r="G173" s="29">
        <f>E173*F173</f>
        <v>220.57</v>
      </c>
    </row>
    <row r="174" ht="14.45" customHeight="1" spans="1:7">
      <c r="A174" s="34" t="s">
        <v>25</v>
      </c>
      <c r="B174" s="36" t="s">
        <v>121</v>
      </c>
      <c r="C174" s="36"/>
      <c r="D174" s="36"/>
      <c r="E174" s="36"/>
      <c r="F174" s="36"/>
      <c r="G174" s="148">
        <f>SUM(F173:G173)</f>
        <v>7572.83</v>
      </c>
    </row>
    <row r="175" ht="15.6" hidden="1" customHeight="1" spans="1:1">
      <c r="A175" s="149"/>
    </row>
    <row r="176" ht="15.6" customHeight="1" spans="1:1">
      <c r="A176" s="149"/>
    </row>
    <row r="177" customHeight="1" spans="1:7">
      <c r="A177" s="38" t="s">
        <v>274</v>
      </c>
      <c r="B177" s="38"/>
      <c r="C177" s="38"/>
      <c r="D177" s="38"/>
      <c r="E177" s="38"/>
      <c r="F177" s="38"/>
      <c r="G177" s="38"/>
    </row>
    <row r="178" ht="15.4" customHeight="1" spans="1:7">
      <c r="A178" s="102" t="s">
        <v>275</v>
      </c>
      <c r="B178" s="103"/>
      <c r="C178" s="140">
        <v>58</v>
      </c>
      <c r="D178" s="103" t="s">
        <v>276</v>
      </c>
      <c r="E178" s="104" t="s">
        <v>1065</v>
      </c>
      <c r="F178" s="104"/>
      <c r="G178" s="105"/>
    </row>
    <row r="179" ht="15.4" customHeight="1" spans="1:7">
      <c r="A179" s="106" t="s">
        <v>278</v>
      </c>
      <c r="B179" s="107"/>
      <c r="C179" s="141" t="s">
        <v>1066</v>
      </c>
      <c r="D179" s="141"/>
      <c r="E179" s="141"/>
      <c r="F179" s="28" t="s">
        <v>280</v>
      </c>
      <c r="G179" s="29" t="s">
        <v>281</v>
      </c>
    </row>
    <row r="180" ht="15.4" customHeight="1" spans="1:7">
      <c r="A180" s="23" t="s">
        <v>456</v>
      </c>
      <c r="B180" s="151"/>
      <c r="C180" s="151"/>
      <c r="D180" s="151"/>
      <c r="E180" s="151"/>
      <c r="F180" s="151"/>
      <c r="G180" s="153"/>
    </row>
    <row r="181" ht="15.4" customHeight="1" spans="1:7">
      <c r="A181" s="23" t="s">
        <v>284</v>
      </c>
      <c r="B181" s="28" t="s">
        <v>458</v>
      </c>
      <c r="C181" s="28"/>
      <c r="D181" s="28" t="s">
        <v>88</v>
      </c>
      <c r="E181" s="28" t="s">
        <v>130</v>
      </c>
      <c r="F181" s="28" t="s">
        <v>144</v>
      </c>
      <c r="G181" s="29" t="s">
        <v>234</v>
      </c>
    </row>
    <row r="182" ht="15.4" customHeight="1" spans="1:7">
      <c r="A182" s="23" t="s">
        <v>9</v>
      </c>
      <c r="B182" s="28" t="s">
        <v>459</v>
      </c>
      <c r="C182" s="28"/>
      <c r="D182" s="28"/>
      <c r="E182" s="28"/>
      <c r="F182" s="28"/>
      <c r="G182" s="29">
        <f>G183+G193</f>
        <v>16997.48</v>
      </c>
    </row>
    <row r="183" ht="15.4" customHeight="1" spans="1:7">
      <c r="A183" s="23">
        <v>1</v>
      </c>
      <c r="B183" s="28" t="s">
        <v>287</v>
      </c>
      <c r="C183" s="28"/>
      <c r="D183" s="28"/>
      <c r="E183" s="28"/>
      <c r="F183" s="28"/>
      <c r="G183" s="29">
        <f>G184+G187+G191</f>
        <v>16218.97</v>
      </c>
    </row>
    <row r="184" ht="15.4" customHeight="1" spans="1:7">
      <c r="A184" s="23" t="s">
        <v>460</v>
      </c>
      <c r="B184" s="28" t="s">
        <v>247</v>
      </c>
      <c r="C184" s="28"/>
      <c r="D184" s="28" t="s">
        <v>290</v>
      </c>
      <c r="E184" s="28">
        <f>SUM(E185:E186)</f>
        <v>579.1</v>
      </c>
      <c r="F184" s="28"/>
      <c r="G184" s="29">
        <f>SUM(G185:G186)</f>
        <v>3799.49</v>
      </c>
    </row>
    <row r="185" ht="15.4" customHeight="1" spans="1:7">
      <c r="A185" s="23"/>
      <c r="B185" s="28" t="s">
        <v>289</v>
      </c>
      <c r="C185" s="28"/>
      <c r="D185" s="28" t="s">
        <v>290</v>
      </c>
      <c r="E185" s="28">
        <v>196.6</v>
      </c>
      <c r="F185" s="28">
        <f>人工!D4</f>
        <v>8.1</v>
      </c>
      <c r="G185" s="29">
        <f>E185*F185</f>
        <v>1592.46</v>
      </c>
    </row>
    <row r="186" ht="15.4" customHeight="1" spans="1:7">
      <c r="A186" s="23"/>
      <c r="B186" s="28" t="s">
        <v>291</v>
      </c>
      <c r="C186" s="28"/>
      <c r="D186" s="28" t="s">
        <v>290</v>
      </c>
      <c r="E186" s="28">
        <v>382.5</v>
      </c>
      <c r="F186" s="28">
        <f>人工!D5</f>
        <v>5.77</v>
      </c>
      <c r="G186" s="29">
        <f>E186*F186</f>
        <v>2207.03</v>
      </c>
    </row>
    <row r="187" ht="15.4" customHeight="1" spans="1:7">
      <c r="A187" s="23" t="s">
        <v>461</v>
      </c>
      <c r="B187" s="28" t="s">
        <v>248</v>
      </c>
      <c r="C187" s="28"/>
      <c r="D187" s="28"/>
      <c r="E187" s="28"/>
      <c r="F187" s="28"/>
      <c r="G187" s="29">
        <f>SUM(G188:G190)</f>
        <v>12355.27</v>
      </c>
    </row>
    <row r="188" ht="15.4" customHeight="1" spans="1:7">
      <c r="A188" s="23"/>
      <c r="B188" s="28" t="s">
        <v>422</v>
      </c>
      <c r="C188" s="28"/>
      <c r="D188" s="28" t="s">
        <v>423</v>
      </c>
      <c r="E188" s="28">
        <v>820</v>
      </c>
      <c r="F188" s="28">
        <v>5.09</v>
      </c>
      <c r="G188" s="29">
        <f>E188*F188</f>
        <v>4173.8</v>
      </c>
    </row>
    <row r="189" ht="15.4" customHeight="1" spans="1:7">
      <c r="A189" s="23"/>
      <c r="B189" s="28" t="s">
        <v>401</v>
      </c>
      <c r="C189" s="28"/>
      <c r="D189" s="28" t="s">
        <v>395</v>
      </c>
      <c r="E189" s="28">
        <v>116</v>
      </c>
      <c r="F189" s="28">
        <f>主材!M11</f>
        <v>70</v>
      </c>
      <c r="G189" s="29">
        <f>E189*F189</f>
        <v>8120</v>
      </c>
    </row>
    <row r="190" ht="15.4" customHeight="1" spans="1:7">
      <c r="A190" s="23"/>
      <c r="B190" s="28" t="s">
        <v>397</v>
      </c>
      <c r="C190" s="28"/>
      <c r="D190" s="28" t="s">
        <v>293</v>
      </c>
      <c r="E190" s="30">
        <v>0.005</v>
      </c>
      <c r="F190" s="28">
        <f>G188+G189</f>
        <v>12293.8</v>
      </c>
      <c r="G190" s="29">
        <f>E190*F190</f>
        <v>61.47</v>
      </c>
    </row>
    <row r="191" ht="15.4" customHeight="1" spans="1:7">
      <c r="A191" s="23" t="s">
        <v>729</v>
      </c>
      <c r="B191" s="28" t="s">
        <v>464</v>
      </c>
      <c r="C191" s="28"/>
      <c r="D191" s="28"/>
      <c r="E191" s="28"/>
      <c r="F191" s="28"/>
      <c r="G191" s="29">
        <f>SUM(G192:G192)</f>
        <v>64.21</v>
      </c>
    </row>
    <row r="192" ht="15.4" customHeight="1" spans="1:7">
      <c r="A192" s="23"/>
      <c r="B192" s="28" t="s">
        <v>472</v>
      </c>
      <c r="C192" s="28"/>
      <c r="D192" s="28" t="s">
        <v>316</v>
      </c>
      <c r="E192" s="28">
        <v>78.3</v>
      </c>
      <c r="F192" s="28">
        <f>机械!E29</f>
        <v>0.82</v>
      </c>
      <c r="G192" s="29">
        <f>E192*F192</f>
        <v>64.21</v>
      </c>
    </row>
    <row r="193" ht="15.4" customHeight="1" spans="1:7">
      <c r="A193" s="23">
        <v>2</v>
      </c>
      <c r="B193" s="28" t="s">
        <v>294</v>
      </c>
      <c r="C193" s="28"/>
      <c r="D193" s="28"/>
      <c r="E193" s="30">
        <f>费率!J4</f>
        <v>0.048</v>
      </c>
      <c r="F193" s="28">
        <f>G183</f>
        <v>16218.97</v>
      </c>
      <c r="G193" s="29">
        <f>E193*F193</f>
        <v>778.51</v>
      </c>
    </row>
    <row r="194" ht="15.4" customHeight="1" spans="1:7">
      <c r="A194" s="23" t="s">
        <v>14</v>
      </c>
      <c r="B194" s="28" t="s">
        <v>295</v>
      </c>
      <c r="C194" s="28"/>
      <c r="D194" s="28"/>
      <c r="E194" s="30">
        <v>0.085</v>
      </c>
      <c r="F194" s="28">
        <f>G182</f>
        <v>16997.48</v>
      </c>
      <c r="G194" s="29">
        <f>F194*E194</f>
        <v>1444.79</v>
      </c>
    </row>
    <row r="195" ht="15.4" customHeight="1" spans="1:7">
      <c r="A195" s="23" t="s">
        <v>16</v>
      </c>
      <c r="B195" s="28" t="s">
        <v>732</v>
      </c>
      <c r="C195" s="28"/>
      <c r="D195" s="28"/>
      <c r="E195" s="30">
        <f>费率!J6</f>
        <v>0.07</v>
      </c>
      <c r="F195" s="28">
        <f>SUM(F194:G194)</f>
        <v>18442.27</v>
      </c>
      <c r="G195" s="29">
        <f>F195*E195</f>
        <v>1290.96</v>
      </c>
    </row>
    <row r="196" ht="15.4" customHeight="1" spans="1:7">
      <c r="A196" s="23"/>
      <c r="B196" s="28" t="s">
        <v>465</v>
      </c>
      <c r="C196" s="28"/>
      <c r="D196" s="28"/>
      <c r="E196" s="28"/>
      <c r="F196" s="28"/>
      <c r="G196" s="29">
        <f>SUM(F195:G195)</f>
        <v>19733.23</v>
      </c>
    </row>
    <row r="197" ht="15.4" customHeight="1" spans="1:7">
      <c r="A197" s="23" t="s">
        <v>18</v>
      </c>
      <c r="B197" s="28" t="s">
        <v>466</v>
      </c>
      <c r="C197" s="28"/>
      <c r="D197" s="28"/>
      <c r="E197" s="28"/>
      <c r="F197" s="28"/>
      <c r="G197" s="29">
        <f>SUM(G198:G199)</f>
        <v>15232.8</v>
      </c>
    </row>
    <row r="198" ht="15.4" customHeight="1" spans="1:7">
      <c r="A198" s="23"/>
      <c r="B198" s="28" t="s">
        <v>401</v>
      </c>
      <c r="C198" s="28"/>
      <c r="D198" s="28" t="s">
        <v>395</v>
      </c>
      <c r="E198" s="28">
        <v>116</v>
      </c>
      <c r="F198" s="28">
        <f>主材!N11</f>
        <v>57.8</v>
      </c>
      <c r="G198" s="29">
        <f>E198*F198</f>
        <v>6704.8</v>
      </c>
    </row>
    <row r="199" ht="15.4" customHeight="1" spans="1:7">
      <c r="A199" s="23"/>
      <c r="B199" s="28" t="s">
        <v>422</v>
      </c>
      <c r="C199" s="28"/>
      <c r="D199" s="28" t="s">
        <v>423</v>
      </c>
      <c r="E199" s="28">
        <f>E188</f>
        <v>820</v>
      </c>
      <c r="F199" s="28">
        <v>10.4</v>
      </c>
      <c r="G199" s="29">
        <f>E199*F199</f>
        <v>8528</v>
      </c>
    </row>
    <row r="200" ht="15.4" customHeight="1" spans="1:7">
      <c r="A200" s="23" t="s">
        <v>20</v>
      </c>
      <c r="B200" s="28" t="s">
        <v>297</v>
      </c>
      <c r="C200" s="28"/>
      <c r="D200" s="28"/>
      <c r="E200" s="30">
        <f>费率!J7</f>
        <v>0.09</v>
      </c>
      <c r="F200" s="28">
        <f>G196</f>
        <v>19733.23</v>
      </c>
      <c r="G200" s="29">
        <f>F200*E200</f>
        <v>1775.99</v>
      </c>
    </row>
    <row r="201" ht="15.4" customHeight="1" spans="1:7">
      <c r="A201" s="23" t="s">
        <v>23</v>
      </c>
      <c r="B201" s="28" t="s">
        <v>298</v>
      </c>
      <c r="C201" s="28"/>
      <c r="D201" s="28"/>
      <c r="E201" s="30">
        <f>费率!J8</f>
        <v>0.03</v>
      </c>
      <c r="F201" s="28">
        <f>G196+G197+G200</f>
        <v>36742.02</v>
      </c>
      <c r="G201" s="29">
        <f>E201*F201</f>
        <v>1102.26</v>
      </c>
    </row>
    <row r="202" ht="15" customHeight="1" spans="1:7">
      <c r="A202" s="34" t="s">
        <v>25</v>
      </c>
      <c r="B202" s="36" t="s">
        <v>121</v>
      </c>
      <c r="C202" s="36"/>
      <c r="D202" s="36"/>
      <c r="E202" s="36"/>
      <c r="F202" s="36"/>
      <c r="G202" s="148">
        <f>SUM(F201:G201)</f>
        <v>37844.28</v>
      </c>
    </row>
  </sheetData>
  <mergeCells count="188">
    <mergeCell ref="A1:G1"/>
    <mergeCell ref="A2:B2"/>
    <mergeCell ref="E2:G2"/>
    <mergeCell ref="A3:B3"/>
    <mergeCell ref="C3:E3"/>
    <mergeCell ref="A4:G4"/>
    <mergeCell ref="A5:G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9:G29"/>
    <mergeCell ref="A30:B30"/>
    <mergeCell ref="E30:G30"/>
    <mergeCell ref="A31:B31"/>
    <mergeCell ref="C31:E31"/>
    <mergeCell ref="A32:G32"/>
    <mergeCell ref="A33:G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A50:G50"/>
    <mergeCell ref="A51:B51"/>
    <mergeCell ref="E51:G51"/>
    <mergeCell ref="A52:B52"/>
    <mergeCell ref="C52:E52"/>
    <mergeCell ref="B53:G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D69"/>
    <mergeCell ref="B70:C70"/>
    <mergeCell ref="B71:C71"/>
    <mergeCell ref="B72:C72"/>
    <mergeCell ref="B73:C73"/>
    <mergeCell ref="B74:C74"/>
    <mergeCell ref="B75:C75"/>
    <mergeCell ref="A77:G77"/>
    <mergeCell ref="A78:B78"/>
    <mergeCell ref="E78:G78"/>
    <mergeCell ref="A79:B79"/>
    <mergeCell ref="C79:E79"/>
    <mergeCell ref="B80:G80"/>
    <mergeCell ref="A103:G103"/>
    <mergeCell ref="A104:B104"/>
    <mergeCell ref="E104:G104"/>
    <mergeCell ref="A105:B105"/>
    <mergeCell ref="C105:E105"/>
    <mergeCell ref="B106:G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D121"/>
    <mergeCell ref="B122:C122"/>
    <mergeCell ref="B123:C123"/>
    <mergeCell ref="B124:C124"/>
    <mergeCell ref="B125:C125"/>
    <mergeCell ref="A127:G127"/>
    <mergeCell ref="A128:B128"/>
    <mergeCell ref="E128:G128"/>
    <mergeCell ref="A129:B129"/>
    <mergeCell ref="C129:E129"/>
    <mergeCell ref="B130:G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D145"/>
    <mergeCell ref="B146:C146"/>
    <mergeCell ref="B147:C147"/>
    <mergeCell ref="B148:C148"/>
    <mergeCell ref="B149:D149"/>
    <mergeCell ref="A152:G152"/>
    <mergeCell ref="A153:B153"/>
    <mergeCell ref="E153:G153"/>
    <mergeCell ref="A154:B154"/>
    <mergeCell ref="C154:E154"/>
    <mergeCell ref="B155:G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D170"/>
    <mergeCell ref="B171:C171"/>
    <mergeCell ref="B172:C172"/>
    <mergeCell ref="B173:C173"/>
    <mergeCell ref="B174:D174"/>
    <mergeCell ref="A177:G177"/>
    <mergeCell ref="A178:B178"/>
    <mergeCell ref="E178:G178"/>
    <mergeCell ref="A179:B179"/>
    <mergeCell ref="C179:E179"/>
    <mergeCell ref="B180:F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D196"/>
    <mergeCell ref="B197:C197"/>
    <mergeCell ref="B198:C198"/>
    <mergeCell ref="B199:C199"/>
    <mergeCell ref="B200:C200"/>
    <mergeCell ref="B201:C201"/>
    <mergeCell ref="B202:D202"/>
  </mergeCells>
  <printOptions horizontalCentered="1"/>
  <pageMargins left="0.78740157480315" right="0.78740157480315" top="0.78740157480315" bottom="0.78740157480315" header="0.393700787401575" footer="0.393700787401575"/>
  <pageSetup paperSize="9" scale="95" firstPageNumber="72" orientation="portrait" useFirstPageNumber="1"/>
  <headerFooter alignWithMargins="0" scaleWithDoc="0">
    <oddFooter>&amp;C第 &amp;P 页</oddFooter>
  </headerFooter>
  <rowBreaks count="3" manualBreakCount="3">
    <brk id="49" max="6" man="1"/>
    <brk id="102" max="6" man="1"/>
    <brk id="151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G137"/>
  <sheetViews>
    <sheetView view="pageBreakPreview" zoomScaleNormal="100" topLeftCell="A61" workbookViewId="0">
      <selection activeCell="L13" sqref="L13"/>
    </sheetView>
  </sheetViews>
  <sheetFormatPr defaultColWidth="9" defaultRowHeight="14.25" outlineLevelCol="6"/>
  <cols>
    <col min="1" max="1" width="9.875" customWidth="1"/>
    <col min="3" max="3" width="14" customWidth="1"/>
    <col min="4" max="4" width="9.75" customWidth="1"/>
    <col min="5" max="5" width="12.375" customWidth="1"/>
    <col min="6" max="6" width="12.125" customWidth="1"/>
    <col min="7" max="7" width="13" customWidth="1"/>
  </cols>
  <sheetData>
    <row r="1" ht="19.5" spans="1:7">
      <c r="A1" s="101" t="s">
        <v>274</v>
      </c>
      <c r="B1" s="101"/>
      <c r="C1" s="101"/>
      <c r="D1" s="101"/>
      <c r="E1" s="101"/>
      <c r="F1" s="101"/>
      <c r="G1" s="101"/>
    </row>
    <row r="2" spans="1:7">
      <c r="A2" s="102" t="s">
        <v>275</v>
      </c>
      <c r="B2" s="103"/>
      <c r="C2" s="103" t="s">
        <v>1067</v>
      </c>
      <c r="D2" s="103" t="s">
        <v>276</v>
      </c>
      <c r="E2" s="104" t="s">
        <v>1068</v>
      </c>
      <c r="F2" s="104"/>
      <c r="G2" s="105"/>
    </row>
    <row r="3" spans="1:7">
      <c r="A3" s="106" t="s">
        <v>278</v>
      </c>
      <c r="B3" s="107"/>
      <c r="C3" s="108" t="s">
        <v>1069</v>
      </c>
      <c r="D3" s="108"/>
      <c r="E3" s="108"/>
      <c r="F3" s="109" t="s">
        <v>280</v>
      </c>
      <c r="G3" s="110" t="s">
        <v>814</v>
      </c>
    </row>
    <row r="4" spans="1:7">
      <c r="A4" s="111" t="s">
        <v>358</v>
      </c>
      <c r="B4" s="108"/>
      <c r="C4" s="108"/>
      <c r="D4" s="108"/>
      <c r="E4" s="108"/>
      <c r="F4" s="108"/>
      <c r="G4" s="112"/>
    </row>
    <row r="5" spans="1:7">
      <c r="A5" s="113" t="s">
        <v>1070</v>
      </c>
      <c r="B5" s="114"/>
      <c r="C5" s="54"/>
      <c r="D5" s="54"/>
      <c r="E5" s="54"/>
      <c r="F5" s="54"/>
      <c r="G5" s="55"/>
    </row>
    <row r="6" spans="1:7">
      <c r="A6" s="106" t="s">
        <v>284</v>
      </c>
      <c r="B6" s="109" t="s">
        <v>233</v>
      </c>
      <c r="C6" s="109"/>
      <c r="D6" s="109" t="s">
        <v>88</v>
      </c>
      <c r="E6" s="115" t="s">
        <v>130</v>
      </c>
      <c r="F6" s="109" t="s">
        <v>285</v>
      </c>
      <c r="G6" s="110" t="s">
        <v>286</v>
      </c>
    </row>
    <row r="7" spans="1:7">
      <c r="A7" s="106" t="s">
        <v>9</v>
      </c>
      <c r="B7" s="116" t="s">
        <v>287</v>
      </c>
      <c r="C7" s="116"/>
      <c r="D7" s="109"/>
      <c r="E7" s="115"/>
      <c r="F7" s="115"/>
      <c r="G7" s="117">
        <f>G8+G16</f>
        <v>386.62</v>
      </c>
    </row>
    <row r="8" spans="1:7">
      <c r="A8" s="106" t="s">
        <v>132</v>
      </c>
      <c r="B8" s="116" t="s">
        <v>288</v>
      </c>
      <c r="C8" s="116"/>
      <c r="D8" s="109"/>
      <c r="E8" s="115"/>
      <c r="F8" s="115"/>
      <c r="G8" s="117">
        <f>G9+G12+G15</f>
        <v>366.46</v>
      </c>
    </row>
    <row r="9" spans="1:7">
      <c r="A9" s="106" t="s">
        <v>39</v>
      </c>
      <c r="B9" s="116" t="s">
        <v>247</v>
      </c>
      <c r="C9" s="116"/>
      <c r="D9" s="109"/>
      <c r="E9" s="115"/>
      <c r="F9" s="115"/>
      <c r="G9" s="117">
        <f>SUM(G10:G11)</f>
        <v>162</v>
      </c>
    </row>
    <row r="10" spans="1:7">
      <c r="A10" s="106"/>
      <c r="B10" s="116" t="s">
        <v>289</v>
      </c>
      <c r="C10" s="116"/>
      <c r="D10" s="109" t="s">
        <v>290</v>
      </c>
      <c r="E10" s="118">
        <f>7.3*60%</f>
        <v>4.4</v>
      </c>
      <c r="F10" s="115">
        <f>人工!D4</f>
        <v>8.1</v>
      </c>
      <c r="G10" s="117">
        <f>E10*F10</f>
        <v>35.64</v>
      </c>
    </row>
    <row r="11" spans="1:7">
      <c r="A11" s="106"/>
      <c r="B11" s="116" t="s">
        <v>291</v>
      </c>
      <c r="C11" s="116"/>
      <c r="D11" s="109" t="s">
        <v>290</v>
      </c>
      <c r="E11" s="118">
        <f>36.5*60%</f>
        <v>21.9</v>
      </c>
      <c r="F11" s="115">
        <f>人工!D5</f>
        <v>5.77</v>
      </c>
      <c r="G11" s="117">
        <f>E11*F11</f>
        <v>126.36</v>
      </c>
    </row>
    <row r="12" spans="1:7">
      <c r="A12" s="106" t="s">
        <v>41</v>
      </c>
      <c r="B12" s="116" t="s">
        <v>248</v>
      </c>
      <c r="C12" s="116"/>
      <c r="D12" s="109"/>
      <c r="E12" s="115"/>
      <c r="F12" s="115"/>
      <c r="G12" s="117">
        <f>SUM(G13:G14)</f>
        <v>204.46</v>
      </c>
    </row>
    <row r="13" spans="1:7">
      <c r="A13" s="106"/>
      <c r="B13" s="116" t="s">
        <v>1071</v>
      </c>
      <c r="C13" s="116"/>
      <c r="D13" s="109" t="s">
        <v>161</v>
      </c>
      <c r="E13" s="115">
        <v>101</v>
      </c>
      <c r="F13" s="115">
        <f>管材价格!L21</f>
        <v>101.22</v>
      </c>
      <c r="G13" s="117"/>
    </row>
    <row r="14" spans="1:7">
      <c r="A14" s="106"/>
      <c r="B14" s="116" t="s">
        <v>397</v>
      </c>
      <c r="C14" s="116"/>
      <c r="D14" s="109" t="s">
        <v>293</v>
      </c>
      <c r="E14" s="118">
        <v>2</v>
      </c>
      <c r="F14" s="115">
        <f>E13*F13</f>
        <v>10223.22</v>
      </c>
      <c r="G14" s="117">
        <f>E14*F14/100</f>
        <v>204.46</v>
      </c>
    </row>
    <row r="15" spans="1:7">
      <c r="A15" s="106" t="s">
        <v>46</v>
      </c>
      <c r="B15" s="116" t="s">
        <v>314</v>
      </c>
      <c r="C15" s="116"/>
      <c r="D15" s="109"/>
      <c r="E15" s="115"/>
      <c r="F15" s="115"/>
      <c r="G15" s="117">
        <v>0</v>
      </c>
    </row>
    <row r="16" spans="1:7">
      <c r="A16" s="106" t="s">
        <v>133</v>
      </c>
      <c r="B16" s="116" t="s">
        <v>294</v>
      </c>
      <c r="C16" s="116"/>
      <c r="D16" s="109"/>
      <c r="E16" s="119">
        <f>G8</f>
        <v>366.46</v>
      </c>
      <c r="F16" s="120">
        <f>费率!K4</f>
        <v>0.055</v>
      </c>
      <c r="G16" s="117">
        <f>E16*F16</f>
        <v>20.16</v>
      </c>
    </row>
    <row r="17" spans="1:7">
      <c r="A17" s="106" t="s">
        <v>14</v>
      </c>
      <c r="B17" s="116" t="s">
        <v>295</v>
      </c>
      <c r="C17" s="116"/>
      <c r="D17" s="109"/>
      <c r="E17" s="115">
        <f>G9</f>
        <v>162</v>
      </c>
      <c r="F17" s="121">
        <f>费率!K5</f>
        <v>0.7</v>
      </c>
      <c r="G17" s="117">
        <f>E17*F17</f>
        <v>113.4</v>
      </c>
    </row>
    <row r="18" spans="1:7">
      <c r="A18" s="106" t="s">
        <v>16</v>
      </c>
      <c r="B18" s="116" t="s">
        <v>296</v>
      </c>
      <c r="C18" s="116"/>
      <c r="D18" s="109"/>
      <c r="E18" s="115">
        <f>G7+G17</f>
        <v>500.02</v>
      </c>
      <c r="F18" s="122">
        <f>费率!K6</f>
        <v>0.07</v>
      </c>
      <c r="G18" s="117">
        <f>E18*F18</f>
        <v>35</v>
      </c>
    </row>
    <row r="19" spans="1:7">
      <c r="A19" s="106" t="s">
        <v>18</v>
      </c>
      <c r="B19" s="116" t="s">
        <v>254</v>
      </c>
      <c r="C19" s="116"/>
      <c r="D19" s="109"/>
      <c r="E19" s="115"/>
      <c r="F19" s="120"/>
      <c r="G19" s="117">
        <v>0</v>
      </c>
    </row>
    <row r="20" spans="1:7">
      <c r="A20" s="106" t="s">
        <v>20</v>
      </c>
      <c r="B20" s="116" t="s">
        <v>297</v>
      </c>
      <c r="C20" s="116"/>
      <c r="D20" s="109"/>
      <c r="E20" s="115">
        <f>G7+G17++G18+G19</f>
        <v>535.02</v>
      </c>
      <c r="F20" s="120">
        <f>费率!K7</f>
        <v>0.09</v>
      </c>
      <c r="G20" s="117">
        <f>E20*F20</f>
        <v>48.15</v>
      </c>
    </row>
    <row r="21" spans="1:7">
      <c r="A21" s="106"/>
      <c r="B21" s="116" t="s">
        <v>298</v>
      </c>
      <c r="C21" s="116"/>
      <c r="D21" s="109"/>
      <c r="E21" s="115">
        <f>G7+G17+G18+G19+G20</f>
        <v>583.17</v>
      </c>
      <c r="F21" s="122">
        <f>费率!K8</f>
        <v>0.03</v>
      </c>
      <c r="G21" s="117">
        <f>E21*F21</f>
        <v>17.5</v>
      </c>
    </row>
    <row r="22" ht="15" spans="1:7">
      <c r="A22" s="123"/>
      <c r="B22" s="124" t="s">
        <v>560</v>
      </c>
      <c r="C22" s="124"/>
      <c r="D22" s="124"/>
      <c r="E22" s="125"/>
      <c r="F22" s="124"/>
      <c r="G22" s="126">
        <f>G7+G17+G18+G19+G20+G21</f>
        <v>600.67</v>
      </c>
    </row>
    <row r="24" ht="19.5" spans="1:7">
      <c r="A24" s="101" t="s">
        <v>274</v>
      </c>
      <c r="B24" s="101"/>
      <c r="C24" s="101"/>
      <c r="D24" s="101"/>
      <c r="E24" s="101"/>
      <c r="F24" s="101"/>
      <c r="G24" s="101"/>
    </row>
    <row r="25" spans="1:7">
      <c r="A25" s="102" t="s">
        <v>275</v>
      </c>
      <c r="B25" s="103"/>
      <c r="C25" s="103" t="s">
        <v>1072</v>
      </c>
      <c r="D25" s="103" t="s">
        <v>276</v>
      </c>
      <c r="E25" s="104" t="s">
        <v>1073</v>
      </c>
      <c r="F25" s="104"/>
      <c r="G25" s="105"/>
    </row>
    <row r="26" spans="1:7">
      <c r="A26" s="106" t="s">
        <v>278</v>
      </c>
      <c r="B26" s="107"/>
      <c r="C26" s="108" t="s">
        <v>1069</v>
      </c>
      <c r="D26" s="108"/>
      <c r="E26" s="108"/>
      <c r="F26" s="109" t="s">
        <v>280</v>
      </c>
      <c r="G26" s="110" t="s">
        <v>814</v>
      </c>
    </row>
    <row r="27" spans="1:7">
      <c r="A27" s="111" t="s">
        <v>358</v>
      </c>
      <c r="B27" s="108"/>
      <c r="C27" s="108"/>
      <c r="D27" s="108"/>
      <c r="E27" s="108"/>
      <c r="F27" s="108"/>
      <c r="G27" s="112"/>
    </row>
    <row r="28" spans="1:7">
      <c r="A28" s="113" t="s">
        <v>1070</v>
      </c>
      <c r="B28" s="114"/>
      <c r="C28" s="54"/>
      <c r="D28" s="54"/>
      <c r="E28" s="54"/>
      <c r="F28" s="54"/>
      <c r="G28" s="55"/>
    </row>
    <row r="29" spans="1:7">
      <c r="A29" s="106" t="s">
        <v>284</v>
      </c>
      <c r="B29" s="109" t="s">
        <v>233</v>
      </c>
      <c r="C29" s="109"/>
      <c r="D29" s="109" t="s">
        <v>88</v>
      </c>
      <c r="E29" s="115" t="s">
        <v>130</v>
      </c>
      <c r="F29" s="109" t="s">
        <v>285</v>
      </c>
      <c r="G29" s="110" t="s">
        <v>286</v>
      </c>
    </row>
    <row r="30" spans="1:7">
      <c r="A30" s="106" t="s">
        <v>9</v>
      </c>
      <c r="B30" s="116" t="s">
        <v>287</v>
      </c>
      <c r="C30" s="116"/>
      <c r="D30" s="109"/>
      <c r="E30" s="115"/>
      <c r="F30" s="115"/>
      <c r="G30" s="117">
        <f>G31+G39</f>
        <v>343.23</v>
      </c>
    </row>
    <row r="31" spans="1:7">
      <c r="A31" s="106" t="s">
        <v>132</v>
      </c>
      <c r="B31" s="116" t="s">
        <v>288</v>
      </c>
      <c r="C31" s="116"/>
      <c r="D31" s="109"/>
      <c r="E31" s="115"/>
      <c r="F31" s="115"/>
      <c r="G31" s="117">
        <f>G32+G35+G38</f>
        <v>325.34</v>
      </c>
    </row>
    <row r="32" spans="1:7">
      <c r="A32" s="106" t="s">
        <v>39</v>
      </c>
      <c r="B32" s="116" t="s">
        <v>247</v>
      </c>
      <c r="C32" s="116"/>
      <c r="D32" s="109"/>
      <c r="E32" s="115"/>
      <c r="F32" s="115"/>
      <c r="G32" s="117">
        <f>SUM(G33:G34)</f>
        <v>162</v>
      </c>
    </row>
    <row r="33" spans="1:7">
      <c r="A33" s="106"/>
      <c r="B33" s="116" t="s">
        <v>289</v>
      </c>
      <c r="C33" s="116"/>
      <c r="D33" s="109" t="s">
        <v>290</v>
      </c>
      <c r="E33" s="118">
        <f>7.3*60%</f>
        <v>4.4</v>
      </c>
      <c r="F33" s="115">
        <f>人工!D4</f>
        <v>8.1</v>
      </c>
      <c r="G33" s="117">
        <f>E33*F33</f>
        <v>35.64</v>
      </c>
    </row>
    <row r="34" spans="1:7">
      <c r="A34" s="106"/>
      <c r="B34" s="116" t="s">
        <v>291</v>
      </c>
      <c r="C34" s="116"/>
      <c r="D34" s="109" t="s">
        <v>290</v>
      </c>
      <c r="E34" s="118">
        <f>36.5*60%</f>
        <v>21.9</v>
      </c>
      <c r="F34" s="115">
        <f>人工!D5</f>
        <v>5.77</v>
      </c>
      <c r="G34" s="117">
        <f>E34*F34</f>
        <v>126.36</v>
      </c>
    </row>
    <row r="35" spans="1:7">
      <c r="A35" s="106" t="s">
        <v>41</v>
      </c>
      <c r="B35" s="116" t="s">
        <v>248</v>
      </c>
      <c r="C35" s="116"/>
      <c r="D35" s="109"/>
      <c r="E35" s="115"/>
      <c r="F35" s="115"/>
      <c r="G35" s="117">
        <f>SUM(G36:G37)</f>
        <v>163.34</v>
      </c>
    </row>
    <row r="36" spans="1:7">
      <c r="A36" s="106"/>
      <c r="B36" s="116" t="s">
        <v>1074</v>
      </c>
      <c r="C36" s="116"/>
      <c r="D36" s="109" t="s">
        <v>161</v>
      </c>
      <c r="E36" s="115">
        <v>101</v>
      </c>
      <c r="F36" s="115">
        <f>管材价格!L20</f>
        <v>80.86</v>
      </c>
      <c r="G36" s="117"/>
    </row>
    <row r="37" spans="1:7">
      <c r="A37" s="106"/>
      <c r="B37" s="116" t="s">
        <v>397</v>
      </c>
      <c r="C37" s="116"/>
      <c r="D37" s="109" t="s">
        <v>293</v>
      </c>
      <c r="E37" s="118">
        <v>2</v>
      </c>
      <c r="F37" s="115">
        <f>E36*F36</f>
        <v>8166.86</v>
      </c>
      <c r="G37" s="117">
        <f>E37*F37/100</f>
        <v>163.34</v>
      </c>
    </row>
    <row r="38" spans="1:7">
      <c r="A38" s="106" t="s">
        <v>46</v>
      </c>
      <c r="B38" s="116" t="s">
        <v>314</v>
      </c>
      <c r="C38" s="116"/>
      <c r="D38" s="109"/>
      <c r="E38" s="115"/>
      <c r="F38" s="115"/>
      <c r="G38" s="117">
        <v>0</v>
      </c>
    </row>
    <row r="39" spans="1:7">
      <c r="A39" s="106" t="s">
        <v>133</v>
      </c>
      <c r="B39" s="116" t="s">
        <v>294</v>
      </c>
      <c r="C39" s="116"/>
      <c r="D39" s="109"/>
      <c r="E39" s="119">
        <f>G31</f>
        <v>325.34</v>
      </c>
      <c r="F39" s="120">
        <f>费率!K4</f>
        <v>0.055</v>
      </c>
      <c r="G39" s="117">
        <f>E39*F39</f>
        <v>17.89</v>
      </c>
    </row>
    <row r="40" spans="1:7">
      <c r="A40" s="106" t="s">
        <v>14</v>
      </c>
      <c r="B40" s="116" t="s">
        <v>295</v>
      </c>
      <c r="C40" s="116"/>
      <c r="D40" s="109"/>
      <c r="E40" s="115">
        <f>G32</f>
        <v>162</v>
      </c>
      <c r="F40" s="121">
        <f>费率!K5</f>
        <v>0.7</v>
      </c>
      <c r="G40" s="117">
        <f>E40*F40</f>
        <v>113.4</v>
      </c>
    </row>
    <row r="41" spans="1:7">
      <c r="A41" s="106" t="s">
        <v>16</v>
      </c>
      <c r="B41" s="116" t="s">
        <v>296</v>
      </c>
      <c r="C41" s="116"/>
      <c r="D41" s="109"/>
      <c r="E41" s="115">
        <f>G30+G40</f>
        <v>456.63</v>
      </c>
      <c r="F41" s="122">
        <f>费率!K6</f>
        <v>0.07</v>
      </c>
      <c r="G41" s="117">
        <f>E41*F41</f>
        <v>31.96</v>
      </c>
    </row>
    <row r="42" spans="1:7">
      <c r="A42" s="106" t="s">
        <v>18</v>
      </c>
      <c r="B42" s="116" t="s">
        <v>254</v>
      </c>
      <c r="C42" s="116"/>
      <c r="D42" s="109"/>
      <c r="E42" s="115"/>
      <c r="F42" s="120"/>
      <c r="G42" s="117">
        <v>0</v>
      </c>
    </row>
    <row r="43" spans="1:7">
      <c r="A43" s="106" t="s">
        <v>20</v>
      </c>
      <c r="B43" s="116" t="s">
        <v>297</v>
      </c>
      <c r="C43" s="116"/>
      <c r="D43" s="109"/>
      <c r="E43" s="115">
        <f>G30+G40++G41+G42</f>
        <v>488.59</v>
      </c>
      <c r="F43" s="120">
        <f>费率!K7</f>
        <v>0.09</v>
      </c>
      <c r="G43" s="117">
        <f>E43*F43</f>
        <v>43.97</v>
      </c>
    </row>
    <row r="44" spans="1:7">
      <c r="A44" s="106"/>
      <c r="B44" s="116" t="s">
        <v>298</v>
      </c>
      <c r="C44" s="116"/>
      <c r="D44" s="109"/>
      <c r="E44" s="115">
        <f>G30+G40+G41+G42+G43</f>
        <v>532.56</v>
      </c>
      <c r="F44" s="122">
        <f>费率!K8</f>
        <v>0.03</v>
      </c>
      <c r="G44" s="117">
        <f>E44*F44</f>
        <v>15.98</v>
      </c>
    </row>
    <row r="45" ht="15" spans="1:7">
      <c r="A45" s="123"/>
      <c r="B45" s="124" t="s">
        <v>560</v>
      </c>
      <c r="C45" s="124"/>
      <c r="D45" s="124"/>
      <c r="E45" s="125"/>
      <c r="F45" s="124"/>
      <c r="G45" s="126">
        <f>G30+G40+G41+G42+G43+G44</f>
        <v>548.54</v>
      </c>
    </row>
    <row r="46" ht="64.9" customHeight="1"/>
    <row r="47" ht="19.5" spans="1:7">
      <c r="A47" s="101" t="s">
        <v>274</v>
      </c>
      <c r="B47" s="101"/>
      <c r="C47" s="101"/>
      <c r="D47" s="101"/>
      <c r="E47" s="101"/>
      <c r="F47" s="101"/>
      <c r="G47" s="101"/>
    </row>
    <row r="48" spans="1:7">
      <c r="A48" s="102" t="s">
        <v>275</v>
      </c>
      <c r="B48" s="103"/>
      <c r="C48" s="103" t="s">
        <v>1075</v>
      </c>
      <c r="D48" s="103" t="s">
        <v>276</v>
      </c>
      <c r="E48" s="104" t="s">
        <v>1076</v>
      </c>
      <c r="F48" s="104"/>
      <c r="G48" s="105"/>
    </row>
    <row r="49" spans="1:7">
      <c r="A49" s="106" t="s">
        <v>278</v>
      </c>
      <c r="B49" s="107"/>
      <c r="C49" s="108" t="s">
        <v>1069</v>
      </c>
      <c r="D49" s="108"/>
      <c r="E49" s="108"/>
      <c r="F49" s="109" t="s">
        <v>280</v>
      </c>
      <c r="G49" s="110" t="s">
        <v>814</v>
      </c>
    </row>
    <row r="50" spans="1:7">
      <c r="A50" s="111" t="s">
        <v>358</v>
      </c>
      <c r="B50" s="108"/>
      <c r="C50" s="108"/>
      <c r="D50" s="108"/>
      <c r="E50" s="108"/>
      <c r="F50" s="108"/>
      <c r="G50" s="112"/>
    </row>
    <row r="51" spans="1:7">
      <c r="A51" s="113" t="s">
        <v>1070</v>
      </c>
      <c r="B51" s="114"/>
      <c r="C51" s="54"/>
      <c r="D51" s="54"/>
      <c r="E51" s="54"/>
      <c r="F51" s="54"/>
      <c r="G51" s="55"/>
    </row>
    <row r="52" spans="1:7">
      <c r="A52" s="106" t="s">
        <v>284</v>
      </c>
      <c r="B52" s="109" t="s">
        <v>233</v>
      </c>
      <c r="C52" s="109"/>
      <c r="D52" s="109" t="s">
        <v>88</v>
      </c>
      <c r="E52" s="115" t="s">
        <v>130</v>
      </c>
      <c r="F52" s="109" t="s">
        <v>285</v>
      </c>
      <c r="G52" s="110" t="s">
        <v>286</v>
      </c>
    </row>
    <row r="53" spans="1:7">
      <c r="A53" s="106" t="s">
        <v>9</v>
      </c>
      <c r="B53" s="116" t="s">
        <v>287</v>
      </c>
      <c r="C53" s="116"/>
      <c r="D53" s="109"/>
      <c r="E53" s="115"/>
      <c r="F53" s="115"/>
      <c r="G53" s="117">
        <f>G54+G62</f>
        <v>279.64</v>
      </c>
    </row>
    <row r="54" spans="1:7">
      <c r="A54" s="106" t="s">
        <v>132</v>
      </c>
      <c r="B54" s="116" t="s">
        <v>288</v>
      </c>
      <c r="C54" s="116"/>
      <c r="D54" s="109"/>
      <c r="E54" s="115"/>
      <c r="F54" s="115"/>
      <c r="G54" s="117">
        <f>G55+G58+G61</f>
        <v>265.06</v>
      </c>
    </row>
    <row r="55" spans="1:7">
      <c r="A55" s="106" t="s">
        <v>39</v>
      </c>
      <c r="B55" s="116" t="s">
        <v>247</v>
      </c>
      <c r="C55" s="116"/>
      <c r="D55" s="109"/>
      <c r="E55" s="115"/>
      <c r="F55" s="115"/>
      <c r="G55" s="117">
        <f>SUM(G56:G57)</f>
        <v>162</v>
      </c>
    </row>
    <row r="56" spans="1:7">
      <c r="A56" s="106"/>
      <c r="B56" s="116" t="s">
        <v>289</v>
      </c>
      <c r="C56" s="116"/>
      <c r="D56" s="109" t="s">
        <v>290</v>
      </c>
      <c r="E56" s="118">
        <f>7.3*60%</f>
        <v>4.4</v>
      </c>
      <c r="F56" s="115">
        <f>人工!D4</f>
        <v>8.1</v>
      </c>
      <c r="G56" s="117">
        <f>E56*F56</f>
        <v>35.64</v>
      </c>
    </row>
    <row r="57" spans="1:7">
      <c r="A57" s="106"/>
      <c r="B57" s="116" t="s">
        <v>291</v>
      </c>
      <c r="C57" s="116"/>
      <c r="D57" s="109" t="s">
        <v>290</v>
      </c>
      <c r="E57" s="118">
        <f>36.5*60%</f>
        <v>21.9</v>
      </c>
      <c r="F57" s="115">
        <f>人工!D5</f>
        <v>5.77</v>
      </c>
      <c r="G57" s="117">
        <f>E57*F57</f>
        <v>126.36</v>
      </c>
    </row>
    <row r="58" spans="1:7">
      <c r="A58" s="106" t="s">
        <v>41</v>
      </c>
      <c r="B58" s="116" t="s">
        <v>248</v>
      </c>
      <c r="C58" s="116"/>
      <c r="D58" s="109"/>
      <c r="E58" s="115"/>
      <c r="F58" s="115"/>
      <c r="G58" s="117">
        <f>SUM(G59:G60)</f>
        <v>103.06</v>
      </c>
    </row>
    <row r="59" spans="1:7">
      <c r="A59" s="106"/>
      <c r="B59" s="116" t="s">
        <v>1077</v>
      </c>
      <c r="C59" s="116"/>
      <c r="D59" s="109" t="s">
        <v>161</v>
      </c>
      <c r="E59" s="115">
        <v>101</v>
      </c>
      <c r="F59" s="115">
        <f>管材价格!L18</f>
        <v>51.02</v>
      </c>
      <c r="G59" s="117"/>
    </row>
    <row r="60" spans="1:7">
      <c r="A60" s="106"/>
      <c r="B60" s="116" t="s">
        <v>397</v>
      </c>
      <c r="C60" s="116"/>
      <c r="D60" s="109" t="s">
        <v>293</v>
      </c>
      <c r="E60" s="118">
        <v>2</v>
      </c>
      <c r="F60" s="115">
        <f>E59*F59</f>
        <v>5153.02</v>
      </c>
      <c r="G60" s="117">
        <f>E60*F60/100</f>
        <v>103.06</v>
      </c>
    </row>
    <row r="61" spans="1:7">
      <c r="A61" s="106" t="s">
        <v>46</v>
      </c>
      <c r="B61" s="116" t="s">
        <v>314</v>
      </c>
      <c r="C61" s="116"/>
      <c r="D61" s="109"/>
      <c r="E61" s="115"/>
      <c r="F61" s="115"/>
      <c r="G61" s="117">
        <v>0</v>
      </c>
    </row>
    <row r="62" spans="1:7">
      <c r="A62" s="106" t="s">
        <v>133</v>
      </c>
      <c r="B62" s="116" t="s">
        <v>294</v>
      </c>
      <c r="C62" s="116"/>
      <c r="D62" s="109"/>
      <c r="E62" s="119">
        <f>G54</f>
        <v>265.06</v>
      </c>
      <c r="F62" s="120">
        <f>费率!K4</f>
        <v>0.055</v>
      </c>
      <c r="G62" s="117">
        <f>E62*F62</f>
        <v>14.58</v>
      </c>
    </row>
    <row r="63" spans="1:7">
      <c r="A63" s="106" t="s">
        <v>14</v>
      </c>
      <c r="B63" s="116" t="s">
        <v>295</v>
      </c>
      <c r="C63" s="116"/>
      <c r="D63" s="109"/>
      <c r="E63" s="115">
        <f>G55</f>
        <v>162</v>
      </c>
      <c r="F63" s="121">
        <f>费率!K5</f>
        <v>0.7</v>
      </c>
      <c r="G63" s="117">
        <f>E63*F63</f>
        <v>113.4</v>
      </c>
    </row>
    <row r="64" spans="1:7">
      <c r="A64" s="106" t="s">
        <v>16</v>
      </c>
      <c r="B64" s="116" t="s">
        <v>296</v>
      </c>
      <c r="C64" s="116"/>
      <c r="D64" s="109"/>
      <c r="E64" s="115">
        <f>G53+G63</f>
        <v>393.04</v>
      </c>
      <c r="F64" s="122">
        <f>费率!K6</f>
        <v>0.07</v>
      </c>
      <c r="G64" s="117">
        <f>E64*F64</f>
        <v>27.51</v>
      </c>
    </row>
    <row r="65" spans="1:7">
      <c r="A65" s="106" t="s">
        <v>18</v>
      </c>
      <c r="B65" s="116" t="s">
        <v>254</v>
      </c>
      <c r="C65" s="116"/>
      <c r="D65" s="109"/>
      <c r="E65" s="115"/>
      <c r="F65" s="120"/>
      <c r="G65" s="117">
        <v>0</v>
      </c>
    </row>
    <row r="66" spans="1:7">
      <c r="A66" s="106" t="s">
        <v>20</v>
      </c>
      <c r="B66" s="116" t="s">
        <v>297</v>
      </c>
      <c r="C66" s="116"/>
      <c r="D66" s="109"/>
      <c r="E66" s="115">
        <f>G53+G63++G64+G65</f>
        <v>420.55</v>
      </c>
      <c r="F66" s="120">
        <f>费率!K7</f>
        <v>0.09</v>
      </c>
      <c r="G66" s="117">
        <f>E66*F66</f>
        <v>37.85</v>
      </c>
    </row>
    <row r="67" spans="1:7">
      <c r="A67" s="106"/>
      <c r="B67" s="116" t="s">
        <v>298</v>
      </c>
      <c r="C67" s="116"/>
      <c r="D67" s="109"/>
      <c r="E67" s="115">
        <f>G53+G63+G64+G65+G66</f>
        <v>458.4</v>
      </c>
      <c r="F67" s="122">
        <f>费率!K8</f>
        <v>0.03</v>
      </c>
      <c r="G67" s="117">
        <f>E67*F67</f>
        <v>13.75</v>
      </c>
    </row>
    <row r="68" ht="15" spans="1:7">
      <c r="A68" s="123"/>
      <c r="B68" s="124" t="s">
        <v>560</v>
      </c>
      <c r="C68" s="124"/>
      <c r="D68" s="124"/>
      <c r="E68" s="125"/>
      <c r="F68" s="124"/>
      <c r="G68" s="126">
        <f>G53+G63+G64+G65+G66+G67</f>
        <v>472.15</v>
      </c>
    </row>
    <row r="70" ht="19.5" spans="1:7">
      <c r="A70" s="101" t="s">
        <v>274</v>
      </c>
      <c r="B70" s="101"/>
      <c r="C70" s="101"/>
      <c r="D70" s="101"/>
      <c r="E70" s="101"/>
      <c r="F70" s="101"/>
      <c r="G70" s="101"/>
    </row>
    <row r="71" spans="1:7">
      <c r="A71" s="102" t="s">
        <v>275</v>
      </c>
      <c r="B71" s="103"/>
      <c r="C71" s="103" t="s">
        <v>1078</v>
      </c>
      <c r="D71" s="103" t="s">
        <v>276</v>
      </c>
      <c r="E71" s="104" t="s">
        <v>1079</v>
      </c>
      <c r="F71" s="104"/>
      <c r="G71" s="105"/>
    </row>
    <row r="72" spans="1:7">
      <c r="A72" s="106" t="s">
        <v>278</v>
      </c>
      <c r="B72" s="107"/>
      <c r="C72" s="108" t="s">
        <v>1069</v>
      </c>
      <c r="D72" s="108"/>
      <c r="E72" s="108"/>
      <c r="F72" s="109" t="s">
        <v>280</v>
      </c>
      <c r="G72" s="110" t="s">
        <v>814</v>
      </c>
    </row>
    <row r="73" spans="1:7">
      <c r="A73" s="111" t="s">
        <v>358</v>
      </c>
      <c r="B73" s="108"/>
      <c r="C73" s="108"/>
      <c r="D73" s="108"/>
      <c r="E73" s="108"/>
      <c r="F73" s="108"/>
      <c r="G73" s="112"/>
    </row>
    <row r="74" spans="1:7">
      <c r="A74" s="113" t="s">
        <v>1070</v>
      </c>
      <c r="B74" s="114"/>
      <c r="C74" s="54"/>
      <c r="D74" s="54"/>
      <c r="E74" s="54"/>
      <c r="F74" s="54"/>
      <c r="G74" s="55"/>
    </row>
    <row r="75" spans="1:7">
      <c r="A75" s="106" t="s">
        <v>284</v>
      </c>
      <c r="B75" s="109" t="s">
        <v>233</v>
      </c>
      <c r="C75" s="109"/>
      <c r="D75" s="109" t="s">
        <v>88</v>
      </c>
      <c r="E75" s="115" t="s">
        <v>130</v>
      </c>
      <c r="F75" s="109" t="s">
        <v>285</v>
      </c>
      <c r="G75" s="110" t="s">
        <v>286</v>
      </c>
    </row>
    <row r="76" spans="1:7">
      <c r="A76" s="106" t="s">
        <v>9</v>
      </c>
      <c r="B76" s="116" t="s">
        <v>287</v>
      </c>
      <c r="C76" s="116"/>
      <c r="D76" s="109"/>
      <c r="E76" s="115"/>
      <c r="F76" s="115"/>
      <c r="G76" s="117">
        <f>G77+G85</f>
        <v>241.17</v>
      </c>
    </row>
    <row r="77" spans="1:7">
      <c r="A77" s="106" t="s">
        <v>132</v>
      </c>
      <c r="B77" s="116" t="s">
        <v>288</v>
      </c>
      <c r="C77" s="116"/>
      <c r="D77" s="109"/>
      <c r="E77" s="115"/>
      <c r="F77" s="115"/>
      <c r="G77" s="117">
        <f>G78+G81+G84</f>
        <v>228.6</v>
      </c>
    </row>
    <row r="78" spans="1:7">
      <c r="A78" s="106" t="s">
        <v>39</v>
      </c>
      <c r="B78" s="116" t="s">
        <v>247</v>
      </c>
      <c r="C78" s="116"/>
      <c r="D78" s="109"/>
      <c r="E78" s="115"/>
      <c r="F78" s="115"/>
      <c r="G78" s="117">
        <f>SUM(G79:G80)</f>
        <v>162</v>
      </c>
    </row>
    <row r="79" spans="1:7">
      <c r="A79" s="106"/>
      <c r="B79" s="116" t="s">
        <v>289</v>
      </c>
      <c r="C79" s="116"/>
      <c r="D79" s="109" t="s">
        <v>290</v>
      </c>
      <c r="E79" s="118">
        <f>7.3*60%</f>
        <v>4.4</v>
      </c>
      <c r="F79" s="115">
        <f>人工!D4</f>
        <v>8.1</v>
      </c>
      <c r="G79" s="117">
        <f>E79*F79</f>
        <v>35.64</v>
      </c>
    </row>
    <row r="80" spans="1:7">
      <c r="A80" s="106"/>
      <c r="B80" s="116" t="s">
        <v>291</v>
      </c>
      <c r="C80" s="116"/>
      <c r="D80" s="109" t="s">
        <v>290</v>
      </c>
      <c r="E80" s="118">
        <f>36.5*60%</f>
        <v>21.9</v>
      </c>
      <c r="F80" s="115">
        <f>人工!D5</f>
        <v>5.77</v>
      </c>
      <c r="G80" s="117">
        <f>E80*F80</f>
        <v>126.36</v>
      </c>
    </row>
    <row r="81" spans="1:7">
      <c r="A81" s="106" t="s">
        <v>41</v>
      </c>
      <c r="B81" s="116" t="s">
        <v>248</v>
      </c>
      <c r="C81" s="116"/>
      <c r="D81" s="109"/>
      <c r="E81" s="115"/>
      <c r="F81" s="115"/>
      <c r="G81" s="117">
        <f>SUM(G82:G83)</f>
        <v>66.6</v>
      </c>
    </row>
    <row r="82" spans="1:7">
      <c r="A82" s="106"/>
      <c r="B82" s="116" t="s">
        <v>1080</v>
      </c>
      <c r="C82" s="116"/>
      <c r="D82" s="109" t="s">
        <v>161</v>
      </c>
      <c r="E82" s="115">
        <v>101</v>
      </c>
      <c r="F82" s="115">
        <f>管材价格!L16</f>
        <v>32.97</v>
      </c>
      <c r="G82" s="117"/>
    </row>
    <row r="83" spans="1:7">
      <c r="A83" s="106"/>
      <c r="B83" s="116" t="s">
        <v>397</v>
      </c>
      <c r="C83" s="116"/>
      <c r="D83" s="109" t="s">
        <v>293</v>
      </c>
      <c r="E83" s="118">
        <v>2</v>
      </c>
      <c r="F83" s="115">
        <f>E82*F82</f>
        <v>3329.97</v>
      </c>
      <c r="G83" s="117">
        <f>E83*F83/100</f>
        <v>66.6</v>
      </c>
    </row>
    <row r="84" spans="1:7">
      <c r="A84" s="106" t="s">
        <v>46</v>
      </c>
      <c r="B84" s="116" t="s">
        <v>314</v>
      </c>
      <c r="C84" s="116"/>
      <c r="D84" s="109"/>
      <c r="E84" s="115"/>
      <c r="F84" s="115"/>
      <c r="G84" s="117">
        <v>0</v>
      </c>
    </row>
    <row r="85" spans="1:7">
      <c r="A85" s="106" t="s">
        <v>133</v>
      </c>
      <c r="B85" s="116" t="s">
        <v>294</v>
      </c>
      <c r="C85" s="116"/>
      <c r="D85" s="109"/>
      <c r="E85" s="119">
        <f>G77</f>
        <v>228.6</v>
      </c>
      <c r="F85" s="120">
        <f>费率!K4</f>
        <v>0.055</v>
      </c>
      <c r="G85" s="117">
        <f>E85*F85</f>
        <v>12.57</v>
      </c>
    </row>
    <row r="86" spans="1:7">
      <c r="A86" s="106" t="s">
        <v>14</v>
      </c>
      <c r="B86" s="116" t="s">
        <v>295</v>
      </c>
      <c r="C86" s="116"/>
      <c r="D86" s="109"/>
      <c r="E86" s="115">
        <f>G78</f>
        <v>162</v>
      </c>
      <c r="F86" s="121">
        <f>费率!K5</f>
        <v>0.7</v>
      </c>
      <c r="G86" s="117">
        <f>E86*F86</f>
        <v>113.4</v>
      </c>
    </row>
    <row r="87" spans="1:7">
      <c r="A87" s="106" t="s">
        <v>16</v>
      </c>
      <c r="B87" s="116" t="s">
        <v>296</v>
      </c>
      <c r="C87" s="116"/>
      <c r="D87" s="109"/>
      <c r="E87" s="115">
        <f>G76+G86</f>
        <v>354.57</v>
      </c>
      <c r="F87" s="122">
        <f>费率!K6</f>
        <v>0.07</v>
      </c>
      <c r="G87" s="117">
        <f>E87*F87</f>
        <v>24.82</v>
      </c>
    </row>
    <row r="88" spans="1:7">
      <c r="A88" s="106" t="s">
        <v>18</v>
      </c>
      <c r="B88" s="116" t="s">
        <v>254</v>
      </c>
      <c r="C88" s="116"/>
      <c r="D88" s="109"/>
      <c r="E88" s="115"/>
      <c r="F88" s="120"/>
      <c r="G88" s="117">
        <v>0</v>
      </c>
    </row>
    <row r="89" spans="1:7">
      <c r="A89" s="106" t="s">
        <v>20</v>
      </c>
      <c r="B89" s="116" t="s">
        <v>297</v>
      </c>
      <c r="C89" s="116"/>
      <c r="D89" s="109"/>
      <c r="E89" s="115">
        <f>G76+G86++G87+G88</f>
        <v>379.39</v>
      </c>
      <c r="F89" s="120">
        <f>费率!K7</f>
        <v>0.09</v>
      </c>
      <c r="G89" s="117">
        <f>E89*F89</f>
        <v>34.15</v>
      </c>
    </row>
    <row r="90" spans="1:7">
      <c r="A90" s="106"/>
      <c r="B90" s="116" t="s">
        <v>298</v>
      </c>
      <c r="C90" s="116"/>
      <c r="D90" s="109"/>
      <c r="E90" s="115">
        <f>G76+G86+G87+G88+G89</f>
        <v>413.54</v>
      </c>
      <c r="F90" s="122">
        <f>费率!K8</f>
        <v>0.03</v>
      </c>
      <c r="G90" s="117">
        <f>E90*F90</f>
        <v>12.41</v>
      </c>
    </row>
    <row r="91" ht="15" spans="1:7">
      <c r="A91" s="123"/>
      <c r="B91" s="124" t="s">
        <v>560</v>
      </c>
      <c r="C91" s="124"/>
      <c r="D91" s="124"/>
      <c r="E91" s="125"/>
      <c r="F91" s="124"/>
      <c r="G91" s="126">
        <f>G76+G86+G87+G88+G89+G90</f>
        <v>425.95</v>
      </c>
    </row>
    <row r="92" ht="61.9" customHeight="1"/>
    <row r="93" ht="19.5" spans="1:7">
      <c r="A93" s="101" t="s">
        <v>274</v>
      </c>
      <c r="B93" s="101"/>
      <c r="C93" s="101"/>
      <c r="D93" s="101"/>
      <c r="E93" s="101"/>
      <c r="F93" s="101"/>
      <c r="G93" s="101"/>
    </row>
    <row r="94" spans="1:7">
      <c r="A94" s="102" t="s">
        <v>275</v>
      </c>
      <c r="B94" s="103"/>
      <c r="C94" s="103" t="s">
        <v>1081</v>
      </c>
      <c r="D94" s="103" t="s">
        <v>276</v>
      </c>
      <c r="E94" s="104" t="s">
        <v>1082</v>
      </c>
      <c r="F94" s="104"/>
      <c r="G94" s="105"/>
    </row>
    <row r="95" spans="1:7">
      <c r="A95" s="106" t="s">
        <v>278</v>
      </c>
      <c r="B95" s="107"/>
      <c r="C95" s="108" t="s">
        <v>1069</v>
      </c>
      <c r="D95" s="108"/>
      <c r="E95" s="108"/>
      <c r="F95" s="109" t="s">
        <v>280</v>
      </c>
      <c r="G95" s="110" t="s">
        <v>814</v>
      </c>
    </row>
    <row r="96" spans="1:7">
      <c r="A96" s="111" t="s">
        <v>358</v>
      </c>
      <c r="B96" s="108"/>
      <c r="C96" s="108"/>
      <c r="D96" s="108"/>
      <c r="E96" s="108"/>
      <c r="F96" s="108"/>
      <c r="G96" s="112"/>
    </row>
    <row r="97" spans="1:7">
      <c r="A97" s="113" t="s">
        <v>1070</v>
      </c>
      <c r="B97" s="114"/>
      <c r="C97" s="54"/>
      <c r="D97" s="54"/>
      <c r="E97" s="54"/>
      <c r="F97" s="54"/>
      <c r="G97" s="55"/>
    </row>
    <row r="98" spans="1:7">
      <c r="A98" s="106" t="s">
        <v>284</v>
      </c>
      <c r="B98" s="109" t="s">
        <v>233</v>
      </c>
      <c r="C98" s="109"/>
      <c r="D98" s="109" t="s">
        <v>88</v>
      </c>
      <c r="E98" s="115" t="s">
        <v>130</v>
      </c>
      <c r="F98" s="109" t="s">
        <v>285</v>
      </c>
      <c r="G98" s="110" t="s">
        <v>286</v>
      </c>
    </row>
    <row r="99" spans="1:7">
      <c r="A99" s="106" t="s">
        <v>9</v>
      </c>
      <c r="B99" s="116" t="s">
        <v>287</v>
      </c>
      <c r="C99" s="116"/>
      <c r="D99" s="109"/>
      <c r="E99" s="115"/>
      <c r="F99" s="115"/>
      <c r="G99" s="117">
        <f>G100+G108</f>
        <v>204.01</v>
      </c>
    </row>
    <row r="100" spans="1:7">
      <c r="A100" s="106" t="s">
        <v>132</v>
      </c>
      <c r="B100" s="116" t="s">
        <v>288</v>
      </c>
      <c r="C100" s="116"/>
      <c r="D100" s="109"/>
      <c r="E100" s="115"/>
      <c r="F100" s="115"/>
      <c r="G100" s="117">
        <f>G101+G104+G107</f>
        <v>193.37</v>
      </c>
    </row>
    <row r="101" spans="1:7">
      <c r="A101" s="106" t="s">
        <v>39</v>
      </c>
      <c r="B101" s="116" t="s">
        <v>247</v>
      </c>
      <c r="C101" s="116"/>
      <c r="D101" s="109"/>
      <c r="E101" s="115"/>
      <c r="F101" s="115"/>
      <c r="G101" s="117">
        <f>SUM(G102:G103)</f>
        <v>162</v>
      </c>
    </row>
    <row r="102" spans="1:7">
      <c r="A102" s="106"/>
      <c r="B102" s="116" t="s">
        <v>289</v>
      </c>
      <c r="C102" s="116"/>
      <c r="D102" s="109" t="s">
        <v>290</v>
      </c>
      <c r="E102" s="118">
        <f>7.3*60%</f>
        <v>4.4</v>
      </c>
      <c r="F102" s="115">
        <f>人工!D4</f>
        <v>8.1</v>
      </c>
      <c r="G102" s="117">
        <f>E102*F102</f>
        <v>35.64</v>
      </c>
    </row>
    <row r="103" spans="1:7">
      <c r="A103" s="106"/>
      <c r="B103" s="116" t="s">
        <v>291</v>
      </c>
      <c r="C103" s="116"/>
      <c r="D103" s="109" t="s">
        <v>290</v>
      </c>
      <c r="E103" s="118">
        <f>36.5*60%</f>
        <v>21.9</v>
      </c>
      <c r="F103" s="115">
        <f>人工!D5</f>
        <v>5.77</v>
      </c>
      <c r="G103" s="117">
        <f>E103*F103</f>
        <v>126.36</v>
      </c>
    </row>
    <row r="104" spans="1:7">
      <c r="A104" s="106" t="s">
        <v>41</v>
      </c>
      <c r="B104" s="116" t="s">
        <v>248</v>
      </c>
      <c r="C104" s="116"/>
      <c r="D104" s="109"/>
      <c r="E104" s="115"/>
      <c r="F104" s="115"/>
      <c r="G104" s="117">
        <f>SUM(G105:G106)</f>
        <v>31.37</v>
      </c>
    </row>
    <row r="105" spans="1:7">
      <c r="A105" s="106"/>
      <c r="B105" s="116" t="s">
        <v>1083</v>
      </c>
      <c r="C105" s="116"/>
      <c r="D105" s="109" t="s">
        <v>161</v>
      </c>
      <c r="E105" s="115">
        <v>101</v>
      </c>
      <c r="F105" s="115">
        <f>管材价格!L13</f>
        <v>15.53</v>
      </c>
      <c r="G105" s="117"/>
    </row>
    <row r="106" spans="1:7">
      <c r="A106" s="106"/>
      <c r="B106" s="116" t="s">
        <v>397</v>
      </c>
      <c r="C106" s="116"/>
      <c r="D106" s="109" t="s">
        <v>293</v>
      </c>
      <c r="E106" s="118">
        <v>2</v>
      </c>
      <c r="F106" s="115">
        <f>E105*F105</f>
        <v>1568.53</v>
      </c>
      <c r="G106" s="117">
        <f>E106*F106/100</f>
        <v>31.37</v>
      </c>
    </row>
    <row r="107" spans="1:7">
      <c r="A107" s="106" t="s">
        <v>46</v>
      </c>
      <c r="B107" s="116" t="s">
        <v>314</v>
      </c>
      <c r="C107" s="116"/>
      <c r="D107" s="109"/>
      <c r="E107" s="115"/>
      <c r="F107" s="115"/>
      <c r="G107" s="117">
        <v>0</v>
      </c>
    </row>
    <row r="108" spans="1:7">
      <c r="A108" s="106" t="s">
        <v>133</v>
      </c>
      <c r="B108" s="116" t="s">
        <v>294</v>
      </c>
      <c r="C108" s="116"/>
      <c r="D108" s="109"/>
      <c r="E108" s="119">
        <f>G100</f>
        <v>193.37</v>
      </c>
      <c r="F108" s="120">
        <f>费率!K4</f>
        <v>0.055</v>
      </c>
      <c r="G108" s="117">
        <f>E108*F108</f>
        <v>10.64</v>
      </c>
    </row>
    <row r="109" spans="1:7">
      <c r="A109" s="106" t="s">
        <v>14</v>
      </c>
      <c r="B109" s="116" t="s">
        <v>295</v>
      </c>
      <c r="C109" s="116"/>
      <c r="D109" s="109"/>
      <c r="E109" s="115">
        <f>G101</f>
        <v>162</v>
      </c>
      <c r="F109" s="121">
        <f>费率!K5</f>
        <v>0.7</v>
      </c>
      <c r="G109" s="117">
        <f>E109*F109</f>
        <v>113.4</v>
      </c>
    </row>
    <row r="110" spans="1:7">
      <c r="A110" s="106" t="s">
        <v>16</v>
      </c>
      <c r="B110" s="116" t="s">
        <v>296</v>
      </c>
      <c r="C110" s="116"/>
      <c r="D110" s="109"/>
      <c r="E110" s="115">
        <f>G99+G109</f>
        <v>317.41</v>
      </c>
      <c r="F110" s="122">
        <f>费率!K6</f>
        <v>0.07</v>
      </c>
      <c r="G110" s="117">
        <f>E110*F110</f>
        <v>22.22</v>
      </c>
    </row>
    <row r="111" spans="1:7">
      <c r="A111" s="106" t="s">
        <v>18</v>
      </c>
      <c r="B111" s="116" t="s">
        <v>254</v>
      </c>
      <c r="C111" s="116"/>
      <c r="D111" s="109"/>
      <c r="E111" s="115"/>
      <c r="F111" s="120"/>
      <c r="G111" s="117">
        <v>0</v>
      </c>
    </row>
    <row r="112" spans="1:7">
      <c r="A112" s="106" t="s">
        <v>20</v>
      </c>
      <c r="B112" s="116" t="s">
        <v>297</v>
      </c>
      <c r="C112" s="116"/>
      <c r="D112" s="109"/>
      <c r="E112" s="115">
        <f>G99+G109++G110+G111</f>
        <v>339.63</v>
      </c>
      <c r="F112" s="120">
        <f>费率!K7</f>
        <v>0.09</v>
      </c>
      <c r="G112" s="117">
        <f>E112*F112</f>
        <v>30.57</v>
      </c>
    </row>
    <row r="113" spans="1:7">
      <c r="A113" s="106"/>
      <c r="B113" s="116" t="s">
        <v>298</v>
      </c>
      <c r="C113" s="116"/>
      <c r="D113" s="109"/>
      <c r="E113" s="115">
        <f>G99+G109+G110+G111+G112</f>
        <v>370.2</v>
      </c>
      <c r="F113" s="122">
        <f>费率!K8</f>
        <v>0.03</v>
      </c>
      <c r="G113" s="117">
        <f>E113*F113</f>
        <v>11.11</v>
      </c>
    </row>
    <row r="114" ht="15" spans="1:7">
      <c r="A114" s="123"/>
      <c r="B114" s="124" t="s">
        <v>560</v>
      </c>
      <c r="C114" s="124"/>
      <c r="D114" s="124"/>
      <c r="E114" s="125"/>
      <c r="F114" s="124"/>
      <c r="G114" s="126">
        <f>G99+G109+G110+G111+G112+G113</f>
        <v>381.31</v>
      </c>
    </row>
    <row r="116" ht="19.5" spans="1:7">
      <c r="A116" s="101" t="s">
        <v>274</v>
      </c>
      <c r="B116" s="101"/>
      <c r="C116" s="101"/>
      <c r="D116" s="101"/>
      <c r="E116" s="101"/>
      <c r="F116" s="101"/>
      <c r="G116" s="101"/>
    </row>
    <row r="117" spans="1:7">
      <c r="A117" s="102" t="s">
        <v>275</v>
      </c>
      <c r="B117" s="103"/>
      <c r="C117" s="103" t="s">
        <v>1084</v>
      </c>
      <c r="D117" s="103" t="s">
        <v>276</v>
      </c>
      <c r="E117" s="104" t="s">
        <v>1085</v>
      </c>
      <c r="F117" s="104"/>
      <c r="G117" s="105"/>
    </row>
    <row r="118" spans="1:7">
      <c r="A118" s="106" t="s">
        <v>278</v>
      </c>
      <c r="B118" s="107"/>
      <c r="C118" s="108" t="s">
        <v>1069</v>
      </c>
      <c r="D118" s="108"/>
      <c r="E118" s="108"/>
      <c r="F118" s="109" t="s">
        <v>280</v>
      </c>
      <c r="G118" s="110" t="s">
        <v>814</v>
      </c>
    </row>
    <row r="119" spans="1:7">
      <c r="A119" s="111" t="s">
        <v>358</v>
      </c>
      <c r="B119" s="108"/>
      <c r="C119" s="108"/>
      <c r="D119" s="108"/>
      <c r="E119" s="108"/>
      <c r="F119" s="108"/>
      <c r="G119" s="112"/>
    </row>
    <row r="120" spans="1:7">
      <c r="A120" s="113" t="s">
        <v>1070</v>
      </c>
      <c r="B120" s="114"/>
      <c r="C120" s="54"/>
      <c r="D120" s="54"/>
      <c r="E120" s="54"/>
      <c r="F120" s="54"/>
      <c r="G120" s="55"/>
    </row>
    <row r="121" spans="1:7">
      <c r="A121" s="106" t="s">
        <v>284</v>
      </c>
      <c r="B121" s="109" t="s">
        <v>233</v>
      </c>
      <c r="C121" s="109"/>
      <c r="D121" s="109" t="s">
        <v>88</v>
      </c>
      <c r="E121" s="115" t="s">
        <v>130</v>
      </c>
      <c r="F121" s="109" t="s">
        <v>285</v>
      </c>
      <c r="G121" s="110" t="s">
        <v>286</v>
      </c>
    </row>
    <row r="122" spans="1:7">
      <c r="A122" s="106" t="s">
        <v>9</v>
      </c>
      <c r="B122" s="116" t="s">
        <v>287</v>
      </c>
      <c r="C122" s="116"/>
      <c r="D122" s="109"/>
      <c r="E122" s="115"/>
      <c r="F122" s="115"/>
      <c r="G122" s="117">
        <f>G123+G131</f>
        <v>198.59</v>
      </c>
    </row>
    <row r="123" spans="1:7">
      <c r="A123" s="106" t="s">
        <v>132</v>
      </c>
      <c r="B123" s="116" t="s">
        <v>288</v>
      </c>
      <c r="C123" s="116"/>
      <c r="D123" s="109"/>
      <c r="E123" s="115"/>
      <c r="F123" s="115"/>
      <c r="G123" s="117">
        <f>G124+G127+G130</f>
        <v>188.24</v>
      </c>
    </row>
    <row r="124" spans="1:7">
      <c r="A124" s="106" t="s">
        <v>39</v>
      </c>
      <c r="B124" s="116" t="s">
        <v>247</v>
      </c>
      <c r="C124" s="116"/>
      <c r="D124" s="109"/>
      <c r="E124" s="115"/>
      <c r="F124" s="115"/>
      <c r="G124" s="117">
        <f>SUM(G125:G126)</f>
        <v>162</v>
      </c>
    </row>
    <row r="125" spans="1:7">
      <c r="A125" s="106"/>
      <c r="B125" s="116" t="s">
        <v>289</v>
      </c>
      <c r="C125" s="116"/>
      <c r="D125" s="109" t="s">
        <v>290</v>
      </c>
      <c r="E125" s="118">
        <f>7.3*60%</f>
        <v>4.4</v>
      </c>
      <c r="F125" s="115">
        <f>人工!D4</f>
        <v>8.1</v>
      </c>
      <c r="G125" s="117">
        <f>E125*F125</f>
        <v>35.64</v>
      </c>
    </row>
    <row r="126" spans="1:7">
      <c r="A126" s="106"/>
      <c r="B126" s="116" t="s">
        <v>291</v>
      </c>
      <c r="C126" s="116"/>
      <c r="D126" s="109" t="s">
        <v>290</v>
      </c>
      <c r="E126" s="118">
        <f>36.5*60%</f>
        <v>21.9</v>
      </c>
      <c r="F126" s="115">
        <f>人工!D5</f>
        <v>5.77</v>
      </c>
      <c r="G126" s="117">
        <f>E126*F126</f>
        <v>126.36</v>
      </c>
    </row>
    <row r="127" spans="1:7">
      <c r="A127" s="106" t="s">
        <v>41</v>
      </c>
      <c r="B127" s="116" t="s">
        <v>248</v>
      </c>
      <c r="C127" s="116"/>
      <c r="D127" s="109"/>
      <c r="E127" s="115"/>
      <c r="F127" s="115"/>
      <c r="G127" s="117">
        <f>SUM(G128:G129)</f>
        <v>26.24</v>
      </c>
    </row>
    <row r="128" spans="1:7">
      <c r="A128" s="106"/>
      <c r="B128" s="116" t="s">
        <v>1086</v>
      </c>
      <c r="C128" s="116"/>
      <c r="D128" s="109" t="s">
        <v>161</v>
      </c>
      <c r="E128" s="115">
        <v>101</v>
      </c>
      <c r="F128" s="115">
        <f>管材价格!L12</f>
        <v>12.99</v>
      </c>
      <c r="G128" s="117"/>
    </row>
    <row r="129" spans="1:7">
      <c r="A129" s="106"/>
      <c r="B129" s="116" t="s">
        <v>397</v>
      </c>
      <c r="C129" s="116"/>
      <c r="D129" s="109" t="s">
        <v>293</v>
      </c>
      <c r="E129" s="118">
        <v>2</v>
      </c>
      <c r="F129" s="115">
        <f>E128*F128</f>
        <v>1311.99</v>
      </c>
      <c r="G129" s="117">
        <f>E129*F129/100</f>
        <v>26.24</v>
      </c>
    </row>
    <row r="130" spans="1:7">
      <c r="A130" s="106" t="s">
        <v>46</v>
      </c>
      <c r="B130" s="116" t="s">
        <v>314</v>
      </c>
      <c r="C130" s="116"/>
      <c r="D130" s="109"/>
      <c r="E130" s="115"/>
      <c r="F130" s="115"/>
      <c r="G130" s="117">
        <v>0</v>
      </c>
    </row>
    <row r="131" spans="1:7">
      <c r="A131" s="106" t="s">
        <v>133</v>
      </c>
      <c r="B131" s="116" t="s">
        <v>294</v>
      </c>
      <c r="C131" s="116"/>
      <c r="D131" s="109"/>
      <c r="E131" s="119">
        <f>G123</f>
        <v>188.24</v>
      </c>
      <c r="F131" s="120">
        <f>费率!K4</f>
        <v>0.055</v>
      </c>
      <c r="G131" s="117">
        <f>E131*F131</f>
        <v>10.35</v>
      </c>
    </row>
    <row r="132" spans="1:7">
      <c r="A132" s="106" t="s">
        <v>14</v>
      </c>
      <c r="B132" s="116" t="s">
        <v>295</v>
      </c>
      <c r="C132" s="116"/>
      <c r="D132" s="109"/>
      <c r="E132" s="115">
        <f>G124</f>
        <v>162</v>
      </c>
      <c r="F132" s="121">
        <f>费率!K5</f>
        <v>0.7</v>
      </c>
      <c r="G132" s="117">
        <f>E132*F132</f>
        <v>113.4</v>
      </c>
    </row>
    <row r="133" spans="1:7">
      <c r="A133" s="106" t="s">
        <v>16</v>
      </c>
      <c r="B133" s="116" t="s">
        <v>296</v>
      </c>
      <c r="C133" s="116"/>
      <c r="D133" s="109"/>
      <c r="E133" s="115">
        <f>G122+G132</f>
        <v>311.99</v>
      </c>
      <c r="F133" s="122">
        <f>费率!K6</f>
        <v>0.07</v>
      </c>
      <c r="G133" s="117">
        <f>E133*F133</f>
        <v>21.84</v>
      </c>
    </row>
    <row r="134" spans="1:7">
      <c r="A134" s="106" t="s">
        <v>18</v>
      </c>
      <c r="B134" s="116" t="s">
        <v>254</v>
      </c>
      <c r="C134" s="116"/>
      <c r="D134" s="109"/>
      <c r="E134" s="115"/>
      <c r="F134" s="120"/>
      <c r="G134" s="117">
        <v>0</v>
      </c>
    </row>
    <row r="135" spans="1:7">
      <c r="A135" s="106" t="s">
        <v>20</v>
      </c>
      <c r="B135" s="116" t="s">
        <v>297</v>
      </c>
      <c r="C135" s="116"/>
      <c r="D135" s="109"/>
      <c r="E135" s="115">
        <f>G122+G132++G133+G134</f>
        <v>333.83</v>
      </c>
      <c r="F135" s="120">
        <f>费率!K7</f>
        <v>0.09</v>
      </c>
      <c r="G135" s="117">
        <f>E135*F135</f>
        <v>30.04</v>
      </c>
    </row>
    <row r="136" spans="1:7">
      <c r="A136" s="106"/>
      <c r="B136" s="116" t="s">
        <v>298</v>
      </c>
      <c r="C136" s="116"/>
      <c r="D136" s="109"/>
      <c r="E136" s="115">
        <f>G122+G132+G133+G134+G135</f>
        <v>363.87</v>
      </c>
      <c r="F136" s="122">
        <f>费率!K8</f>
        <v>0.03</v>
      </c>
      <c r="G136" s="117">
        <f>E136*F136</f>
        <v>10.92</v>
      </c>
    </row>
    <row r="137" ht="15" spans="1:7">
      <c r="A137" s="123"/>
      <c r="B137" s="124" t="s">
        <v>560</v>
      </c>
      <c r="C137" s="124"/>
      <c r="D137" s="124"/>
      <c r="E137" s="125"/>
      <c r="F137" s="124"/>
      <c r="G137" s="126">
        <f>G122+G132+G133+G134+G135+G136</f>
        <v>374.79</v>
      </c>
    </row>
  </sheetData>
  <mergeCells count="144">
    <mergeCell ref="A1:G1"/>
    <mergeCell ref="A2:B2"/>
    <mergeCell ref="E2:G2"/>
    <mergeCell ref="A3:B3"/>
    <mergeCell ref="C3:E3"/>
    <mergeCell ref="A4:G4"/>
    <mergeCell ref="A5:G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24:G24"/>
    <mergeCell ref="A25:B25"/>
    <mergeCell ref="E25:G25"/>
    <mergeCell ref="A26:B26"/>
    <mergeCell ref="C26:E26"/>
    <mergeCell ref="A27:G27"/>
    <mergeCell ref="A28:G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A47:G47"/>
    <mergeCell ref="A48:B48"/>
    <mergeCell ref="E48:G48"/>
    <mergeCell ref="A49:B49"/>
    <mergeCell ref="C49:E49"/>
    <mergeCell ref="A50:G50"/>
    <mergeCell ref="A51:G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70:G70"/>
    <mergeCell ref="A71:B71"/>
    <mergeCell ref="E71:G71"/>
    <mergeCell ref="A72:B72"/>
    <mergeCell ref="C72:E72"/>
    <mergeCell ref="A73:G73"/>
    <mergeCell ref="A74:G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A93:G93"/>
    <mergeCell ref="A94:B94"/>
    <mergeCell ref="E94:G94"/>
    <mergeCell ref="A95:B95"/>
    <mergeCell ref="C95:E95"/>
    <mergeCell ref="A96:G96"/>
    <mergeCell ref="A97:G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A116:G116"/>
    <mergeCell ref="A117:B117"/>
    <mergeCell ref="E117:G117"/>
    <mergeCell ref="A118:B118"/>
    <mergeCell ref="C118:E118"/>
    <mergeCell ref="A119:G119"/>
    <mergeCell ref="A120:G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</mergeCells>
  <printOptions horizontalCentered="1"/>
  <pageMargins left="0.78740157480315" right="0.78740157480315" top="0.78740157480315" bottom="0.78740157480315" header="0.511811023622047" footer="0.393700787401575"/>
  <pageSetup paperSize="9" firstPageNumber="76" orientation="portrait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view="pageBreakPreview" zoomScaleNormal="100" topLeftCell="B1" workbookViewId="0">
      <selection activeCell="C8" sqref="C8:D8"/>
    </sheetView>
  </sheetViews>
  <sheetFormatPr defaultColWidth="9" defaultRowHeight="15" customHeight="1"/>
  <cols>
    <col min="1" max="1" width="9" style="903"/>
    <col min="2" max="2" width="23.125" style="903" customWidth="1"/>
    <col min="3" max="3" width="11" style="903" customWidth="1"/>
    <col min="4" max="4" width="11.875" style="903" customWidth="1"/>
    <col min="5" max="5" width="9" style="903"/>
    <col min="6" max="6" width="1.25" style="903" customWidth="1"/>
    <col min="7" max="8" width="9" style="903" hidden="1" customWidth="1"/>
    <col min="9" max="9" width="10" style="903" customWidth="1"/>
    <col min="10" max="10" width="12.875" style="903" customWidth="1"/>
    <col min="11" max="11" width="17" style="903" customWidth="1"/>
    <col min="12" max="257" width="9" style="903"/>
    <col min="258" max="258" width="23.125" style="903" customWidth="1"/>
    <col min="259" max="259" width="11" style="903" customWidth="1"/>
    <col min="260" max="260" width="11.875" style="903" customWidth="1"/>
    <col min="261" max="261" width="9" style="903"/>
    <col min="262" max="262" width="5.875" style="903" customWidth="1"/>
    <col min="263" max="264" width="9" style="903" hidden="1" customWidth="1"/>
    <col min="265" max="265" width="10" style="903" customWidth="1"/>
    <col min="266" max="266" width="12.875" style="903" customWidth="1"/>
    <col min="267" max="267" width="17" style="903" customWidth="1"/>
    <col min="268" max="513" width="9" style="903"/>
    <col min="514" max="514" width="23.125" style="903" customWidth="1"/>
    <col min="515" max="515" width="11" style="903" customWidth="1"/>
    <col min="516" max="516" width="11.875" style="903" customWidth="1"/>
    <col min="517" max="517" width="9" style="903"/>
    <col min="518" max="518" width="5.875" style="903" customWidth="1"/>
    <col min="519" max="520" width="9" style="903" hidden="1" customWidth="1"/>
    <col min="521" max="521" width="10" style="903" customWidth="1"/>
    <col min="522" max="522" width="12.875" style="903" customWidth="1"/>
    <col min="523" max="523" width="17" style="903" customWidth="1"/>
    <col min="524" max="769" width="9" style="903"/>
    <col min="770" max="770" width="23.125" style="903" customWidth="1"/>
    <col min="771" max="771" width="11" style="903" customWidth="1"/>
    <col min="772" max="772" width="11.875" style="903" customWidth="1"/>
    <col min="773" max="773" width="9" style="903"/>
    <col min="774" max="774" width="5.875" style="903" customWidth="1"/>
    <col min="775" max="776" width="9" style="903" hidden="1" customWidth="1"/>
    <col min="777" max="777" width="10" style="903" customWidth="1"/>
    <col min="778" max="778" width="12.875" style="903" customWidth="1"/>
    <col min="779" max="779" width="17" style="903" customWidth="1"/>
    <col min="780" max="1025" width="9" style="903"/>
    <col min="1026" max="1026" width="23.125" style="903" customWidth="1"/>
    <col min="1027" max="1027" width="11" style="903" customWidth="1"/>
    <col min="1028" max="1028" width="11.875" style="903" customWidth="1"/>
    <col min="1029" max="1029" width="9" style="903"/>
    <col min="1030" max="1030" width="5.875" style="903" customWidth="1"/>
    <col min="1031" max="1032" width="9" style="903" hidden="1" customWidth="1"/>
    <col min="1033" max="1033" width="10" style="903" customWidth="1"/>
    <col min="1034" max="1034" width="12.875" style="903" customWidth="1"/>
    <col min="1035" max="1035" width="17" style="903" customWidth="1"/>
    <col min="1036" max="1281" width="9" style="903"/>
    <col min="1282" max="1282" width="23.125" style="903" customWidth="1"/>
    <col min="1283" max="1283" width="11" style="903" customWidth="1"/>
    <col min="1284" max="1284" width="11.875" style="903" customWidth="1"/>
    <col min="1285" max="1285" width="9" style="903"/>
    <col min="1286" max="1286" width="5.875" style="903" customWidth="1"/>
    <col min="1287" max="1288" width="9" style="903" hidden="1" customWidth="1"/>
    <col min="1289" max="1289" width="10" style="903" customWidth="1"/>
    <col min="1290" max="1290" width="12.875" style="903" customWidth="1"/>
    <col min="1291" max="1291" width="17" style="903" customWidth="1"/>
    <col min="1292" max="1537" width="9" style="903"/>
    <col min="1538" max="1538" width="23.125" style="903" customWidth="1"/>
    <col min="1539" max="1539" width="11" style="903" customWidth="1"/>
    <col min="1540" max="1540" width="11.875" style="903" customWidth="1"/>
    <col min="1541" max="1541" width="9" style="903"/>
    <col min="1542" max="1542" width="5.875" style="903" customWidth="1"/>
    <col min="1543" max="1544" width="9" style="903" hidden="1" customWidth="1"/>
    <col min="1545" max="1545" width="10" style="903" customWidth="1"/>
    <col min="1546" max="1546" width="12.875" style="903" customWidth="1"/>
    <col min="1547" max="1547" width="17" style="903" customWidth="1"/>
    <col min="1548" max="1793" width="9" style="903"/>
    <col min="1794" max="1794" width="23.125" style="903" customWidth="1"/>
    <col min="1795" max="1795" width="11" style="903" customWidth="1"/>
    <col min="1796" max="1796" width="11.875" style="903" customWidth="1"/>
    <col min="1797" max="1797" width="9" style="903"/>
    <col min="1798" max="1798" width="5.875" style="903" customWidth="1"/>
    <col min="1799" max="1800" width="9" style="903" hidden="1" customWidth="1"/>
    <col min="1801" max="1801" width="10" style="903" customWidth="1"/>
    <col min="1802" max="1802" width="12.875" style="903" customWidth="1"/>
    <col min="1803" max="1803" width="17" style="903" customWidth="1"/>
    <col min="1804" max="2049" width="9" style="903"/>
    <col min="2050" max="2050" width="23.125" style="903" customWidth="1"/>
    <col min="2051" max="2051" width="11" style="903" customWidth="1"/>
    <col min="2052" max="2052" width="11.875" style="903" customWidth="1"/>
    <col min="2053" max="2053" width="9" style="903"/>
    <col min="2054" max="2054" width="5.875" style="903" customWidth="1"/>
    <col min="2055" max="2056" width="9" style="903" hidden="1" customWidth="1"/>
    <col min="2057" max="2057" width="10" style="903" customWidth="1"/>
    <col min="2058" max="2058" width="12.875" style="903" customWidth="1"/>
    <col min="2059" max="2059" width="17" style="903" customWidth="1"/>
    <col min="2060" max="2305" width="9" style="903"/>
    <col min="2306" max="2306" width="23.125" style="903" customWidth="1"/>
    <col min="2307" max="2307" width="11" style="903" customWidth="1"/>
    <col min="2308" max="2308" width="11.875" style="903" customWidth="1"/>
    <col min="2309" max="2309" width="9" style="903"/>
    <col min="2310" max="2310" width="5.875" style="903" customWidth="1"/>
    <col min="2311" max="2312" width="9" style="903" hidden="1" customWidth="1"/>
    <col min="2313" max="2313" width="10" style="903" customWidth="1"/>
    <col min="2314" max="2314" width="12.875" style="903" customWidth="1"/>
    <col min="2315" max="2315" width="17" style="903" customWidth="1"/>
    <col min="2316" max="2561" width="9" style="903"/>
    <col min="2562" max="2562" width="23.125" style="903" customWidth="1"/>
    <col min="2563" max="2563" width="11" style="903" customWidth="1"/>
    <col min="2564" max="2564" width="11.875" style="903" customWidth="1"/>
    <col min="2565" max="2565" width="9" style="903"/>
    <col min="2566" max="2566" width="5.875" style="903" customWidth="1"/>
    <col min="2567" max="2568" width="9" style="903" hidden="1" customWidth="1"/>
    <col min="2569" max="2569" width="10" style="903" customWidth="1"/>
    <col min="2570" max="2570" width="12.875" style="903" customWidth="1"/>
    <col min="2571" max="2571" width="17" style="903" customWidth="1"/>
    <col min="2572" max="2817" width="9" style="903"/>
    <col min="2818" max="2818" width="23.125" style="903" customWidth="1"/>
    <col min="2819" max="2819" width="11" style="903" customWidth="1"/>
    <col min="2820" max="2820" width="11.875" style="903" customWidth="1"/>
    <col min="2821" max="2821" width="9" style="903"/>
    <col min="2822" max="2822" width="5.875" style="903" customWidth="1"/>
    <col min="2823" max="2824" width="9" style="903" hidden="1" customWidth="1"/>
    <col min="2825" max="2825" width="10" style="903" customWidth="1"/>
    <col min="2826" max="2826" width="12.875" style="903" customWidth="1"/>
    <col min="2827" max="2827" width="17" style="903" customWidth="1"/>
    <col min="2828" max="3073" width="9" style="903"/>
    <col min="3074" max="3074" width="23.125" style="903" customWidth="1"/>
    <col min="3075" max="3075" width="11" style="903" customWidth="1"/>
    <col min="3076" max="3076" width="11.875" style="903" customWidth="1"/>
    <col min="3077" max="3077" width="9" style="903"/>
    <col min="3078" max="3078" width="5.875" style="903" customWidth="1"/>
    <col min="3079" max="3080" width="9" style="903" hidden="1" customWidth="1"/>
    <col min="3081" max="3081" width="10" style="903" customWidth="1"/>
    <col min="3082" max="3082" width="12.875" style="903" customWidth="1"/>
    <col min="3083" max="3083" width="17" style="903" customWidth="1"/>
    <col min="3084" max="3329" width="9" style="903"/>
    <col min="3330" max="3330" width="23.125" style="903" customWidth="1"/>
    <col min="3331" max="3331" width="11" style="903" customWidth="1"/>
    <col min="3332" max="3332" width="11.875" style="903" customWidth="1"/>
    <col min="3333" max="3333" width="9" style="903"/>
    <col min="3334" max="3334" width="5.875" style="903" customWidth="1"/>
    <col min="3335" max="3336" width="9" style="903" hidden="1" customWidth="1"/>
    <col min="3337" max="3337" width="10" style="903" customWidth="1"/>
    <col min="3338" max="3338" width="12.875" style="903" customWidth="1"/>
    <col min="3339" max="3339" width="17" style="903" customWidth="1"/>
    <col min="3340" max="3585" width="9" style="903"/>
    <col min="3586" max="3586" width="23.125" style="903" customWidth="1"/>
    <col min="3587" max="3587" width="11" style="903" customWidth="1"/>
    <col min="3588" max="3588" width="11.875" style="903" customWidth="1"/>
    <col min="3589" max="3589" width="9" style="903"/>
    <col min="3590" max="3590" width="5.875" style="903" customWidth="1"/>
    <col min="3591" max="3592" width="9" style="903" hidden="1" customWidth="1"/>
    <col min="3593" max="3593" width="10" style="903" customWidth="1"/>
    <col min="3594" max="3594" width="12.875" style="903" customWidth="1"/>
    <col min="3595" max="3595" width="17" style="903" customWidth="1"/>
    <col min="3596" max="3841" width="9" style="903"/>
    <col min="3842" max="3842" width="23.125" style="903" customWidth="1"/>
    <col min="3843" max="3843" width="11" style="903" customWidth="1"/>
    <col min="3844" max="3844" width="11.875" style="903" customWidth="1"/>
    <col min="3845" max="3845" width="9" style="903"/>
    <col min="3846" max="3846" width="5.875" style="903" customWidth="1"/>
    <col min="3847" max="3848" width="9" style="903" hidden="1" customWidth="1"/>
    <col min="3849" max="3849" width="10" style="903" customWidth="1"/>
    <col min="3850" max="3850" width="12.875" style="903" customWidth="1"/>
    <col min="3851" max="3851" width="17" style="903" customWidth="1"/>
    <col min="3852" max="4097" width="9" style="903"/>
    <col min="4098" max="4098" width="23.125" style="903" customWidth="1"/>
    <col min="4099" max="4099" width="11" style="903" customWidth="1"/>
    <col min="4100" max="4100" width="11.875" style="903" customWidth="1"/>
    <col min="4101" max="4101" width="9" style="903"/>
    <col min="4102" max="4102" width="5.875" style="903" customWidth="1"/>
    <col min="4103" max="4104" width="9" style="903" hidden="1" customWidth="1"/>
    <col min="4105" max="4105" width="10" style="903" customWidth="1"/>
    <col min="4106" max="4106" width="12.875" style="903" customWidth="1"/>
    <col min="4107" max="4107" width="17" style="903" customWidth="1"/>
    <col min="4108" max="4353" width="9" style="903"/>
    <col min="4354" max="4354" width="23.125" style="903" customWidth="1"/>
    <col min="4355" max="4355" width="11" style="903" customWidth="1"/>
    <col min="4356" max="4356" width="11.875" style="903" customWidth="1"/>
    <col min="4357" max="4357" width="9" style="903"/>
    <col min="4358" max="4358" width="5.875" style="903" customWidth="1"/>
    <col min="4359" max="4360" width="9" style="903" hidden="1" customWidth="1"/>
    <col min="4361" max="4361" width="10" style="903" customWidth="1"/>
    <col min="4362" max="4362" width="12.875" style="903" customWidth="1"/>
    <col min="4363" max="4363" width="17" style="903" customWidth="1"/>
    <col min="4364" max="4609" width="9" style="903"/>
    <col min="4610" max="4610" width="23.125" style="903" customWidth="1"/>
    <col min="4611" max="4611" width="11" style="903" customWidth="1"/>
    <col min="4612" max="4612" width="11.875" style="903" customWidth="1"/>
    <col min="4613" max="4613" width="9" style="903"/>
    <col min="4614" max="4614" width="5.875" style="903" customWidth="1"/>
    <col min="4615" max="4616" width="9" style="903" hidden="1" customWidth="1"/>
    <col min="4617" max="4617" width="10" style="903" customWidth="1"/>
    <col min="4618" max="4618" width="12.875" style="903" customWidth="1"/>
    <col min="4619" max="4619" width="17" style="903" customWidth="1"/>
    <col min="4620" max="4865" width="9" style="903"/>
    <col min="4866" max="4866" width="23.125" style="903" customWidth="1"/>
    <col min="4867" max="4867" width="11" style="903" customWidth="1"/>
    <col min="4868" max="4868" width="11.875" style="903" customWidth="1"/>
    <col min="4869" max="4869" width="9" style="903"/>
    <col min="4870" max="4870" width="5.875" style="903" customWidth="1"/>
    <col min="4871" max="4872" width="9" style="903" hidden="1" customWidth="1"/>
    <col min="4873" max="4873" width="10" style="903" customWidth="1"/>
    <col min="4874" max="4874" width="12.875" style="903" customWidth="1"/>
    <col min="4875" max="4875" width="17" style="903" customWidth="1"/>
    <col min="4876" max="5121" width="9" style="903"/>
    <col min="5122" max="5122" width="23.125" style="903" customWidth="1"/>
    <col min="5123" max="5123" width="11" style="903" customWidth="1"/>
    <col min="5124" max="5124" width="11.875" style="903" customWidth="1"/>
    <col min="5125" max="5125" width="9" style="903"/>
    <col min="5126" max="5126" width="5.875" style="903" customWidth="1"/>
    <col min="5127" max="5128" width="9" style="903" hidden="1" customWidth="1"/>
    <col min="5129" max="5129" width="10" style="903" customWidth="1"/>
    <col min="5130" max="5130" width="12.875" style="903" customWidth="1"/>
    <col min="5131" max="5131" width="17" style="903" customWidth="1"/>
    <col min="5132" max="5377" width="9" style="903"/>
    <col min="5378" max="5378" width="23.125" style="903" customWidth="1"/>
    <col min="5379" max="5379" width="11" style="903" customWidth="1"/>
    <col min="5380" max="5380" width="11.875" style="903" customWidth="1"/>
    <col min="5381" max="5381" width="9" style="903"/>
    <col min="5382" max="5382" width="5.875" style="903" customWidth="1"/>
    <col min="5383" max="5384" width="9" style="903" hidden="1" customWidth="1"/>
    <col min="5385" max="5385" width="10" style="903" customWidth="1"/>
    <col min="5386" max="5386" width="12.875" style="903" customWidth="1"/>
    <col min="5387" max="5387" width="17" style="903" customWidth="1"/>
    <col min="5388" max="5633" width="9" style="903"/>
    <col min="5634" max="5634" width="23.125" style="903" customWidth="1"/>
    <col min="5635" max="5635" width="11" style="903" customWidth="1"/>
    <col min="5636" max="5636" width="11.875" style="903" customWidth="1"/>
    <col min="5637" max="5637" width="9" style="903"/>
    <col min="5638" max="5638" width="5.875" style="903" customWidth="1"/>
    <col min="5639" max="5640" width="9" style="903" hidden="1" customWidth="1"/>
    <col min="5641" max="5641" width="10" style="903" customWidth="1"/>
    <col min="5642" max="5642" width="12.875" style="903" customWidth="1"/>
    <col min="5643" max="5643" width="17" style="903" customWidth="1"/>
    <col min="5644" max="5889" width="9" style="903"/>
    <col min="5890" max="5890" width="23.125" style="903" customWidth="1"/>
    <col min="5891" max="5891" width="11" style="903" customWidth="1"/>
    <col min="5892" max="5892" width="11.875" style="903" customWidth="1"/>
    <col min="5893" max="5893" width="9" style="903"/>
    <col min="5894" max="5894" width="5.875" style="903" customWidth="1"/>
    <col min="5895" max="5896" width="9" style="903" hidden="1" customWidth="1"/>
    <col min="5897" max="5897" width="10" style="903" customWidth="1"/>
    <col min="5898" max="5898" width="12.875" style="903" customWidth="1"/>
    <col min="5899" max="5899" width="17" style="903" customWidth="1"/>
    <col min="5900" max="6145" width="9" style="903"/>
    <col min="6146" max="6146" width="23.125" style="903" customWidth="1"/>
    <col min="6147" max="6147" width="11" style="903" customWidth="1"/>
    <col min="6148" max="6148" width="11.875" style="903" customWidth="1"/>
    <col min="6149" max="6149" width="9" style="903"/>
    <col min="6150" max="6150" width="5.875" style="903" customWidth="1"/>
    <col min="6151" max="6152" width="9" style="903" hidden="1" customWidth="1"/>
    <col min="6153" max="6153" width="10" style="903" customWidth="1"/>
    <col min="6154" max="6154" width="12.875" style="903" customWidth="1"/>
    <col min="6155" max="6155" width="17" style="903" customWidth="1"/>
    <col min="6156" max="6401" width="9" style="903"/>
    <col min="6402" max="6402" width="23.125" style="903" customWidth="1"/>
    <col min="6403" max="6403" width="11" style="903" customWidth="1"/>
    <col min="6404" max="6404" width="11.875" style="903" customWidth="1"/>
    <col min="6405" max="6405" width="9" style="903"/>
    <col min="6406" max="6406" width="5.875" style="903" customWidth="1"/>
    <col min="6407" max="6408" width="9" style="903" hidden="1" customWidth="1"/>
    <col min="6409" max="6409" width="10" style="903" customWidth="1"/>
    <col min="6410" max="6410" width="12.875" style="903" customWidth="1"/>
    <col min="6411" max="6411" width="17" style="903" customWidth="1"/>
    <col min="6412" max="6657" width="9" style="903"/>
    <col min="6658" max="6658" width="23.125" style="903" customWidth="1"/>
    <col min="6659" max="6659" width="11" style="903" customWidth="1"/>
    <col min="6660" max="6660" width="11.875" style="903" customWidth="1"/>
    <col min="6661" max="6661" width="9" style="903"/>
    <col min="6662" max="6662" width="5.875" style="903" customWidth="1"/>
    <col min="6663" max="6664" width="9" style="903" hidden="1" customWidth="1"/>
    <col min="6665" max="6665" width="10" style="903" customWidth="1"/>
    <col min="6666" max="6666" width="12.875" style="903" customWidth="1"/>
    <col min="6667" max="6667" width="17" style="903" customWidth="1"/>
    <col min="6668" max="6913" width="9" style="903"/>
    <col min="6914" max="6914" width="23.125" style="903" customWidth="1"/>
    <col min="6915" max="6915" width="11" style="903" customWidth="1"/>
    <col min="6916" max="6916" width="11.875" style="903" customWidth="1"/>
    <col min="6917" max="6917" width="9" style="903"/>
    <col min="6918" max="6918" width="5.875" style="903" customWidth="1"/>
    <col min="6919" max="6920" width="9" style="903" hidden="1" customWidth="1"/>
    <col min="6921" max="6921" width="10" style="903" customWidth="1"/>
    <col min="6922" max="6922" width="12.875" style="903" customWidth="1"/>
    <col min="6923" max="6923" width="17" style="903" customWidth="1"/>
    <col min="6924" max="7169" width="9" style="903"/>
    <col min="7170" max="7170" width="23.125" style="903" customWidth="1"/>
    <col min="7171" max="7171" width="11" style="903" customWidth="1"/>
    <col min="7172" max="7172" width="11.875" style="903" customWidth="1"/>
    <col min="7173" max="7173" width="9" style="903"/>
    <col min="7174" max="7174" width="5.875" style="903" customWidth="1"/>
    <col min="7175" max="7176" width="9" style="903" hidden="1" customWidth="1"/>
    <col min="7177" max="7177" width="10" style="903" customWidth="1"/>
    <col min="7178" max="7178" width="12.875" style="903" customWidth="1"/>
    <col min="7179" max="7179" width="17" style="903" customWidth="1"/>
    <col min="7180" max="7425" width="9" style="903"/>
    <col min="7426" max="7426" width="23.125" style="903" customWidth="1"/>
    <col min="7427" max="7427" width="11" style="903" customWidth="1"/>
    <col min="7428" max="7428" width="11.875" style="903" customWidth="1"/>
    <col min="7429" max="7429" width="9" style="903"/>
    <col min="7430" max="7430" width="5.875" style="903" customWidth="1"/>
    <col min="7431" max="7432" width="9" style="903" hidden="1" customWidth="1"/>
    <col min="7433" max="7433" width="10" style="903" customWidth="1"/>
    <col min="7434" max="7434" width="12.875" style="903" customWidth="1"/>
    <col min="7435" max="7435" width="17" style="903" customWidth="1"/>
    <col min="7436" max="7681" width="9" style="903"/>
    <col min="7682" max="7682" width="23.125" style="903" customWidth="1"/>
    <col min="7683" max="7683" width="11" style="903" customWidth="1"/>
    <col min="7684" max="7684" width="11.875" style="903" customWidth="1"/>
    <col min="7685" max="7685" width="9" style="903"/>
    <col min="7686" max="7686" width="5.875" style="903" customWidth="1"/>
    <col min="7687" max="7688" width="9" style="903" hidden="1" customWidth="1"/>
    <col min="7689" max="7689" width="10" style="903" customWidth="1"/>
    <col min="7690" max="7690" width="12.875" style="903" customWidth="1"/>
    <col min="7691" max="7691" width="17" style="903" customWidth="1"/>
    <col min="7692" max="7937" width="9" style="903"/>
    <col min="7938" max="7938" width="23.125" style="903" customWidth="1"/>
    <col min="7939" max="7939" width="11" style="903" customWidth="1"/>
    <col min="7940" max="7940" width="11.875" style="903" customWidth="1"/>
    <col min="7941" max="7941" width="9" style="903"/>
    <col min="7942" max="7942" width="5.875" style="903" customWidth="1"/>
    <col min="7943" max="7944" width="9" style="903" hidden="1" customWidth="1"/>
    <col min="7945" max="7945" width="10" style="903" customWidth="1"/>
    <col min="7946" max="7946" width="12.875" style="903" customWidth="1"/>
    <col min="7947" max="7947" width="17" style="903" customWidth="1"/>
    <col min="7948" max="8193" width="9" style="903"/>
    <col min="8194" max="8194" width="23.125" style="903" customWidth="1"/>
    <col min="8195" max="8195" width="11" style="903" customWidth="1"/>
    <col min="8196" max="8196" width="11.875" style="903" customWidth="1"/>
    <col min="8197" max="8197" width="9" style="903"/>
    <col min="8198" max="8198" width="5.875" style="903" customWidth="1"/>
    <col min="8199" max="8200" width="9" style="903" hidden="1" customWidth="1"/>
    <col min="8201" max="8201" width="10" style="903" customWidth="1"/>
    <col min="8202" max="8202" width="12.875" style="903" customWidth="1"/>
    <col min="8203" max="8203" width="17" style="903" customWidth="1"/>
    <col min="8204" max="8449" width="9" style="903"/>
    <col min="8450" max="8450" width="23.125" style="903" customWidth="1"/>
    <col min="8451" max="8451" width="11" style="903" customWidth="1"/>
    <col min="8452" max="8452" width="11.875" style="903" customWidth="1"/>
    <col min="8453" max="8453" width="9" style="903"/>
    <col min="8454" max="8454" width="5.875" style="903" customWidth="1"/>
    <col min="8455" max="8456" width="9" style="903" hidden="1" customWidth="1"/>
    <col min="8457" max="8457" width="10" style="903" customWidth="1"/>
    <col min="8458" max="8458" width="12.875" style="903" customWidth="1"/>
    <col min="8459" max="8459" width="17" style="903" customWidth="1"/>
    <col min="8460" max="8705" width="9" style="903"/>
    <col min="8706" max="8706" width="23.125" style="903" customWidth="1"/>
    <col min="8707" max="8707" width="11" style="903" customWidth="1"/>
    <col min="8708" max="8708" width="11.875" style="903" customWidth="1"/>
    <col min="8709" max="8709" width="9" style="903"/>
    <col min="8710" max="8710" width="5.875" style="903" customWidth="1"/>
    <col min="8711" max="8712" width="9" style="903" hidden="1" customWidth="1"/>
    <col min="8713" max="8713" width="10" style="903" customWidth="1"/>
    <col min="8714" max="8714" width="12.875" style="903" customWidth="1"/>
    <col min="8715" max="8715" width="17" style="903" customWidth="1"/>
    <col min="8716" max="8961" width="9" style="903"/>
    <col min="8962" max="8962" width="23.125" style="903" customWidth="1"/>
    <col min="8963" max="8963" width="11" style="903" customWidth="1"/>
    <col min="8964" max="8964" width="11.875" style="903" customWidth="1"/>
    <col min="8965" max="8965" width="9" style="903"/>
    <col min="8966" max="8966" width="5.875" style="903" customWidth="1"/>
    <col min="8967" max="8968" width="9" style="903" hidden="1" customWidth="1"/>
    <col min="8969" max="8969" width="10" style="903" customWidth="1"/>
    <col min="8970" max="8970" width="12.875" style="903" customWidth="1"/>
    <col min="8971" max="8971" width="17" style="903" customWidth="1"/>
    <col min="8972" max="9217" width="9" style="903"/>
    <col min="9218" max="9218" width="23.125" style="903" customWidth="1"/>
    <col min="9219" max="9219" width="11" style="903" customWidth="1"/>
    <col min="9220" max="9220" width="11.875" style="903" customWidth="1"/>
    <col min="9221" max="9221" width="9" style="903"/>
    <col min="9222" max="9222" width="5.875" style="903" customWidth="1"/>
    <col min="9223" max="9224" width="9" style="903" hidden="1" customWidth="1"/>
    <col min="9225" max="9225" width="10" style="903" customWidth="1"/>
    <col min="9226" max="9226" width="12.875" style="903" customWidth="1"/>
    <col min="9227" max="9227" width="17" style="903" customWidth="1"/>
    <col min="9228" max="9473" width="9" style="903"/>
    <col min="9474" max="9474" width="23.125" style="903" customWidth="1"/>
    <col min="9475" max="9475" width="11" style="903" customWidth="1"/>
    <col min="9476" max="9476" width="11.875" style="903" customWidth="1"/>
    <col min="9477" max="9477" width="9" style="903"/>
    <col min="9478" max="9478" width="5.875" style="903" customWidth="1"/>
    <col min="9479" max="9480" width="9" style="903" hidden="1" customWidth="1"/>
    <col min="9481" max="9481" width="10" style="903" customWidth="1"/>
    <col min="9482" max="9482" width="12.875" style="903" customWidth="1"/>
    <col min="9483" max="9483" width="17" style="903" customWidth="1"/>
    <col min="9484" max="9729" width="9" style="903"/>
    <col min="9730" max="9730" width="23.125" style="903" customWidth="1"/>
    <col min="9731" max="9731" width="11" style="903" customWidth="1"/>
    <col min="9732" max="9732" width="11.875" style="903" customWidth="1"/>
    <col min="9733" max="9733" width="9" style="903"/>
    <col min="9734" max="9734" width="5.875" style="903" customWidth="1"/>
    <col min="9735" max="9736" width="9" style="903" hidden="1" customWidth="1"/>
    <col min="9737" max="9737" width="10" style="903" customWidth="1"/>
    <col min="9738" max="9738" width="12.875" style="903" customWidth="1"/>
    <col min="9739" max="9739" width="17" style="903" customWidth="1"/>
    <col min="9740" max="9985" width="9" style="903"/>
    <col min="9986" max="9986" width="23.125" style="903" customWidth="1"/>
    <col min="9987" max="9987" width="11" style="903" customWidth="1"/>
    <col min="9988" max="9988" width="11.875" style="903" customWidth="1"/>
    <col min="9989" max="9989" width="9" style="903"/>
    <col min="9990" max="9990" width="5.875" style="903" customWidth="1"/>
    <col min="9991" max="9992" width="9" style="903" hidden="1" customWidth="1"/>
    <col min="9993" max="9993" width="10" style="903" customWidth="1"/>
    <col min="9994" max="9994" width="12.875" style="903" customWidth="1"/>
    <col min="9995" max="9995" width="17" style="903" customWidth="1"/>
    <col min="9996" max="10241" width="9" style="903"/>
    <col min="10242" max="10242" width="23.125" style="903" customWidth="1"/>
    <col min="10243" max="10243" width="11" style="903" customWidth="1"/>
    <col min="10244" max="10244" width="11.875" style="903" customWidth="1"/>
    <col min="10245" max="10245" width="9" style="903"/>
    <col min="10246" max="10246" width="5.875" style="903" customWidth="1"/>
    <col min="10247" max="10248" width="9" style="903" hidden="1" customWidth="1"/>
    <col min="10249" max="10249" width="10" style="903" customWidth="1"/>
    <col min="10250" max="10250" width="12.875" style="903" customWidth="1"/>
    <col min="10251" max="10251" width="17" style="903" customWidth="1"/>
    <col min="10252" max="10497" width="9" style="903"/>
    <col min="10498" max="10498" width="23.125" style="903" customWidth="1"/>
    <col min="10499" max="10499" width="11" style="903" customWidth="1"/>
    <col min="10500" max="10500" width="11.875" style="903" customWidth="1"/>
    <col min="10501" max="10501" width="9" style="903"/>
    <col min="10502" max="10502" width="5.875" style="903" customWidth="1"/>
    <col min="10503" max="10504" width="9" style="903" hidden="1" customWidth="1"/>
    <col min="10505" max="10505" width="10" style="903" customWidth="1"/>
    <col min="10506" max="10506" width="12.875" style="903" customWidth="1"/>
    <col min="10507" max="10507" width="17" style="903" customWidth="1"/>
    <col min="10508" max="10753" width="9" style="903"/>
    <col min="10754" max="10754" width="23.125" style="903" customWidth="1"/>
    <col min="10755" max="10755" width="11" style="903" customWidth="1"/>
    <col min="10756" max="10756" width="11.875" style="903" customWidth="1"/>
    <col min="10757" max="10757" width="9" style="903"/>
    <col min="10758" max="10758" width="5.875" style="903" customWidth="1"/>
    <col min="10759" max="10760" width="9" style="903" hidden="1" customWidth="1"/>
    <col min="10761" max="10761" width="10" style="903" customWidth="1"/>
    <col min="10762" max="10762" width="12.875" style="903" customWidth="1"/>
    <col min="10763" max="10763" width="17" style="903" customWidth="1"/>
    <col min="10764" max="11009" width="9" style="903"/>
    <col min="11010" max="11010" width="23.125" style="903" customWidth="1"/>
    <col min="11011" max="11011" width="11" style="903" customWidth="1"/>
    <col min="11012" max="11012" width="11.875" style="903" customWidth="1"/>
    <col min="11013" max="11013" width="9" style="903"/>
    <col min="11014" max="11014" width="5.875" style="903" customWidth="1"/>
    <col min="11015" max="11016" width="9" style="903" hidden="1" customWidth="1"/>
    <col min="11017" max="11017" width="10" style="903" customWidth="1"/>
    <col min="11018" max="11018" width="12.875" style="903" customWidth="1"/>
    <col min="11019" max="11019" width="17" style="903" customWidth="1"/>
    <col min="11020" max="11265" width="9" style="903"/>
    <col min="11266" max="11266" width="23.125" style="903" customWidth="1"/>
    <col min="11267" max="11267" width="11" style="903" customWidth="1"/>
    <col min="11268" max="11268" width="11.875" style="903" customWidth="1"/>
    <col min="11269" max="11269" width="9" style="903"/>
    <col min="11270" max="11270" width="5.875" style="903" customWidth="1"/>
    <col min="11271" max="11272" width="9" style="903" hidden="1" customWidth="1"/>
    <col min="11273" max="11273" width="10" style="903" customWidth="1"/>
    <col min="11274" max="11274" width="12.875" style="903" customWidth="1"/>
    <col min="11275" max="11275" width="17" style="903" customWidth="1"/>
    <col min="11276" max="11521" width="9" style="903"/>
    <col min="11522" max="11522" width="23.125" style="903" customWidth="1"/>
    <col min="11523" max="11523" width="11" style="903" customWidth="1"/>
    <col min="11524" max="11524" width="11.875" style="903" customWidth="1"/>
    <col min="11525" max="11525" width="9" style="903"/>
    <col min="11526" max="11526" width="5.875" style="903" customWidth="1"/>
    <col min="11527" max="11528" width="9" style="903" hidden="1" customWidth="1"/>
    <col min="11529" max="11529" width="10" style="903" customWidth="1"/>
    <col min="11530" max="11530" width="12.875" style="903" customWidth="1"/>
    <col min="11531" max="11531" width="17" style="903" customWidth="1"/>
    <col min="11532" max="11777" width="9" style="903"/>
    <col min="11778" max="11778" width="23.125" style="903" customWidth="1"/>
    <col min="11779" max="11779" width="11" style="903" customWidth="1"/>
    <col min="11780" max="11780" width="11.875" style="903" customWidth="1"/>
    <col min="11781" max="11781" width="9" style="903"/>
    <col min="11782" max="11782" width="5.875" style="903" customWidth="1"/>
    <col min="11783" max="11784" width="9" style="903" hidden="1" customWidth="1"/>
    <col min="11785" max="11785" width="10" style="903" customWidth="1"/>
    <col min="11786" max="11786" width="12.875" style="903" customWidth="1"/>
    <col min="11787" max="11787" width="17" style="903" customWidth="1"/>
    <col min="11788" max="12033" width="9" style="903"/>
    <col min="12034" max="12034" width="23.125" style="903" customWidth="1"/>
    <col min="12035" max="12035" width="11" style="903" customWidth="1"/>
    <col min="12036" max="12036" width="11.875" style="903" customWidth="1"/>
    <col min="12037" max="12037" width="9" style="903"/>
    <col min="12038" max="12038" width="5.875" style="903" customWidth="1"/>
    <col min="12039" max="12040" width="9" style="903" hidden="1" customWidth="1"/>
    <col min="12041" max="12041" width="10" style="903" customWidth="1"/>
    <col min="12042" max="12042" width="12.875" style="903" customWidth="1"/>
    <col min="12043" max="12043" width="17" style="903" customWidth="1"/>
    <col min="12044" max="12289" width="9" style="903"/>
    <col min="12290" max="12290" width="23.125" style="903" customWidth="1"/>
    <col min="12291" max="12291" width="11" style="903" customWidth="1"/>
    <col min="12292" max="12292" width="11.875" style="903" customWidth="1"/>
    <col min="12293" max="12293" width="9" style="903"/>
    <col min="12294" max="12294" width="5.875" style="903" customWidth="1"/>
    <col min="12295" max="12296" width="9" style="903" hidden="1" customWidth="1"/>
    <col min="12297" max="12297" width="10" style="903" customWidth="1"/>
    <col min="12298" max="12298" width="12.875" style="903" customWidth="1"/>
    <col min="12299" max="12299" width="17" style="903" customWidth="1"/>
    <col min="12300" max="12545" width="9" style="903"/>
    <col min="12546" max="12546" width="23.125" style="903" customWidth="1"/>
    <col min="12547" max="12547" width="11" style="903" customWidth="1"/>
    <col min="12548" max="12548" width="11.875" style="903" customWidth="1"/>
    <col min="12549" max="12549" width="9" style="903"/>
    <col min="12550" max="12550" width="5.875" style="903" customWidth="1"/>
    <col min="12551" max="12552" width="9" style="903" hidden="1" customWidth="1"/>
    <col min="12553" max="12553" width="10" style="903" customWidth="1"/>
    <col min="12554" max="12554" width="12.875" style="903" customWidth="1"/>
    <col min="12555" max="12555" width="17" style="903" customWidth="1"/>
    <col min="12556" max="12801" width="9" style="903"/>
    <col min="12802" max="12802" width="23.125" style="903" customWidth="1"/>
    <col min="12803" max="12803" width="11" style="903" customWidth="1"/>
    <col min="12804" max="12804" width="11.875" style="903" customWidth="1"/>
    <col min="12805" max="12805" width="9" style="903"/>
    <col min="12806" max="12806" width="5.875" style="903" customWidth="1"/>
    <col min="12807" max="12808" width="9" style="903" hidden="1" customWidth="1"/>
    <col min="12809" max="12809" width="10" style="903" customWidth="1"/>
    <col min="12810" max="12810" width="12.875" style="903" customWidth="1"/>
    <col min="12811" max="12811" width="17" style="903" customWidth="1"/>
    <col min="12812" max="13057" width="9" style="903"/>
    <col min="13058" max="13058" width="23.125" style="903" customWidth="1"/>
    <col min="13059" max="13059" width="11" style="903" customWidth="1"/>
    <col min="13060" max="13060" width="11.875" style="903" customWidth="1"/>
    <col min="13061" max="13061" width="9" style="903"/>
    <col min="13062" max="13062" width="5.875" style="903" customWidth="1"/>
    <col min="13063" max="13064" width="9" style="903" hidden="1" customWidth="1"/>
    <col min="13065" max="13065" width="10" style="903" customWidth="1"/>
    <col min="13066" max="13066" width="12.875" style="903" customWidth="1"/>
    <col min="13067" max="13067" width="17" style="903" customWidth="1"/>
    <col min="13068" max="13313" width="9" style="903"/>
    <col min="13314" max="13314" width="23.125" style="903" customWidth="1"/>
    <col min="13315" max="13315" width="11" style="903" customWidth="1"/>
    <col min="13316" max="13316" width="11.875" style="903" customWidth="1"/>
    <col min="13317" max="13317" width="9" style="903"/>
    <col min="13318" max="13318" width="5.875" style="903" customWidth="1"/>
    <col min="13319" max="13320" width="9" style="903" hidden="1" customWidth="1"/>
    <col min="13321" max="13321" width="10" style="903" customWidth="1"/>
    <col min="13322" max="13322" width="12.875" style="903" customWidth="1"/>
    <col min="13323" max="13323" width="17" style="903" customWidth="1"/>
    <col min="13324" max="13569" width="9" style="903"/>
    <col min="13570" max="13570" width="23.125" style="903" customWidth="1"/>
    <col min="13571" max="13571" width="11" style="903" customWidth="1"/>
    <col min="13572" max="13572" width="11.875" style="903" customWidth="1"/>
    <col min="13573" max="13573" width="9" style="903"/>
    <col min="13574" max="13574" width="5.875" style="903" customWidth="1"/>
    <col min="13575" max="13576" width="9" style="903" hidden="1" customWidth="1"/>
    <col min="13577" max="13577" width="10" style="903" customWidth="1"/>
    <col min="13578" max="13578" width="12.875" style="903" customWidth="1"/>
    <col min="13579" max="13579" width="17" style="903" customWidth="1"/>
    <col min="13580" max="13825" width="9" style="903"/>
    <col min="13826" max="13826" width="23.125" style="903" customWidth="1"/>
    <col min="13827" max="13827" width="11" style="903" customWidth="1"/>
    <col min="13828" max="13828" width="11.875" style="903" customWidth="1"/>
    <col min="13829" max="13829" width="9" style="903"/>
    <col min="13830" max="13830" width="5.875" style="903" customWidth="1"/>
    <col min="13831" max="13832" width="9" style="903" hidden="1" customWidth="1"/>
    <col min="13833" max="13833" width="10" style="903" customWidth="1"/>
    <col min="13834" max="13834" width="12.875" style="903" customWidth="1"/>
    <col min="13835" max="13835" width="17" style="903" customWidth="1"/>
    <col min="13836" max="14081" width="9" style="903"/>
    <col min="14082" max="14082" width="23.125" style="903" customWidth="1"/>
    <col min="14083" max="14083" width="11" style="903" customWidth="1"/>
    <col min="14084" max="14084" width="11.875" style="903" customWidth="1"/>
    <col min="14085" max="14085" width="9" style="903"/>
    <col min="14086" max="14086" width="5.875" style="903" customWidth="1"/>
    <col min="14087" max="14088" width="9" style="903" hidden="1" customWidth="1"/>
    <col min="14089" max="14089" width="10" style="903" customWidth="1"/>
    <col min="14090" max="14090" width="12.875" style="903" customWidth="1"/>
    <col min="14091" max="14091" width="17" style="903" customWidth="1"/>
    <col min="14092" max="14337" width="9" style="903"/>
    <col min="14338" max="14338" width="23.125" style="903" customWidth="1"/>
    <col min="14339" max="14339" width="11" style="903" customWidth="1"/>
    <col min="14340" max="14340" width="11.875" style="903" customWidth="1"/>
    <col min="14341" max="14341" width="9" style="903"/>
    <col min="14342" max="14342" width="5.875" style="903" customWidth="1"/>
    <col min="14343" max="14344" width="9" style="903" hidden="1" customWidth="1"/>
    <col min="14345" max="14345" width="10" style="903" customWidth="1"/>
    <col min="14346" max="14346" width="12.875" style="903" customWidth="1"/>
    <col min="14347" max="14347" width="17" style="903" customWidth="1"/>
    <col min="14348" max="14593" width="9" style="903"/>
    <col min="14594" max="14594" width="23.125" style="903" customWidth="1"/>
    <col min="14595" max="14595" width="11" style="903" customWidth="1"/>
    <col min="14596" max="14596" width="11.875" style="903" customWidth="1"/>
    <col min="14597" max="14597" width="9" style="903"/>
    <col min="14598" max="14598" width="5.875" style="903" customWidth="1"/>
    <col min="14599" max="14600" width="9" style="903" hidden="1" customWidth="1"/>
    <col min="14601" max="14601" width="10" style="903" customWidth="1"/>
    <col min="14602" max="14602" width="12.875" style="903" customWidth="1"/>
    <col min="14603" max="14603" width="17" style="903" customWidth="1"/>
    <col min="14604" max="14849" width="9" style="903"/>
    <col min="14850" max="14850" width="23.125" style="903" customWidth="1"/>
    <col min="14851" max="14851" width="11" style="903" customWidth="1"/>
    <col min="14852" max="14852" width="11.875" style="903" customWidth="1"/>
    <col min="14853" max="14853" width="9" style="903"/>
    <col min="14854" max="14854" width="5.875" style="903" customWidth="1"/>
    <col min="14855" max="14856" width="9" style="903" hidden="1" customWidth="1"/>
    <col min="14857" max="14857" width="10" style="903" customWidth="1"/>
    <col min="14858" max="14858" width="12.875" style="903" customWidth="1"/>
    <col min="14859" max="14859" width="17" style="903" customWidth="1"/>
    <col min="14860" max="15105" width="9" style="903"/>
    <col min="15106" max="15106" width="23.125" style="903" customWidth="1"/>
    <col min="15107" max="15107" width="11" style="903" customWidth="1"/>
    <col min="15108" max="15108" width="11.875" style="903" customWidth="1"/>
    <col min="15109" max="15109" width="9" style="903"/>
    <col min="15110" max="15110" width="5.875" style="903" customWidth="1"/>
    <col min="15111" max="15112" width="9" style="903" hidden="1" customWidth="1"/>
    <col min="15113" max="15113" width="10" style="903" customWidth="1"/>
    <col min="15114" max="15114" width="12.875" style="903" customWidth="1"/>
    <col min="15115" max="15115" width="17" style="903" customWidth="1"/>
    <col min="15116" max="15361" width="9" style="903"/>
    <col min="15362" max="15362" width="23.125" style="903" customWidth="1"/>
    <col min="15363" max="15363" width="11" style="903" customWidth="1"/>
    <col min="15364" max="15364" width="11.875" style="903" customWidth="1"/>
    <col min="15365" max="15365" width="9" style="903"/>
    <col min="15366" max="15366" width="5.875" style="903" customWidth="1"/>
    <col min="15367" max="15368" width="9" style="903" hidden="1" customWidth="1"/>
    <col min="15369" max="15369" width="10" style="903" customWidth="1"/>
    <col min="15370" max="15370" width="12.875" style="903" customWidth="1"/>
    <col min="15371" max="15371" width="17" style="903" customWidth="1"/>
    <col min="15372" max="15617" width="9" style="903"/>
    <col min="15618" max="15618" width="23.125" style="903" customWidth="1"/>
    <col min="15619" max="15619" width="11" style="903" customWidth="1"/>
    <col min="15620" max="15620" width="11.875" style="903" customWidth="1"/>
    <col min="15621" max="15621" width="9" style="903"/>
    <col min="15622" max="15622" width="5.875" style="903" customWidth="1"/>
    <col min="15623" max="15624" width="9" style="903" hidden="1" customWidth="1"/>
    <col min="15625" max="15625" width="10" style="903" customWidth="1"/>
    <col min="15626" max="15626" width="12.875" style="903" customWidth="1"/>
    <col min="15627" max="15627" width="17" style="903" customWidth="1"/>
    <col min="15628" max="15873" width="9" style="903"/>
    <col min="15874" max="15874" width="23.125" style="903" customWidth="1"/>
    <col min="15875" max="15875" width="11" style="903" customWidth="1"/>
    <col min="15876" max="15876" width="11.875" style="903" customWidth="1"/>
    <col min="15877" max="15877" width="9" style="903"/>
    <col min="15878" max="15878" width="5.875" style="903" customWidth="1"/>
    <col min="15879" max="15880" width="9" style="903" hidden="1" customWidth="1"/>
    <col min="15881" max="15881" width="10" style="903" customWidth="1"/>
    <col min="15882" max="15882" width="12.875" style="903" customWidth="1"/>
    <col min="15883" max="15883" width="17" style="903" customWidth="1"/>
    <col min="15884" max="16129" width="9" style="903"/>
    <col min="16130" max="16130" width="23.125" style="903" customWidth="1"/>
    <col min="16131" max="16131" width="11" style="903" customWidth="1"/>
    <col min="16132" max="16132" width="11.875" style="903" customWidth="1"/>
    <col min="16133" max="16133" width="9" style="903"/>
    <col min="16134" max="16134" width="5.875" style="903" customWidth="1"/>
    <col min="16135" max="16136" width="9" style="903" hidden="1" customWidth="1"/>
    <col min="16137" max="16137" width="10" style="903" customWidth="1"/>
    <col min="16138" max="16138" width="12.875" style="903" customWidth="1"/>
    <col min="16139" max="16139" width="17" style="903" customWidth="1"/>
    <col min="16140" max="16384" width="9" style="903"/>
  </cols>
  <sheetData>
    <row r="1" ht="30" customHeight="1" spans="1:12">
      <c r="A1" s="904"/>
      <c r="B1" s="905" t="s">
        <v>51</v>
      </c>
      <c r="C1" s="905"/>
      <c r="D1" s="905"/>
      <c r="E1" s="905"/>
      <c r="F1" s="905"/>
      <c r="G1" s="905"/>
      <c r="H1" s="905"/>
      <c r="I1" s="905"/>
      <c r="J1" s="905"/>
      <c r="K1" s="905"/>
      <c r="L1" s="933"/>
    </row>
    <row r="2" ht="24.95" customHeight="1" spans="1:12">
      <c r="A2" s="906" t="s">
        <v>52</v>
      </c>
      <c r="B2" s="907"/>
      <c r="C2" s="907"/>
      <c r="D2" s="907"/>
      <c r="E2" s="908"/>
      <c r="F2" s="908"/>
      <c r="G2" s="909"/>
      <c r="H2" s="909"/>
      <c r="I2" s="909" t="s">
        <v>53</v>
      </c>
      <c r="J2" s="909"/>
      <c r="K2" s="909"/>
      <c r="L2" s="934"/>
    </row>
    <row r="3" ht="24.95" customHeight="1" spans="1:12">
      <c r="A3" s="910"/>
      <c r="I3" s="880" t="s">
        <v>54</v>
      </c>
      <c r="J3" s="880"/>
      <c r="K3" s="880"/>
      <c r="L3" s="933"/>
    </row>
    <row r="4" customHeight="1" spans="1:12">
      <c r="A4" s="911" t="s">
        <v>2</v>
      </c>
      <c r="B4" s="912" t="s">
        <v>55</v>
      </c>
      <c r="C4" s="912" t="s">
        <v>56</v>
      </c>
      <c r="D4" s="912"/>
      <c r="K4" s="903" t="s">
        <v>1</v>
      </c>
      <c r="L4" s="933"/>
    </row>
    <row r="5" customHeight="1" spans="1:12">
      <c r="A5" s="911" t="s">
        <v>9</v>
      </c>
      <c r="B5" s="912" t="s">
        <v>57</v>
      </c>
      <c r="C5" s="913" t="e">
        <f>C6*(1+C14)</f>
        <v>#REF!</v>
      </c>
      <c r="D5" s="913"/>
      <c r="E5" s="914"/>
      <c r="F5" s="914"/>
      <c r="I5" s="917" t="s">
        <v>2</v>
      </c>
      <c r="J5" s="917" t="s">
        <v>58</v>
      </c>
      <c r="K5" s="917" t="s">
        <v>59</v>
      </c>
      <c r="L5" s="933"/>
    </row>
    <row r="6" customHeight="1" spans="1:12">
      <c r="A6" s="911">
        <v>1</v>
      </c>
      <c r="B6" s="912" t="s">
        <v>60</v>
      </c>
      <c r="C6" s="913" t="e">
        <f>C7*C11*C12*C13</f>
        <v>#REF!</v>
      </c>
      <c r="D6" s="913"/>
      <c r="E6" s="914"/>
      <c r="F6" s="914"/>
      <c r="I6" s="917">
        <v>1</v>
      </c>
      <c r="J6" s="935">
        <v>200</v>
      </c>
      <c r="K6" s="935">
        <v>9</v>
      </c>
      <c r="L6" s="933"/>
    </row>
    <row r="7" customHeight="1" spans="1:12">
      <c r="A7" s="911">
        <v>1.1</v>
      </c>
      <c r="B7" s="912" t="s">
        <v>61</v>
      </c>
      <c r="C7" s="913" t="e">
        <f>C10+(C8-C9)/(D9-C9)*(D10-C10)</f>
        <v>#REF!</v>
      </c>
      <c r="D7" s="913"/>
      <c r="E7" s="914"/>
      <c r="F7" s="914"/>
      <c r="I7" s="917">
        <v>2</v>
      </c>
      <c r="J7" s="935">
        <v>500</v>
      </c>
      <c r="K7" s="935">
        <v>20.9</v>
      </c>
      <c r="L7" s="933"/>
    </row>
    <row r="8" customHeight="1" spans="1:12">
      <c r="A8" s="911"/>
      <c r="B8" s="912" t="s">
        <v>62</v>
      </c>
      <c r="C8" s="915" t="e">
        <f>'总概算 (合)'!F35</f>
        <v>#REF!</v>
      </c>
      <c r="D8" s="915" t="e">
        <f>[87]概算审定表!$F$76+[87]概算审定表!$F$77</f>
        <v>#REF!</v>
      </c>
      <c r="E8" s="916"/>
      <c r="F8" s="916"/>
      <c r="I8" s="917">
        <v>3</v>
      </c>
      <c r="J8" s="936">
        <v>1000</v>
      </c>
      <c r="K8" s="935">
        <v>38.8</v>
      </c>
      <c r="L8" s="933"/>
    </row>
    <row r="9" customHeight="1" spans="1:12">
      <c r="A9" s="911"/>
      <c r="B9" s="917" t="s">
        <v>63</v>
      </c>
      <c r="C9" s="917">
        <v>5000</v>
      </c>
      <c r="D9" s="917">
        <v>8000</v>
      </c>
      <c r="E9" s="918"/>
      <c r="F9" s="918"/>
      <c r="I9" s="917">
        <v>4</v>
      </c>
      <c r="J9" s="936">
        <v>3000</v>
      </c>
      <c r="K9" s="935">
        <v>103.8</v>
      </c>
      <c r="L9" s="933"/>
    </row>
    <row r="10" customHeight="1" spans="1:12">
      <c r="A10" s="911"/>
      <c r="B10" s="917" t="s">
        <v>64</v>
      </c>
      <c r="C10" s="919">
        <f>K10</f>
        <v>163.9</v>
      </c>
      <c r="D10" s="919">
        <f>K11</f>
        <v>249.6</v>
      </c>
      <c r="E10" s="920"/>
      <c r="F10" s="920"/>
      <c r="I10" s="917">
        <v>5</v>
      </c>
      <c r="J10" s="936">
        <v>5000</v>
      </c>
      <c r="K10" s="935">
        <v>163.9</v>
      </c>
      <c r="L10" s="933"/>
    </row>
    <row r="11" customHeight="1" spans="1:12">
      <c r="A11" s="911">
        <v>1.2</v>
      </c>
      <c r="B11" s="912" t="s">
        <v>65</v>
      </c>
      <c r="C11" s="913">
        <v>0.8</v>
      </c>
      <c r="D11" s="913"/>
      <c r="E11" s="914"/>
      <c r="F11" s="914"/>
      <c r="I11" s="917">
        <v>6</v>
      </c>
      <c r="J11" s="936">
        <v>8000</v>
      </c>
      <c r="K11" s="935">
        <v>249.6</v>
      </c>
      <c r="L11" s="933"/>
    </row>
    <row r="12" customHeight="1" spans="1:12">
      <c r="A12" s="911">
        <v>1.3</v>
      </c>
      <c r="B12" s="912" t="s">
        <v>66</v>
      </c>
      <c r="C12" s="913">
        <v>1</v>
      </c>
      <c r="D12" s="913"/>
      <c r="E12" s="914"/>
      <c r="F12" s="914"/>
      <c r="I12" s="917">
        <v>7</v>
      </c>
      <c r="J12" s="936">
        <v>10000</v>
      </c>
      <c r="K12" s="935">
        <v>304.8</v>
      </c>
      <c r="L12" s="933"/>
    </row>
    <row r="13" customHeight="1" spans="1:12">
      <c r="A13" s="911">
        <v>1.4</v>
      </c>
      <c r="B13" s="912" t="s">
        <v>67</v>
      </c>
      <c r="C13" s="913">
        <v>1</v>
      </c>
      <c r="D13" s="913"/>
      <c r="E13" s="914"/>
      <c r="F13" s="914"/>
      <c r="I13" s="917">
        <v>8</v>
      </c>
      <c r="J13" s="936">
        <v>20000</v>
      </c>
      <c r="K13" s="935">
        <v>566.8</v>
      </c>
      <c r="L13" s="933"/>
    </row>
    <row r="14" customHeight="1" spans="1:12">
      <c r="A14" s="911">
        <v>2</v>
      </c>
      <c r="B14" s="912" t="s">
        <v>68</v>
      </c>
      <c r="C14" s="95">
        <v>0</v>
      </c>
      <c r="D14" s="95"/>
      <c r="E14" s="921"/>
      <c r="F14" s="921"/>
      <c r="I14" s="917">
        <v>9</v>
      </c>
      <c r="J14" s="936">
        <v>40000</v>
      </c>
      <c r="K14" s="937">
        <v>1054</v>
      </c>
      <c r="L14" s="933"/>
    </row>
    <row r="15" customHeight="1" spans="1:12">
      <c r="A15" s="911"/>
      <c r="B15" s="922" t="s">
        <v>69</v>
      </c>
      <c r="C15" s="717" t="e">
        <f>C5</f>
        <v>#REF!</v>
      </c>
      <c r="D15" s="717"/>
      <c r="E15" s="921" t="e">
        <f>C15/C8</f>
        <v>#REF!</v>
      </c>
      <c r="F15" s="923"/>
      <c r="I15" s="917">
        <v>10</v>
      </c>
      <c r="J15" s="936">
        <v>60000</v>
      </c>
      <c r="K15" s="937">
        <v>1515.2</v>
      </c>
      <c r="L15" s="933"/>
    </row>
    <row r="16" ht="51" customHeight="1" spans="1:12">
      <c r="A16" s="924" t="s">
        <v>70</v>
      </c>
      <c r="B16" s="925"/>
      <c r="C16" s="925"/>
      <c r="D16" s="925"/>
      <c r="E16" s="926"/>
      <c r="F16" s="926"/>
      <c r="I16" s="917">
        <v>11</v>
      </c>
      <c r="J16" s="936">
        <v>80000</v>
      </c>
      <c r="K16" s="937">
        <v>1960.1</v>
      </c>
      <c r="L16" s="933"/>
    </row>
    <row r="17" customHeight="1" spans="1:12">
      <c r="A17" s="927"/>
      <c r="B17" s="928"/>
      <c r="C17" s="928"/>
      <c r="D17" s="928"/>
      <c r="E17" s="928"/>
      <c r="F17" s="928"/>
      <c r="I17" s="917"/>
      <c r="J17" s="936"/>
      <c r="K17" s="937"/>
      <c r="L17" s="933"/>
    </row>
    <row r="18" customHeight="1" spans="1:12">
      <c r="A18" s="904" t="s">
        <v>71</v>
      </c>
      <c r="B18" s="929"/>
      <c r="C18" s="929"/>
      <c r="D18" s="929"/>
      <c r="E18" s="929"/>
      <c r="F18" s="929"/>
      <c r="I18" s="917">
        <v>12</v>
      </c>
      <c r="J18" s="936">
        <v>100000</v>
      </c>
      <c r="K18" s="937">
        <v>2393.4</v>
      </c>
      <c r="L18" s="933"/>
    </row>
    <row r="19" customHeight="1" spans="1:12">
      <c r="A19" s="910"/>
      <c r="I19" s="917">
        <v>13</v>
      </c>
      <c r="J19" s="936">
        <v>200000</v>
      </c>
      <c r="K19" s="937">
        <v>4450.8</v>
      </c>
      <c r="L19" s="933"/>
    </row>
    <row r="20" customHeight="1" spans="1:12">
      <c r="A20" s="911" t="s">
        <v>2</v>
      </c>
      <c r="B20" s="912" t="s">
        <v>55</v>
      </c>
      <c r="C20" s="912" t="s">
        <v>72</v>
      </c>
      <c r="D20" s="912"/>
      <c r="I20" s="917">
        <v>14</v>
      </c>
      <c r="J20" s="936">
        <v>400000</v>
      </c>
      <c r="K20" s="937">
        <v>8276.7</v>
      </c>
      <c r="L20" s="933"/>
    </row>
    <row r="21" customHeight="1" spans="1:12">
      <c r="A21" s="911" t="s">
        <v>9</v>
      </c>
      <c r="B21" s="912" t="s">
        <v>73</v>
      </c>
      <c r="C21" s="913" t="e">
        <f>C22*(1+C30)</f>
        <v>#REF!</v>
      </c>
      <c r="D21" s="913"/>
      <c r="E21" s="914"/>
      <c r="F21" s="914"/>
      <c r="I21" s="917">
        <v>15</v>
      </c>
      <c r="J21" s="936">
        <v>600000</v>
      </c>
      <c r="K21" s="937">
        <v>11897.5</v>
      </c>
      <c r="L21" s="933"/>
    </row>
    <row r="22" customHeight="1" spans="1:12">
      <c r="A22" s="911">
        <v>1</v>
      </c>
      <c r="B22" s="912" t="s">
        <v>74</v>
      </c>
      <c r="C22" s="913" t="e">
        <f>C23*C27*C28*C29</f>
        <v>#REF!</v>
      </c>
      <c r="D22" s="913"/>
      <c r="E22" s="914"/>
      <c r="F22" s="914"/>
      <c r="I22" s="917">
        <v>16</v>
      </c>
      <c r="J22" s="936">
        <v>800000</v>
      </c>
      <c r="K22" s="937">
        <v>15391.4</v>
      </c>
      <c r="L22" s="933"/>
    </row>
    <row r="23" customHeight="1" spans="1:12">
      <c r="A23" s="911">
        <v>1.1</v>
      </c>
      <c r="B23" s="912" t="s">
        <v>75</v>
      </c>
      <c r="C23" s="913" t="e">
        <f>C26+(C24-C25)/(D25-C25)*(D26-C26)</f>
        <v>#REF!</v>
      </c>
      <c r="D23" s="913"/>
      <c r="E23" s="914"/>
      <c r="F23" s="914"/>
      <c r="I23" s="917">
        <v>17</v>
      </c>
      <c r="J23" s="936">
        <v>1000000</v>
      </c>
      <c r="K23" s="937">
        <v>18793.8</v>
      </c>
      <c r="L23" s="933"/>
    </row>
    <row r="24" customHeight="1" spans="1:12">
      <c r="A24" s="911"/>
      <c r="B24" s="912" t="s">
        <v>62</v>
      </c>
      <c r="C24" s="915" t="e">
        <f>C8</f>
        <v>#REF!</v>
      </c>
      <c r="D24" s="915" t="e">
        <f>[87]概算审定表!$F$76+[87]概算审定表!$F$77</f>
        <v>#REF!</v>
      </c>
      <c r="E24" s="916"/>
      <c r="F24" s="916"/>
      <c r="I24" s="917">
        <v>18</v>
      </c>
      <c r="J24" s="936">
        <v>2000000</v>
      </c>
      <c r="K24" s="937">
        <v>34948.9</v>
      </c>
      <c r="L24" s="933"/>
    </row>
    <row r="25" customHeight="1" spans="1:12">
      <c r="A25" s="911"/>
      <c r="B25" s="917" t="s">
        <v>63</v>
      </c>
      <c r="C25" s="917">
        <f>C9</f>
        <v>5000</v>
      </c>
      <c r="D25" s="917">
        <f>D9</f>
        <v>8000</v>
      </c>
      <c r="E25" s="918"/>
      <c r="F25" s="918"/>
      <c r="I25" s="938" t="s">
        <v>76</v>
      </c>
      <c r="J25" s="938"/>
      <c r="K25" s="938"/>
      <c r="L25" s="933"/>
    </row>
    <row r="26" customHeight="1" spans="1:12">
      <c r="A26" s="911"/>
      <c r="B26" s="917" t="s">
        <v>64</v>
      </c>
      <c r="C26" s="919">
        <f>C10</f>
        <v>163.9</v>
      </c>
      <c r="D26" s="919">
        <f>D10</f>
        <v>249.6</v>
      </c>
      <c r="E26" s="920"/>
      <c r="F26" s="920"/>
      <c r="L26" s="933"/>
    </row>
    <row r="27" customHeight="1" spans="1:12">
      <c r="A27" s="911">
        <v>1.2</v>
      </c>
      <c r="B27" s="912" t="s">
        <v>65</v>
      </c>
      <c r="C27" s="913">
        <v>0.8</v>
      </c>
      <c r="D27" s="913"/>
      <c r="E27" s="914"/>
      <c r="F27" s="914"/>
      <c r="L27" s="933"/>
    </row>
    <row r="28" customHeight="1" spans="1:12">
      <c r="A28" s="911">
        <v>1.3</v>
      </c>
      <c r="B28" s="912" t="s">
        <v>66</v>
      </c>
      <c r="C28" s="913">
        <v>0.85</v>
      </c>
      <c r="D28" s="913"/>
      <c r="E28" s="914"/>
      <c r="F28" s="914"/>
      <c r="L28" s="933"/>
    </row>
    <row r="29" customHeight="1" spans="1:12">
      <c r="A29" s="911">
        <v>1.4</v>
      </c>
      <c r="B29" s="912" t="s">
        <v>67</v>
      </c>
      <c r="C29" s="913">
        <v>0.85</v>
      </c>
      <c r="D29" s="913"/>
      <c r="E29" s="914"/>
      <c r="F29" s="914"/>
      <c r="G29" s="914"/>
      <c r="L29" s="933"/>
    </row>
    <row r="30" customHeight="1" spans="1:12">
      <c r="A30" s="911">
        <v>2</v>
      </c>
      <c r="B30" s="912" t="s">
        <v>68</v>
      </c>
      <c r="C30" s="95">
        <v>0.1</v>
      </c>
      <c r="D30" s="95"/>
      <c r="E30" s="921"/>
      <c r="F30" s="921"/>
      <c r="L30" s="933"/>
    </row>
    <row r="31" customHeight="1" spans="1:12">
      <c r="A31" s="911"/>
      <c r="B31" s="922" t="s">
        <v>77</v>
      </c>
      <c r="C31" s="717" t="e">
        <f>C21</f>
        <v>#REF!</v>
      </c>
      <c r="D31" s="717"/>
      <c r="E31" s="921" t="e">
        <f>C31/C24</f>
        <v>#REF!</v>
      </c>
      <c r="F31" s="923"/>
      <c r="L31" s="933"/>
    </row>
    <row r="32" ht="50.25" customHeight="1" spans="1:12">
      <c r="A32" s="924" t="s">
        <v>78</v>
      </c>
      <c r="B32" s="925"/>
      <c r="C32" s="925"/>
      <c r="D32" s="925"/>
      <c r="E32" s="926"/>
      <c r="F32" s="926"/>
      <c r="L32" s="933"/>
    </row>
    <row r="33" customHeight="1" spans="1:12">
      <c r="A33" s="910"/>
      <c r="L33" s="933"/>
    </row>
    <row r="34" hidden="1" customHeight="1" spans="1:12">
      <c r="A34" s="910"/>
      <c r="L34" s="933"/>
    </row>
    <row r="35" hidden="1" customHeight="1" spans="1:12">
      <c r="A35" s="910"/>
      <c r="L35" s="933"/>
    </row>
    <row r="36" hidden="1" customHeight="1" spans="1:12">
      <c r="A36" s="910"/>
      <c r="L36" s="933"/>
    </row>
    <row r="37" hidden="1" customHeight="1" spans="1:12">
      <c r="A37" s="910"/>
      <c r="L37" s="933"/>
    </row>
    <row r="38" hidden="1" customHeight="1" spans="1:12">
      <c r="A38" s="910"/>
      <c r="L38" s="933"/>
    </row>
    <row r="39" hidden="1" customHeight="1" spans="1:12">
      <c r="A39" s="910"/>
      <c r="L39" s="933"/>
    </row>
    <row r="40" hidden="1" customHeight="1" spans="1:12">
      <c r="A40" s="910"/>
      <c r="L40" s="933"/>
    </row>
    <row r="41" ht="24.95" customHeight="1" spans="1:12">
      <c r="A41" s="930" t="s">
        <v>79</v>
      </c>
      <c r="B41" s="931"/>
      <c r="C41" s="931"/>
      <c r="D41" s="931"/>
      <c r="I41" s="903" t="s">
        <v>53</v>
      </c>
      <c r="L41" s="933"/>
    </row>
    <row r="42" ht="24.95" customHeight="1" spans="1:12">
      <c r="A42" s="910"/>
      <c r="I42" s="880" t="s">
        <v>80</v>
      </c>
      <c r="J42" s="880"/>
      <c r="K42" s="880"/>
      <c r="L42" s="933"/>
    </row>
    <row r="43" customHeight="1" spans="1:12">
      <c r="A43" s="911" t="s">
        <v>2</v>
      </c>
      <c r="B43" s="912" t="s">
        <v>55</v>
      </c>
      <c r="C43" s="912" t="s">
        <v>72</v>
      </c>
      <c r="D43" s="912"/>
      <c r="K43" s="903" t="s">
        <v>1</v>
      </c>
      <c r="L43" s="933"/>
    </row>
    <row r="44" customHeight="1" spans="1:12">
      <c r="A44" s="911" t="s">
        <v>9</v>
      </c>
      <c r="B44" s="912" t="s">
        <v>81</v>
      </c>
      <c r="C44" s="913" t="e">
        <f>C45*(1-C53)</f>
        <v>#REF!</v>
      </c>
      <c r="D44" s="913"/>
      <c r="I44" s="917" t="s">
        <v>2</v>
      </c>
      <c r="J44" s="917" t="s">
        <v>58</v>
      </c>
      <c r="K44" s="917" t="s">
        <v>59</v>
      </c>
      <c r="L44" s="933"/>
    </row>
    <row r="45" customHeight="1" spans="1:12">
      <c r="A45" s="911">
        <v>1</v>
      </c>
      <c r="B45" s="912" t="s">
        <v>82</v>
      </c>
      <c r="C45" s="913" t="e">
        <f>C46*C50*C51*C52</f>
        <v>#REF!</v>
      </c>
      <c r="D45" s="913"/>
      <c r="I45" s="917">
        <v>1</v>
      </c>
      <c r="J45" s="935">
        <v>500</v>
      </c>
      <c r="K45" s="935">
        <v>16.5</v>
      </c>
      <c r="L45" s="933"/>
    </row>
    <row r="46" customHeight="1" spans="1:12">
      <c r="A46" s="911">
        <v>1.1</v>
      </c>
      <c r="B46" s="912" t="s">
        <v>83</v>
      </c>
      <c r="C46" s="913" t="e">
        <f>C49+(C47-C48)/(D48-C48)*(D49-C49)</f>
        <v>#REF!</v>
      </c>
      <c r="D46" s="913"/>
      <c r="I46" s="917">
        <v>2</v>
      </c>
      <c r="J46" s="936">
        <v>1000</v>
      </c>
      <c r="K46" s="935">
        <v>30.1</v>
      </c>
      <c r="L46" s="933"/>
    </row>
    <row r="47" customHeight="1" spans="1:12">
      <c r="A47" s="911"/>
      <c r="B47" s="912" t="s">
        <v>62</v>
      </c>
      <c r="C47" s="86" t="e">
        <f>'总概算 (合)'!C35</f>
        <v>#REF!</v>
      </c>
      <c r="D47" s="86" t="e">
        <f>[87]概算审定表!$F$76+[87]概算审定表!$F$77</f>
        <v>#REF!</v>
      </c>
      <c r="I47" s="917">
        <v>3</v>
      </c>
      <c r="J47" s="936">
        <v>3000</v>
      </c>
      <c r="K47" s="935">
        <v>78.1</v>
      </c>
      <c r="L47" s="933"/>
    </row>
    <row r="48" customHeight="1" spans="1:12">
      <c r="A48" s="911"/>
      <c r="B48" s="917" t="s">
        <v>63</v>
      </c>
      <c r="C48" s="932">
        <f>J48</f>
        <v>5000</v>
      </c>
      <c r="D48" s="932">
        <f>J49</f>
        <v>8000</v>
      </c>
      <c r="I48" s="917">
        <v>4</v>
      </c>
      <c r="J48" s="936">
        <v>5000</v>
      </c>
      <c r="K48" s="935">
        <v>120.8</v>
      </c>
      <c r="L48" s="933"/>
    </row>
    <row r="49" customHeight="1" spans="1:12">
      <c r="A49" s="911"/>
      <c r="B49" s="917" t="s">
        <v>64</v>
      </c>
      <c r="C49" s="919">
        <f>K48</f>
        <v>120.8</v>
      </c>
      <c r="D49" s="919">
        <f>K49</f>
        <v>181</v>
      </c>
      <c r="I49" s="917">
        <v>5</v>
      </c>
      <c r="J49" s="936">
        <v>8000</v>
      </c>
      <c r="K49" s="939">
        <v>181</v>
      </c>
      <c r="L49" s="933"/>
    </row>
    <row r="50" customHeight="1" spans="1:12">
      <c r="A50" s="911">
        <v>1.2</v>
      </c>
      <c r="B50" s="912" t="s">
        <v>65</v>
      </c>
      <c r="C50" s="913">
        <v>0.9</v>
      </c>
      <c r="D50" s="913"/>
      <c r="I50" s="917">
        <v>6</v>
      </c>
      <c r="J50" s="936">
        <v>10000</v>
      </c>
      <c r="K50" s="935">
        <v>218.6</v>
      </c>
      <c r="L50" s="933"/>
    </row>
    <row r="51" customHeight="1" spans="1:12">
      <c r="A51" s="911">
        <v>1.3</v>
      </c>
      <c r="B51" s="912" t="s">
        <v>66</v>
      </c>
      <c r="C51" s="913">
        <v>0.85</v>
      </c>
      <c r="D51" s="913"/>
      <c r="I51" s="917">
        <v>7</v>
      </c>
      <c r="J51" s="936">
        <v>20000</v>
      </c>
      <c r="K51" s="935">
        <v>393.4</v>
      </c>
      <c r="L51" s="933"/>
    </row>
    <row r="52" customHeight="1" spans="1:12">
      <c r="A52" s="911">
        <v>1.4</v>
      </c>
      <c r="B52" s="912" t="s">
        <v>84</v>
      </c>
      <c r="C52" s="913">
        <v>1</v>
      </c>
      <c r="D52" s="913"/>
      <c r="I52" s="917">
        <v>8</v>
      </c>
      <c r="J52" s="936">
        <v>40000</v>
      </c>
      <c r="K52" s="937">
        <v>708.2</v>
      </c>
      <c r="L52" s="933"/>
    </row>
    <row r="53" customHeight="1" spans="1:12">
      <c r="A53" s="911">
        <v>2</v>
      </c>
      <c r="B53" s="912" t="s">
        <v>68</v>
      </c>
      <c r="C53" s="95">
        <v>0</v>
      </c>
      <c r="D53" s="95"/>
      <c r="I53" s="917">
        <v>9</v>
      </c>
      <c r="J53" s="936">
        <v>60000</v>
      </c>
      <c r="K53" s="937">
        <v>991.4</v>
      </c>
      <c r="L53" s="933"/>
    </row>
    <row r="54" customHeight="1" spans="1:12">
      <c r="A54" s="911"/>
      <c r="B54" s="922" t="s">
        <v>77</v>
      </c>
      <c r="C54" s="717" t="e">
        <f>C44</f>
        <v>#REF!</v>
      </c>
      <c r="D54" s="717"/>
      <c r="E54" s="921" t="e">
        <f>C54/C47</f>
        <v>#REF!</v>
      </c>
      <c r="I54" s="917">
        <v>10</v>
      </c>
      <c r="J54" s="936">
        <v>80000</v>
      </c>
      <c r="K54" s="937">
        <v>1255.8</v>
      </c>
      <c r="L54" s="933"/>
    </row>
    <row r="55" ht="54.75" customHeight="1" spans="1:12">
      <c r="A55" s="924" t="s">
        <v>78</v>
      </c>
      <c r="B55" s="925"/>
      <c r="C55" s="925"/>
      <c r="D55" s="925"/>
      <c r="I55" s="917">
        <v>11</v>
      </c>
      <c r="J55" s="936">
        <v>100000</v>
      </c>
      <c r="K55" s="937">
        <v>1507</v>
      </c>
      <c r="L55" s="933"/>
    </row>
    <row r="56" customHeight="1" spans="1:12">
      <c r="A56" s="910"/>
      <c r="I56" s="917">
        <v>12</v>
      </c>
      <c r="J56" s="936">
        <v>200000</v>
      </c>
      <c r="K56" s="937">
        <v>2712.5</v>
      </c>
      <c r="L56" s="933"/>
    </row>
    <row r="57" customHeight="1" spans="1:12">
      <c r="A57" s="910"/>
      <c r="I57" s="917">
        <v>13</v>
      </c>
      <c r="J57" s="936">
        <v>400000</v>
      </c>
      <c r="K57" s="937">
        <v>4882.6</v>
      </c>
      <c r="L57" s="933"/>
    </row>
    <row r="58" customHeight="1" spans="1:12">
      <c r="A58" s="910"/>
      <c r="I58" s="917">
        <v>14</v>
      </c>
      <c r="J58" s="936">
        <v>600000</v>
      </c>
      <c r="K58" s="937">
        <v>6835.6</v>
      </c>
      <c r="L58" s="933"/>
    </row>
    <row r="59" customHeight="1" spans="1:12">
      <c r="A59" s="910"/>
      <c r="I59" s="917">
        <v>15</v>
      </c>
      <c r="J59" s="936">
        <v>800000</v>
      </c>
      <c r="K59" s="937">
        <v>8658.4</v>
      </c>
      <c r="L59" s="933"/>
    </row>
    <row r="60" customHeight="1" spans="1:12">
      <c r="A60" s="910"/>
      <c r="I60" s="917">
        <v>16</v>
      </c>
      <c r="J60" s="936">
        <v>1000000</v>
      </c>
      <c r="K60" s="937">
        <v>10390.1</v>
      </c>
      <c r="L60" s="933"/>
    </row>
    <row r="61" customHeight="1" spans="1:12">
      <c r="A61" s="910"/>
      <c r="I61" s="917"/>
      <c r="J61" s="936"/>
      <c r="K61" s="937"/>
      <c r="L61" s="933"/>
    </row>
    <row r="62" customHeight="1" spans="1:12">
      <c r="A62" s="910"/>
      <c r="L62" s="933"/>
    </row>
    <row r="63" customHeight="1" spans="1:12">
      <c r="A63" s="910"/>
      <c r="L63" s="933"/>
    </row>
    <row r="64" customHeight="1" spans="1:12">
      <c r="A64" s="910"/>
      <c r="I64" s="938" t="s">
        <v>85</v>
      </c>
      <c r="J64" s="938"/>
      <c r="K64" s="938"/>
      <c r="L64" s="933"/>
    </row>
    <row r="65" customHeight="1" spans="1:12">
      <c r="A65" s="910"/>
      <c r="L65" s="933"/>
    </row>
    <row r="66" customHeight="1" spans="1:12">
      <c r="A66" s="910"/>
      <c r="L66" s="933"/>
    </row>
    <row r="67" customHeight="1" spans="1:12">
      <c r="A67" s="940"/>
      <c r="B67" s="941"/>
      <c r="C67" s="941"/>
      <c r="D67" s="941"/>
      <c r="E67" s="942"/>
      <c r="F67" s="942"/>
      <c r="G67" s="942"/>
      <c r="H67" s="942"/>
      <c r="I67" s="942"/>
      <c r="J67" s="942"/>
      <c r="K67" s="942"/>
      <c r="L67" s="943"/>
    </row>
  </sheetData>
  <mergeCells count="42">
    <mergeCell ref="B1:K1"/>
    <mergeCell ref="A2:D2"/>
    <mergeCell ref="I3:K3"/>
    <mergeCell ref="C4:D4"/>
    <mergeCell ref="C5:D5"/>
    <mergeCell ref="C6:D6"/>
    <mergeCell ref="C7:D7"/>
    <mergeCell ref="C8:D8"/>
    <mergeCell ref="C11:D11"/>
    <mergeCell ref="C12:D12"/>
    <mergeCell ref="C13:D13"/>
    <mergeCell ref="C14:D14"/>
    <mergeCell ref="C15:D15"/>
    <mergeCell ref="A16:D16"/>
    <mergeCell ref="A18:D18"/>
    <mergeCell ref="C20:D20"/>
    <mergeCell ref="C21:D21"/>
    <mergeCell ref="C22:D22"/>
    <mergeCell ref="C23:D23"/>
    <mergeCell ref="C24:D24"/>
    <mergeCell ref="I25:K25"/>
    <mergeCell ref="C27:D27"/>
    <mergeCell ref="C28:D28"/>
    <mergeCell ref="C29:D29"/>
    <mergeCell ref="C30:D30"/>
    <mergeCell ref="C31:D31"/>
    <mergeCell ref="A32:D32"/>
    <mergeCell ref="A41:D41"/>
    <mergeCell ref="I42:K42"/>
    <mergeCell ref="C43:D43"/>
    <mergeCell ref="C44:D44"/>
    <mergeCell ref="C45:D45"/>
    <mergeCell ref="C46:D46"/>
    <mergeCell ref="C47:D47"/>
    <mergeCell ref="C50:D50"/>
    <mergeCell ref="C51:D51"/>
    <mergeCell ref="C52:D52"/>
    <mergeCell ref="C53:D53"/>
    <mergeCell ref="C54:D54"/>
    <mergeCell ref="A55:D55"/>
    <mergeCell ref="I64:K64"/>
    <mergeCell ref="A67:D67"/>
  </mergeCells>
  <pageMargins left="0.75" right="0.75" top="1" bottom="1" header="0.5" footer="0.5"/>
  <pageSetup paperSize="9" scale="68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9"/>
  <sheetViews>
    <sheetView view="pageBreakPreview" zoomScaleNormal="100" topLeftCell="A25" workbookViewId="0">
      <selection activeCell="I35" sqref="I35"/>
    </sheetView>
  </sheetViews>
  <sheetFormatPr defaultColWidth="9" defaultRowHeight="14.25"/>
  <cols>
    <col min="1" max="1" width="9.75" customWidth="1"/>
    <col min="2" max="2" width="17.25" customWidth="1"/>
    <col min="3" max="3" width="6.25" customWidth="1"/>
    <col min="4" max="4" width="10" customWidth="1"/>
    <col min="5" max="5" width="11.625" customWidth="1"/>
    <col min="6" max="6" width="12.25" customWidth="1"/>
    <col min="7" max="7" width="14.625" customWidth="1"/>
    <col min="9" max="9" width="9.375" customWidth="1"/>
  </cols>
  <sheetData>
    <row r="1" ht="19.5" spans="1:7">
      <c r="A1" s="12" t="s">
        <v>274</v>
      </c>
      <c r="B1" s="12"/>
      <c r="C1" s="12"/>
      <c r="D1" s="12"/>
      <c r="E1" s="12"/>
      <c r="F1" s="12"/>
      <c r="G1" s="12"/>
    </row>
    <row r="2" spans="1:7">
      <c r="A2" s="13" t="s">
        <v>275</v>
      </c>
      <c r="B2" s="14"/>
      <c r="C2" s="14" t="s">
        <v>39</v>
      </c>
      <c r="D2" s="14" t="s">
        <v>276</v>
      </c>
      <c r="E2" s="15" t="s">
        <v>1087</v>
      </c>
      <c r="F2" s="16"/>
      <c r="G2" s="17"/>
    </row>
    <row r="3" spans="1:7">
      <c r="A3" s="18" t="s">
        <v>278</v>
      </c>
      <c r="B3" s="19"/>
      <c r="C3" s="20" t="s">
        <v>1088</v>
      </c>
      <c r="D3" s="20"/>
      <c r="E3" s="20"/>
      <c r="F3" s="21" t="s">
        <v>280</v>
      </c>
      <c r="G3" s="22" t="s">
        <v>430</v>
      </c>
    </row>
    <row r="4" spans="1:7">
      <c r="A4" s="23" t="s">
        <v>456</v>
      </c>
      <c r="B4" s="24"/>
      <c r="C4" s="25"/>
      <c r="D4" s="25"/>
      <c r="E4" s="25"/>
      <c r="F4" s="26"/>
      <c r="G4" s="27"/>
    </row>
    <row r="5" spans="1:7">
      <c r="A5" s="23" t="s">
        <v>284</v>
      </c>
      <c r="B5" s="24" t="s">
        <v>458</v>
      </c>
      <c r="C5" s="26"/>
      <c r="D5" s="28" t="s">
        <v>88</v>
      </c>
      <c r="E5" s="28" t="s">
        <v>130</v>
      </c>
      <c r="F5" s="28" t="s">
        <v>144</v>
      </c>
      <c r="G5" s="29" t="s">
        <v>234</v>
      </c>
    </row>
    <row r="6" spans="1:7">
      <c r="A6" s="23" t="s">
        <v>9</v>
      </c>
      <c r="B6" s="24" t="s">
        <v>459</v>
      </c>
      <c r="C6" s="26"/>
      <c r="D6" s="28"/>
      <c r="E6" s="28"/>
      <c r="F6" s="28"/>
      <c r="G6" s="29">
        <f>G7+G18</f>
        <v>38549.77</v>
      </c>
    </row>
    <row r="7" spans="1:7">
      <c r="A7" s="23">
        <v>1</v>
      </c>
      <c r="B7" s="24" t="s">
        <v>287</v>
      </c>
      <c r="C7" s="26"/>
      <c r="D7" s="28"/>
      <c r="E7" s="28"/>
      <c r="F7" s="28"/>
      <c r="G7" s="29">
        <f>G8+G15+G11</f>
        <v>36784.13</v>
      </c>
    </row>
    <row r="8" spans="1:7">
      <c r="A8" s="23" t="s">
        <v>460</v>
      </c>
      <c r="B8" s="24" t="s">
        <v>247</v>
      </c>
      <c r="C8" s="26"/>
      <c r="D8" s="28" t="s">
        <v>290</v>
      </c>
      <c r="E8" s="28">
        <f>SUM(E9:E10)</f>
        <v>1723.7</v>
      </c>
      <c r="F8" s="28"/>
      <c r="G8" s="29">
        <f>SUM(G9:G10)</f>
        <v>11150.59</v>
      </c>
    </row>
    <row r="9" spans="1:7">
      <c r="A9" s="23"/>
      <c r="B9" s="24" t="s">
        <v>289</v>
      </c>
      <c r="C9" s="26"/>
      <c r="D9" s="28" t="s">
        <v>290</v>
      </c>
      <c r="E9" s="28">
        <v>517.1</v>
      </c>
      <c r="F9" s="28">
        <f>人工!D4</f>
        <v>8.1</v>
      </c>
      <c r="G9" s="29">
        <f>E9*F9</f>
        <v>4188.51</v>
      </c>
    </row>
    <row r="10" spans="1:7">
      <c r="A10" s="23"/>
      <c r="B10" s="24" t="s">
        <v>291</v>
      </c>
      <c r="C10" s="26"/>
      <c r="D10" s="28" t="s">
        <v>290</v>
      </c>
      <c r="E10" s="28">
        <v>1206.6</v>
      </c>
      <c r="F10" s="28">
        <f>人工!D5</f>
        <v>5.77</v>
      </c>
      <c r="G10" s="29">
        <f>E10*F10</f>
        <v>6962.08</v>
      </c>
    </row>
    <row r="11" spans="1:7">
      <c r="A11" s="23" t="s">
        <v>461</v>
      </c>
      <c r="B11" s="24" t="s">
        <v>248</v>
      </c>
      <c r="C11" s="26"/>
      <c r="D11" s="28"/>
      <c r="E11" s="28"/>
      <c r="F11" s="28"/>
      <c r="G11" s="29">
        <f>SUM(G12:G14)</f>
        <v>25415.23</v>
      </c>
    </row>
    <row r="12" spans="1:7">
      <c r="A12" s="23"/>
      <c r="B12" s="24" t="s">
        <v>1089</v>
      </c>
      <c r="C12" s="26"/>
      <c r="D12" s="28" t="s">
        <v>395</v>
      </c>
      <c r="E12" s="28">
        <v>52</v>
      </c>
      <c r="F12" s="28">
        <v>420</v>
      </c>
      <c r="G12" s="29">
        <f>E12*F12</f>
        <v>21840</v>
      </c>
    </row>
    <row r="13" spans="1:7">
      <c r="A13" s="23"/>
      <c r="B13" s="24" t="s">
        <v>408</v>
      </c>
      <c r="C13" s="26"/>
      <c r="D13" s="28" t="s">
        <v>395</v>
      </c>
      <c r="E13" s="28">
        <v>25.9</v>
      </c>
      <c r="F13" s="28">
        <f>混凝土单价!M10</f>
        <v>135.51</v>
      </c>
      <c r="G13" s="29">
        <f>E13*F13</f>
        <v>3509.71</v>
      </c>
    </row>
    <row r="14" spans="1:7">
      <c r="A14" s="23"/>
      <c r="B14" s="24" t="s">
        <v>397</v>
      </c>
      <c r="C14" s="26"/>
      <c r="D14" s="28"/>
      <c r="E14" s="30">
        <v>0.003</v>
      </c>
      <c r="F14" s="28">
        <f>SUM(G12:G12)</f>
        <v>21840</v>
      </c>
      <c r="G14" s="29">
        <f>E14*F14</f>
        <v>65.52</v>
      </c>
    </row>
    <row r="15" spans="1:7">
      <c r="A15" s="23" t="s">
        <v>463</v>
      </c>
      <c r="B15" s="24" t="s">
        <v>464</v>
      </c>
      <c r="C15" s="26"/>
      <c r="D15" s="28"/>
      <c r="E15" s="28"/>
      <c r="F15" s="28"/>
      <c r="G15" s="29">
        <f>SUM(G16:G17)</f>
        <v>218.31</v>
      </c>
    </row>
    <row r="16" spans="1:7">
      <c r="A16" s="23"/>
      <c r="B16" s="31" t="s">
        <v>755</v>
      </c>
      <c r="C16" s="32"/>
      <c r="D16" s="33" t="s">
        <v>316</v>
      </c>
      <c r="E16" s="28">
        <v>4.69</v>
      </c>
      <c r="F16" s="28">
        <f>机械!E16</f>
        <v>23.75</v>
      </c>
      <c r="G16" s="29">
        <f>E16*F16</f>
        <v>111.39</v>
      </c>
    </row>
    <row r="17" spans="1:7">
      <c r="A17" s="23"/>
      <c r="B17" s="24" t="s">
        <v>472</v>
      </c>
      <c r="C17" s="26"/>
      <c r="D17" s="28" t="s">
        <v>316</v>
      </c>
      <c r="E17" s="28">
        <v>130.39</v>
      </c>
      <c r="F17" s="28">
        <f>机械!E29</f>
        <v>0.82</v>
      </c>
      <c r="G17" s="29">
        <f>E17*F17</f>
        <v>106.92</v>
      </c>
    </row>
    <row r="18" spans="1:7">
      <c r="A18" s="23">
        <v>2</v>
      </c>
      <c r="B18" s="24" t="s">
        <v>294</v>
      </c>
      <c r="C18" s="26"/>
      <c r="D18" s="28"/>
      <c r="E18" s="30">
        <f>费率!E4</f>
        <v>0.048</v>
      </c>
      <c r="F18" s="28">
        <f>G7</f>
        <v>36784.13</v>
      </c>
      <c r="G18" s="29">
        <f>E18*F18</f>
        <v>1765.64</v>
      </c>
    </row>
    <row r="19" spans="1:7">
      <c r="A19" s="23" t="s">
        <v>14</v>
      </c>
      <c r="B19" s="24" t="s">
        <v>295</v>
      </c>
      <c r="C19" s="26"/>
      <c r="D19" s="28"/>
      <c r="E19" s="30">
        <f>费率!E5</f>
        <v>0.085</v>
      </c>
      <c r="F19" s="28">
        <f>G6</f>
        <v>38549.77</v>
      </c>
      <c r="G19" s="29">
        <f>E19*F19</f>
        <v>3276.73</v>
      </c>
    </row>
    <row r="20" spans="1:7">
      <c r="A20" s="23" t="s">
        <v>16</v>
      </c>
      <c r="B20" s="24" t="s">
        <v>296</v>
      </c>
      <c r="C20" s="26"/>
      <c r="D20" s="28"/>
      <c r="E20" s="30">
        <f>费率!E6</f>
        <v>0.07</v>
      </c>
      <c r="F20" s="28">
        <f>SUM(F19:G19)</f>
        <v>41826.5</v>
      </c>
      <c r="G20" s="29">
        <f>E20*F20</f>
        <v>2927.86</v>
      </c>
    </row>
    <row r="21" spans="1:7">
      <c r="A21" s="23"/>
      <c r="B21" s="24" t="s">
        <v>465</v>
      </c>
      <c r="C21" s="26"/>
      <c r="D21" s="26"/>
      <c r="E21" s="28"/>
      <c r="F21" s="28"/>
      <c r="G21" s="29">
        <f>SUM(F20:G20)</f>
        <v>44754.36</v>
      </c>
    </row>
    <row r="22" spans="1:7">
      <c r="A22" s="23" t="s">
        <v>18</v>
      </c>
      <c r="B22" s="24" t="s">
        <v>466</v>
      </c>
      <c r="C22" s="26"/>
      <c r="D22" s="28"/>
      <c r="E22" s="28"/>
      <c r="F22" s="28"/>
      <c r="G22" s="29">
        <f>SUM(G23:G24)</f>
        <v>1877.32</v>
      </c>
    </row>
    <row r="23" spans="1:7">
      <c r="A23" s="23"/>
      <c r="B23" s="24" t="s">
        <v>405</v>
      </c>
      <c r="C23" s="26"/>
      <c r="D23" s="28" t="s">
        <v>395</v>
      </c>
      <c r="E23" s="28">
        <f>E13*混凝土单价!E10</f>
        <v>5.8</v>
      </c>
      <c r="F23" s="28">
        <f>主材!N6</f>
        <v>135.66</v>
      </c>
      <c r="G23" s="29">
        <f>E23*F23</f>
        <v>786.83</v>
      </c>
    </row>
    <row r="24" spans="1:7">
      <c r="A24" s="23"/>
      <c r="B24" s="24" t="s">
        <v>396</v>
      </c>
      <c r="C24" s="26"/>
      <c r="D24" s="28" t="s">
        <v>395</v>
      </c>
      <c r="E24" s="28">
        <f>E13*混凝土单价!G10</f>
        <v>28.75</v>
      </c>
      <c r="F24" s="28">
        <f>主材!N9</f>
        <v>37.93</v>
      </c>
      <c r="G24" s="29">
        <f>E24*F24</f>
        <v>1090.49</v>
      </c>
    </row>
    <row r="25" spans="1:7">
      <c r="A25" s="23" t="s">
        <v>20</v>
      </c>
      <c r="B25" s="24" t="s">
        <v>297</v>
      </c>
      <c r="C25" s="26"/>
      <c r="D25" s="28"/>
      <c r="E25" s="30">
        <f>费率!E7</f>
        <v>0.09</v>
      </c>
      <c r="F25" s="28">
        <f>G21+G22</f>
        <v>46631.68</v>
      </c>
      <c r="G25" s="29">
        <f>F25*E25</f>
        <v>4196.85</v>
      </c>
    </row>
    <row r="26" spans="1:7">
      <c r="A26" s="23" t="s">
        <v>23</v>
      </c>
      <c r="B26" s="24" t="s">
        <v>473</v>
      </c>
      <c r="C26" s="26"/>
      <c r="D26" s="28"/>
      <c r="E26" s="30">
        <f>0</f>
        <v>0</v>
      </c>
      <c r="F26" s="28">
        <f>G21+G22+G25</f>
        <v>50828.53</v>
      </c>
      <c r="G26" s="29">
        <f>E26*F26</f>
        <v>0</v>
      </c>
    </row>
    <row r="27" ht="15" spans="1:7">
      <c r="A27" s="34" t="s">
        <v>25</v>
      </c>
      <c r="B27" s="35" t="s">
        <v>121</v>
      </c>
      <c r="C27" s="35"/>
      <c r="D27" s="36"/>
      <c r="E27" s="36"/>
      <c r="F27" s="36"/>
      <c r="G27" s="37">
        <f>SUM(F26:G26)</f>
        <v>50828.53</v>
      </c>
    </row>
    <row r="29" ht="19.5" spans="1:7">
      <c r="A29" s="38" t="s">
        <v>274</v>
      </c>
      <c r="B29" s="38"/>
      <c r="C29" s="38"/>
      <c r="D29" s="38"/>
      <c r="E29" s="38"/>
      <c r="F29" s="38"/>
      <c r="G29" s="38"/>
    </row>
    <row r="30" spans="1:7">
      <c r="A30" s="13" t="s">
        <v>275</v>
      </c>
      <c r="B30" s="14"/>
      <c r="C30" s="14" t="s">
        <v>41</v>
      </c>
      <c r="D30" s="14" t="s">
        <v>276</v>
      </c>
      <c r="E30" s="39" t="s">
        <v>1090</v>
      </c>
      <c r="F30" s="39"/>
      <c r="G30" s="40"/>
    </row>
    <row r="31" spans="1:7">
      <c r="A31" s="18" t="s">
        <v>278</v>
      </c>
      <c r="B31" s="19"/>
      <c r="C31" s="20" t="s">
        <v>455</v>
      </c>
      <c r="D31" s="20"/>
      <c r="E31" s="20"/>
      <c r="F31" s="21" t="s">
        <v>280</v>
      </c>
      <c r="G31" s="22" t="s">
        <v>430</v>
      </c>
    </row>
    <row r="32" spans="1:7">
      <c r="A32" s="23" t="s">
        <v>456</v>
      </c>
      <c r="B32" s="28"/>
      <c r="C32" s="28"/>
      <c r="D32" s="28"/>
      <c r="E32" s="28"/>
      <c r="F32" s="28"/>
      <c r="G32" s="29"/>
    </row>
    <row r="33" spans="1:7">
      <c r="A33" s="23" t="s">
        <v>284</v>
      </c>
      <c r="B33" s="28" t="s">
        <v>458</v>
      </c>
      <c r="C33" s="28"/>
      <c r="D33" s="28" t="s">
        <v>88</v>
      </c>
      <c r="E33" s="28" t="s">
        <v>130</v>
      </c>
      <c r="F33" s="28" t="s">
        <v>144</v>
      </c>
      <c r="G33" s="29" t="s">
        <v>234</v>
      </c>
    </row>
    <row r="34" spans="1:7">
      <c r="A34" s="23" t="s">
        <v>9</v>
      </c>
      <c r="B34" s="28" t="s">
        <v>459</v>
      </c>
      <c r="C34" s="28"/>
      <c r="D34" s="28"/>
      <c r="E34" s="28"/>
      <c r="F34" s="28"/>
      <c r="G34" s="29">
        <f>G35+G44</f>
        <v>10561.66</v>
      </c>
    </row>
    <row r="35" spans="1:7">
      <c r="A35" s="23">
        <v>1</v>
      </c>
      <c r="B35" s="28" t="s">
        <v>287</v>
      </c>
      <c r="C35" s="28"/>
      <c r="D35" s="28"/>
      <c r="E35" s="28"/>
      <c r="F35" s="28"/>
      <c r="G35" s="29">
        <f>G36+G43+G39</f>
        <v>10077.92</v>
      </c>
    </row>
    <row r="36" spans="1:7">
      <c r="A36" s="23" t="s">
        <v>460</v>
      </c>
      <c r="B36" s="28" t="s">
        <v>247</v>
      </c>
      <c r="C36" s="28"/>
      <c r="D36" s="28" t="s">
        <v>290</v>
      </c>
      <c r="E36" s="28">
        <f>SUM(E37:E38)</f>
        <v>492.8</v>
      </c>
      <c r="F36" s="28"/>
      <c r="G36" s="29">
        <f>SUM(G37:G38)</f>
        <v>2866.52</v>
      </c>
    </row>
    <row r="37" spans="1:7">
      <c r="A37" s="23"/>
      <c r="B37" s="28" t="s">
        <v>289</v>
      </c>
      <c r="C37" s="28"/>
      <c r="D37" s="28" t="s">
        <v>290</v>
      </c>
      <c r="E37" s="28">
        <v>9.9</v>
      </c>
      <c r="F37" s="28">
        <f>人工!D4</f>
        <v>8.1</v>
      </c>
      <c r="G37" s="29">
        <f>E37*F37</f>
        <v>80.19</v>
      </c>
    </row>
    <row r="38" spans="1:7">
      <c r="A38" s="23"/>
      <c r="B38" s="28" t="s">
        <v>291</v>
      </c>
      <c r="C38" s="28"/>
      <c r="D38" s="28" t="s">
        <v>290</v>
      </c>
      <c r="E38" s="28">
        <v>482.9</v>
      </c>
      <c r="F38" s="28">
        <f>人工!D5</f>
        <v>5.77</v>
      </c>
      <c r="G38" s="29">
        <f>E38*F38</f>
        <v>2786.33</v>
      </c>
    </row>
    <row r="39" spans="1:7">
      <c r="A39" s="23" t="s">
        <v>461</v>
      </c>
      <c r="B39" s="28" t="s">
        <v>248</v>
      </c>
      <c r="C39" s="28"/>
      <c r="D39" s="28"/>
      <c r="E39" s="28"/>
      <c r="F39" s="28"/>
      <c r="G39" s="29">
        <f>SUM(G40:G42)</f>
        <v>7211.4</v>
      </c>
    </row>
    <row r="40" spans="1:7">
      <c r="A40" s="23"/>
      <c r="B40" s="28" t="s">
        <v>394</v>
      </c>
      <c r="C40" s="28"/>
      <c r="D40" s="28" t="s">
        <v>395</v>
      </c>
      <c r="E40" s="28">
        <v>81.6</v>
      </c>
      <c r="F40" s="28">
        <f>主材!M10</f>
        <v>70</v>
      </c>
      <c r="G40" s="29">
        <f>E40*F40</f>
        <v>5712</v>
      </c>
    </row>
    <row r="41" spans="1:7">
      <c r="A41" s="23"/>
      <c r="B41" s="28" t="s">
        <v>462</v>
      </c>
      <c r="C41" s="28"/>
      <c r="D41" s="28" t="s">
        <v>395</v>
      </c>
      <c r="E41" s="28">
        <v>20.4</v>
      </c>
      <c r="F41" s="28">
        <f>主材!M9</f>
        <v>70</v>
      </c>
      <c r="G41" s="29">
        <f>E41*F41</f>
        <v>1428</v>
      </c>
    </row>
    <row r="42" spans="1:7">
      <c r="A42" s="23"/>
      <c r="B42" s="28" t="s">
        <v>397</v>
      </c>
      <c r="C42" s="28"/>
      <c r="D42" s="28"/>
      <c r="E42" s="30">
        <v>0.01</v>
      </c>
      <c r="F42" s="28">
        <f>SUM(G40:G41)</f>
        <v>7140</v>
      </c>
      <c r="G42" s="29">
        <f>E42*F42</f>
        <v>71.4</v>
      </c>
    </row>
    <row r="43" spans="1:7">
      <c r="A43" s="23" t="s">
        <v>463</v>
      </c>
      <c r="B43" s="28" t="s">
        <v>464</v>
      </c>
      <c r="C43" s="28"/>
      <c r="D43" s="28"/>
      <c r="E43" s="28"/>
      <c r="F43" s="28"/>
      <c r="G43" s="29">
        <v>0</v>
      </c>
    </row>
    <row r="44" spans="1:7">
      <c r="A44" s="23">
        <v>2</v>
      </c>
      <c r="B44" s="28" t="s">
        <v>294</v>
      </c>
      <c r="C44" s="28"/>
      <c r="D44" s="28"/>
      <c r="E44" s="30">
        <f>费率!E4</f>
        <v>0.048</v>
      </c>
      <c r="F44" s="28">
        <f>G35</f>
        <v>10077.92</v>
      </c>
      <c r="G44" s="29">
        <f>E44*F44</f>
        <v>483.74</v>
      </c>
    </row>
    <row r="45" spans="1:7">
      <c r="A45" s="23" t="s">
        <v>14</v>
      </c>
      <c r="B45" s="28" t="s">
        <v>295</v>
      </c>
      <c r="C45" s="28"/>
      <c r="D45" s="28"/>
      <c r="E45" s="30">
        <f>费率!E5</f>
        <v>0.085</v>
      </c>
      <c r="F45" s="28">
        <f>G34</f>
        <v>10561.66</v>
      </c>
      <c r="G45" s="29">
        <f>E45*F45</f>
        <v>897.74</v>
      </c>
    </row>
    <row r="46" spans="1:7">
      <c r="A46" s="23" t="s">
        <v>16</v>
      </c>
      <c r="B46" s="28" t="s">
        <v>296</v>
      </c>
      <c r="C46" s="28"/>
      <c r="D46" s="28"/>
      <c r="E46" s="30">
        <f>费率!E6</f>
        <v>0.07</v>
      </c>
      <c r="F46" s="28">
        <f>SUM(F45:G45)</f>
        <v>11459.4</v>
      </c>
      <c r="G46" s="29">
        <f>E46*F46</f>
        <v>802.16</v>
      </c>
    </row>
    <row r="47" spans="1:7">
      <c r="A47" s="23"/>
      <c r="B47" s="28" t="s">
        <v>465</v>
      </c>
      <c r="C47" s="28"/>
      <c r="D47" s="28"/>
      <c r="E47" s="28"/>
      <c r="F47" s="28"/>
      <c r="G47" s="29">
        <f>SUM(F46:G46)</f>
        <v>12261.56</v>
      </c>
    </row>
    <row r="48" spans="1:7">
      <c r="A48" s="23" t="s">
        <v>18</v>
      </c>
      <c r="B48" s="28" t="s">
        <v>466</v>
      </c>
      <c r="C48" s="28"/>
      <c r="D48" s="28"/>
      <c r="E48" s="28"/>
      <c r="F48" s="28"/>
      <c r="G48" s="29">
        <f>SUM(G49:G50)</f>
        <v>1347.42</v>
      </c>
    </row>
    <row r="49" spans="1:7">
      <c r="A49" s="23"/>
      <c r="B49" s="28" t="s">
        <v>467</v>
      </c>
      <c r="C49" s="28"/>
      <c r="D49" s="28" t="s">
        <v>395</v>
      </c>
      <c r="E49" s="28">
        <f>E40</f>
        <v>81.6</v>
      </c>
      <c r="F49" s="28">
        <f>主材!N10</f>
        <v>7.03</v>
      </c>
      <c r="G49" s="29">
        <f>E49*F49</f>
        <v>573.65</v>
      </c>
    </row>
    <row r="50" spans="1:7">
      <c r="A50" s="23"/>
      <c r="B50" s="28" t="s">
        <v>462</v>
      </c>
      <c r="C50" s="28"/>
      <c r="D50" s="28" t="s">
        <v>395</v>
      </c>
      <c r="E50" s="28">
        <f>E41</f>
        <v>20.4</v>
      </c>
      <c r="F50" s="28">
        <f>主材!N9</f>
        <v>37.93</v>
      </c>
      <c r="G50" s="29">
        <f>E50*F50</f>
        <v>773.77</v>
      </c>
    </row>
    <row r="51" spans="1:7">
      <c r="A51" s="23" t="s">
        <v>20</v>
      </c>
      <c r="B51" s="28" t="s">
        <v>297</v>
      </c>
      <c r="C51" s="28"/>
      <c r="D51" s="28"/>
      <c r="E51" s="30">
        <f>费率!E7</f>
        <v>0.09</v>
      </c>
      <c r="F51" s="28">
        <f>G47+G48</f>
        <v>13608.98</v>
      </c>
      <c r="G51" s="29">
        <f>F51*E51</f>
        <v>1224.81</v>
      </c>
    </row>
    <row r="52" spans="1:7">
      <c r="A52" s="23" t="s">
        <v>23</v>
      </c>
      <c r="B52" s="28" t="s">
        <v>298</v>
      </c>
      <c r="C52" s="28"/>
      <c r="D52" s="28"/>
      <c r="E52" s="30">
        <v>0</v>
      </c>
      <c r="F52" s="28">
        <f>G47+G48+G51</f>
        <v>14833.79</v>
      </c>
      <c r="G52" s="29">
        <f>E52*F52</f>
        <v>0</v>
      </c>
    </row>
    <row r="53" ht="15" spans="1:7">
      <c r="A53" s="34" t="s">
        <v>25</v>
      </c>
      <c r="B53" s="35" t="s">
        <v>121</v>
      </c>
      <c r="C53" s="35"/>
      <c r="D53" s="36"/>
      <c r="E53" s="36"/>
      <c r="F53" s="36"/>
      <c r="G53" s="37">
        <f>SUM(F52:G52)</f>
        <v>14833.79</v>
      </c>
    </row>
    <row r="55" ht="19.5" spans="1:7">
      <c r="A55" s="41" t="s">
        <v>274</v>
      </c>
      <c r="B55" s="41"/>
      <c r="C55" s="41"/>
      <c r="D55" s="41"/>
      <c r="E55" s="41"/>
      <c r="F55" s="41"/>
      <c r="G55" s="41"/>
    </row>
    <row r="56" spans="1:7">
      <c r="A56" s="42" t="s">
        <v>275</v>
      </c>
      <c r="B56" s="43"/>
      <c r="C56" s="43" t="s">
        <v>46</v>
      </c>
      <c r="D56" s="43" t="s">
        <v>276</v>
      </c>
      <c r="E56" s="44" t="s">
        <v>766</v>
      </c>
      <c r="F56" s="45"/>
      <c r="G56" s="46"/>
    </row>
    <row r="57" spans="1:7">
      <c r="A57" s="47" t="s">
        <v>278</v>
      </c>
      <c r="B57" s="48"/>
      <c r="C57" s="49" t="s">
        <v>544</v>
      </c>
      <c r="D57" s="49"/>
      <c r="E57" s="49"/>
      <c r="F57" s="50" t="s">
        <v>280</v>
      </c>
      <c r="G57" s="51" t="s">
        <v>281</v>
      </c>
    </row>
    <row r="58" spans="1:7">
      <c r="A58" s="52" t="s">
        <v>546</v>
      </c>
      <c r="B58" s="53"/>
      <c r="C58" s="54"/>
      <c r="D58" s="54"/>
      <c r="E58" s="54"/>
      <c r="F58" s="54"/>
      <c r="G58" s="55"/>
    </row>
    <row r="59" spans="1:7">
      <c r="A59" s="56" t="s">
        <v>284</v>
      </c>
      <c r="B59" s="33" t="s">
        <v>458</v>
      </c>
      <c r="C59" s="33"/>
      <c r="D59" s="33" t="s">
        <v>88</v>
      </c>
      <c r="E59" s="33" t="s">
        <v>130</v>
      </c>
      <c r="F59" s="33" t="s">
        <v>90</v>
      </c>
      <c r="G59" s="57" t="s">
        <v>92</v>
      </c>
    </row>
    <row r="60" spans="1:7">
      <c r="A60" s="56" t="s">
        <v>9</v>
      </c>
      <c r="B60" s="31" t="s">
        <v>459</v>
      </c>
      <c r="C60" s="32"/>
      <c r="D60" s="33"/>
      <c r="E60" s="33"/>
      <c r="F60" s="33"/>
      <c r="G60" s="57">
        <f>G61+G85</f>
        <v>40818.46</v>
      </c>
    </row>
    <row r="61" spans="1:7">
      <c r="A61" s="56" t="s">
        <v>132</v>
      </c>
      <c r="B61" s="31" t="s">
        <v>287</v>
      </c>
      <c r="C61" s="32"/>
      <c r="D61" s="33"/>
      <c r="E61" s="33"/>
      <c r="F61" s="33"/>
      <c r="G61" s="57">
        <f>G62+G65+G75+G82</f>
        <v>38948.91</v>
      </c>
    </row>
    <row r="62" spans="1:7">
      <c r="A62" s="58">
        <v>1</v>
      </c>
      <c r="B62" s="31" t="s">
        <v>247</v>
      </c>
      <c r="C62" s="32"/>
      <c r="D62" s="33"/>
      <c r="E62" s="33"/>
      <c r="F62" s="33"/>
      <c r="G62" s="57">
        <f>SUM(G63:G64)</f>
        <v>13059.4</v>
      </c>
    </row>
    <row r="63" spans="1:7">
      <c r="A63" s="58"/>
      <c r="B63" s="31" t="s">
        <v>289</v>
      </c>
      <c r="C63" s="32"/>
      <c r="D63" s="59" t="s">
        <v>290</v>
      </c>
      <c r="E63" s="60">
        <v>1271.2</v>
      </c>
      <c r="F63" s="61">
        <f>人工!D4</f>
        <v>8.1</v>
      </c>
      <c r="G63" s="57">
        <f>F63*E63</f>
        <v>10296.72</v>
      </c>
    </row>
    <row r="64" spans="1:7">
      <c r="A64" s="58"/>
      <c r="B64" s="31" t="s">
        <v>291</v>
      </c>
      <c r="C64" s="32"/>
      <c r="D64" s="59" t="s">
        <v>290</v>
      </c>
      <c r="E64" s="60">
        <v>478.8</v>
      </c>
      <c r="F64" s="61">
        <f>人工!D5</f>
        <v>5.77</v>
      </c>
      <c r="G64" s="57">
        <f>F64*E64</f>
        <v>2762.68</v>
      </c>
    </row>
    <row r="65" spans="1:7">
      <c r="A65" s="58">
        <v>2</v>
      </c>
      <c r="B65" s="31" t="s">
        <v>248</v>
      </c>
      <c r="C65" s="32"/>
      <c r="D65" s="62"/>
      <c r="E65" s="63"/>
      <c r="F65" s="33"/>
      <c r="G65" s="57">
        <f>SUM(G66:G74)</f>
        <v>24310.13</v>
      </c>
    </row>
    <row r="66" spans="1:7">
      <c r="A66" s="58"/>
      <c r="B66" s="31" t="s">
        <v>696</v>
      </c>
      <c r="C66" s="32"/>
      <c r="D66" s="62" t="s">
        <v>515</v>
      </c>
      <c r="E66" s="60">
        <v>0.98</v>
      </c>
      <c r="F66" s="61">
        <f>主材!M7</f>
        <v>2143.4</v>
      </c>
      <c r="G66" s="57">
        <f t="shared" ref="G66:G74" si="0">E66*F66</f>
        <v>2100.53</v>
      </c>
    </row>
    <row r="67" spans="1:7">
      <c r="A67" s="58"/>
      <c r="B67" s="31" t="s">
        <v>548</v>
      </c>
      <c r="C67" s="32"/>
      <c r="D67" s="62" t="s">
        <v>323</v>
      </c>
      <c r="E67" s="60">
        <v>103.85</v>
      </c>
      <c r="F67" s="61">
        <v>4.44</v>
      </c>
      <c r="G67" s="57">
        <f t="shared" si="0"/>
        <v>461.09</v>
      </c>
    </row>
    <row r="68" spans="1:7">
      <c r="A68" s="58"/>
      <c r="B68" s="31" t="s">
        <v>634</v>
      </c>
      <c r="C68" s="32"/>
      <c r="D68" s="62" t="s">
        <v>323</v>
      </c>
      <c r="E68" s="60">
        <v>73.88</v>
      </c>
      <c r="F68" s="61">
        <v>4.5</v>
      </c>
      <c r="G68" s="57">
        <f t="shared" si="0"/>
        <v>332.46</v>
      </c>
    </row>
    <row r="69" spans="1:7">
      <c r="A69" s="58"/>
      <c r="B69" s="31" t="s">
        <v>718</v>
      </c>
      <c r="C69" s="32"/>
      <c r="D69" s="62" t="s">
        <v>323</v>
      </c>
      <c r="E69" s="60">
        <v>48</v>
      </c>
      <c r="F69" s="61">
        <v>5.15</v>
      </c>
      <c r="G69" s="57">
        <f t="shared" si="0"/>
        <v>247.2</v>
      </c>
    </row>
    <row r="70" spans="1:7">
      <c r="A70" s="58"/>
      <c r="B70" s="31" t="s">
        <v>551</v>
      </c>
      <c r="C70" s="32"/>
      <c r="D70" s="62" t="s">
        <v>323</v>
      </c>
      <c r="E70" s="60">
        <v>328.9</v>
      </c>
      <c r="F70" s="61">
        <v>6.39</v>
      </c>
      <c r="G70" s="57">
        <f t="shared" si="0"/>
        <v>2101.67</v>
      </c>
    </row>
    <row r="71" spans="1:7">
      <c r="A71" s="58"/>
      <c r="B71" s="31" t="s">
        <v>552</v>
      </c>
      <c r="C71" s="32"/>
      <c r="D71" s="62" t="s">
        <v>323</v>
      </c>
      <c r="E71" s="64">
        <v>6.91</v>
      </c>
      <c r="F71" s="65">
        <v>5.97</v>
      </c>
      <c r="G71" s="57">
        <f t="shared" si="0"/>
        <v>41.25</v>
      </c>
    </row>
    <row r="72" spans="1:7">
      <c r="A72" s="58"/>
      <c r="B72" s="31" t="s">
        <v>678</v>
      </c>
      <c r="C72" s="32"/>
      <c r="D72" s="62" t="s">
        <v>515</v>
      </c>
      <c r="E72" s="66">
        <f>103</f>
        <v>103</v>
      </c>
      <c r="F72" s="65">
        <f>混凝土单价!M6</f>
        <v>177.12</v>
      </c>
      <c r="G72" s="57">
        <f t="shared" si="0"/>
        <v>18243.36</v>
      </c>
    </row>
    <row r="73" spans="1:7">
      <c r="A73" s="58"/>
      <c r="B73" s="31" t="s">
        <v>672</v>
      </c>
      <c r="C73" s="32"/>
      <c r="D73" s="62" t="s">
        <v>515</v>
      </c>
      <c r="E73" s="67">
        <v>70</v>
      </c>
      <c r="F73" s="33">
        <f>主材!D18</f>
        <v>4.37</v>
      </c>
      <c r="G73" s="57">
        <f t="shared" si="0"/>
        <v>305.9</v>
      </c>
    </row>
    <row r="74" spans="1:7">
      <c r="A74" s="58"/>
      <c r="B74" s="31" t="s">
        <v>397</v>
      </c>
      <c r="C74" s="32"/>
      <c r="D74" s="62" t="s">
        <v>293</v>
      </c>
      <c r="E74" s="68">
        <v>0.02</v>
      </c>
      <c r="F74" s="33">
        <f>SUM(G66:G73)</f>
        <v>23833.46</v>
      </c>
      <c r="G74" s="57">
        <f t="shared" si="0"/>
        <v>476.67</v>
      </c>
    </row>
    <row r="75" spans="1:7">
      <c r="A75" s="58">
        <v>3</v>
      </c>
      <c r="B75" s="31" t="s">
        <v>314</v>
      </c>
      <c r="C75" s="32"/>
      <c r="D75" s="59"/>
      <c r="E75" s="59"/>
      <c r="F75" s="59"/>
      <c r="G75" s="57">
        <f>SUM(G76:G81)</f>
        <v>781.13</v>
      </c>
    </row>
    <row r="76" spans="1:7">
      <c r="A76" s="58"/>
      <c r="B76" s="31" t="s">
        <v>754</v>
      </c>
      <c r="C76" s="32"/>
      <c r="D76" s="33" t="s">
        <v>316</v>
      </c>
      <c r="E76" s="33">
        <v>30</v>
      </c>
      <c r="F76" s="61">
        <f>机械!E17</f>
        <v>1.81</v>
      </c>
      <c r="G76" s="57">
        <f t="shared" ref="G76:G81" si="1">F76*E76</f>
        <v>54.3</v>
      </c>
    </row>
    <row r="77" spans="1:7">
      <c r="A77" s="58"/>
      <c r="B77" s="31" t="s">
        <v>755</v>
      </c>
      <c r="C77" s="32"/>
      <c r="D77" s="33" t="s">
        <v>316</v>
      </c>
      <c r="E77" s="33">
        <v>18.54</v>
      </c>
      <c r="F77" s="61">
        <f>机械!E16</f>
        <v>23.75</v>
      </c>
      <c r="G77" s="57">
        <f t="shared" si="1"/>
        <v>440.33</v>
      </c>
    </row>
    <row r="78" spans="1:7">
      <c r="A78" s="58"/>
      <c r="B78" s="31" t="s">
        <v>472</v>
      </c>
      <c r="C78" s="32"/>
      <c r="D78" s="33" t="s">
        <v>316</v>
      </c>
      <c r="E78" s="33">
        <v>83</v>
      </c>
      <c r="F78" s="61">
        <f>机械!E29</f>
        <v>0.82</v>
      </c>
      <c r="G78" s="57">
        <f t="shared" si="1"/>
        <v>68.06</v>
      </c>
    </row>
    <row r="79" spans="1:7">
      <c r="A79" s="58"/>
      <c r="B79" s="31" t="s">
        <v>620</v>
      </c>
      <c r="C79" s="32"/>
      <c r="D79" s="33" t="s">
        <v>316</v>
      </c>
      <c r="E79" s="69">
        <v>0.46</v>
      </c>
      <c r="F79" s="61">
        <f>机械!E23</f>
        <v>49.39</v>
      </c>
      <c r="G79" s="57">
        <f t="shared" si="1"/>
        <v>22.72</v>
      </c>
    </row>
    <row r="80" spans="1:7">
      <c r="A80" s="58"/>
      <c r="B80" s="31" t="s">
        <v>767</v>
      </c>
      <c r="C80" s="32"/>
      <c r="D80" s="33" t="s">
        <v>316</v>
      </c>
      <c r="E80" s="69">
        <v>10.32</v>
      </c>
      <c r="F80" s="61">
        <f>机械!E47</f>
        <v>8.06</v>
      </c>
      <c r="G80" s="57">
        <f t="shared" si="1"/>
        <v>83.18</v>
      </c>
    </row>
    <row r="81" spans="1:7">
      <c r="A81" s="58"/>
      <c r="B81" s="31" t="s">
        <v>370</v>
      </c>
      <c r="C81" s="32"/>
      <c r="D81" s="62" t="s">
        <v>293</v>
      </c>
      <c r="E81" s="63">
        <v>0.2</v>
      </c>
      <c r="F81" s="70">
        <f>SUM(G76:G78)</f>
        <v>562.69</v>
      </c>
      <c r="G81" s="57">
        <f t="shared" si="1"/>
        <v>112.54</v>
      </c>
    </row>
    <row r="82" spans="1:7">
      <c r="A82" s="58">
        <v>4</v>
      </c>
      <c r="B82" s="31" t="s">
        <v>756</v>
      </c>
      <c r="C82" s="32"/>
      <c r="D82" s="62"/>
      <c r="E82" s="71"/>
      <c r="F82" s="65"/>
      <c r="G82" s="57">
        <f>G83+G84</f>
        <v>798.25</v>
      </c>
    </row>
    <row r="83" spans="1:7">
      <c r="A83" s="58"/>
      <c r="B83" s="31" t="s">
        <v>558</v>
      </c>
      <c r="C83" s="32"/>
      <c r="D83" s="62" t="s">
        <v>515</v>
      </c>
      <c r="E83" s="33">
        <v>103</v>
      </c>
      <c r="F83" s="61">
        <f>混凝土!F1208</f>
        <v>5.04</v>
      </c>
      <c r="G83" s="57">
        <f>F83*E83</f>
        <v>519.12</v>
      </c>
    </row>
    <row r="84" spans="1:7">
      <c r="A84" s="58"/>
      <c r="B84" s="31" t="s">
        <v>559</v>
      </c>
      <c r="C84" s="32"/>
      <c r="D84" s="62" t="s">
        <v>515</v>
      </c>
      <c r="E84" s="33">
        <v>103</v>
      </c>
      <c r="F84" s="61">
        <f>混凝土!F1209</f>
        <v>2.71</v>
      </c>
      <c r="G84" s="57">
        <f>F84*E84</f>
        <v>279.13</v>
      </c>
    </row>
    <row r="85" spans="1:7">
      <c r="A85" s="56" t="s">
        <v>133</v>
      </c>
      <c r="B85" s="31" t="s">
        <v>294</v>
      </c>
      <c r="C85" s="32"/>
      <c r="D85" s="33"/>
      <c r="E85" s="72">
        <f>费率!F4</f>
        <v>0.048</v>
      </c>
      <c r="F85" s="33">
        <f>G61</f>
        <v>38948.91</v>
      </c>
      <c r="G85" s="57">
        <f>E85*F85</f>
        <v>1869.55</v>
      </c>
    </row>
    <row r="86" spans="1:7">
      <c r="A86" s="56" t="s">
        <v>14</v>
      </c>
      <c r="B86" s="31" t="s">
        <v>295</v>
      </c>
      <c r="C86" s="32"/>
      <c r="D86" s="33"/>
      <c r="E86" s="72">
        <f>费率!F5</f>
        <v>0.07</v>
      </c>
      <c r="F86" s="33">
        <f>(G60)</f>
        <v>40818.46</v>
      </c>
      <c r="G86" s="57">
        <f>F86*E86</f>
        <v>2857.29</v>
      </c>
    </row>
    <row r="87" spans="1:7">
      <c r="A87" s="56" t="s">
        <v>16</v>
      </c>
      <c r="B87" s="31" t="s">
        <v>757</v>
      </c>
      <c r="C87" s="32"/>
      <c r="D87" s="33"/>
      <c r="E87" s="72">
        <f>费率!F6</f>
        <v>0.07</v>
      </c>
      <c r="F87" s="33">
        <f>F86+G86</f>
        <v>43675.75</v>
      </c>
      <c r="G87" s="57">
        <f>F87*E87</f>
        <v>3057.3</v>
      </c>
    </row>
    <row r="88" spans="1:7">
      <c r="A88" s="56" t="s">
        <v>18</v>
      </c>
      <c r="B88" s="31" t="s">
        <v>758</v>
      </c>
      <c r="C88" s="32"/>
      <c r="D88" s="33" t="s">
        <v>759</v>
      </c>
      <c r="E88" s="33"/>
      <c r="F88" s="33"/>
      <c r="G88" s="57">
        <f>SUM(G89:G93)</f>
        <v>7106.56</v>
      </c>
    </row>
    <row r="89" spans="1:7">
      <c r="A89" s="56"/>
      <c r="B89" s="31" t="s">
        <v>696</v>
      </c>
      <c r="C89" s="32"/>
      <c r="D89" s="62" t="s">
        <v>515</v>
      </c>
      <c r="E89" s="33">
        <f>E66</f>
        <v>0.98</v>
      </c>
      <c r="F89" s="33">
        <f>0</f>
        <v>0</v>
      </c>
      <c r="G89" s="57">
        <f t="shared" ref="G89:G94" si="2">E89*F89</f>
        <v>0</v>
      </c>
    </row>
    <row r="90" spans="1:7">
      <c r="A90" s="56"/>
      <c r="B90" s="31" t="s">
        <v>405</v>
      </c>
      <c r="C90" s="32"/>
      <c r="D90" s="33" t="s">
        <v>158</v>
      </c>
      <c r="E90" s="33">
        <f>E72*混凝土单价!E6</f>
        <v>31.93</v>
      </c>
      <c r="F90" s="61">
        <f>主材!N6</f>
        <v>135.66</v>
      </c>
      <c r="G90" s="57">
        <f t="shared" si="2"/>
        <v>4331.62</v>
      </c>
    </row>
    <row r="91" spans="1:7">
      <c r="A91" s="56"/>
      <c r="B91" s="31" t="s">
        <v>396</v>
      </c>
      <c r="C91" s="32"/>
      <c r="D91" s="62" t="s">
        <v>515</v>
      </c>
      <c r="E91" s="33">
        <f>E72*混凝土单价!G6</f>
        <v>56.65</v>
      </c>
      <c r="F91" s="61">
        <f>主材!N9</f>
        <v>37.93</v>
      </c>
      <c r="G91" s="57">
        <f t="shared" si="2"/>
        <v>2148.73</v>
      </c>
    </row>
    <row r="92" spans="1:7">
      <c r="A92" s="56"/>
      <c r="B92" s="31" t="s">
        <v>467</v>
      </c>
      <c r="C92" s="32"/>
      <c r="D92" s="62" t="s">
        <v>515</v>
      </c>
      <c r="E92" s="33">
        <f>E72*混凝土单价!I6</f>
        <v>86.52</v>
      </c>
      <c r="F92" s="61">
        <f>主材!N10</f>
        <v>7.03</v>
      </c>
      <c r="G92" s="57">
        <f t="shared" si="2"/>
        <v>608.24</v>
      </c>
    </row>
    <row r="93" spans="1:7">
      <c r="A93" s="56"/>
      <c r="B93" s="31" t="s">
        <v>522</v>
      </c>
      <c r="C93" s="32"/>
      <c r="D93" s="62" t="s">
        <v>323</v>
      </c>
      <c r="E93" s="69">
        <f>E79*机械!K23</f>
        <v>3.31</v>
      </c>
      <c r="F93" s="61">
        <f>主材!N14</f>
        <v>5.43</v>
      </c>
      <c r="G93" s="57">
        <f t="shared" si="2"/>
        <v>17.97</v>
      </c>
    </row>
    <row r="94" spans="1:7">
      <c r="A94" s="56" t="s">
        <v>20</v>
      </c>
      <c r="B94" s="31" t="s">
        <v>297</v>
      </c>
      <c r="C94" s="32"/>
      <c r="D94" s="33"/>
      <c r="E94" s="68">
        <f>费率!F8</f>
        <v>0.03</v>
      </c>
      <c r="F94" s="33">
        <f>(G60+G86+G87)+G88</f>
        <v>53839.61</v>
      </c>
      <c r="G94" s="57">
        <f t="shared" si="2"/>
        <v>1615.19</v>
      </c>
    </row>
    <row r="95" spans="1:7">
      <c r="A95" s="56"/>
      <c r="B95" s="31" t="s">
        <v>760</v>
      </c>
      <c r="C95" s="32"/>
      <c r="D95" s="33"/>
      <c r="E95" s="68"/>
      <c r="F95" s="33"/>
      <c r="G95" s="57">
        <f>F94+G94</f>
        <v>55454.8</v>
      </c>
    </row>
    <row r="96" spans="1:7">
      <c r="A96" s="56" t="s">
        <v>23</v>
      </c>
      <c r="B96" s="31" t="s">
        <v>761</v>
      </c>
      <c r="C96" s="32"/>
      <c r="D96" s="33"/>
      <c r="E96" s="73">
        <v>0</v>
      </c>
      <c r="F96" s="33">
        <f>G95</f>
        <v>55454.8</v>
      </c>
      <c r="G96" s="57">
        <f>F96*E96</f>
        <v>0</v>
      </c>
    </row>
    <row r="97" ht="15" spans="1:7">
      <c r="A97" s="74"/>
      <c r="B97" s="75" t="s">
        <v>121</v>
      </c>
      <c r="C97" s="75"/>
      <c r="D97" s="76"/>
      <c r="E97" s="76"/>
      <c r="F97" s="76"/>
      <c r="G97" s="77">
        <f>F96+G96</f>
        <v>55454.8</v>
      </c>
    </row>
    <row r="98" ht="175.15" customHeight="1"/>
    <row r="99" ht="19.5" spans="1:7">
      <c r="A99" s="38" t="s">
        <v>274</v>
      </c>
      <c r="B99" s="38"/>
      <c r="C99" s="38"/>
      <c r="D99" s="38"/>
      <c r="E99" s="38"/>
      <c r="F99" s="38"/>
      <c r="G99" s="38"/>
    </row>
    <row r="100" spans="1:7">
      <c r="A100" s="13" t="s">
        <v>275</v>
      </c>
      <c r="B100" s="14"/>
      <c r="C100" s="14" t="s">
        <v>305</v>
      </c>
      <c r="D100" s="14" t="s">
        <v>276</v>
      </c>
      <c r="E100" s="39" t="s">
        <v>1091</v>
      </c>
      <c r="F100" s="39"/>
      <c r="G100" s="40"/>
    </row>
    <row r="101" spans="1:7">
      <c r="A101" s="18" t="s">
        <v>278</v>
      </c>
      <c r="B101" s="19"/>
      <c r="C101" s="20" t="s">
        <v>1092</v>
      </c>
      <c r="D101" s="20"/>
      <c r="E101" s="20"/>
      <c r="F101" s="21" t="s">
        <v>280</v>
      </c>
      <c r="G101" s="22" t="s">
        <v>1093</v>
      </c>
    </row>
    <row r="102" spans="1:7">
      <c r="A102" s="23" t="s">
        <v>456</v>
      </c>
      <c r="B102" s="28"/>
      <c r="C102" s="28"/>
      <c r="D102" s="28"/>
      <c r="E102" s="28"/>
      <c r="F102" s="28"/>
      <c r="G102" s="29"/>
    </row>
    <row r="103" spans="1:7">
      <c r="A103" s="23" t="s">
        <v>284</v>
      </c>
      <c r="B103" s="28" t="s">
        <v>458</v>
      </c>
      <c r="C103" s="28"/>
      <c r="D103" s="28" t="s">
        <v>88</v>
      </c>
      <c r="E103" s="28" t="s">
        <v>130</v>
      </c>
      <c r="F103" s="28" t="s">
        <v>144</v>
      </c>
      <c r="G103" s="29" t="s">
        <v>234</v>
      </c>
    </row>
    <row r="104" spans="1:7">
      <c r="A104" s="23" t="s">
        <v>9</v>
      </c>
      <c r="B104" s="28" t="s">
        <v>459</v>
      </c>
      <c r="C104" s="28"/>
      <c r="D104" s="28"/>
      <c r="E104" s="28"/>
      <c r="F104" s="28"/>
      <c r="G104" s="29">
        <f>G105+G115</f>
        <v>1055.08</v>
      </c>
    </row>
    <row r="105" spans="1:7">
      <c r="A105" s="23">
        <v>1</v>
      </c>
      <c r="B105" s="28" t="s">
        <v>287</v>
      </c>
      <c r="C105" s="28"/>
      <c r="D105" s="28"/>
      <c r="E105" s="28"/>
      <c r="F105" s="28"/>
      <c r="G105" s="29">
        <f>G106+G112+G109</f>
        <v>1006.76</v>
      </c>
    </row>
    <row r="106" spans="1:7">
      <c r="A106" s="23" t="s">
        <v>460</v>
      </c>
      <c r="B106" s="28" t="s">
        <v>247</v>
      </c>
      <c r="C106" s="28"/>
      <c r="D106" s="28" t="s">
        <v>290</v>
      </c>
      <c r="E106" s="28">
        <f>SUM(E107:E108)</f>
        <v>92.3</v>
      </c>
      <c r="F106" s="28"/>
      <c r="G106" s="29">
        <f>SUM(G107:G108)</f>
        <v>633.23</v>
      </c>
    </row>
    <row r="107" spans="1:7">
      <c r="A107" s="23"/>
      <c r="B107" s="28" t="s">
        <v>289</v>
      </c>
      <c r="C107" s="28"/>
      <c r="D107" s="28" t="s">
        <v>290</v>
      </c>
      <c r="E107" s="28">
        <v>43.2</v>
      </c>
      <c r="F107" s="28">
        <f>人工!D4</f>
        <v>8.1</v>
      </c>
      <c r="G107" s="29">
        <f>E107*F107</f>
        <v>349.92</v>
      </c>
    </row>
    <row r="108" spans="1:7">
      <c r="A108" s="23"/>
      <c r="B108" s="28" t="s">
        <v>291</v>
      </c>
      <c r="C108" s="28"/>
      <c r="D108" s="28" t="s">
        <v>290</v>
      </c>
      <c r="E108" s="28">
        <v>49.1</v>
      </c>
      <c r="F108" s="28">
        <f>人工!D5</f>
        <v>5.77</v>
      </c>
      <c r="G108" s="29">
        <f>E108*F108</f>
        <v>283.31</v>
      </c>
    </row>
    <row r="109" spans="1:7">
      <c r="A109" s="23" t="s">
        <v>461</v>
      </c>
      <c r="B109" s="28" t="s">
        <v>248</v>
      </c>
      <c r="C109" s="28"/>
      <c r="D109" s="28"/>
      <c r="E109" s="28"/>
      <c r="F109" s="28"/>
      <c r="G109" s="29">
        <f>SUM(G110:G111)</f>
        <v>359.21</v>
      </c>
    </row>
    <row r="110" spans="1:7">
      <c r="A110" s="23"/>
      <c r="B110" s="28" t="s">
        <v>408</v>
      </c>
      <c r="C110" s="28"/>
      <c r="D110" s="28" t="s">
        <v>395</v>
      </c>
      <c r="E110" s="28">
        <v>2.3</v>
      </c>
      <c r="F110" s="28">
        <f>混凝土单价!M11</f>
        <v>144.61</v>
      </c>
      <c r="G110" s="29">
        <f>E110*F110</f>
        <v>332.6</v>
      </c>
    </row>
    <row r="111" spans="1:7">
      <c r="A111" s="23"/>
      <c r="B111" s="28" t="s">
        <v>397</v>
      </c>
      <c r="C111" s="28"/>
      <c r="D111" s="28"/>
      <c r="E111" s="30">
        <v>0.08</v>
      </c>
      <c r="F111" s="28">
        <f>SUM(G110:G110)</f>
        <v>332.6</v>
      </c>
      <c r="G111" s="29">
        <f>E111*F111</f>
        <v>26.61</v>
      </c>
    </row>
    <row r="112" spans="1:7">
      <c r="A112" s="23" t="s">
        <v>463</v>
      </c>
      <c r="B112" s="28" t="s">
        <v>464</v>
      </c>
      <c r="C112" s="28"/>
      <c r="D112" s="28"/>
      <c r="E112" s="28"/>
      <c r="F112" s="28"/>
      <c r="G112" s="29">
        <f>G113+G114</f>
        <v>14.32</v>
      </c>
    </row>
    <row r="113" spans="1:7">
      <c r="A113" s="23"/>
      <c r="B113" s="31" t="s">
        <v>755</v>
      </c>
      <c r="C113" s="32"/>
      <c r="D113" s="33" t="s">
        <v>316</v>
      </c>
      <c r="E113" s="28">
        <v>0.41</v>
      </c>
      <c r="F113" s="28">
        <f>机械!E16</f>
        <v>23.75</v>
      </c>
      <c r="G113" s="29">
        <f>E113*F113</f>
        <v>9.74</v>
      </c>
    </row>
    <row r="114" spans="1:7">
      <c r="A114" s="23"/>
      <c r="B114" s="31" t="s">
        <v>472</v>
      </c>
      <c r="C114" s="32"/>
      <c r="D114" s="33" t="s">
        <v>316</v>
      </c>
      <c r="E114" s="28">
        <v>5.59</v>
      </c>
      <c r="F114" s="28">
        <f>机械!E29</f>
        <v>0.82</v>
      </c>
      <c r="G114" s="29">
        <f>E114*F114</f>
        <v>4.58</v>
      </c>
    </row>
    <row r="115" spans="1:7">
      <c r="A115" s="23">
        <v>2</v>
      </c>
      <c r="B115" s="28" t="s">
        <v>294</v>
      </c>
      <c r="C115" s="28"/>
      <c r="D115" s="28"/>
      <c r="E115" s="30">
        <f>费率!E4</f>
        <v>0.048</v>
      </c>
      <c r="F115" s="28">
        <f>G105</f>
        <v>1006.76</v>
      </c>
      <c r="G115" s="29">
        <f>E115*F115</f>
        <v>48.32</v>
      </c>
    </row>
    <row r="116" spans="1:7">
      <c r="A116" s="23" t="s">
        <v>14</v>
      </c>
      <c r="B116" s="28" t="s">
        <v>295</v>
      </c>
      <c r="C116" s="28"/>
      <c r="D116" s="28"/>
      <c r="E116" s="30">
        <f>费率!E5</f>
        <v>0.085</v>
      </c>
      <c r="F116" s="28">
        <f>G104</f>
        <v>1055.08</v>
      </c>
      <c r="G116" s="29">
        <f>E116*F116</f>
        <v>89.68</v>
      </c>
    </row>
    <row r="117" spans="1:7">
      <c r="A117" s="23" t="s">
        <v>16</v>
      </c>
      <c r="B117" s="28" t="s">
        <v>296</v>
      </c>
      <c r="C117" s="28"/>
      <c r="D117" s="28"/>
      <c r="E117" s="30">
        <f>费率!E6</f>
        <v>0.07</v>
      </c>
      <c r="F117" s="28">
        <f>SUM(F116:G116)</f>
        <v>1144.76</v>
      </c>
      <c r="G117" s="29">
        <f>E117*F117</f>
        <v>80.13</v>
      </c>
    </row>
    <row r="118" spans="1:7">
      <c r="A118" s="23"/>
      <c r="B118" s="28" t="s">
        <v>465</v>
      </c>
      <c r="C118" s="28"/>
      <c r="D118" s="28"/>
      <c r="E118" s="28"/>
      <c r="F118" s="28"/>
      <c r="G118" s="29">
        <f>SUM(F117:G117)</f>
        <v>1224.89</v>
      </c>
    </row>
    <row r="119" spans="1:7">
      <c r="A119" s="23" t="s">
        <v>18</v>
      </c>
      <c r="B119" s="28" t="s">
        <v>466</v>
      </c>
      <c r="C119" s="28"/>
      <c r="D119" s="28"/>
      <c r="E119" s="28"/>
      <c r="F119" s="28"/>
      <c r="G119" s="29">
        <f>SUM(G120:G121)</f>
        <v>177.36</v>
      </c>
    </row>
    <row r="120" spans="1:7">
      <c r="A120" s="23"/>
      <c r="B120" s="28" t="s">
        <v>405</v>
      </c>
      <c r="C120" s="28"/>
      <c r="D120" s="28" t="s">
        <v>395</v>
      </c>
      <c r="E120" s="28">
        <f>E110*混凝土单价!E11</f>
        <v>0.6</v>
      </c>
      <c r="F120" s="28">
        <f>主材!N6</f>
        <v>135.66</v>
      </c>
      <c r="G120" s="29">
        <f>E120*F120</f>
        <v>81.4</v>
      </c>
    </row>
    <row r="121" spans="1:7">
      <c r="A121" s="23"/>
      <c r="B121" s="28" t="s">
        <v>462</v>
      </c>
      <c r="C121" s="28"/>
      <c r="D121" s="28" t="s">
        <v>395</v>
      </c>
      <c r="E121" s="28">
        <f>E110*混凝土单价!G11</f>
        <v>2.53</v>
      </c>
      <c r="F121" s="28">
        <f>主材!N9</f>
        <v>37.93</v>
      </c>
      <c r="G121" s="29">
        <f>E121*F121</f>
        <v>95.96</v>
      </c>
    </row>
    <row r="122" spans="1:7">
      <c r="A122" s="23" t="s">
        <v>20</v>
      </c>
      <c r="B122" s="28" t="s">
        <v>297</v>
      </c>
      <c r="C122" s="28"/>
      <c r="D122" s="28"/>
      <c r="E122" s="30">
        <f>费率!E7</f>
        <v>0.09</v>
      </c>
      <c r="F122" s="28">
        <f>G118+G119</f>
        <v>1402.25</v>
      </c>
      <c r="G122" s="29">
        <f>F122*E122</f>
        <v>126.2</v>
      </c>
    </row>
    <row r="123" spans="1:7">
      <c r="A123" s="23" t="s">
        <v>23</v>
      </c>
      <c r="B123" s="28" t="s">
        <v>298</v>
      </c>
      <c r="C123" s="28"/>
      <c r="D123" s="28"/>
      <c r="E123" s="30">
        <f>0</f>
        <v>0</v>
      </c>
      <c r="F123" s="28">
        <f>G118+G119+G122</f>
        <v>1528.45</v>
      </c>
      <c r="G123" s="29">
        <f>E123*F123</f>
        <v>0</v>
      </c>
    </row>
    <row r="124" ht="15" spans="1:7">
      <c r="A124" s="34" t="s">
        <v>25</v>
      </c>
      <c r="B124" s="35" t="s">
        <v>121</v>
      </c>
      <c r="C124" s="35"/>
      <c r="D124" s="36"/>
      <c r="E124" s="36"/>
      <c r="F124" s="36"/>
      <c r="G124" s="37">
        <f>SUM(F123:G123)</f>
        <v>1528.45</v>
      </c>
    </row>
    <row r="126" ht="19.5" spans="1:7">
      <c r="A126" s="38" t="s">
        <v>274</v>
      </c>
      <c r="B126" s="38"/>
      <c r="C126" s="38"/>
      <c r="D126" s="38"/>
      <c r="E126" s="38"/>
      <c r="F126" s="38"/>
      <c r="G126" s="38"/>
    </row>
    <row r="127" spans="1:7">
      <c r="A127" s="13" t="s">
        <v>275</v>
      </c>
      <c r="B127" s="14"/>
      <c r="C127" s="14" t="s">
        <v>329</v>
      </c>
      <c r="D127" s="14" t="s">
        <v>276</v>
      </c>
      <c r="E127" s="39" t="s">
        <v>1094</v>
      </c>
      <c r="F127" s="39"/>
      <c r="G127" s="40"/>
    </row>
    <row r="128" spans="1:7">
      <c r="A128" s="18" t="s">
        <v>278</v>
      </c>
      <c r="B128" s="19"/>
      <c r="C128" s="20" t="s">
        <v>1095</v>
      </c>
      <c r="D128" s="20"/>
      <c r="E128" s="20"/>
      <c r="F128" s="21" t="s">
        <v>280</v>
      </c>
      <c r="G128" s="22" t="s">
        <v>1096</v>
      </c>
    </row>
    <row r="129" spans="1:7">
      <c r="A129" s="23" t="s">
        <v>456</v>
      </c>
      <c r="B129" s="28" t="s">
        <v>1097</v>
      </c>
      <c r="C129" s="28"/>
      <c r="D129" s="28"/>
      <c r="E129" s="28"/>
      <c r="F129" s="28"/>
      <c r="G129" s="29"/>
    </row>
    <row r="130" spans="1:7">
      <c r="A130" s="23" t="s">
        <v>284</v>
      </c>
      <c r="B130" s="28" t="s">
        <v>458</v>
      </c>
      <c r="C130" s="28"/>
      <c r="D130" s="28" t="s">
        <v>88</v>
      </c>
      <c r="E130" s="28" t="s">
        <v>130</v>
      </c>
      <c r="F130" s="28" t="s">
        <v>144</v>
      </c>
      <c r="G130" s="29" t="s">
        <v>234</v>
      </c>
    </row>
    <row r="131" spans="1:7">
      <c r="A131" s="23" t="s">
        <v>9</v>
      </c>
      <c r="B131" s="28" t="s">
        <v>459</v>
      </c>
      <c r="C131" s="28"/>
      <c r="D131" s="28"/>
      <c r="E131" s="28"/>
      <c r="F131" s="28"/>
      <c r="G131" s="29">
        <f>G132+G145</f>
        <v>349.67</v>
      </c>
    </row>
    <row r="132" spans="1:7">
      <c r="A132" s="23">
        <v>1</v>
      </c>
      <c r="B132" s="28" t="s">
        <v>287</v>
      </c>
      <c r="C132" s="28"/>
      <c r="D132" s="28"/>
      <c r="E132" s="28"/>
      <c r="F132" s="28"/>
      <c r="G132" s="29">
        <f>G133+G142+G136</f>
        <v>331.44</v>
      </c>
    </row>
    <row r="133" spans="1:7">
      <c r="A133" s="23" t="s">
        <v>460</v>
      </c>
      <c r="B133" s="28" t="s">
        <v>247</v>
      </c>
      <c r="C133" s="28"/>
      <c r="D133" s="28" t="s">
        <v>290</v>
      </c>
      <c r="E133" s="28">
        <f>SUM(E134:E135)</f>
        <v>26</v>
      </c>
      <c r="F133" s="28"/>
      <c r="G133" s="29">
        <f>SUM(G134:G135)</f>
        <v>191.26</v>
      </c>
    </row>
    <row r="134" spans="1:7">
      <c r="A134" s="23"/>
      <c r="B134" s="28" t="s">
        <v>289</v>
      </c>
      <c r="C134" s="28"/>
      <c r="D134" s="28" t="s">
        <v>290</v>
      </c>
      <c r="E134" s="28">
        <v>17.7</v>
      </c>
      <c r="F134" s="28">
        <f>人工!D4</f>
        <v>8.1</v>
      </c>
      <c r="G134" s="29">
        <f>E134*F134</f>
        <v>143.37</v>
      </c>
    </row>
    <row r="135" spans="1:7">
      <c r="A135" s="23"/>
      <c r="B135" s="28" t="s">
        <v>291</v>
      </c>
      <c r="C135" s="28"/>
      <c r="D135" s="28" t="s">
        <v>290</v>
      </c>
      <c r="E135" s="28">
        <v>8.3</v>
      </c>
      <c r="F135" s="28">
        <f>人工!D5</f>
        <v>5.77</v>
      </c>
      <c r="G135" s="29">
        <f>E135*F135</f>
        <v>47.89</v>
      </c>
    </row>
    <row r="136" spans="1:7">
      <c r="A136" s="23" t="s">
        <v>461</v>
      </c>
      <c r="B136" s="28" t="s">
        <v>248</v>
      </c>
      <c r="C136" s="28"/>
      <c r="D136" s="28"/>
      <c r="E136" s="28"/>
      <c r="F136" s="28"/>
      <c r="G136" s="29">
        <f>SUM(G137:G141)</f>
        <v>81.94</v>
      </c>
    </row>
    <row r="137" spans="1:7">
      <c r="A137" s="23"/>
      <c r="B137" s="28" t="s">
        <v>628</v>
      </c>
      <c r="C137" s="28"/>
      <c r="D137" s="28" t="s">
        <v>323</v>
      </c>
      <c r="E137" s="28">
        <v>7.5</v>
      </c>
      <c r="F137" s="28">
        <f>5577.47/1000</f>
        <v>5.58</v>
      </c>
      <c r="G137" s="29">
        <f>E137*F137</f>
        <v>41.85</v>
      </c>
    </row>
    <row r="138" spans="1:7">
      <c r="A138" s="23"/>
      <c r="B138" s="24" t="s">
        <v>1098</v>
      </c>
      <c r="C138" s="26"/>
      <c r="D138" s="28" t="s">
        <v>323</v>
      </c>
      <c r="E138" s="28">
        <v>2.25</v>
      </c>
      <c r="F138" s="28">
        <v>4</v>
      </c>
      <c r="G138" s="29">
        <f>E138*F138</f>
        <v>9</v>
      </c>
    </row>
    <row r="139" spans="1:10">
      <c r="A139" s="23"/>
      <c r="B139" s="24" t="s">
        <v>408</v>
      </c>
      <c r="C139" s="26"/>
      <c r="D139" s="28" t="s">
        <v>395</v>
      </c>
      <c r="E139" s="78">
        <v>0.014</v>
      </c>
      <c r="F139" s="28">
        <f>混凝土单价!M11</f>
        <v>144.61</v>
      </c>
      <c r="G139" s="29">
        <f>E139*F139</f>
        <v>2.02</v>
      </c>
      <c r="J139" s="92">
        <f>G134+G135+G137+G138+G139</f>
        <v>244.13</v>
      </c>
    </row>
    <row r="140" spans="1:7">
      <c r="A140" s="23"/>
      <c r="B140" s="24" t="s">
        <v>1099</v>
      </c>
      <c r="C140" s="26"/>
      <c r="D140" s="28" t="s">
        <v>161</v>
      </c>
      <c r="E140" s="28">
        <v>10.1</v>
      </c>
      <c r="F140" s="28">
        <v>282.56</v>
      </c>
      <c r="G140" s="29"/>
    </row>
    <row r="141" spans="1:7">
      <c r="A141" s="23"/>
      <c r="B141" s="28" t="s">
        <v>397</v>
      </c>
      <c r="C141" s="28"/>
      <c r="D141" s="28"/>
      <c r="E141" s="30">
        <v>0.01</v>
      </c>
      <c r="F141" s="28">
        <f>SUM(G137:G140)+E140*F140</f>
        <v>2906.73</v>
      </c>
      <c r="G141" s="29">
        <f>E141*F141</f>
        <v>29.07</v>
      </c>
    </row>
    <row r="142" spans="1:7">
      <c r="A142" s="23" t="s">
        <v>463</v>
      </c>
      <c r="B142" s="28" t="s">
        <v>464</v>
      </c>
      <c r="C142" s="28"/>
      <c r="D142" s="28"/>
      <c r="E142" s="28"/>
      <c r="F142" s="28"/>
      <c r="G142" s="29">
        <f>G143+G144</f>
        <v>58.24</v>
      </c>
    </row>
    <row r="143" spans="1:7">
      <c r="A143" s="23"/>
      <c r="B143" s="31" t="s">
        <v>799</v>
      </c>
      <c r="C143" s="32"/>
      <c r="D143" s="33" t="s">
        <v>316</v>
      </c>
      <c r="E143" s="28">
        <v>0.89</v>
      </c>
      <c r="F143" s="28">
        <f>机械!E33</f>
        <v>62.33</v>
      </c>
      <c r="G143" s="29">
        <f>E143*F143</f>
        <v>55.47</v>
      </c>
    </row>
    <row r="144" spans="1:7">
      <c r="A144" s="23"/>
      <c r="B144" s="31" t="s">
        <v>370</v>
      </c>
      <c r="C144" s="32"/>
      <c r="D144" s="33" t="s">
        <v>293</v>
      </c>
      <c r="E144" s="30">
        <v>0.05</v>
      </c>
      <c r="F144" s="28">
        <f>G143</f>
        <v>55.47</v>
      </c>
      <c r="G144" s="29">
        <f>E144*F144</f>
        <v>2.77</v>
      </c>
    </row>
    <row r="145" spans="1:7">
      <c r="A145" s="23">
        <v>2</v>
      </c>
      <c r="B145" s="28" t="s">
        <v>294</v>
      </c>
      <c r="C145" s="28"/>
      <c r="D145" s="28"/>
      <c r="E145" s="30">
        <f>费率!K4</f>
        <v>0.055</v>
      </c>
      <c r="F145" s="28">
        <f>G132</f>
        <v>331.44</v>
      </c>
      <c r="G145" s="29">
        <f>E145*F145</f>
        <v>18.23</v>
      </c>
    </row>
    <row r="146" spans="1:11">
      <c r="A146" s="23" t="s">
        <v>14</v>
      </c>
      <c r="B146" s="28" t="s">
        <v>295</v>
      </c>
      <c r="C146" s="28"/>
      <c r="D146" s="28"/>
      <c r="E146" s="30">
        <f>费率!K5</f>
        <v>0.7</v>
      </c>
      <c r="F146" s="28">
        <f>G133</f>
        <v>191.26</v>
      </c>
      <c r="G146" s="29">
        <f>E146*F146</f>
        <v>133.88</v>
      </c>
      <c r="K146">
        <f>282.56+51.366</f>
        <v>333.926</v>
      </c>
    </row>
    <row r="147" spans="1:7">
      <c r="A147" s="23" t="s">
        <v>16</v>
      </c>
      <c r="B147" s="28" t="s">
        <v>296</v>
      </c>
      <c r="C147" s="28"/>
      <c r="D147" s="28"/>
      <c r="E147" s="30">
        <f>费率!K6</f>
        <v>0.07</v>
      </c>
      <c r="F147" s="28">
        <f>G131+G146</f>
        <v>483.55</v>
      </c>
      <c r="G147" s="29">
        <f>E147*F147</f>
        <v>33.85</v>
      </c>
    </row>
    <row r="148" spans="1:7">
      <c r="A148" s="23"/>
      <c r="B148" s="28" t="s">
        <v>465</v>
      </c>
      <c r="C148" s="28"/>
      <c r="D148" s="28"/>
      <c r="E148" s="28"/>
      <c r="F148" s="28"/>
      <c r="G148" s="29">
        <f>SUM(F147:G147)</f>
        <v>517.4</v>
      </c>
    </row>
    <row r="149" spans="1:7">
      <c r="A149" s="23" t="s">
        <v>18</v>
      </c>
      <c r="B149" s="28" t="s">
        <v>466</v>
      </c>
      <c r="C149" s="28"/>
      <c r="D149" s="28"/>
      <c r="E149" s="28"/>
      <c r="F149" s="28"/>
      <c r="G149" s="29">
        <f>SUM(G150:G152)</f>
        <v>29.32</v>
      </c>
    </row>
    <row r="150" spans="1:7">
      <c r="A150" s="23"/>
      <c r="B150" s="28" t="s">
        <v>405</v>
      </c>
      <c r="C150" s="28"/>
      <c r="D150" s="28" t="s">
        <v>395</v>
      </c>
      <c r="E150" s="78">
        <f>E139*混凝土单价!E11</f>
        <v>0.004</v>
      </c>
      <c r="F150" s="28">
        <f>主材!N6</f>
        <v>135.66</v>
      </c>
      <c r="G150" s="29">
        <f>E150*F150</f>
        <v>0.54</v>
      </c>
    </row>
    <row r="151" spans="1:7">
      <c r="A151" s="23"/>
      <c r="B151" s="28" t="s">
        <v>462</v>
      </c>
      <c r="C151" s="28"/>
      <c r="D151" s="28" t="s">
        <v>395</v>
      </c>
      <c r="E151" s="28">
        <f>E139*混凝土单价!G11</f>
        <v>0.02</v>
      </c>
      <c r="F151" s="28">
        <f>主材!N9</f>
        <v>37.93</v>
      </c>
      <c r="G151" s="29">
        <f>E151*F151</f>
        <v>0.76</v>
      </c>
    </row>
    <row r="152" spans="1:7">
      <c r="A152" s="23"/>
      <c r="B152" s="24" t="s">
        <v>522</v>
      </c>
      <c r="C152" s="26"/>
      <c r="D152" s="28" t="s">
        <v>323</v>
      </c>
      <c r="E152" s="28">
        <f>E143*机械!K33</f>
        <v>5.16</v>
      </c>
      <c r="F152" s="28">
        <f>主材!N14</f>
        <v>5.43</v>
      </c>
      <c r="G152" s="29">
        <f>E152*F152</f>
        <v>28.02</v>
      </c>
    </row>
    <row r="153" spans="1:7">
      <c r="A153" s="23" t="s">
        <v>20</v>
      </c>
      <c r="B153" s="28" t="s">
        <v>297</v>
      </c>
      <c r="C153" s="28"/>
      <c r="D153" s="28"/>
      <c r="E153" s="30">
        <f>费率!K7</f>
        <v>0.09</v>
      </c>
      <c r="F153" s="28">
        <f>G148+G149</f>
        <v>546.72</v>
      </c>
      <c r="G153" s="29">
        <f>F153*E153</f>
        <v>49.2</v>
      </c>
    </row>
    <row r="154" spans="1:7">
      <c r="A154" s="23" t="s">
        <v>23</v>
      </c>
      <c r="B154" s="28" t="s">
        <v>298</v>
      </c>
      <c r="C154" s="28"/>
      <c r="D154" s="28"/>
      <c r="E154" s="30">
        <v>0</v>
      </c>
      <c r="F154" s="28">
        <f>G148+G149+G153</f>
        <v>595.92</v>
      </c>
      <c r="G154" s="29">
        <f>E154*F154</f>
        <v>0</v>
      </c>
    </row>
    <row r="155" ht="15" spans="1:7">
      <c r="A155" s="34" t="s">
        <v>25</v>
      </c>
      <c r="B155" s="35" t="s">
        <v>121</v>
      </c>
      <c r="C155" s="35"/>
      <c r="D155" s="36"/>
      <c r="E155" s="36"/>
      <c r="F155" s="36"/>
      <c r="G155" s="37">
        <f>SUM(F154:G154)</f>
        <v>595.92</v>
      </c>
    </row>
    <row r="157" ht="19.5" spans="1:7">
      <c r="A157" s="38" t="s">
        <v>274</v>
      </c>
      <c r="B157" s="38"/>
      <c r="C157" s="38"/>
      <c r="D157" s="38"/>
      <c r="E157" s="38"/>
      <c r="F157" s="38"/>
      <c r="G157" s="38"/>
    </row>
    <row r="158" spans="1:7">
      <c r="A158" s="13" t="s">
        <v>275</v>
      </c>
      <c r="B158" s="14"/>
      <c r="C158" s="14" t="s">
        <v>318</v>
      </c>
      <c r="D158" s="14" t="s">
        <v>276</v>
      </c>
      <c r="E158" s="39" t="s">
        <v>1100</v>
      </c>
      <c r="F158" s="39"/>
      <c r="G158" s="40"/>
    </row>
    <row r="159" spans="1:7">
      <c r="A159" s="18" t="s">
        <v>278</v>
      </c>
      <c r="B159" s="19"/>
      <c r="C159" s="20" t="s">
        <v>1101</v>
      </c>
      <c r="D159" s="20"/>
      <c r="E159" s="20"/>
      <c r="F159" s="21" t="s">
        <v>280</v>
      </c>
      <c r="G159" s="22" t="s">
        <v>1096</v>
      </c>
    </row>
    <row r="160" spans="1:7">
      <c r="A160" s="23" t="s">
        <v>456</v>
      </c>
      <c r="B160" s="28" t="s">
        <v>1097</v>
      </c>
      <c r="C160" s="28"/>
      <c r="D160" s="28"/>
      <c r="E160" s="28"/>
      <c r="F160" s="28"/>
      <c r="G160" s="29"/>
    </row>
    <row r="161" spans="1:7">
      <c r="A161" s="23" t="s">
        <v>284</v>
      </c>
      <c r="B161" s="28" t="s">
        <v>458</v>
      </c>
      <c r="C161" s="28"/>
      <c r="D161" s="28" t="s">
        <v>88</v>
      </c>
      <c r="E161" s="28" t="s">
        <v>130</v>
      </c>
      <c r="F161" s="28" t="s">
        <v>144</v>
      </c>
      <c r="G161" s="29" t="s">
        <v>234</v>
      </c>
    </row>
    <row r="162" spans="1:7">
      <c r="A162" s="23" t="s">
        <v>9</v>
      </c>
      <c r="B162" s="28" t="s">
        <v>459</v>
      </c>
      <c r="C162" s="28"/>
      <c r="D162" s="28"/>
      <c r="E162" s="28"/>
      <c r="F162" s="28"/>
      <c r="G162" s="29">
        <f>G163+G176</f>
        <v>716.07</v>
      </c>
    </row>
    <row r="163" spans="1:7">
      <c r="A163" s="23">
        <v>1</v>
      </c>
      <c r="B163" s="28" t="s">
        <v>287</v>
      </c>
      <c r="C163" s="28"/>
      <c r="D163" s="28"/>
      <c r="E163" s="28"/>
      <c r="F163" s="28"/>
      <c r="G163" s="29">
        <f>G164+G173+G167</f>
        <v>678.74</v>
      </c>
    </row>
    <row r="164" spans="1:7">
      <c r="A164" s="23" t="s">
        <v>460</v>
      </c>
      <c r="B164" s="28" t="s">
        <v>247</v>
      </c>
      <c r="C164" s="28"/>
      <c r="D164" s="28" t="s">
        <v>290</v>
      </c>
      <c r="E164" s="28">
        <f>SUM(E165:E166)</f>
        <v>55.9</v>
      </c>
      <c r="F164" s="28"/>
      <c r="G164" s="29">
        <f>SUM(G165:G166)</f>
        <v>411.08</v>
      </c>
    </row>
    <row r="165" spans="1:7">
      <c r="A165" s="23"/>
      <c r="B165" s="28" t="s">
        <v>289</v>
      </c>
      <c r="C165" s="28"/>
      <c r="D165" s="28" t="s">
        <v>290</v>
      </c>
      <c r="E165" s="28">
        <v>38</v>
      </c>
      <c r="F165" s="28">
        <f>人工!D4</f>
        <v>8.1</v>
      </c>
      <c r="G165" s="29">
        <f>E165*F165</f>
        <v>307.8</v>
      </c>
    </row>
    <row r="166" spans="1:7">
      <c r="A166" s="23"/>
      <c r="B166" s="28" t="s">
        <v>291</v>
      </c>
      <c r="C166" s="28"/>
      <c r="D166" s="28" t="s">
        <v>290</v>
      </c>
      <c r="E166" s="28">
        <v>17.9</v>
      </c>
      <c r="F166" s="28">
        <f>人工!D5</f>
        <v>5.77</v>
      </c>
      <c r="G166" s="29">
        <f>E166*F166</f>
        <v>103.28</v>
      </c>
    </row>
    <row r="167" spans="1:7">
      <c r="A167" s="23" t="s">
        <v>461</v>
      </c>
      <c r="B167" s="28" t="s">
        <v>248</v>
      </c>
      <c r="C167" s="28"/>
      <c r="D167" s="28"/>
      <c r="E167" s="28"/>
      <c r="F167" s="28"/>
      <c r="G167" s="29">
        <f>SUM(G168:G172)</f>
        <v>168.18</v>
      </c>
    </row>
    <row r="168" spans="1:7">
      <c r="A168" s="23"/>
      <c r="B168" s="28" t="s">
        <v>628</v>
      </c>
      <c r="C168" s="28"/>
      <c r="D168" s="28" t="s">
        <v>323</v>
      </c>
      <c r="E168" s="28">
        <v>12.5</v>
      </c>
      <c r="F168" s="28">
        <f>5577.47/1000</f>
        <v>5.58</v>
      </c>
      <c r="G168" s="29">
        <f>E168*F168</f>
        <v>69.75</v>
      </c>
    </row>
    <row r="169" spans="1:7">
      <c r="A169" s="23"/>
      <c r="B169" s="24" t="s">
        <v>1098</v>
      </c>
      <c r="C169" s="26"/>
      <c r="D169" s="28" t="s">
        <v>323</v>
      </c>
      <c r="E169" s="28">
        <v>3.7</v>
      </c>
      <c r="F169" s="28">
        <v>4</v>
      </c>
      <c r="G169" s="29">
        <f>E169*F169</f>
        <v>14.8</v>
      </c>
    </row>
    <row r="170" spans="1:10">
      <c r="A170" s="23"/>
      <c r="B170" s="24" t="s">
        <v>408</v>
      </c>
      <c r="C170" s="26"/>
      <c r="D170" s="28" t="s">
        <v>395</v>
      </c>
      <c r="E170" s="78">
        <v>0.032</v>
      </c>
      <c r="F170" s="28">
        <f>混凝土单价!M11</f>
        <v>144.61</v>
      </c>
      <c r="G170" s="29">
        <f>E170*F170</f>
        <v>4.63</v>
      </c>
      <c r="J170" s="92">
        <f>G165+G166+G168+G169+G170</f>
        <v>500.26</v>
      </c>
    </row>
    <row r="171" spans="1:7">
      <c r="A171" s="23"/>
      <c r="B171" s="24" t="s">
        <v>1099</v>
      </c>
      <c r="C171" s="26"/>
      <c r="D171" s="28" t="s">
        <v>161</v>
      </c>
      <c r="E171" s="28">
        <v>10.1</v>
      </c>
      <c r="F171" s="28">
        <v>773.34</v>
      </c>
      <c r="G171" s="29"/>
    </row>
    <row r="172" spans="1:7">
      <c r="A172" s="23"/>
      <c r="B172" s="28" t="s">
        <v>397</v>
      </c>
      <c r="C172" s="28"/>
      <c r="D172" s="28"/>
      <c r="E172" s="30">
        <v>0.01</v>
      </c>
      <c r="F172" s="28">
        <f>SUM(G168:G171)+E171*F171</f>
        <v>7899.91</v>
      </c>
      <c r="G172" s="29">
        <f>E172*F172</f>
        <v>79</v>
      </c>
    </row>
    <row r="173" spans="1:7">
      <c r="A173" s="23" t="s">
        <v>463</v>
      </c>
      <c r="B173" s="28" t="s">
        <v>464</v>
      </c>
      <c r="C173" s="28"/>
      <c r="D173" s="28"/>
      <c r="E173" s="28"/>
      <c r="F173" s="28"/>
      <c r="G173" s="29">
        <f>G174+G175</f>
        <v>99.48</v>
      </c>
    </row>
    <row r="174" spans="1:7">
      <c r="A174" s="23"/>
      <c r="B174" s="31" t="s">
        <v>799</v>
      </c>
      <c r="C174" s="32"/>
      <c r="D174" s="33" t="s">
        <v>316</v>
      </c>
      <c r="E174" s="28">
        <v>1.52</v>
      </c>
      <c r="F174" s="28">
        <f>机械!E33</f>
        <v>62.33</v>
      </c>
      <c r="G174" s="29">
        <f>E174*F174</f>
        <v>94.74</v>
      </c>
    </row>
    <row r="175" spans="1:7">
      <c r="A175" s="23"/>
      <c r="B175" s="31" t="s">
        <v>370</v>
      </c>
      <c r="C175" s="32"/>
      <c r="D175" s="33" t="s">
        <v>293</v>
      </c>
      <c r="E175" s="30">
        <v>0.05</v>
      </c>
      <c r="F175" s="28">
        <f>G174</f>
        <v>94.74</v>
      </c>
      <c r="G175" s="29">
        <f>E175*F175</f>
        <v>4.74</v>
      </c>
    </row>
    <row r="176" spans="1:7">
      <c r="A176" s="23">
        <v>2</v>
      </c>
      <c r="B176" s="28" t="s">
        <v>294</v>
      </c>
      <c r="C176" s="28"/>
      <c r="D176" s="28"/>
      <c r="E176" s="30">
        <f>费率!K4</f>
        <v>0.055</v>
      </c>
      <c r="F176" s="28">
        <f>G163</f>
        <v>678.74</v>
      </c>
      <c r="G176" s="29">
        <f>E176*F176</f>
        <v>37.33</v>
      </c>
    </row>
    <row r="177" spans="1:11">
      <c r="A177" s="23" t="s">
        <v>14</v>
      </c>
      <c r="B177" s="28" t="s">
        <v>295</v>
      </c>
      <c r="C177" s="28"/>
      <c r="D177" s="28"/>
      <c r="E177" s="30">
        <f>费率!K5</f>
        <v>0.7</v>
      </c>
      <c r="F177" s="28">
        <f>G164</f>
        <v>411.08</v>
      </c>
      <c r="G177" s="29">
        <f>E177*F177</f>
        <v>287.76</v>
      </c>
      <c r="K177">
        <f>282.56+51.366</f>
        <v>333.926</v>
      </c>
    </row>
    <row r="178" spans="1:9">
      <c r="A178" s="23" t="s">
        <v>16</v>
      </c>
      <c r="B178" s="28" t="s">
        <v>296</v>
      </c>
      <c r="C178" s="28"/>
      <c r="D178" s="28"/>
      <c r="E178" s="30">
        <f>费率!K6</f>
        <v>0.07</v>
      </c>
      <c r="F178" s="28">
        <f>G162+G177</f>
        <v>1003.83</v>
      </c>
      <c r="G178" s="29">
        <f>E178*F178</f>
        <v>70.27</v>
      </c>
      <c r="I178" s="92">
        <f>G178+G177+G162</f>
        <v>1074.1</v>
      </c>
    </row>
    <row r="179" spans="1:7">
      <c r="A179" s="23"/>
      <c r="B179" s="28" t="s">
        <v>465</v>
      </c>
      <c r="C179" s="28"/>
      <c r="D179" s="28"/>
      <c r="E179" s="28"/>
      <c r="F179" s="28"/>
      <c r="G179" s="29">
        <f>SUM(F178:G178)</f>
        <v>1074.1</v>
      </c>
    </row>
    <row r="180" spans="1:7">
      <c r="A180" s="23" t="s">
        <v>18</v>
      </c>
      <c r="B180" s="28" t="s">
        <v>466</v>
      </c>
      <c r="C180" s="28"/>
      <c r="D180" s="28"/>
      <c r="E180" s="28"/>
      <c r="F180" s="28"/>
      <c r="G180" s="29">
        <f>SUM(G181:G182)</f>
        <v>2.61</v>
      </c>
    </row>
    <row r="181" spans="1:7">
      <c r="A181" s="23"/>
      <c r="B181" s="28" t="s">
        <v>405</v>
      </c>
      <c r="C181" s="28"/>
      <c r="D181" s="28" t="s">
        <v>395</v>
      </c>
      <c r="E181" s="78">
        <f>E170*混凝土单价!E11</f>
        <v>0.008</v>
      </c>
      <c r="F181" s="28">
        <f>主材!N6</f>
        <v>135.66</v>
      </c>
      <c r="G181" s="29">
        <f>E181*F181</f>
        <v>1.09</v>
      </c>
    </row>
    <row r="182" spans="1:7">
      <c r="A182" s="23"/>
      <c r="B182" s="28" t="s">
        <v>462</v>
      </c>
      <c r="C182" s="28"/>
      <c r="D182" s="28" t="s">
        <v>395</v>
      </c>
      <c r="E182" s="28">
        <f>E170*混凝土单价!G11</f>
        <v>0.04</v>
      </c>
      <c r="F182" s="28">
        <f>主材!N9</f>
        <v>37.93</v>
      </c>
      <c r="G182" s="29">
        <f>E182*F182</f>
        <v>1.52</v>
      </c>
    </row>
    <row r="183" spans="1:7">
      <c r="A183" s="23" t="s">
        <v>20</v>
      </c>
      <c r="B183" s="28" t="s">
        <v>297</v>
      </c>
      <c r="C183" s="28"/>
      <c r="D183" s="28"/>
      <c r="E183" s="30">
        <f>费率!K7</f>
        <v>0.09</v>
      </c>
      <c r="F183" s="28">
        <f>G179+G180</f>
        <v>1076.71</v>
      </c>
      <c r="G183" s="29">
        <f>F183*E183</f>
        <v>96.9</v>
      </c>
    </row>
    <row r="184" spans="1:7">
      <c r="A184" s="23" t="s">
        <v>23</v>
      </c>
      <c r="B184" s="28" t="s">
        <v>298</v>
      </c>
      <c r="C184" s="28"/>
      <c r="D184" s="28"/>
      <c r="E184" s="30">
        <f>0</f>
        <v>0</v>
      </c>
      <c r="F184" s="28">
        <f>G179+G180+G183</f>
        <v>1173.61</v>
      </c>
      <c r="G184" s="29">
        <f>E184*F184</f>
        <v>0</v>
      </c>
    </row>
    <row r="185" ht="15" spans="1:7">
      <c r="A185" s="34" t="s">
        <v>25</v>
      </c>
      <c r="B185" s="35" t="s">
        <v>121</v>
      </c>
      <c r="C185" s="35"/>
      <c r="D185" s="36"/>
      <c r="E185" s="36"/>
      <c r="F185" s="36"/>
      <c r="G185" s="37">
        <f>SUM(F184:G184)</f>
        <v>1173.61</v>
      </c>
    </row>
    <row r="187" s="11" customFormat="1" ht="27.6" customHeight="1" spans="1:7">
      <c r="A187" s="79" t="s">
        <v>274</v>
      </c>
      <c r="B187" s="79"/>
      <c r="C187" s="79"/>
      <c r="D187" s="79"/>
      <c r="E187" s="79"/>
      <c r="F187" s="79"/>
      <c r="G187" s="79"/>
    </row>
    <row r="188" s="11" customFormat="1" ht="24" customHeight="1" spans="1:7">
      <c r="A188" s="80" t="s">
        <v>275</v>
      </c>
      <c r="B188" s="81"/>
      <c r="C188" s="82"/>
      <c r="D188" s="81" t="s">
        <v>276</v>
      </c>
      <c r="E188" s="83" t="s">
        <v>262</v>
      </c>
      <c r="F188" s="83"/>
      <c r="G188" s="84"/>
    </row>
    <row r="189" s="11" customFormat="1" ht="24" customHeight="1" spans="1:7">
      <c r="A189" s="85" t="s">
        <v>278</v>
      </c>
      <c r="B189" s="86"/>
      <c r="C189" s="87" t="s">
        <v>726</v>
      </c>
      <c r="D189" s="87"/>
      <c r="E189" s="87"/>
      <c r="F189" s="86" t="s">
        <v>280</v>
      </c>
      <c r="G189" s="88" t="s">
        <v>727</v>
      </c>
    </row>
    <row r="190" s="11" customFormat="1" ht="24" customHeight="1" spans="1:7">
      <c r="A190" s="85" t="s">
        <v>456</v>
      </c>
      <c r="B190" s="87" t="s">
        <v>1102</v>
      </c>
      <c r="C190" s="87"/>
      <c r="D190" s="87"/>
      <c r="E190" s="87"/>
      <c r="F190" s="87"/>
      <c r="G190" s="89"/>
    </row>
    <row r="191" s="11" customFormat="1" ht="24" customHeight="1" spans="1:7">
      <c r="A191" s="85" t="s">
        <v>284</v>
      </c>
      <c r="B191" s="90" t="s">
        <v>458</v>
      </c>
      <c r="C191" s="91"/>
      <c r="D191" s="86" t="s">
        <v>88</v>
      </c>
      <c r="E191" s="86" t="s">
        <v>130</v>
      </c>
      <c r="F191" s="86" t="s">
        <v>144</v>
      </c>
      <c r="G191" s="88" t="s">
        <v>234</v>
      </c>
    </row>
    <row r="192" s="11" customFormat="1" ht="24" customHeight="1" spans="1:7">
      <c r="A192" s="85" t="s">
        <v>9</v>
      </c>
      <c r="B192" s="90" t="s">
        <v>459</v>
      </c>
      <c r="C192" s="91"/>
      <c r="D192" s="86"/>
      <c r="E192" s="86"/>
      <c r="F192" s="86"/>
      <c r="G192" s="88">
        <f>G193+G202</f>
        <v>2985.71</v>
      </c>
    </row>
    <row r="193" s="11" customFormat="1" ht="24" customHeight="1" spans="1:7">
      <c r="A193" s="85">
        <v>1</v>
      </c>
      <c r="B193" s="90" t="s">
        <v>287</v>
      </c>
      <c r="C193" s="91"/>
      <c r="D193" s="86"/>
      <c r="E193" s="86"/>
      <c r="F193" s="86"/>
      <c r="G193" s="88">
        <f>G194+G197+G198</f>
        <v>2848.96</v>
      </c>
    </row>
    <row r="194" s="11" customFormat="1" ht="24" customHeight="1" spans="1:7">
      <c r="A194" s="85" t="s">
        <v>460</v>
      </c>
      <c r="B194" s="90" t="s">
        <v>247</v>
      </c>
      <c r="C194" s="91"/>
      <c r="D194" s="86" t="s">
        <v>290</v>
      </c>
      <c r="E194" s="86">
        <f>SUM(E195:E196)</f>
        <v>307.5</v>
      </c>
      <c r="F194" s="86"/>
      <c r="G194" s="88">
        <f>SUM(G195:G196)</f>
        <v>1774.28</v>
      </c>
    </row>
    <row r="195" s="11" customFormat="1" ht="24" customHeight="1" spans="1:7">
      <c r="A195" s="85"/>
      <c r="B195" s="90" t="s">
        <v>289</v>
      </c>
      <c r="C195" s="91"/>
      <c r="D195" s="86" t="s">
        <v>290</v>
      </c>
      <c r="E195" s="86"/>
      <c r="F195" s="86">
        <v>8.1</v>
      </c>
      <c r="G195" s="88">
        <f>E195*F195</f>
        <v>0</v>
      </c>
    </row>
    <row r="196" s="11" customFormat="1" ht="24" customHeight="1" spans="1:7">
      <c r="A196" s="85"/>
      <c r="B196" s="90" t="s">
        <v>291</v>
      </c>
      <c r="C196" s="91"/>
      <c r="D196" s="86" t="s">
        <v>290</v>
      </c>
      <c r="E196" s="86">
        <v>307.5</v>
      </c>
      <c r="F196" s="86">
        <v>5.77</v>
      </c>
      <c r="G196" s="88">
        <f>E196*F196</f>
        <v>1774.28</v>
      </c>
    </row>
    <row r="197" s="11" customFormat="1" ht="24" customHeight="1" spans="1:7">
      <c r="A197" s="85" t="s">
        <v>461</v>
      </c>
      <c r="B197" s="90" t="s">
        <v>248</v>
      </c>
      <c r="C197" s="91"/>
      <c r="D197" s="86"/>
      <c r="E197" s="86"/>
      <c r="F197" s="86"/>
      <c r="G197" s="88">
        <v>0</v>
      </c>
    </row>
    <row r="198" s="11" customFormat="1" ht="24" customHeight="1" spans="1:7">
      <c r="A198" s="85" t="s">
        <v>729</v>
      </c>
      <c r="B198" s="90" t="s">
        <v>464</v>
      </c>
      <c r="C198" s="91"/>
      <c r="D198" s="86"/>
      <c r="E198" s="86"/>
      <c r="F198" s="86"/>
      <c r="G198" s="88">
        <f>SUM(G199:G201)</f>
        <v>1074.68</v>
      </c>
    </row>
    <row r="199" s="11" customFormat="1" ht="24" customHeight="1" spans="1:7">
      <c r="A199" s="85"/>
      <c r="B199" s="90" t="s">
        <v>730</v>
      </c>
      <c r="C199" s="91"/>
      <c r="D199" s="86" t="s">
        <v>316</v>
      </c>
      <c r="E199" s="86">
        <v>3.48</v>
      </c>
      <c r="F199" s="86">
        <f>机械!E4</f>
        <v>122.94</v>
      </c>
      <c r="G199" s="88">
        <f>E199*F199</f>
        <v>427.83</v>
      </c>
    </row>
    <row r="200" s="11" customFormat="1" ht="24" customHeight="1" spans="1:7">
      <c r="A200" s="85"/>
      <c r="B200" s="90" t="s">
        <v>328</v>
      </c>
      <c r="C200" s="91"/>
      <c r="D200" s="86" t="s">
        <v>316</v>
      </c>
      <c r="E200" s="86">
        <v>6.66</v>
      </c>
      <c r="F200" s="86">
        <f>机械!E9</f>
        <v>89.44</v>
      </c>
      <c r="G200" s="88">
        <f>E200*F200</f>
        <v>595.67</v>
      </c>
    </row>
    <row r="201" s="11" customFormat="1" ht="24" customHeight="1" spans="1:7">
      <c r="A201" s="85"/>
      <c r="B201" s="90" t="s">
        <v>370</v>
      </c>
      <c r="C201" s="91"/>
      <c r="D201" s="86" t="s">
        <v>293</v>
      </c>
      <c r="E201" s="93">
        <v>0.05</v>
      </c>
      <c r="F201" s="86">
        <f>G199+G200</f>
        <v>1023.5</v>
      </c>
      <c r="G201" s="88">
        <f>E201*F201</f>
        <v>51.18</v>
      </c>
    </row>
    <row r="202" s="11" customFormat="1" ht="24" customHeight="1" spans="1:7">
      <c r="A202" s="85">
        <v>2</v>
      </c>
      <c r="B202" s="90" t="s">
        <v>294</v>
      </c>
      <c r="C202" s="91"/>
      <c r="D202" s="86"/>
      <c r="E202" s="94">
        <f>费率!J4</f>
        <v>0.048</v>
      </c>
      <c r="F202" s="86">
        <f>G193</f>
        <v>2848.96</v>
      </c>
      <c r="G202" s="88">
        <f>E202*F202</f>
        <v>136.75</v>
      </c>
    </row>
    <row r="203" s="11" customFormat="1" ht="24" customHeight="1" spans="1:7">
      <c r="A203" s="85" t="s">
        <v>14</v>
      </c>
      <c r="B203" s="90" t="s">
        <v>295</v>
      </c>
      <c r="C203" s="91"/>
      <c r="D203" s="86"/>
      <c r="E203" s="95">
        <f>费率!J5</f>
        <v>0.0725</v>
      </c>
      <c r="F203" s="86">
        <f>G192</f>
        <v>2985.71</v>
      </c>
      <c r="G203" s="88">
        <f>F203*E203</f>
        <v>216.46</v>
      </c>
    </row>
    <row r="204" s="11" customFormat="1" ht="24" customHeight="1" spans="1:7">
      <c r="A204" s="85" t="s">
        <v>16</v>
      </c>
      <c r="B204" s="90" t="s">
        <v>732</v>
      </c>
      <c r="C204" s="91"/>
      <c r="D204" s="86"/>
      <c r="E204" s="94">
        <f>费率!J6</f>
        <v>0.07</v>
      </c>
      <c r="F204" s="86">
        <f>SUM(F203:G203)</f>
        <v>3202.17</v>
      </c>
      <c r="G204" s="88">
        <f>F204*E204</f>
        <v>224.15</v>
      </c>
    </row>
    <row r="205" s="11" customFormat="1" ht="24" customHeight="1" spans="1:7">
      <c r="A205" s="85"/>
      <c r="B205" s="90" t="s">
        <v>465</v>
      </c>
      <c r="C205" s="91"/>
      <c r="D205" s="86"/>
      <c r="E205" s="93"/>
      <c r="F205" s="86"/>
      <c r="G205" s="88">
        <f>SUM(F204:G204)</f>
        <v>3426.32</v>
      </c>
    </row>
    <row r="206" s="11" customFormat="1" ht="24" customHeight="1" spans="1:7">
      <c r="A206" s="85" t="s">
        <v>18</v>
      </c>
      <c r="B206" s="90" t="s">
        <v>466</v>
      </c>
      <c r="C206" s="91"/>
      <c r="D206" s="86"/>
      <c r="E206" s="86"/>
      <c r="F206" s="86"/>
      <c r="G206" s="88">
        <f>SUM(G207:G207)</f>
        <v>486.47</v>
      </c>
    </row>
    <row r="207" s="11" customFormat="1" ht="24" customHeight="1" spans="1:7">
      <c r="A207" s="85"/>
      <c r="B207" s="90" t="s">
        <v>317</v>
      </c>
      <c r="C207" s="91"/>
      <c r="D207" s="86" t="s">
        <v>733</v>
      </c>
      <c r="E207" s="86">
        <f>E199*机械!L4+E200*机械!L6</f>
        <v>117.79</v>
      </c>
      <c r="F207" s="86">
        <f>主材!N13</f>
        <v>4.13</v>
      </c>
      <c r="G207" s="88">
        <f>E207*F207</f>
        <v>486.47</v>
      </c>
    </row>
    <row r="208" s="11" customFormat="1" ht="24" customHeight="1" spans="1:7">
      <c r="A208" s="85" t="s">
        <v>20</v>
      </c>
      <c r="B208" s="90" t="s">
        <v>297</v>
      </c>
      <c r="C208" s="91"/>
      <c r="D208" s="86"/>
      <c r="E208" s="93">
        <f>费率!J7</f>
        <v>0.09</v>
      </c>
      <c r="F208" s="86">
        <f>G205+G206</f>
        <v>3912.79</v>
      </c>
      <c r="G208" s="88">
        <f>F208*E208</f>
        <v>352.15</v>
      </c>
    </row>
    <row r="209" s="11" customFormat="1" ht="24" customHeight="1" spans="1:7">
      <c r="A209" s="96" t="s">
        <v>23</v>
      </c>
      <c r="B209" s="97" t="s">
        <v>121</v>
      </c>
      <c r="C209" s="98"/>
      <c r="D209" s="99"/>
      <c r="E209" s="99"/>
      <c r="F209" s="99"/>
      <c r="G209" s="100">
        <f>SUM(F208:G208)</f>
        <v>4264.94</v>
      </c>
    </row>
  </sheetData>
  <mergeCells count="214">
    <mergeCell ref="A1:G1"/>
    <mergeCell ref="A2:B2"/>
    <mergeCell ref="E2:G2"/>
    <mergeCell ref="A3:B3"/>
    <mergeCell ref="C3:E3"/>
    <mergeCell ref="B4:F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29:G29"/>
    <mergeCell ref="A30:B30"/>
    <mergeCell ref="E30:G30"/>
    <mergeCell ref="A31:B31"/>
    <mergeCell ref="C31:E31"/>
    <mergeCell ref="B32:G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5:G55"/>
    <mergeCell ref="A56:B56"/>
    <mergeCell ref="E56:G56"/>
    <mergeCell ref="A57:B57"/>
    <mergeCell ref="C57:E57"/>
    <mergeCell ref="A58:G58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A99:G99"/>
    <mergeCell ref="A100:B100"/>
    <mergeCell ref="E100:G100"/>
    <mergeCell ref="A101:B101"/>
    <mergeCell ref="C101:E101"/>
    <mergeCell ref="B102:G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A126:G126"/>
    <mergeCell ref="A127:B127"/>
    <mergeCell ref="E127:G127"/>
    <mergeCell ref="A128:B128"/>
    <mergeCell ref="C128:E128"/>
    <mergeCell ref="B129:G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A157:G157"/>
    <mergeCell ref="A158:B158"/>
    <mergeCell ref="E158:G158"/>
    <mergeCell ref="A159:B159"/>
    <mergeCell ref="C159:E159"/>
    <mergeCell ref="B160:G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A187:G187"/>
    <mergeCell ref="A188:B188"/>
    <mergeCell ref="E188:G188"/>
    <mergeCell ref="A189:B189"/>
    <mergeCell ref="C189:E189"/>
    <mergeCell ref="B190:G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300" verticalDpi="300"/>
  <headerFooter/>
  <rowBreaks count="3" manualBreakCount="3">
    <brk id="54" max="16383" man="1"/>
    <brk id="98" max="6" man="1"/>
    <brk id="186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" defaultRowHeight="12.75" outlineLevelCol="2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1">
      <c r="A1" s="2" t="s">
        <v>1103</v>
      </c>
    </row>
    <row r="2" ht="13.5" spans="1:1">
      <c r="A2" s="2" t="s">
        <v>1104</v>
      </c>
    </row>
    <row r="3" ht="13.5" spans="1:3">
      <c r="A3" s="3" t="s">
        <v>1105</v>
      </c>
      <c r="C3" s="4" t="s">
        <v>1106</v>
      </c>
    </row>
    <row r="4" spans="1:1">
      <c r="A4" s="3">
        <v>3</v>
      </c>
    </row>
    <row r="6" ht="13.5"/>
    <row r="7" spans="1:1">
      <c r="A7" s="5" t="s">
        <v>1107</v>
      </c>
    </row>
    <row r="8" spans="1:1">
      <c r="A8" s="6" t="s">
        <v>1108</v>
      </c>
    </row>
    <row r="9" spans="1:1">
      <c r="A9" s="7" t="s">
        <v>1109</v>
      </c>
    </row>
    <row r="10" spans="1:1">
      <c r="A10" s="6" t="s">
        <v>1110</v>
      </c>
    </row>
    <row r="11" ht="13.5" spans="1:1">
      <c r="A11" s="8" t="s">
        <v>1111</v>
      </c>
    </row>
    <row r="13" ht="13.5"/>
    <row r="14" ht="13.5" spans="1:1">
      <c r="A14" s="4" t="s">
        <v>1112</v>
      </c>
    </row>
    <row r="16" ht="13.5"/>
    <row r="17" ht="13.5" spans="3:3">
      <c r="C17" s="4" t="s">
        <v>1113</v>
      </c>
    </row>
    <row r="20" spans="1:1">
      <c r="A20" s="9" t="s">
        <v>1114</v>
      </c>
    </row>
    <row r="26" ht="13.5" spans="3:3">
      <c r="C26" s="10" t="s">
        <v>1115</v>
      </c>
    </row>
  </sheetData>
  <sheetProtection password="8863" sheet="1" objects="1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view="pageBreakPreview" zoomScale="85" zoomScaleNormal="100" workbookViewId="0">
      <selection activeCell="J16" sqref="J16"/>
    </sheetView>
  </sheetViews>
  <sheetFormatPr defaultColWidth="9" defaultRowHeight="14.25" outlineLevelCol="6"/>
  <cols>
    <col min="1" max="1" width="6.5" style="154" customWidth="1"/>
    <col min="2" max="2" width="24.125" style="154" customWidth="1"/>
    <col min="3" max="3" width="8.125" style="154" customWidth="1"/>
    <col min="4" max="4" width="11.375" style="877" customWidth="1"/>
    <col min="5" max="5" width="10.625" style="154" customWidth="1"/>
    <col min="6" max="6" width="9" style="154"/>
    <col min="7" max="7" width="11.125" style="878" customWidth="1"/>
    <col min="8" max="9" width="9" style="154"/>
    <col min="10" max="10" width="11.625" style="154" customWidth="1"/>
    <col min="11" max="256" width="9" style="154"/>
    <col min="257" max="257" width="6.5" style="154" customWidth="1"/>
    <col min="258" max="258" width="24.125" style="154" customWidth="1"/>
    <col min="259" max="259" width="9" style="154"/>
    <col min="260" max="260" width="11.375" style="154" customWidth="1"/>
    <col min="261" max="261" width="10.625" style="154" customWidth="1"/>
    <col min="262" max="262" width="9" style="154"/>
    <col min="263" max="263" width="11.125" style="154" customWidth="1"/>
    <col min="264" max="265" width="9" style="154"/>
    <col min="266" max="266" width="11.625" style="154" customWidth="1"/>
    <col min="267" max="512" width="9" style="154"/>
    <col min="513" max="513" width="6.5" style="154" customWidth="1"/>
    <col min="514" max="514" width="24.125" style="154" customWidth="1"/>
    <col min="515" max="515" width="9" style="154"/>
    <col min="516" max="516" width="11.375" style="154" customWidth="1"/>
    <col min="517" max="517" width="10.625" style="154" customWidth="1"/>
    <col min="518" max="518" width="9" style="154"/>
    <col min="519" max="519" width="11.125" style="154" customWidth="1"/>
    <col min="520" max="521" width="9" style="154"/>
    <col min="522" max="522" width="11.625" style="154" customWidth="1"/>
    <col min="523" max="768" width="9" style="154"/>
    <col min="769" max="769" width="6.5" style="154" customWidth="1"/>
    <col min="770" max="770" width="24.125" style="154" customWidth="1"/>
    <col min="771" max="771" width="9" style="154"/>
    <col min="772" max="772" width="11.375" style="154" customWidth="1"/>
    <col min="773" max="773" width="10.625" style="154" customWidth="1"/>
    <col min="774" max="774" width="9" style="154"/>
    <col min="775" max="775" width="11.125" style="154" customWidth="1"/>
    <col min="776" max="777" width="9" style="154"/>
    <col min="778" max="778" width="11.625" style="154" customWidth="1"/>
    <col min="779" max="1024" width="9" style="154"/>
    <col min="1025" max="1025" width="6.5" style="154" customWidth="1"/>
    <col min="1026" max="1026" width="24.125" style="154" customWidth="1"/>
    <col min="1027" max="1027" width="9" style="154"/>
    <col min="1028" max="1028" width="11.375" style="154" customWidth="1"/>
    <col min="1029" max="1029" width="10.625" style="154" customWidth="1"/>
    <col min="1030" max="1030" width="9" style="154"/>
    <col min="1031" max="1031" width="11.125" style="154" customWidth="1"/>
    <col min="1032" max="1033" width="9" style="154"/>
    <col min="1034" max="1034" width="11.625" style="154" customWidth="1"/>
    <col min="1035" max="1280" width="9" style="154"/>
    <col min="1281" max="1281" width="6.5" style="154" customWidth="1"/>
    <col min="1282" max="1282" width="24.125" style="154" customWidth="1"/>
    <col min="1283" max="1283" width="9" style="154"/>
    <col min="1284" max="1284" width="11.375" style="154" customWidth="1"/>
    <col min="1285" max="1285" width="10.625" style="154" customWidth="1"/>
    <col min="1286" max="1286" width="9" style="154"/>
    <col min="1287" max="1287" width="11.125" style="154" customWidth="1"/>
    <col min="1288" max="1289" width="9" style="154"/>
    <col min="1290" max="1290" width="11.625" style="154" customWidth="1"/>
    <col min="1291" max="1536" width="9" style="154"/>
    <col min="1537" max="1537" width="6.5" style="154" customWidth="1"/>
    <col min="1538" max="1538" width="24.125" style="154" customWidth="1"/>
    <col min="1539" max="1539" width="9" style="154"/>
    <col min="1540" max="1540" width="11.375" style="154" customWidth="1"/>
    <col min="1541" max="1541" width="10.625" style="154" customWidth="1"/>
    <col min="1542" max="1542" width="9" style="154"/>
    <col min="1543" max="1543" width="11.125" style="154" customWidth="1"/>
    <col min="1544" max="1545" width="9" style="154"/>
    <col min="1546" max="1546" width="11.625" style="154" customWidth="1"/>
    <col min="1547" max="1792" width="9" style="154"/>
    <col min="1793" max="1793" width="6.5" style="154" customWidth="1"/>
    <col min="1794" max="1794" width="24.125" style="154" customWidth="1"/>
    <col min="1795" max="1795" width="9" style="154"/>
    <col min="1796" max="1796" width="11.375" style="154" customWidth="1"/>
    <col min="1797" max="1797" width="10.625" style="154" customWidth="1"/>
    <col min="1798" max="1798" width="9" style="154"/>
    <col min="1799" max="1799" width="11.125" style="154" customWidth="1"/>
    <col min="1800" max="1801" width="9" style="154"/>
    <col min="1802" max="1802" width="11.625" style="154" customWidth="1"/>
    <col min="1803" max="2048" width="9" style="154"/>
    <col min="2049" max="2049" width="6.5" style="154" customWidth="1"/>
    <col min="2050" max="2050" width="24.125" style="154" customWidth="1"/>
    <col min="2051" max="2051" width="9" style="154"/>
    <col min="2052" max="2052" width="11.375" style="154" customWidth="1"/>
    <col min="2053" max="2053" width="10.625" style="154" customWidth="1"/>
    <col min="2054" max="2054" width="9" style="154"/>
    <col min="2055" max="2055" width="11.125" style="154" customWidth="1"/>
    <col min="2056" max="2057" width="9" style="154"/>
    <col min="2058" max="2058" width="11.625" style="154" customWidth="1"/>
    <col min="2059" max="2304" width="9" style="154"/>
    <col min="2305" max="2305" width="6.5" style="154" customWidth="1"/>
    <col min="2306" max="2306" width="24.125" style="154" customWidth="1"/>
    <col min="2307" max="2307" width="9" style="154"/>
    <col min="2308" max="2308" width="11.375" style="154" customWidth="1"/>
    <col min="2309" max="2309" width="10.625" style="154" customWidth="1"/>
    <col min="2310" max="2310" width="9" style="154"/>
    <col min="2311" max="2311" width="11.125" style="154" customWidth="1"/>
    <col min="2312" max="2313" width="9" style="154"/>
    <col min="2314" max="2314" width="11.625" style="154" customWidth="1"/>
    <col min="2315" max="2560" width="9" style="154"/>
    <col min="2561" max="2561" width="6.5" style="154" customWidth="1"/>
    <col min="2562" max="2562" width="24.125" style="154" customWidth="1"/>
    <col min="2563" max="2563" width="9" style="154"/>
    <col min="2564" max="2564" width="11.375" style="154" customWidth="1"/>
    <col min="2565" max="2565" width="10.625" style="154" customWidth="1"/>
    <col min="2566" max="2566" width="9" style="154"/>
    <col min="2567" max="2567" width="11.125" style="154" customWidth="1"/>
    <col min="2568" max="2569" width="9" style="154"/>
    <col min="2570" max="2570" width="11.625" style="154" customWidth="1"/>
    <col min="2571" max="2816" width="9" style="154"/>
    <col min="2817" max="2817" width="6.5" style="154" customWidth="1"/>
    <col min="2818" max="2818" width="24.125" style="154" customWidth="1"/>
    <col min="2819" max="2819" width="9" style="154"/>
    <col min="2820" max="2820" width="11.375" style="154" customWidth="1"/>
    <col min="2821" max="2821" width="10.625" style="154" customWidth="1"/>
    <col min="2822" max="2822" width="9" style="154"/>
    <col min="2823" max="2823" width="11.125" style="154" customWidth="1"/>
    <col min="2824" max="2825" width="9" style="154"/>
    <col min="2826" max="2826" width="11.625" style="154" customWidth="1"/>
    <col min="2827" max="3072" width="9" style="154"/>
    <col min="3073" max="3073" width="6.5" style="154" customWidth="1"/>
    <col min="3074" max="3074" width="24.125" style="154" customWidth="1"/>
    <col min="3075" max="3075" width="9" style="154"/>
    <col min="3076" max="3076" width="11.375" style="154" customWidth="1"/>
    <col min="3077" max="3077" width="10.625" style="154" customWidth="1"/>
    <col min="3078" max="3078" width="9" style="154"/>
    <col min="3079" max="3079" width="11.125" style="154" customWidth="1"/>
    <col min="3080" max="3081" width="9" style="154"/>
    <col min="3082" max="3082" width="11.625" style="154" customWidth="1"/>
    <col min="3083" max="3328" width="9" style="154"/>
    <col min="3329" max="3329" width="6.5" style="154" customWidth="1"/>
    <col min="3330" max="3330" width="24.125" style="154" customWidth="1"/>
    <col min="3331" max="3331" width="9" style="154"/>
    <col min="3332" max="3332" width="11.375" style="154" customWidth="1"/>
    <col min="3333" max="3333" width="10.625" style="154" customWidth="1"/>
    <col min="3334" max="3334" width="9" style="154"/>
    <col min="3335" max="3335" width="11.125" style="154" customWidth="1"/>
    <col min="3336" max="3337" width="9" style="154"/>
    <col min="3338" max="3338" width="11.625" style="154" customWidth="1"/>
    <col min="3339" max="3584" width="9" style="154"/>
    <col min="3585" max="3585" width="6.5" style="154" customWidth="1"/>
    <col min="3586" max="3586" width="24.125" style="154" customWidth="1"/>
    <col min="3587" max="3587" width="9" style="154"/>
    <col min="3588" max="3588" width="11.375" style="154" customWidth="1"/>
    <col min="3589" max="3589" width="10.625" style="154" customWidth="1"/>
    <col min="3590" max="3590" width="9" style="154"/>
    <col min="3591" max="3591" width="11.125" style="154" customWidth="1"/>
    <col min="3592" max="3593" width="9" style="154"/>
    <col min="3594" max="3594" width="11.625" style="154" customWidth="1"/>
    <col min="3595" max="3840" width="9" style="154"/>
    <col min="3841" max="3841" width="6.5" style="154" customWidth="1"/>
    <col min="3842" max="3842" width="24.125" style="154" customWidth="1"/>
    <col min="3843" max="3843" width="9" style="154"/>
    <col min="3844" max="3844" width="11.375" style="154" customWidth="1"/>
    <col min="3845" max="3845" width="10.625" style="154" customWidth="1"/>
    <col min="3846" max="3846" width="9" style="154"/>
    <col min="3847" max="3847" width="11.125" style="154" customWidth="1"/>
    <col min="3848" max="3849" width="9" style="154"/>
    <col min="3850" max="3850" width="11.625" style="154" customWidth="1"/>
    <col min="3851" max="4096" width="9" style="154"/>
    <col min="4097" max="4097" width="6.5" style="154" customWidth="1"/>
    <col min="4098" max="4098" width="24.125" style="154" customWidth="1"/>
    <col min="4099" max="4099" width="9" style="154"/>
    <col min="4100" max="4100" width="11.375" style="154" customWidth="1"/>
    <col min="4101" max="4101" width="10.625" style="154" customWidth="1"/>
    <col min="4102" max="4102" width="9" style="154"/>
    <col min="4103" max="4103" width="11.125" style="154" customWidth="1"/>
    <col min="4104" max="4105" width="9" style="154"/>
    <col min="4106" max="4106" width="11.625" style="154" customWidth="1"/>
    <col min="4107" max="4352" width="9" style="154"/>
    <col min="4353" max="4353" width="6.5" style="154" customWidth="1"/>
    <col min="4354" max="4354" width="24.125" style="154" customWidth="1"/>
    <col min="4355" max="4355" width="9" style="154"/>
    <col min="4356" max="4356" width="11.375" style="154" customWidth="1"/>
    <col min="4357" max="4357" width="10.625" style="154" customWidth="1"/>
    <col min="4358" max="4358" width="9" style="154"/>
    <col min="4359" max="4359" width="11.125" style="154" customWidth="1"/>
    <col min="4360" max="4361" width="9" style="154"/>
    <col min="4362" max="4362" width="11.625" style="154" customWidth="1"/>
    <col min="4363" max="4608" width="9" style="154"/>
    <col min="4609" max="4609" width="6.5" style="154" customWidth="1"/>
    <col min="4610" max="4610" width="24.125" style="154" customWidth="1"/>
    <col min="4611" max="4611" width="9" style="154"/>
    <col min="4612" max="4612" width="11.375" style="154" customWidth="1"/>
    <col min="4613" max="4613" width="10.625" style="154" customWidth="1"/>
    <col min="4614" max="4614" width="9" style="154"/>
    <col min="4615" max="4615" width="11.125" style="154" customWidth="1"/>
    <col min="4616" max="4617" width="9" style="154"/>
    <col min="4618" max="4618" width="11.625" style="154" customWidth="1"/>
    <col min="4619" max="4864" width="9" style="154"/>
    <col min="4865" max="4865" width="6.5" style="154" customWidth="1"/>
    <col min="4866" max="4866" width="24.125" style="154" customWidth="1"/>
    <col min="4867" max="4867" width="9" style="154"/>
    <col min="4868" max="4868" width="11.375" style="154" customWidth="1"/>
    <col min="4869" max="4869" width="10.625" style="154" customWidth="1"/>
    <col min="4870" max="4870" width="9" style="154"/>
    <col min="4871" max="4871" width="11.125" style="154" customWidth="1"/>
    <col min="4872" max="4873" width="9" style="154"/>
    <col min="4874" max="4874" width="11.625" style="154" customWidth="1"/>
    <col min="4875" max="5120" width="9" style="154"/>
    <col min="5121" max="5121" width="6.5" style="154" customWidth="1"/>
    <col min="5122" max="5122" width="24.125" style="154" customWidth="1"/>
    <col min="5123" max="5123" width="9" style="154"/>
    <col min="5124" max="5124" width="11.375" style="154" customWidth="1"/>
    <col min="5125" max="5125" width="10.625" style="154" customWidth="1"/>
    <col min="5126" max="5126" width="9" style="154"/>
    <col min="5127" max="5127" width="11.125" style="154" customWidth="1"/>
    <col min="5128" max="5129" width="9" style="154"/>
    <col min="5130" max="5130" width="11.625" style="154" customWidth="1"/>
    <col min="5131" max="5376" width="9" style="154"/>
    <col min="5377" max="5377" width="6.5" style="154" customWidth="1"/>
    <col min="5378" max="5378" width="24.125" style="154" customWidth="1"/>
    <col min="5379" max="5379" width="9" style="154"/>
    <col min="5380" max="5380" width="11.375" style="154" customWidth="1"/>
    <col min="5381" max="5381" width="10.625" style="154" customWidth="1"/>
    <col min="5382" max="5382" width="9" style="154"/>
    <col min="5383" max="5383" width="11.125" style="154" customWidth="1"/>
    <col min="5384" max="5385" width="9" style="154"/>
    <col min="5386" max="5386" width="11.625" style="154" customWidth="1"/>
    <col min="5387" max="5632" width="9" style="154"/>
    <col min="5633" max="5633" width="6.5" style="154" customWidth="1"/>
    <col min="5634" max="5634" width="24.125" style="154" customWidth="1"/>
    <col min="5635" max="5635" width="9" style="154"/>
    <col min="5636" max="5636" width="11.375" style="154" customWidth="1"/>
    <col min="5637" max="5637" width="10.625" style="154" customWidth="1"/>
    <col min="5638" max="5638" width="9" style="154"/>
    <col min="5639" max="5639" width="11.125" style="154" customWidth="1"/>
    <col min="5640" max="5641" width="9" style="154"/>
    <col min="5642" max="5642" width="11.625" style="154" customWidth="1"/>
    <col min="5643" max="5888" width="9" style="154"/>
    <col min="5889" max="5889" width="6.5" style="154" customWidth="1"/>
    <col min="5890" max="5890" width="24.125" style="154" customWidth="1"/>
    <col min="5891" max="5891" width="9" style="154"/>
    <col min="5892" max="5892" width="11.375" style="154" customWidth="1"/>
    <col min="5893" max="5893" width="10.625" style="154" customWidth="1"/>
    <col min="5894" max="5894" width="9" style="154"/>
    <col min="5895" max="5895" width="11.125" style="154" customWidth="1"/>
    <col min="5896" max="5897" width="9" style="154"/>
    <col min="5898" max="5898" width="11.625" style="154" customWidth="1"/>
    <col min="5899" max="6144" width="9" style="154"/>
    <col min="6145" max="6145" width="6.5" style="154" customWidth="1"/>
    <col min="6146" max="6146" width="24.125" style="154" customWidth="1"/>
    <col min="6147" max="6147" width="9" style="154"/>
    <col min="6148" max="6148" width="11.375" style="154" customWidth="1"/>
    <col min="6149" max="6149" width="10.625" style="154" customWidth="1"/>
    <col min="6150" max="6150" width="9" style="154"/>
    <col min="6151" max="6151" width="11.125" style="154" customWidth="1"/>
    <col min="6152" max="6153" width="9" style="154"/>
    <col min="6154" max="6154" width="11.625" style="154" customWidth="1"/>
    <col min="6155" max="6400" width="9" style="154"/>
    <col min="6401" max="6401" width="6.5" style="154" customWidth="1"/>
    <col min="6402" max="6402" width="24.125" style="154" customWidth="1"/>
    <col min="6403" max="6403" width="9" style="154"/>
    <col min="6404" max="6404" width="11.375" style="154" customWidth="1"/>
    <col min="6405" max="6405" width="10.625" style="154" customWidth="1"/>
    <col min="6406" max="6406" width="9" style="154"/>
    <col min="6407" max="6407" width="11.125" style="154" customWidth="1"/>
    <col min="6408" max="6409" width="9" style="154"/>
    <col min="6410" max="6410" width="11.625" style="154" customWidth="1"/>
    <col min="6411" max="6656" width="9" style="154"/>
    <col min="6657" max="6657" width="6.5" style="154" customWidth="1"/>
    <col min="6658" max="6658" width="24.125" style="154" customWidth="1"/>
    <col min="6659" max="6659" width="9" style="154"/>
    <col min="6660" max="6660" width="11.375" style="154" customWidth="1"/>
    <col min="6661" max="6661" width="10.625" style="154" customWidth="1"/>
    <col min="6662" max="6662" width="9" style="154"/>
    <col min="6663" max="6663" width="11.125" style="154" customWidth="1"/>
    <col min="6664" max="6665" width="9" style="154"/>
    <col min="6666" max="6666" width="11.625" style="154" customWidth="1"/>
    <col min="6667" max="6912" width="9" style="154"/>
    <col min="6913" max="6913" width="6.5" style="154" customWidth="1"/>
    <col min="6914" max="6914" width="24.125" style="154" customWidth="1"/>
    <col min="6915" max="6915" width="9" style="154"/>
    <col min="6916" max="6916" width="11.375" style="154" customWidth="1"/>
    <col min="6917" max="6917" width="10.625" style="154" customWidth="1"/>
    <col min="6918" max="6918" width="9" style="154"/>
    <col min="6919" max="6919" width="11.125" style="154" customWidth="1"/>
    <col min="6920" max="6921" width="9" style="154"/>
    <col min="6922" max="6922" width="11.625" style="154" customWidth="1"/>
    <col min="6923" max="7168" width="9" style="154"/>
    <col min="7169" max="7169" width="6.5" style="154" customWidth="1"/>
    <col min="7170" max="7170" width="24.125" style="154" customWidth="1"/>
    <col min="7171" max="7171" width="9" style="154"/>
    <col min="7172" max="7172" width="11.375" style="154" customWidth="1"/>
    <col min="7173" max="7173" width="10.625" style="154" customWidth="1"/>
    <col min="7174" max="7174" width="9" style="154"/>
    <col min="7175" max="7175" width="11.125" style="154" customWidth="1"/>
    <col min="7176" max="7177" width="9" style="154"/>
    <col min="7178" max="7178" width="11.625" style="154" customWidth="1"/>
    <col min="7179" max="7424" width="9" style="154"/>
    <col min="7425" max="7425" width="6.5" style="154" customWidth="1"/>
    <col min="7426" max="7426" width="24.125" style="154" customWidth="1"/>
    <col min="7427" max="7427" width="9" style="154"/>
    <col min="7428" max="7428" width="11.375" style="154" customWidth="1"/>
    <col min="7429" max="7429" width="10.625" style="154" customWidth="1"/>
    <col min="7430" max="7430" width="9" style="154"/>
    <col min="7431" max="7431" width="11.125" style="154" customWidth="1"/>
    <col min="7432" max="7433" width="9" style="154"/>
    <col min="7434" max="7434" width="11.625" style="154" customWidth="1"/>
    <col min="7435" max="7680" width="9" style="154"/>
    <col min="7681" max="7681" width="6.5" style="154" customWidth="1"/>
    <col min="7682" max="7682" width="24.125" style="154" customWidth="1"/>
    <col min="7683" max="7683" width="9" style="154"/>
    <col min="7684" max="7684" width="11.375" style="154" customWidth="1"/>
    <col min="7685" max="7685" width="10.625" style="154" customWidth="1"/>
    <col min="7686" max="7686" width="9" style="154"/>
    <col min="7687" max="7687" width="11.125" style="154" customWidth="1"/>
    <col min="7688" max="7689" width="9" style="154"/>
    <col min="7690" max="7690" width="11.625" style="154" customWidth="1"/>
    <col min="7691" max="7936" width="9" style="154"/>
    <col min="7937" max="7937" width="6.5" style="154" customWidth="1"/>
    <col min="7938" max="7938" width="24.125" style="154" customWidth="1"/>
    <col min="7939" max="7939" width="9" style="154"/>
    <col min="7940" max="7940" width="11.375" style="154" customWidth="1"/>
    <col min="7941" max="7941" width="10.625" style="154" customWidth="1"/>
    <col min="7942" max="7942" width="9" style="154"/>
    <col min="7943" max="7943" width="11.125" style="154" customWidth="1"/>
    <col min="7944" max="7945" width="9" style="154"/>
    <col min="7946" max="7946" width="11.625" style="154" customWidth="1"/>
    <col min="7947" max="8192" width="9" style="154"/>
    <col min="8193" max="8193" width="6.5" style="154" customWidth="1"/>
    <col min="8194" max="8194" width="24.125" style="154" customWidth="1"/>
    <col min="8195" max="8195" width="9" style="154"/>
    <col min="8196" max="8196" width="11.375" style="154" customWidth="1"/>
    <col min="8197" max="8197" width="10.625" style="154" customWidth="1"/>
    <col min="8198" max="8198" width="9" style="154"/>
    <col min="8199" max="8199" width="11.125" style="154" customWidth="1"/>
    <col min="8200" max="8201" width="9" style="154"/>
    <col min="8202" max="8202" width="11.625" style="154" customWidth="1"/>
    <col min="8203" max="8448" width="9" style="154"/>
    <col min="8449" max="8449" width="6.5" style="154" customWidth="1"/>
    <col min="8450" max="8450" width="24.125" style="154" customWidth="1"/>
    <col min="8451" max="8451" width="9" style="154"/>
    <col min="8452" max="8452" width="11.375" style="154" customWidth="1"/>
    <col min="8453" max="8453" width="10.625" style="154" customWidth="1"/>
    <col min="8454" max="8454" width="9" style="154"/>
    <col min="8455" max="8455" width="11.125" style="154" customWidth="1"/>
    <col min="8456" max="8457" width="9" style="154"/>
    <col min="8458" max="8458" width="11.625" style="154" customWidth="1"/>
    <col min="8459" max="8704" width="9" style="154"/>
    <col min="8705" max="8705" width="6.5" style="154" customWidth="1"/>
    <col min="8706" max="8706" width="24.125" style="154" customWidth="1"/>
    <col min="8707" max="8707" width="9" style="154"/>
    <col min="8708" max="8708" width="11.375" style="154" customWidth="1"/>
    <col min="8709" max="8709" width="10.625" style="154" customWidth="1"/>
    <col min="8710" max="8710" width="9" style="154"/>
    <col min="8711" max="8711" width="11.125" style="154" customWidth="1"/>
    <col min="8712" max="8713" width="9" style="154"/>
    <col min="8714" max="8714" width="11.625" style="154" customWidth="1"/>
    <col min="8715" max="8960" width="9" style="154"/>
    <col min="8961" max="8961" width="6.5" style="154" customWidth="1"/>
    <col min="8962" max="8962" width="24.125" style="154" customWidth="1"/>
    <col min="8963" max="8963" width="9" style="154"/>
    <col min="8964" max="8964" width="11.375" style="154" customWidth="1"/>
    <col min="8965" max="8965" width="10.625" style="154" customWidth="1"/>
    <col min="8966" max="8966" width="9" style="154"/>
    <col min="8967" max="8967" width="11.125" style="154" customWidth="1"/>
    <col min="8968" max="8969" width="9" style="154"/>
    <col min="8970" max="8970" width="11.625" style="154" customWidth="1"/>
    <col min="8971" max="9216" width="9" style="154"/>
    <col min="9217" max="9217" width="6.5" style="154" customWidth="1"/>
    <col min="9218" max="9218" width="24.125" style="154" customWidth="1"/>
    <col min="9219" max="9219" width="9" style="154"/>
    <col min="9220" max="9220" width="11.375" style="154" customWidth="1"/>
    <col min="9221" max="9221" width="10.625" style="154" customWidth="1"/>
    <col min="9222" max="9222" width="9" style="154"/>
    <col min="9223" max="9223" width="11.125" style="154" customWidth="1"/>
    <col min="9224" max="9225" width="9" style="154"/>
    <col min="9226" max="9226" width="11.625" style="154" customWidth="1"/>
    <col min="9227" max="9472" width="9" style="154"/>
    <col min="9473" max="9473" width="6.5" style="154" customWidth="1"/>
    <col min="9474" max="9474" width="24.125" style="154" customWidth="1"/>
    <col min="9475" max="9475" width="9" style="154"/>
    <col min="9476" max="9476" width="11.375" style="154" customWidth="1"/>
    <col min="9477" max="9477" width="10.625" style="154" customWidth="1"/>
    <col min="9478" max="9478" width="9" style="154"/>
    <col min="9479" max="9479" width="11.125" style="154" customWidth="1"/>
    <col min="9480" max="9481" width="9" style="154"/>
    <col min="9482" max="9482" width="11.625" style="154" customWidth="1"/>
    <col min="9483" max="9728" width="9" style="154"/>
    <col min="9729" max="9729" width="6.5" style="154" customWidth="1"/>
    <col min="9730" max="9730" width="24.125" style="154" customWidth="1"/>
    <col min="9731" max="9731" width="9" style="154"/>
    <col min="9732" max="9732" width="11.375" style="154" customWidth="1"/>
    <col min="9733" max="9733" width="10.625" style="154" customWidth="1"/>
    <col min="9734" max="9734" width="9" style="154"/>
    <col min="9735" max="9735" width="11.125" style="154" customWidth="1"/>
    <col min="9736" max="9737" width="9" style="154"/>
    <col min="9738" max="9738" width="11.625" style="154" customWidth="1"/>
    <col min="9739" max="9984" width="9" style="154"/>
    <col min="9985" max="9985" width="6.5" style="154" customWidth="1"/>
    <col min="9986" max="9986" width="24.125" style="154" customWidth="1"/>
    <col min="9987" max="9987" width="9" style="154"/>
    <col min="9988" max="9988" width="11.375" style="154" customWidth="1"/>
    <col min="9989" max="9989" width="10.625" style="154" customWidth="1"/>
    <col min="9990" max="9990" width="9" style="154"/>
    <col min="9991" max="9991" width="11.125" style="154" customWidth="1"/>
    <col min="9992" max="9993" width="9" style="154"/>
    <col min="9994" max="9994" width="11.625" style="154" customWidth="1"/>
    <col min="9995" max="10240" width="9" style="154"/>
    <col min="10241" max="10241" width="6.5" style="154" customWidth="1"/>
    <col min="10242" max="10242" width="24.125" style="154" customWidth="1"/>
    <col min="10243" max="10243" width="9" style="154"/>
    <col min="10244" max="10244" width="11.375" style="154" customWidth="1"/>
    <col min="10245" max="10245" width="10.625" style="154" customWidth="1"/>
    <col min="10246" max="10246" width="9" style="154"/>
    <col min="10247" max="10247" width="11.125" style="154" customWidth="1"/>
    <col min="10248" max="10249" width="9" style="154"/>
    <col min="10250" max="10250" width="11.625" style="154" customWidth="1"/>
    <col min="10251" max="10496" width="9" style="154"/>
    <col min="10497" max="10497" width="6.5" style="154" customWidth="1"/>
    <col min="10498" max="10498" width="24.125" style="154" customWidth="1"/>
    <col min="10499" max="10499" width="9" style="154"/>
    <col min="10500" max="10500" width="11.375" style="154" customWidth="1"/>
    <col min="10501" max="10501" width="10.625" style="154" customWidth="1"/>
    <col min="10502" max="10502" width="9" style="154"/>
    <col min="10503" max="10503" width="11.125" style="154" customWidth="1"/>
    <col min="10504" max="10505" width="9" style="154"/>
    <col min="10506" max="10506" width="11.625" style="154" customWidth="1"/>
    <col min="10507" max="10752" width="9" style="154"/>
    <col min="10753" max="10753" width="6.5" style="154" customWidth="1"/>
    <col min="10754" max="10754" width="24.125" style="154" customWidth="1"/>
    <col min="10755" max="10755" width="9" style="154"/>
    <col min="10756" max="10756" width="11.375" style="154" customWidth="1"/>
    <col min="10757" max="10757" width="10.625" style="154" customWidth="1"/>
    <col min="10758" max="10758" width="9" style="154"/>
    <col min="10759" max="10759" width="11.125" style="154" customWidth="1"/>
    <col min="10760" max="10761" width="9" style="154"/>
    <col min="10762" max="10762" width="11.625" style="154" customWidth="1"/>
    <col min="10763" max="11008" width="9" style="154"/>
    <col min="11009" max="11009" width="6.5" style="154" customWidth="1"/>
    <col min="11010" max="11010" width="24.125" style="154" customWidth="1"/>
    <col min="11011" max="11011" width="9" style="154"/>
    <col min="11012" max="11012" width="11.375" style="154" customWidth="1"/>
    <col min="11013" max="11013" width="10.625" style="154" customWidth="1"/>
    <col min="11014" max="11014" width="9" style="154"/>
    <col min="11015" max="11015" width="11.125" style="154" customWidth="1"/>
    <col min="11016" max="11017" width="9" style="154"/>
    <col min="11018" max="11018" width="11.625" style="154" customWidth="1"/>
    <col min="11019" max="11264" width="9" style="154"/>
    <col min="11265" max="11265" width="6.5" style="154" customWidth="1"/>
    <col min="11266" max="11266" width="24.125" style="154" customWidth="1"/>
    <col min="11267" max="11267" width="9" style="154"/>
    <col min="11268" max="11268" width="11.375" style="154" customWidth="1"/>
    <col min="11269" max="11269" width="10.625" style="154" customWidth="1"/>
    <col min="11270" max="11270" width="9" style="154"/>
    <col min="11271" max="11271" width="11.125" style="154" customWidth="1"/>
    <col min="11272" max="11273" width="9" style="154"/>
    <col min="11274" max="11274" width="11.625" style="154" customWidth="1"/>
    <col min="11275" max="11520" width="9" style="154"/>
    <col min="11521" max="11521" width="6.5" style="154" customWidth="1"/>
    <col min="11522" max="11522" width="24.125" style="154" customWidth="1"/>
    <col min="11523" max="11523" width="9" style="154"/>
    <col min="11524" max="11524" width="11.375" style="154" customWidth="1"/>
    <col min="11525" max="11525" width="10.625" style="154" customWidth="1"/>
    <col min="11526" max="11526" width="9" style="154"/>
    <col min="11527" max="11527" width="11.125" style="154" customWidth="1"/>
    <col min="11528" max="11529" width="9" style="154"/>
    <col min="11530" max="11530" width="11.625" style="154" customWidth="1"/>
    <col min="11531" max="11776" width="9" style="154"/>
    <col min="11777" max="11777" width="6.5" style="154" customWidth="1"/>
    <col min="11778" max="11778" width="24.125" style="154" customWidth="1"/>
    <col min="11779" max="11779" width="9" style="154"/>
    <col min="11780" max="11780" width="11.375" style="154" customWidth="1"/>
    <col min="11781" max="11781" width="10.625" style="154" customWidth="1"/>
    <col min="11782" max="11782" width="9" style="154"/>
    <col min="11783" max="11783" width="11.125" style="154" customWidth="1"/>
    <col min="11784" max="11785" width="9" style="154"/>
    <col min="11786" max="11786" width="11.625" style="154" customWidth="1"/>
    <col min="11787" max="12032" width="9" style="154"/>
    <col min="12033" max="12033" width="6.5" style="154" customWidth="1"/>
    <col min="12034" max="12034" width="24.125" style="154" customWidth="1"/>
    <col min="12035" max="12035" width="9" style="154"/>
    <col min="12036" max="12036" width="11.375" style="154" customWidth="1"/>
    <col min="12037" max="12037" width="10.625" style="154" customWidth="1"/>
    <col min="12038" max="12038" width="9" style="154"/>
    <col min="12039" max="12039" width="11.125" style="154" customWidth="1"/>
    <col min="12040" max="12041" width="9" style="154"/>
    <col min="12042" max="12042" width="11.625" style="154" customWidth="1"/>
    <col min="12043" max="12288" width="9" style="154"/>
    <col min="12289" max="12289" width="6.5" style="154" customWidth="1"/>
    <col min="12290" max="12290" width="24.125" style="154" customWidth="1"/>
    <col min="12291" max="12291" width="9" style="154"/>
    <col min="12292" max="12292" width="11.375" style="154" customWidth="1"/>
    <col min="12293" max="12293" width="10.625" style="154" customWidth="1"/>
    <col min="12294" max="12294" width="9" style="154"/>
    <col min="12295" max="12295" width="11.125" style="154" customWidth="1"/>
    <col min="12296" max="12297" width="9" style="154"/>
    <col min="12298" max="12298" width="11.625" style="154" customWidth="1"/>
    <col min="12299" max="12544" width="9" style="154"/>
    <col min="12545" max="12545" width="6.5" style="154" customWidth="1"/>
    <col min="12546" max="12546" width="24.125" style="154" customWidth="1"/>
    <col min="12547" max="12547" width="9" style="154"/>
    <col min="12548" max="12548" width="11.375" style="154" customWidth="1"/>
    <col min="12549" max="12549" width="10.625" style="154" customWidth="1"/>
    <col min="12550" max="12550" width="9" style="154"/>
    <col min="12551" max="12551" width="11.125" style="154" customWidth="1"/>
    <col min="12552" max="12553" width="9" style="154"/>
    <col min="12554" max="12554" width="11.625" style="154" customWidth="1"/>
    <col min="12555" max="12800" width="9" style="154"/>
    <col min="12801" max="12801" width="6.5" style="154" customWidth="1"/>
    <col min="12802" max="12802" width="24.125" style="154" customWidth="1"/>
    <col min="12803" max="12803" width="9" style="154"/>
    <col min="12804" max="12804" width="11.375" style="154" customWidth="1"/>
    <col min="12805" max="12805" width="10.625" style="154" customWidth="1"/>
    <col min="12806" max="12806" width="9" style="154"/>
    <col min="12807" max="12807" width="11.125" style="154" customWidth="1"/>
    <col min="12808" max="12809" width="9" style="154"/>
    <col min="12810" max="12810" width="11.625" style="154" customWidth="1"/>
    <col min="12811" max="13056" width="9" style="154"/>
    <col min="13057" max="13057" width="6.5" style="154" customWidth="1"/>
    <col min="13058" max="13058" width="24.125" style="154" customWidth="1"/>
    <col min="13059" max="13059" width="9" style="154"/>
    <col min="13060" max="13060" width="11.375" style="154" customWidth="1"/>
    <col min="13061" max="13061" width="10.625" style="154" customWidth="1"/>
    <col min="13062" max="13062" width="9" style="154"/>
    <col min="13063" max="13063" width="11.125" style="154" customWidth="1"/>
    <col min="13064" max="13065" width="9" style="154"/>
    <col min="13066" max="13066" width="11.625" style="154" customWidth="1"/>
    <col min="13067" max="13312" width="9" style="154"/>
    <col min="13313" max="13313" width="6.5" style="154" customWidth="1"/>
    <col min="13314" max="13314" width="24.125" style="154" customWidth="1"/>
    <col min="13315" max="13315" width="9" style="154"/>
    <col min="13316" max="13316" width="11.375" style="154" customWidth="1"/>
    <col min="13317" max="13317" width="10.625" style="154" customWidth="1"/>
    <col min="13318" max="13318" width="9" style="154"/>
    <col min="13319" max="13319" width="11.125" style="154" customWidth="1"/>
    <col min="13320" max="13321" width="9" style="154"/>
    <col min="13322" max="13322" width="11.625" style="154" customWidth="1"/>
    <col min="13323" max="13568" width="9" style="154"/>
    <col min="13569" max="13569" width="6.5" style="154" customWidth="1"/>
    <col min="13570" max="13570" width="24.125" style="154" customWidth="1"/>
    <col min="13571" max="13571" width="9" style="154"/>
    <col min="13572" max="13572" width="11.375" style="154" customWidth="1"/>
    <col min="13573" max="13573" width="10.625" style="154" customWidth="1"/>
    <col min="13574" max="13574" width="9" style="154"/>
    <col min="13575" max="13575" width="11.125" style="154" customWidth="1"/>
    <col min="13576" max="13577" width="9" style="154"/>
    <col min="13578" max="13578" width="11.625" style="154" customWidth="1"/>
    <col min="13579" max="13824" width="9" style="154"/>
    <col min="13825" max="13825" width="6.5" style="154" customWidth="1"/>
    <col min="13826" max="13826" width="24.125" style="154" customWidth="1"/>
    <col min="13827" max="13827" width="9" style="154"/>
    <col min="13828" max="13828" width="11.375" style="154" customWidth="1"/>
    <col min="13829" max="13829" width="10.625" style="154" customWidth="1"/>
    <col min="13830" max="13830" width="9" style="154"/>
    <col min="13831" max="13831" width="11.125" style="154" customWidth="1"/>
    <col min="13832" max="13833" width="9" style="154"/>
    <col min="13834" max="13834" width="11.625" style="154" customWidth="1"/>
    <col min="13835" max="14080" width="9" style="154"/>
    <col min="14081" max="14081" width="6.5" style="154" customWidth="1"/>
    <col min="14082" max="14082" width="24.125" style="154" customWidth="1"/>
    <col min="14083" max="14083" width="9" style="154"/>
    <col min="14084" max="14084" width="11.375" style="154" customWidth="1"/>
    <col min="14085" max="14085" width="10.625" style="154" customWidth="1"/>
    <col min="14086" max="14086" width="9" style="154"/>
    <col min="14087" max="14087" width="11.125" style="154" customWidth="1"/>
    <col min="14088" max="14089" width="9" style="154"/>
    <col min="14090" max="14090" width="11.625" style="154" customWidth="1"/>
    <col min="14091" max="14336" width="9" style="154"/>
    <col min="14337" max="14337" width="6.5" style="154" customWidth="1"/>
    <col min="14338" max="14338" width="24.125" style="154" customWidth="1"/>
    <col min="14339" max="14339" width="9" style="154"/>
    <col min="14340" max="14340" width="11.375" style="154" customWidth="1"/>
    <col min="14341" max="14341" width="10.625" style="154" customWidth="1"/>
    <col min="14342" max="14342" width="9" style="154"/>
    <col min="14343" max="14343" width="11.125" style="154" customWidth="1"/>
    <col min="14344" max="14345" width="9" style="154"/>
    <col min="14346" max="14346" width="11.625" style="154" customWidth="1"/>
    <col min="14347" max="14592" width="9" style="154"/>
    <col min="14593" max="14593" width="6.5" style="154" customWidth="1"/>
    <col min="14594" max="14594" width="24.125" style="154" customWidth="1"/>
    <col min="14595" max="14595" width="9" style="154"/>
    <col min="14596" max="14596" width="11.375" style="154" customWidth="1"/>
    <col min="14597" max="14597" width="10.625" style="154" customWidth="1"/>
    <col min="14598" max="14598" width="9" style="154"/>
    <col min="14599" max="14599" width="11.125" style="154" customWidth="1"/>
    <col min="14600" max="14601" width="9" style="154"/>
    <col min="14602" max="14602" width="11.625" style="154" customWidth="1"/>
    <col min="14603" max="14848" width="9" style="154"/>
    <col min="14849" max="14849" width="6.5" style="154" customWidth="1"/>
    <col min="14850" max="14850" width="24.125" style="154" customWidth="1"/>
    <col min="14851" max="14851" width="9" style="154"/>
    <col min="14852" max="14852" width="11.375" style="154" customWidth="1"/>
    <col min="14853" max="14853" width="10.625" style="154" customWidth="1"/>
    <col min="14854" max="14854" width="9" style="154"/>
    <col min="14855" max="14855" width="11.125" style="154" customWidth="1"/>
    <col min="14856" max="14857" width="9" style="154"/>
    <col min="14858" max="14858" width="11.625" style="154" customWidth="1"/>
    <col min="14859" max="15104" width="9" style="154"/>
    <col min="15105" max="15105" width="6.5" style="154" customWidth="1"/>
    <col min="15106" max="15106" width="24.125" style="154" customWidth="1"/>
    <col min="15107" max="15107" width="9" style="154"/>
    <col min="15108" max="15108" width="11.375" style="154" customWidth="1"/>
    <col min="15109" max="15109" width="10.625" style="154" customWidth="1"/>
    <col min="15110" max="15110" width="9" style="154"/>
    <col min="15111" max="15111" width="11.125" style="154" customWidth="1"/>
    <col min="15112" max="15113" width="9" style="154"/>
    <col min="15114" max="15114" width="11.625" style="154" customWidth="1"/>
    <col min="15115" max="15360" width="9" style="154"/>
    <col min="15361" max="15361" width="6.5" style="154" customWidth="1"/>
    <col min="15362" max="15362" width="24.125" style="154" customWidth="1"/>
    <col min="15363" max="15363" width="9" style="154"/>
    <col min="15364" max="15364" width="11.375" style="154" customWidth="1"/>
    <col min="15365" max="15365" width="10.625" style="154" customWidth="1"/>
    <col min="15366" max="15366" width="9" style="154"/>
    <col min="15367" max="15367" width="11.125" style="154" customWidth="1"/>
    <col min="15368" max="15369" width="9" style="154"/>
    <col min="15370" max="15370" width="11.625" style="154" customWidth="1"/>
    <col min="15371" max="15616" width="9" style="154"/>
    <col min="15617" max="15617" width="6.5" style="154" customWidth="1"/>
    <col min="15618" max="15618" width="24.125" style="154" customWidth="1"/>
    <col min="15619" max="15619" width="9" style="154"/>
    <col min="15620" max="15620" width="11.375" style="154" customWidth="1"/>
    <col min="15621" max="15621" width="10.625" style="154" customWidth="1"/>
    <col min="15622" max="15622" width="9" style="154"/>
    <col min="15623" max="15623" width="11.125" style="154" customWidth="1"/>
    <col min="15624" max="15625" width="9" style="154"/>
    <col min="15626" max="15626" width="11.625" style="154" customWidth="1"/>
    <col min="15627" max="15872" width="9" style="154"/>
    <col min="15873" max="15873" width="6.5" style="154" customWidth="1"/>
    <col min="15874" max="15874" width="24.125" style="154" customWidth="1"/>
    <col min="15875" max="15875" width="9" style="154"/>
    <col min="15876" max="15876" width="11.375" style="154" customWidth="1"/>
    <col min="15877" max="15877" width="10.625" style="154" customWidth="1"/>
    <col min="15878" max="15878" width="9" style="154"/>
    <col min="15879" max="15879" width="11.125" style="154" customWidth="1"/>
    <col min="15880" max="15881" width="9" style="154"/>
    <col min="15882" max="15882" width="11.625" style="154" customWidth="1"/>
    <col min="15883" max="16128" width="9" style="154"/>
    <col min="16129" max="16129" width="6.5" style="154" customWidth="1"/>
    <col min="16130" max="16130" width="24.125" style="154" customWidth="1"/>
    <col min="16131" max="16131" width="9" style="154"/>
    <col min="16132" max="16132" width="11.375" style="154" customWidth="1"/>
    <col min="16133" max="16133" width="10.625" style="154" customWidth="1"/>
    <col min="16134" max="16134" width="9" style="154"/>
    <col min="16135" max="16135" width="11.125" style="154" customWidth="1"/>
    <col min="16136" max="16137" width="9" style="154"/>
    <col min="16138" max="16138" width="11.625" style="154" customWidth="1"/>
    <col min="16139" max="16384" width="9" style="154"/>
  </cols>
  <sheetData>
    <row r="1" s="876" customFormat="1" ht="25.9" customHeight="1" spans="1:7">
      <c r="A1" s="879" t="s">
        <v>86</v>
      </c>
      <c r="B1" s="880"/>
      <c r="C1" s="880"/>
      <c r="D1" s="880"/>
      <c r="E1" s="880"/>
      <c r="F1" s="880"/>
      <c r="G1" s="880"/>
    </row>
    <row r="2" s="876" customFormat="1" ht="25.15" customHeight="1" spans="1:7">
      <c r="A2" s="881" t="s">
        <v>2</v>
      </c>
      <c r="B2" s="882" t="s">
        <v>87</v>
      </c>
      <c r="C2" s="882" t="s">
        <v>88</v>
      </c>
      <c r="D2" s="883" t="s">
        <v>89</v>
      </c>
      <c r="E2" s="882" t="s">
        <v>90</v>
      </c>
      <c r="F2" s="882" t="s">
        <v>91</v>
      </c>
      <c r="G2" s="884" t="s">
        <v>92</v>
      </c>
    </row>
    <row r="3" s="876" customFormat="1" ht="25.15" customHeight="1" spans="1:7">
      <c r="A3" s="885"/>
      <c r="B3" s="886"/>
      <c r="C3" s="886"/>
      <c r="D3" s="887"/>
      <c r="E3" s="888" t="s">
        <v>93</v>
      </c>
      <c r="F3" s="886" t="s">
        <v>94</v>
      </c>
      <c r="G3" s="889" t="s">
        <v>93</v>
      </c>
    </row>
    <row r="4" s="876" customFormat="1" ht="25.15" customHeight="1" spans="1:7">
      <c r="A4" s="890" t="s">
        <v>9</v>
      </c>
      <c r="B4" s="891" t="s">
        <v>95</v>
      </c>
      <c r="C4" s="888"/>
      <c r="D4" s="892"/>
      <c r="E4" s="888"/>
      <c r="F4" s="888"/>
      <c r="G4" s="893">
        <f>G5+G7</f>
        <v>545086.8</v>
      </c>
    </row>
    <row r="5" s="876" customFormat="1" ht="25.15" customHeight="1" spans="1:7">
      <c r="A5" s="894">
        <v>1</v>
      </c>
      <c r="B5" s="886" t="s">
        <v>96</v>
      </c>
      <c r="C5" s="888"/>
      <c r="D5" s="892"/>
      <c r="E5" s="888"/>
      <c r="F5" s="888"/>
      <c r="G5" s="893">
        <f>G6</f>
        <v>23061.6</v>
      </c>
    </row>
    <row r="6" s="876" customFormat="1" ht="25.15" customHeight="1" spans="1:7">
      <c r="A6" s="894">
        <v>1.1</v>
      </c>
      <c r="B6" s="888" t="s">
        <v>97</v>
      </c>
      <c r="C6" s="886" t="s">
        <v>98</v>
      </c>
      <c r="D6" s="888">
        <v>12</v>
      </c>
      <c r="E6" s="895">
        <v>3203</v>
      </c>
      <c r="F6" s="888">
        <v>0.6</v>
      </c>
      <c r="G6" s="889">
        <f>D6*E6*F6</f>
        <v>23061.6</v>
      </c>
    </row>
    <row r="7" s="876" customFormat="1" ht="25.15" customHeight="1" spans="1:7">
      <c r="A7" s="894">
        <v>2</v>
      </c>
      <c r="B7" s="886" t="s">
        <v>99</v>
      </c>
      <c r="C7" s="888"/>
      <c r="D7" s="892"/>
      <c r="E7" s="895"/>
      <c r="F7" s="888"/>
      <c r="G7" s="893">
        <f>G8+G12+G13</f>
        <v>522025.2</v>
      </c>
    </row>
    <row r="8" s="876" customFormat="1" ht="25.15" customHeight="1" spans="1:7">
      <c r="A8" s="894">
        <v>2.1</v>
      </c>
      <c r="B8" s="886" t="s">
        <v>100</v>
      </c>
      <c r="C8" s="888" t="s">
        <v>101</v>
      </c>
      <c r="D8" s="892">
        <v>12</v>
      </c>
      <c r="E8" s="895">
        <v>14244</v>
      </c>
      <c r="F8" s="888">
        <v>1.5</v>
      </c>
      <c r="G8" s="889">
        <f t="shared" ref="G8:G13" si="0">D8*E8*F8</f>
        <v>256392</v>
      </c>
    </row>
    <row r="9" s="876" customFormat="1" ht="25.15" customHeight="1" spans="1:7">
      <c r="A9" s="894">
        <v>2.1</v>
      </c>
      <c r="B9" s="886" t="s">
        <v>102</v>
      </c>
      <c r="C9" s="888" t="s">
        <v>103</v>
      </c>
      <c r="D9" s="892">
        <v>5.85</v>
      </c>
      <c r="E9" s="895">
        <v>14244</v>
      </c>
      <c r="F9" s="888">
        <v>1.5</v>
      </c>
      <c r="G9" s="889">
        <f t="shared" si="0"/>
        <v>124991.1</v>
      </c>
    </row>
    <row r="10" s="876" customFormat="1" ht="25.15" customHeight="1" spans="1:7">
      <c r="A10" s="894">
        <v>2.1</v>
      </c>
      <c r="B10" s="886" t="s">
        <v>104</v>
      </c>
      <c r="C10" s="888" t="s">
        <v>105</v>
      </c>
      <c r="D10" s="892">
        <v>5.85</v>
      </c>
      <c r="E10" s="895">
        <v>14244</v>
      </c>
      <c r="F10" s="888">
        <v>1.5</v>
      </c>
      <c r="G10" s="889">
        <f t="shared" si="0"/>
        <v>124991.1</v>
      </c>
    </row>
    <row r="11" s="876" customFormat="1" ht="25.15" customHeight="1" spans="1:7">
      <c r="A11" s="894">
        <v>2.1</v>
      </c>
      <c r="B11" s="886" t="s">
        <v>106</v>
      </c>
      <c r="C11" s="888" t="s">
        <v>107</v>
      </c>
      <c r="D11" s="892">
        <v>5.85</v>
      </c>
      <c r="E11" s="895">
        <v>14244</v>
      </c>
      <c r="F11" s="888">
        <v>1.5</v>
      </c>
      <c r="G11" s="889">
        <f t="shared" si="0"/>
        <v>124991.1</v>
      </c>
    </row>
    <row r="12" s="876" customFormat="1" ht="25.15" customHeight="1" spans="1:7">
      <c r="A12" s="894">
        <v>2.2</v>
      </c>
      <c r="B12" s="886" t="s">
        <v>108</v>
      </c>
      <c r="C12" s="888" t="s">
        <v>109</v>
      </c>
      <c r="D12" s="892">
        <v>6.5</v>
      </c>
      <c r="E12" s="895">
        <v>20232</v>
      </c>
      <c r="F12" s="888">
        <v>1.5</v>
      </c>
      <c r="G12" s="889">
        <f t="shared" si="0"/>
        <v>197262</v>
      </c>
    </row>
    <row r="13" s="876" customFormat="1" ht="25.15" customHeight="1" spans="1:7">
      <c r="A13" s="894">
        <v>2.3</v>
      </c>
      <c r="B13" s="886" t="s">
        <v>110</v>
      </c>
      <c r="C13" s="888" t="s">
        <v>101</v>
      </c>
      <c r="D13" s="892">
        <v>3.2</v>
      </c>
      <c r="E13" s="895">
        <v>14244</v>
      </c>
      <c r="F13" s="888">
        <v>1.5</v>
      </c>
      <c r="G13" s="889">
        <f t="shared" si="0"/>
        <v>68371.2</v>
      </c>
    </row>
    <row r="14" s="876" customFormat="1" ht="25.15" customHeight="1" spans="1:7">
      <c r="A14" s="894">
        <v>3</v>
      </c>
      <c r="B14" s="886" t="s">
        <v>111</v>
      </c>
      <c r="C14" s="888"/>
      <c r="D14" s="892">
        <f>G4</f>
        <v>545086.8</v>
      </c>
      <c r="E14" s="896">
        <v>0.22</v>
      </c>
      <c r="F14" s="888"/>
      <c r="G14" s="889">
        <f>D14*0.22</f>
        <v>119919.1</v>
      </c>
    </row>
    <row r="15" s="876" customFormat="1" ht="25.15" customHeight="1" spans="1:7">
      <c r="A15" s="894"/>
      <c r="B15" s="886" t="s">
        <v>112</v>
      </c>
      <c r="C15" s="888"/>
      <c r="D15" s="892"/>
      <c r="E15" s="896">
        <v>0.15</v>
      </c>
      <c r="F15" s="888"/>
      <c r="G15" s="889">
        <f>D15*0.15</f>
        <v>0</v>
      </c>
    </row>
    <row r="16" s="876" customFormat="1" ht="25.15" customHeight="1" spans="1:7">
      <c r="A16" s="897"/>
      <c r="B16" s="898" t="s">
        <v>113</v>
      </c>
      <c r="C16" s="899"/>
      <c r="D16" s="900"/>
      <c r="E16" s="899"/>
      <c r="F16" s="899"/>
      <c r="G16" s="901">
        <f>G15+G14+G4</f>
        <v>665005.9</v>
      </c>
    </row>
    <row r="17" s="876" customFormat="1" ht="37.15" customHeight="1" spans="1:7">
      <c r="A17" s="902" t="s">
        <v>114</v>
      </c>
      <c r="B17" s="902"/>
      <c r="C17" s="902"/>
      <c r="D17" s="902"/>
      <c r="E17" s="902"/>
      <c r="F17" s="902"/>
      <c r="G17" s="902"/>
    </row>
  </sheetData>
  <mergeCells count="6">
    <mergeCell ref="A1:G1"/>
    <mergeCell ref="A17:G17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1" sqref="A1:G1"/>
    </sheetView>
  </sheetViews>
  <sheetFormatPr defaultColWidth="6.5" defaultRowHeight="14.25" outlineLevelCol="7"/>
  <cols>
    <col min="1" max="1" width="7.25" style="860" customWidth="1"/>
    <col min="2" max="2" width="20.375" style="860" customWidth="1"/>
    <col min="3" max="3" width="10.875" style="860" customWidth="1"/>
    <col min="4" max="4" width="10.625" style="860" customWidth="1"/>
    <col min="5" max="5" width="10.375" style="860" customWidth="1"/>
    <col min="6" max="6" width="11.25" style="860" customWidth="1"/>
    <col min="7" max="7" width="10.125" style="860" customWidth="1"/>
    <col min="8" max="9" width="6.5" style="860"/>
    <col min="10" max="10" width="10.375" style="860"/>
    <col min="11" max="16384" width="6.5" style="860"/>
  </cols>
  <sheetData>
    <row r="1" s="860" customFormat="1" ht="38.25" customHeight="1" spans="1:7">
      <c r="A1" s="826" t="s">
        <v>115</v>
      </c>
      <c r="B1" s="861"/>
      <c r="C1" s="861"/>
      <c r="D1" s="861"/>
      <c r="E1" s="861"/>
      <c r="F1" s="861"/>
      <c r="G1" s="861"/>
    </row>
    <row r="2" s="860" customFormat="1" ht="30.95" customHeight="1" spans="1:7">
      <c r="A2" s="862" t="str">
        <f>概算表!A2</f>
        <v>项目名称：平罗县崇岗镇兰跃渠砌护改造工程</v>
      </c>
      <c r="B2" s="862"/>
      <c r="C2" s="862"/>
      <c r="D2" s="862"/>
      <c r="E2" s="862"/>
      <c r="F2" s="862"/>
      <c r="G2" s="862"/>
    </row>
    <row r="3" s="860" customFormat="1" ht="30" customHeight="1" spans="1:7">
      <c r="A3" s="863" t="s">
        <v>2</v>
      </c>
      <c r="B3" s="864" t="s">
        <v>3</v>
      </c>
      <c r="C3" s="865" t="s">
        <v>116</v>
      </c>
      <c r="D3" s="866"/>
      <c r="E3" s="866"/>
      <c r="F3" s="867"/>
      <c r="G3" s="863" t="s">
        <v>117</v>
      </c>
    </row>
    <row r="4" s="860" customFormat="1" ht="30" customHeight="1" spans="1:7">
      <c r="A4" s="868"/>
      <c r="B4" s="868"/>
      <c r="C4" s="869" t="s">
        <v>118</v>
      </c>
      <c r="D4" s="869" t="s">
        <v>119</v>
      </c>
      <c r="E4" s="869" t="s">
        <v>120</v>
      </c>
      <c r="F4" s="829" t="s">
        <v>121</v>
      </c>
      <c r="G4" s="868"/>
    </row>
    <row r="5" s="860" customFormat="1" ht="30" customHeight="1" spans="1:8">
      <c r="A5" s="869" t="s">
        <v>9</v>
      </c>
      <c r="B5" s="870" t="s">
        <v>122</v>
      </c>
      <c r="C5" s="871">
        <f>概算表!C6</f>
        <v>461.52</v>
      </c>
      <c r="D5" s="871">
        <f>概算表!D6</f>
        <v>18.15</v>
      </c>
      <c r="E5" s="871"/>
      <c r="F5" s="871">
        <f>C5+D5</f>
        <v>479.67</v>
      </c>
      <c r="G5" s="872">
        <f>F5/F9*100+0.01</f>
        <v>90.74</v>
      </c>
      <c r="H5" s="823"/>
    </row>
    <row r="6" s="860" customFormat="1" ht="30" customHeight="1" spans="1:8">
      <c r="A6" s="869" t="s">
        <v>14</v>
      </c>
      <c r="B6" s="870" t="s">
        <v>123</v>
      </c>
      <c r="C6" s="849"/>
      <c r="D6" s="849"/>
      <c r="E6" s="849">
        <f>概算表!F15</f>
        <v>33.58</v>
      </c>
      <c r="F6" s="871">
        <f>E6</f>
        <v>33.58</v>
      </c>
      <c r="G6" s="872">
        <f>F6/F9*100</f>
        <v>6.35</v>
      </c>
      <c r="H6" s="823"/>
    </row>
    <row r="7" s="860" customFormat="1" ht="30" customHeight="1" spans="1:8">
      <c r="A7" s="869" t="s">
        <v>16</v>
      </c>
      <c r="B7" s="873" t="str">
        <f>概算表!B22</f>
        <v>预备费</v>
      </c>
      <c r="C7" s="849"/>
      <c r="D7" s="849"/>
      <c r="E7" s="871">
        <f>概算表!F22</f>
        <v>15.4</v>
      </c>
      <c r="F7" s="871">
        <f>E7</f>
        <v>15.4</v>
      </c>
      <c r="G7" s="872">
        <f>F7/F9*100</f>
        <v>2.91</v>
      </c>
      <c r="H7" s="823"/>
    </row>
    <row r="8" s="860" customFormat="1" ht="30" customHeight="1" spans="1:8">
      <c r="A8" s="869"/>
      <c r="B8" s="874"/>
      <c r="C8" s="849"/>
      <c r="D8" s="849"/>
      <c r="E8" s="871"/>
      <c r="F8" s="871"/>
      <c r="G8" s="872"/>
      <c r="H8" s="823"/>
    </row>
    <row r="9" s="860" customFormat="1" ht="30" customHeight="1" spans="1:8">
      <c r="A9" s="851" t="s">
        <v>124</v>
      </c>
      <c r="B9" s="852"/>
      <c r="C9" s="849">
        <f>C5+C6</f>
        <v>461.52</v>
      </c>
      <c r="D9" s="849">
        <f>D5+D6</f>
        <v>18.15</v>
      </c>
      <c r="E9" s="849">
        <f>SUM(E6:E8)</f>
        <v>48.98</v>
      </c>
      <c r="F9" s="849">
        <f>SUM(F5:F8)</f>
        <v>528.65</v>
      </c>
      <c r="G9" s="839">
        <f>SUM(G5:G8)</f>
        <v>100</v>
      </c>
      <c r="H9" s="823"/>
    </row>
    <row r="10" s="860" customFormat="1" ht="30" customHeight="1" spans="1:7">
      <c r="A10" s="875"/>
      <c r="B10" s="875"/>
      <c r="C10" s="875"/>
      <c r="D10" s="875"/>
      <c r="E10" s="875"/>
      <c r="F10" s="875"/>
      <c r="G10" s="875"/>
    </row>
    <row r="11" s="860" customFormat="1" ht="30" customHeight="1" spans="1:7">
      <c r="A11" s="875"/>
      <c r="B11" s="875"/>
      <c r="C11" s="875"/>
      <c r="D11" s="875"/>
      <c r="E11" s="875"/>
      <c r="F11" s="875"/>
      <c r="G11" s="875"/>
    </row>
    <row r="12" s="860" customFormat="1" spans="1:7">
      <c r="A12" s="875"/>
      <c r="B12" s="875"/>
      <c r="C12" s="875"/>
      <c r="D12" s="875"/>
      <c r="E12" s="875"/>
      <c r="F12" s="875"/>
      <c r="G12" s="875"/>
    </row>
    <row r="13" s="860" customFormat="1" spans="1:7">
      <c r="A13" s="875"/>
      <c r="B13" s="875"/>
      <c r="C13" s="875"/>
      <c r="D13" s="875"/>
      <c r="E13" s="875"/>
      <c r="F13" s="875"/>
      <c r="G13" s="875"/>
    </row>
    <row r="14" s="860" customFormat="1" spans="1:7">
      <c r="A14" s="875"/>
      <c r="B14" s="875"/>
      <c r="C14" s="875"/>
      <c r="D14" s="875"/>
      <c r="E14" s="875"/>
      <c r="F14" s="875"/>
      <c r="G14" s="875"/>
    </row>
    <row r="15" s="860" customFormat="1" spans="1:7">
      <c r="A15" s="875"/>
      <c r="B15" s="875"/>
      <c r="C15" s="875"/>
      <c r="D15" s="875"/>
      <c r="E15" s="875"/>
      <c r="F15" s="875"/>
      <c r="G15" s="875"/>
    </row>
    <row r="16" s="860" customFormat="1" spans="1:7">
      <c r="A16" s="875"/>
      <c r="B16" s="875"/>
      <c r="C16" s="875"/>
      <c r="D16" s="875"/>
      <c r="E16" s="875"/>
      <c r="F16" s="875"/>
      <c r="G16" s="875"/>
    </row>
    <row r="17" s="860" customFormat="1" spans="1:7">
      <c r="A17" s="875"/>
      <c r="B17" s="875"/>
      <c r="C17" s="875"/>
      <c r="D17" s="875"/>
      <c r="E17" s="875"/>
      <c r="F17" s="875"/>
      <c r="G17" s="875"/>
    </row>
    <row r="18" s="860" customFormat="1" spans="1:7">
      <c r="A18" s="875"/>
      <c r="B18" s="875"/>
      <c r="C18" s="875"/>
      <c r="D18" s="875"/>
      <c r="E18" s="875"/>
      <c r="F18" s="875"/>
      <c r="G18" s="875"/>
    </row>
    <row r="19" s="860" customFormat="1" spans="1:7">
      <c r="A19" s="875"/>
      <c r="B19" s="875"/>
      <c r="C19" s="875"/>
      <c r="D19" s="875"/>
      <c r="E19" s="875"/>
      <c r="F19" s="875"/>
      <c r="G19" s="875"/>
    </row>
    <row r="20" s="860" customFormat="1" spans="1:7">
      <c r="A20" s="875"/>
      <c r="B20" s="875"/>
      <c r="C20" s="875"/>
      <c r="D20" s="875"/>
      <c r="E20" s="875"/>
      <c r="F20" s="875"/>
      <c r="G20" s="875"/>
    </row>
    <row r="21" s="860" customFormat="1" spans="1:7">
      <c r="A21" s="875"/>
      <c r="B21" s="875"/>
      <c r="C21" s="875"/>
      <c r="D21" s="875"/>
      <c r="E21" s="875"/>
      <c r="F21" s="875"/>
      <c r="G21" s="875"/>
    </row>
    <row r="22" s="860" customFormat="1" spans="1:7">
      <c r="A22" s="875"/>
      <c r="B22" s="875"/>
      <c r="C22" s="875"/>
      <c r="D22" s="875"/>
      <c r="E22" s="875"/>
      <c r="F22" s="875"/>
      <c r="G22" s="875"/>
    </row>
    <row r="23" s="860" customFormat="1" spans="1:7">
      <c r="A23" s="875"/>
      <c r="B23" s="875"/>
      <c r="C23" s="875"/>
      <c r="D23" s="875"/>
      <c r="E23" s="875"/>
      <c r="F23" s="875"/>
      <c r="G23" s="875"/>
    </row>
    <row r="24" s="860" customFormat="1" spans="1:7">
      <c r="A24" s="875"/>
      <c r="B24" s="875"/>
      <c r="C24" s="875"/>
      <c r="D24" s="875"/>
      <c r="E24" s="875"/>
      <c r="F24" s="875"/>
      <c r="G24" s="875"/>
    </row>
    <row r="25" s="860" customFormat="1" spans="1:7">
      <c r="A25" s="875"/>
      <c r="B25" s="875"/>
      <c r="C25" s="875"/>
      <c r="D25" s="875"/>
      <c r="E25" s="875"/>
      <c r="F25" s="875"/>
      <c r="G25" s="875"/>
    </row>
  </sheetData>
  <mergeCells count="7">
    <mergeCell ref="A1:G1"/>
    <mergeCell ref="A2:G2"/>
    <mergeCell ref="C3:F3"/>
    <mergeCell ref="A9:B9"/>
    <mergeCell ref="A3:A4"/>
    <mergeCell ref="B3:B4"/>
    <mergeCell ref="G3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N11" sqref="N11"/>
    </sheetView>
  </sheetViews>
  <sheetFormatPr defaultColWidth="8.7" defaultRowHeight="14.25"/>
  <cols>
    <col min="1" max="1" width="6.5" style="823" customWidth="1"/>
    <col min="2" max="2" width="21.5833333333333" style="823" customWidth="1"/>
    <col min="3" max="3" width="8.875" style="823" customWidth="1"/>
    <col min="4" max="4" width="8.75" style="823" customWidth="1"/>
    <col min="5" max="5" width="8.375" style="823" customWidth="1"/>
    <col min="6" max="6" width="8.875" style="823" customWidth="1"/>
    <col min="7" max="7" width="5.5" style="823" customWidth="1"/>
    <col min="8" max="8" width="8.5" style="823" customWidth="1"/>
    <col min="9" max="9" width="8.375" style="823" customWidth="1"/>
    <col min="10" max="10" width="7.875" style="823" customWidth="1"/>
    <col min="11" max="256" width="9.75" style="823" customWidth="1"/>
    <col min="257" max="16384" width="8.7" style="823"/>
  </cols>
  <sheetData>
    <row r="1" s="823" customFormat="1" ht="34.95" customHeight="1" spans="1:10">
      <c r="A1" s="826" t="s">
        <v>125</v>
      </c>
      <c r="B1" s="826"/>
      <c r="C1" s="826"/>
      <c r="D1" s="826"/>
      <c r="E1" s="826"/>
      <c r="F1" s="826"/>
      <c r="G1" s="826"/>
      <c r="H1" s="826"/>
      <c r="I1" s="826"/>
      <c r="J1" s="826"/>
    </row>
    <row r="2" s="824" customFormat="1" ht="26" customHeight="1" spans="1:10">
      <c r="A2" s="827" t="s">
        <v>126</v>
      </c>
      <c r="B2" s="827"/>
      <c r="C2" s="827"/>
      <c r="D2" s="827"/>
      <c r="E2" s="827"/>
      <c r="F2" s="827"/>
      <c r="G2" s="827"/>
      <c r="H2" s="827"/>
      <c r="I2" s="827"/>
      <c r="J2" s="827"/>
    </row>
    <row r="3" s="824" customFormat="1" ht="9" customHeight="1" spans="1:10">
      <c r="A3" s="827"/>
      <c r="B3" s="827"/>
      <c r="C3" s="827"/>
      <c r="D3" s="827"/>
      <c r="E3" s="827"/>
      <c r="F3" s="827"/>
      <c r="G3" s="827"/>
      <c r="H3" s="827"/>
      <c r="I3" s="827"/>
      <c r="J3" s="827"/>
    </row>
    <row r="4" s="824" customFormat="1" ht="25" customHeight="1" spans="1:10">
      <c r="A4" s="828" t="s">
        <v>2</v>
      </c>
      <c r="B4" s="829" t="s">
        <v>3</v>
      </c>
      <c r="C4" s="830" t="s">
        <v>127</v>
      </c>
      <c r="D4" s="830"/>
      <c r="E4" s="830"/>
      <c r="F4" s="830"/>
      <c r="G4" s="831" t="s">
        <v>128</v>
      </c>
      <c r="H4" s="831"/>
      <c r="I4" s="831"/>
      <c r="J4" s="829" t="s">
        <v>129</v>
      </c>
    </row>
    <row r="5" s="824" customFormat="1" ht="25" customHeight="1" spans="1:10">
      <c r="A5" s="832"/>
      <c r="B5" s="833"/>
      <c r="C5" s="834" t="s">
        <v>118</v>
      </c>
      <c r="D5" s="835" t="s">
        <v>119</v>
      </c>
      <c r="E5" s="835" t="s">
        <v>120</v>
      </c>
      <c r="F5" s="836" t="s">
        <v>121</v>
      </c>
      <c r="G5" s="831" t="s">
        <v>88</v>
      </c>
      <c r="H5" s="831" t="s">
        <v>130</v>
      </c>
      <c r="I5" s="831" t="s">
        <v>131</v>
      </c>
      <c r="J5" s="855"/>
    </row>
    <row r="6" s="824" customFormat="1" ht="25" customHeight="1" spans="1:10">
      <c r="A6" s="837" t="s">
        <v>9</v>
      </c>
      <c r="B6" s="838" t="s">
        <v>122</v>
      </c>
      <c r="C6" s="839">
        <f>C7+C12+C13+C14</f>
        <v>461.52</v>
      </c>
      <c r="D6" s="839">
        <f>D7+D12+D13+D14</f>
        <v>18.15</v>
      </c>
      <c r="E6" s="839"/>
      <c r="F6" s="839">
        <f>C6+D6</f>
        <v>479.67</v>
      </c>
      <c r="G6" s="831"/>
      <c r="H6" s="840"/>
      <c r="I6" s="840"/>
      <c r="J6" s="839">
        <f>F6/F24*100+0.01</f>
        <v>90.74</v>
      </c>
    </row>
    <row r="7" s="824" customFormat="1" ht="25" customHeight="1" spans="1:10">
      <c r="A7" s="837" t="s">
        <v>132</v>
      </c>
      <c r="B7" s="838" t="s">
        <v>8</v>
      </c>
      <c r="C7" s="839">
        <f>SUM(C8:C11)</f>
        <v>455.14</v>
      </c>
      <c r="D7" s="839"/>
      <c r="E7" s="839"/>
      <c r="F7" s="839">
        <f>C7+D7</f>
        <v>455.14</v>
      </c>
      <c r="G7" s="831"/>
      <c r="H7" s="840"/>
      <c r="I7" s="840"/>
      <c r="J7" s="839"/>
    </row>
    <row r="8" s="824" customFormat="1" ht="25" customHeight="1" spans="1:10">
      <c r="A8" s="841">
        <v>1</v>
      </c>
      <c r="B8" s="842" t="str">
        <f>建筑工程概算表2!B4</f>
        <v>兰跃渠砌护改造工程</v>
      </c>
      <c r="C8" s="839">
        <f>建筑工程概算表2!F4/10000</f>
        <v>179.41</v>
      </c>
      <c r="D8" s="839"/>
      <c r="E8" s="839"/>
      <c r="F8" s="839">
        <f t="shared" ref="F8:F14" si="0">C8+D8</f>
        <v>179.41</v>
      </c>
      <c r="G8" s="831"/>
      <c r="H8" s="840"/>
      <c r="I8" s="840"/>
      <c r="J8" s="839"/>
    </row>
    <row r="9" s="824" customFormat="1" ht="25" customHeight="1" spans="1:10">
      <c r="A9" s="841">
        <v>2</v>
      </c>
      <c r="B9" s="843" t="str">
        <f>建筑工程概算表2!B88</f>
        <v>兰丰支斗渠砌护改造工程</v>
      </c>
      <c r="C9" s="839">
        <f>建筑工程概算表2!F88/10000</f>
        <v>120.16</v>
      </c>
      <c r="D9" s="839"/>
      <c r="E9" s="839"/>
      <c r="F9" s="839">
        <f t="shared" si="0"/>
        <v>120.16</v>
      </c>
      <c r="G9" s="831"/>
      <c r="H9" s="840"/>
      <c r="I9" s="840"/>
      <c r="J9" s="839"/>
    </row>
    <row r="10" s="824" customFormat="1" ht="25" customHeight="1" spans="1:10">
      <c r="A10" s="841">
        <v>3</v>
      </c>
      <c r="B10" s="843" t="str">
        <f>建筑工程概算表2!B166</f>
        <v>兰丰一斗渠砌护改造工程</v>
      </c>
      <c r="C10" s="840">
        <f>建筑工程概算表2!F166/10000</f>
        <v>32.76</v>
      </c>
      <c r="D10" s="840"/>
      <c r="E10" s="844"/>
      <c r="F10" s="839">
        <f t="shared" si="0"/>
        <v>32.76</v>
      </c>
      <c r="G10" s="845"/>
      <c r="H10" s="845"/>
      <c r="I10" s="845"/>
      <c r="J10" s="845"/>
    </row>
    <row r="11" s="824" customFormat="1" ht="25" customHeight="1" spans="1:10">
      <c r="A11" s="841">
        <v>4</v>
      </c>
      <c r="B11" s="843" t="str">
        <f>建筑工程概算表2!B213</f>
        <v>跃进支斗渠砌护改造工程</v>
      </c>
      <c r="C11" s="840">
        <f>建筑工程概算表2!F213/10000</f>
        <v>122.81</v>
      </c>
      <c r="D11" s="840"/>
      <c r="E11" s="844"/>
      <c r="F11" s="839">
        <f t="shared" si="0"/>
        <v>122.81</v>
      </c>
      <c r="G11" s="845"/>
      <c r="H11" s="845"/>
      <c r="I11" s="845"/>
      <c r="J11" s="845"/>
    </row>
    <row r="12" s="824" customFormat="1" ht="35" customHeight="1" spans="1:10">
      <c r="A12" s="846" t="s">
        <v>133</v>
      </c>
      <c r="B12" s="847" t="s">
        <v>29</v>
      </c>
      <c r="C12" s="840"/>
      <c r="D12" s="840"/>
      <c r="E12" s="844"/>
      <c r="F12" s="839"/>
      <c r="G12" s="845"/>
      <c r="H12" s="845"/>
      <c r="I12" s="845"/>
      <c r="J12" s="845"/>
    </row>
    <row r="13" s="824" customFormat="1" ht="35" customHeight="1" spans="1:10">
      <c r="A13" s="846" t="s">
        <v>134</v>
      </c>
      <c r="B13" s="838" t="s">
        <v>30</v>
      </c>
      <c r="C13" s="840">
        <f>兰跃渠金属结构!G4/10000</f>
        <v>1.81</v>
      </c>
      <c r="D13" s="840">
        <f>兰跃渠金属结构!H4/10000</f>
        <v>18.15</v>
      </c>
      <c r="E13" s="844"/>
      <c r="F13" s="839">
        <f t="shared" si="0"/>
        <v>19.96</v>
      </c>
      <c r="G13" s="845"/>
      <c r="H13" s="845"/>
      <c r="I13" s="845"/>
      <c r="J13" s="845"/>
    </row>
    <row r="14" s="824" customFormat="1" ht="35" customHeight="1" spans="1:10">
      <c r="A14" s="846" t="s">
        <v>135</v>
      </c>
      <c r="B14" s="838" t="s">
        <v>136</v>
      </c>
      <c r="C14" s="840">
        <f>(C7+C13)*0.01</f>
        <v>4.57</v>
      </c>
      <c r="D14" s="844"/>
      <c r="E14" s="844"/>
      <c r="F14" s="839">
        <f t="shared" si="0"/>
        <v>4.57</v>
      </c>
      <c r="G14" s="845"/>
      <c r="H14" s="845"/>
      <c r="I14" s="845"/>
      <c r="J14" s="845"/>
    </row>
    <row r="15" s="824" customFormat="1" ht="25" customHeight="1" spans="1:10">
      <c r="A15" s="837" t="s">
        <v>14</v>
      </c>
      <c r="B15" s="838" t="s">
        <v>123</v>
      </c>
      <c r="C15" s="831"/>
      <c r="D15" s="831"/>
      <c r="E15" s="839">
        <f>SUM(E16:E19)</f>
        <v>33.58</v>
      </c>
      <c r="F15" s="839">
        <f t="shared" ref="F15:F22" si="1">E15</f>
        <v>33.58</v>
      </c>
      <c r="G15" s="831"/>
      <c r="H15" s="839"/>
      <c r="I15" s="856"/>
      <c r="J15" s="839">
        <f>F15/F24*100</f>
        <v>6.35</v>
      </c>
    </row>
    <row r="16" s="825" customFormat="1" ht="25" customHeight="1" spans="1:10">
      <c r="A16" s="831">
        <v>1</v>
      </c>
      <c r="B16" s="848" t="s">
        <v>137</v>
      </c>
      <c r="C16" s="831"/>
      <c r="D16" s="831"/>
      <c r="E16" s="849">
        <f t="shared" ref="E16:E18" si="2">H16*I16</f>
        <v>9.59</v>
      </c>
      <c r="F16" s="849">
        <f t="shared" si="1"/>
        <v>9.59</v>
      </c>
      <c r="G16" s="831" t="s">
        <v>138</v>
      </c>
      <c r="H16" s="839">
        <f>F6</f>
        <v>479.67</v>
      </c>
      <c r="I16" s="856">
        <v>0.02</v>
      </c>
      <c r="J16" s="849"/>
    </row>
    <row r="17" s="825" customFormat="1" ht="25" customHeight="1" spans="1:10">
      <c r="A17" s="831">
        <v>2</v>
      </c>
      <c r="B17" s="848" t="s">
        <v>81</v>
      </c>
      <c r="C17" s="831"/>
      <c r="D17" s="831"/>
      <c r="E17" s="849">
        <f t="shared" si="2"/>
        <v>7.2</v>
      </c>
      <c r="F17" s="849">
        <f t="shared" si="1"/>
        <v>7.2</v>
      </c>
      <c r="G17" s="831" t="s">
        <v>138</v>
      </c>
      <c r="H17" s="839">
        <f>H16</f>
        <v>479.67</v>
      </c>
      <c r="I17" s="856">
        <v>0.015</v>
      </c>
      <c r="J17" s="849"/>
    </row>
    <row r="18" s="825" customFormat="1" ht="25" customHeight="1" spans="1:10">
      <c r="A18" s="831">
        <v>3</v>
      </c>
      <c r="B18" s="850" t="s">
        <v>38</v>
      </c>
      <c r="C18" s="831"/>
      <c r="D18" s="831"/>
      <c r="E18" s="849">
        <f t="shared" si="2"/>
        <v>9.59</v>
      </c>
      <c r="F18" s="849">
        <f t="shared" si="1"/>
        <v>9.59</v>
      </c>
      <c r="G18" s="831" t="s">
        <v>138</v>
      </c>
      <c r="H18" s="839">
        <f>H16</f>
        <v>479.67</v>
      </c>
      <c r="I18" s="856">
        <v>0.02</v>
      </c>
      <c r="J18" s="849"/>
    </row>
    <row r="19" s="825" customFormat="1" ht="25" customHeight="1" spans="1:10">
      <c r="A19" s="831">
        <v>4</v>
      </c>
      <c r="B19" s="850" t="s">
        <v>43</v>
      </c>
      <c r="C19" s="831"/>
      <c r="D19" s="831"/>
      <c r="E19" s="849">
        <f>E20+E21</f>
        <v>7.2</v>
      </c>
      <c r="F19" s="849">
        <f t="shared" si="1"/>
        <v>7.2</v>
      </c>
      <c r="G19" s="831"/>
      <c r="H19" s="839"/>
      <c r="I19" s="856"/>
      <c r="J19" s="849"/>
    </row>
    <row r="20" s="825" customFormat="1" ht="25" customHeight="1" spans="1:10">
      <c r="A20" s="831">
        <v>4.1</v>
      </c>
      <c r="B20" s="850" t="s">
        <v>139</v>
      </c>
      <c r="C20" s="831"/>
      <c r="D20" s="831"/>
      <c r="E20" s="849">
        <f>H20*I20</f>
        <v>5.76</v>
      </c>
      <c r="F20" s="849">
        <f t="shared" si="1"/>
        <v>5.76</v>
      </c>
      <c r="G20" s="831" t="s">
        <v>138</v>
      </c>
      <c r="H20" s="839">
        <f>H16</f>
        <v>479.67</v>
      </c>
      <c r="I20" s="856">
        <v>0.012</v>
      </c>
      <c r="J20" s="849"/>
    </row>
    <row r="21" s="825" customFormat="1" ht="25" customHeight="1" spans="1:10">
      <c r="A21" s="831">
        <v>4.2</v>
      </c>
      <c r="B21" s="850" t="s">
        <v>140</v>
      </c>
      <c r="C21" s="831"/>
      <c r="D21" s="831"/>
      <c r="E21" s="849">
        <f>H21*I21</f>
        <v>1.44</v>
      </c>
      <c r="F21" s="849">
        <f t="shared" si="1"/>
        <v>1.44</v>
      </c>
      <c r="G21" s="831" t="s">
        <v>138</v>
      </c>
      <c r="H21" s="839">
        <f>H16</f>
        <v>479.67</v>
      </c>
      <c r="I21" s="856">
        <v>0.003</v>
      </c>
      <c r="J21" s="849"/>
    </row>
    <row r="22" s="825" customFormat="1" ht="25" customHeight="1" spans="1:13">
      <c r="A22" s="831" t="s">
        <v>16</v>
      </c>
      <c r="B22" s="850" t="s">
        <v>141</v>
      </c>
      <c r="C22" s="831"/>
      <c r="D22" s="831"/>
      <c r="E22" s="849">
        <f>H22*I22</f>
        <v>15.4</v>
      </c>
      <c r="F22" s="849">
        <f t="shared" si="1"/>
        <v>15.4</v>
      </c>
      <c r="G22" s="831" t="s">
        <v>138</v>
      </c>
      <c r="H22" s="839">
        <f>F6+F15</f>
        <v>513.25</v>
      </c>
      <c r="I22" s="856">
        <v>0.03</v>
      </c>
      <c r="J22" s="849">
        <f>F22/F24*100</f>
        <v>2.91</v>
      </c>
      <c r="M22" s="857"/>
    </row>
    <row r="23" s="825" customFormat="1" ht="25" customHeight="1" spans="1:13">
      <c r="A23" s="837"/>
      <c r="B23" s="847"/>
      <c r="C23" s="831"/>
      <c r="D23" s="831"/>
      <c r="E23" s="849"/>
      <c r="F23" s="849"/>
      <c r="G23" s="831"/>
      <c r="H23" s="849"/>
      <c r="I23" s="856"/>
      <c r="J23" s="849"/>
      <c r="M23" s="858"/>
    </row>
    <row r="24" s="824" customFormat="1" ht="25" customHeight="1" spans="1:10">
      <c r="A24" s="851" t="s">
        <v>124</v>
      </c>
      <c r="B24" s="852"/>
      <c r="C24" s="853">
        <f>C6</f>
        <v>461.52</v>
      </c>
      <c r="D24" s="853">
        <f>D6</f>
        <v>18.15</v>
      </c>
      <c r="E24" s="853">
        <f>E15+E22</f>
        <v>48.98</v>
      </c>
      <c r="F24" s="853">
        <f>F6+F15+F22</f>
        <v>528.65</v>
      </c>
      <c r="G24" s="853"/>
      <c r="H24" s="853"/>
      <c r="I24" s="853"/>
      <c r="J24" s="859">
        <f>J6+J15+J22</f>
        <v>100</v>
      </c>
    </row>
    <row r="25" s="824" customFormat="1" ht="25" customHeight="1" spans="1:10">
      <c r="A25" s="854"/>
      <c r="B25" s="854"/>
      <c r="C25" s="854"/>
      <c r="D25" s="854"/>
      <c r="E25" s="854"/>
      <c r="F25" s="854"/>
      <c r="G25" s="854"/>
      <c r="H25" s="854"/>
      <c r="I25" s="854"/>
      <c r="J25" s="854"/>
    </row>
    <row r="26" s="824" customFormat="1" ht="25" customHeight="1" spans="1:10">
      <c r="A26" s="854"/>
      <c r="B26" s="854"/>
      <c r="C26" s="854"/>
      <c r="D26" s="854"/>
      <c r="E26" s="854"/>
      <c r="F26" s="854"/>
      <c r="G26" s="854"/>
      <c r="H26" s="854"/>
      <c r="I26" s="854"/>
      <c r="J26" s="854"/>
    </row>
    <row r="27" s="824" customFormat="1" ht="25" customHeight="1" spans="1:10">
      <c r="A27" s="854"/>
      <c r="B27" s="854"/>
      <c r="C27" s="854"/>
      <c r="D27" s="854"/>
      <c r="E27" s="854"/>
      <c r="F27" s="854"/>
      <c r="G27" s="854"/>
      <c r="H27" s="854"/>
      <c r="I27" s="854"/>
      <c r="J27" s="854"/>
    </row>
    <row r="28" s="823" customFormat="1" ht="26" customHeight="1" spans="1:10">
      <c r="A28" s="854"/>
      <c r="B28" s="854"/>
      <c r="C28" s="854"/>
      <c r="D28" s="854"/>
      <c r="E28" s="854"/>
      <c r="F28" s="854"/>
      <c r="G28" s="854"/>
      <c r="H28" s="854"/>
      <c r="I28" s="854"/>
      <c r="J28" s="854"/>
    </row>
    <row r="29" s="823" customFormat="1" spans="1:10">
      <c r="A29" s="854"/>
      <c r="B29" s="854"/>
      <c r="C29" s="854"/>
      <c r="D29" s="854"/>
      <c r="E29" s="854"/>
      <c r="F29" s="854"/>
      <c r="G29" s="854"/>
      <c r="H29" s="854"/>
      <c r="I29" s="854"/>
      <c r="J29" s="854"/>
    </row>
    <row r="30" s="823" customFormat="1" spans="1:10">
      <c r="A30" s="824"/>
      <c r="B30" s="824"/>
      <c r="C30" s="824"/>
      <c r="D30" s="824"/>
      <c r="E30" s="824"/>
      <c r="F30" s="824"/>
      <c r="G30" s="824"/>
      <c r="H30" s="824"/>
      <c r="I30" s="824"/>
      <c r="J30" s="824"/>
    </row>
    <row r="31" s="823" customFormat="1" spans="1:10">
      <c r="A31" s="824"/>
      <c r="B31" s="824"/>
      <c r="C31" s="824"/>
      <c r="D31" s="824"/>
      <c r="E31" s="824"/>
      <c r="F31" s="824"/>
      <c r="G31" s="824"/>
      <c r="H31" s="824"/>
      <c r="I31" s="824"/>
      <c r="J31" s="824"/>
    </row>
    <row r="32" s="823" customFormat="1" spans="1:10">
      <c r="A32" s="824"/>
      <c r="B32" s="824"/>
      <c r="C32" s="824"/>
      <c r="D32" s="824"/>
      <c r="E32" s="824"/>
      <c r="F32" s="824"/>
      <c r="G32" s="824"/>
      <c r="H32" s="824"/>
      <c r="I32" s="824"/>
      <c r="J32" s="824"/>
    </row>
    <row r="33" s="823" customFormat="1" spans="1:10">
      <c r="A33" s="824"/>
      <c r="B33" s="824"/>
      <c r="C33" s="824"/>
      <c r="D33" s="824"/>
      <c r="E33" s="824"/>
      <c r="F33" s="824"/>
      <c r="G33" s="824"/>
      <c r="H33" s="824"/>
      <c r="I33" s="824"/>
      <c r="J33" s="824"/>
    </row>
  </sheetData>
  <mergeCells count="8">
    <mergeCell ref="A1:J1"/>
    <mergeCell ref="C4:F4"/>
    <mergeCell ref="G4:I4"/>
    <mergeCell ref="A24:B24"/>
    <mergeCell ref="A4:A5"/>
    <mergeCell ref="B4:B5"/>
    <mergeCell ref="J4:J5"/>
    <mergeCell ref="A2:J3"/>
  </mergeCells>
  <pageMargins left="0.314583333333333" right="0.156944444444444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CC99"/>
  </sheetPr>
  <dimension ref="A1:G272"/>
  <sheetViews>
    <sheetView view="pageBreakPreview" zoomScaleNormal="100" workbookViewId="0">
      <pane ySplit="2" topLeftCell="A258" activePane="bottomLeft" state="frozen"/>
      <selection/>
      <selection pane="bottomLeft" activeCell="B268" sqref="B268"/>
    </sheetView>
  </sheetViews>
  <sheetFormatPr defaultColWidth="9" defaultRowHeight="14.25" outlineLevelCol="6"/>
  <cols>
    <col min="1" max="1" width="5" style="791" customWidth="1"/>
    <col min="2" max="2" width="29.875" style="792" customWidth="1"/>
    <col min="3" max="3" width="6.125" style="793" customWidth="1"/>
    <col min="4" max="4" width="9.75" style="794" customWidth="1"/>
    <col min="5" max="5" width="11.125" style="794" customWidth="1"/>
    <col min="6" max="6" width="12" style="794" customWidth="1"/>
    <col min="7" max="7" width="5.375" style="793" customWidth="1"/>
    <col min="8" max="16384" width="9" style="793"/>
  </cols>
  <sheetData>
    <row r="1" ht="26.25" customHeight="1" spans="1:7">
      <c r="A1" s="795" t="s">
        <v>142</v>
      </c>
      <c r="B1" s="796"/>
      <c r="C1" s="796"/>
      <c r="D1" s="796"/>
      <c r="E1" s="796"/>
      <c r="F1" s="796"/>
      <c r="G1" s="796"/>
    </row>
    <row r="2" s="789" customFormat="1" ht="17.1" customHeight="1" spans="1:7">
      <c r="A2" s="797" t="s">
        <v>2</v>
      </c>
      <c r="B2" s="798" t="s">
        <v>143</v>
      </c>
      <c r="C2" s="798" t="s">
        <v>88</v>
      </c>
      <c r="D2" s="799" t="s">
        <v>130</v>
      </c>
      <c r="E2" s="799" t="s">
        <v>144</v>
      </c>
      <c r="F2" s="799" t="s">
        <v>145</v>
      </c>
      <c r="G2" s="800" t="s">
        <v>146</v>
      </c>
    </row>
    <row r="3" s="789" customFormat="1" ht="17.1" customHeight="1" spans="1:7">
      <c r="A3" s="775" t="s">
        <v>147</v>
      </c>
      <c r="B3" s="775"/>
      <c r="C3" s="801"/>
      <c r="D3" s="799"/>
      <c r="E3" s="799"/>
      <c r="F3" s="799">
        <f>F4+F88+F166+F213</f>
        <v>4551300.11</v>
      </c>
      <c r="G3" s="798"/>
    </row>
    <row r="4" s="789" customFormat="1" ht="17.1" customHeight="1" spans="1:7">
      <c r="A4" s="802" t="s">
        <v>9</v>
      </c>
      <c r="B4" s="775" t="s">
        <v>148</v>
      </c>
      <c r="C4" s="798"/>
      <c r="D4" s="799"/>
      <c r="E4" s="799"/>
      <c r="F4" s="799">
        <f>F5+F29</f>
        <v>1794060.25</v>
      </c>
      <c r="G4" s="798"/>
    </row>
    <row r="5" s="789" customFormat="1" ht="17.1" customHeight="1" spans="1:7">
      <c r="A5" s="797">
        <v>1</v>
      </c>
      <c r="B5" s="803" t="s">
        <v>149</v>
      </c>
      <c r="C5" s="804" t="s">
        <v>150</v>
      </c>
      <c r="D5" s="805">
        <f>D6+D22</f>
        <v>3.304</v>
      </c>
      <c r="E5" s="806"/>
      <c r="F5" s="807">
        <f>F6+F22+F14</f>
        <v>1689951.9</v>
      </c>
      <c r="G5" s="798"/>
    </row>
    <row r="6" s="789" customFormat="1" ht="17.1" customHeight="1" spans="1:7">
      <c r="A6" s="797" t="s">
        <v>151</v>
      </c>
      <c r="B6" s="803" t="s">
        <v>152</v>
      </c>
      <c r="C6" s="804" t="s">
        <v>150</v>
      </c>
      <c r="D6" s="805">
        <v>0.654</v>
      </c>
      <c r="E6" s="806"/>
      <c r="F6" s="807">
        <f>SUM(F7:F13)</f>
        <v>692106.96</v>
      </c>
      <c r="G6" s="798"/>
    </row>
    <row r="7" s="789" customFormat="1" ht="17.1" customHeight="1" spans="1:7">
      <c r="A7" s="797"/>
      <c r="B7" s="779" t="s">
        <v>153</v>
      </c>
      <c r="C7" s="784" t="s">
        <v>154</v>
      </c>
      <c r="D7" s="808">
        <v>95.42</v>
      </c>
      <c r="E7" s="808">
        <f>E23</f>
        <v>4</v>
      </c>
      <c r="F7" s="808">
        <f>D7*E7</f>
        <v>381.68</v>
      </c>
      <c r="G7" s="798"/>
    </row>
    <row r="8" s="789" customFormat="1" ht="17.1" customHeight="1" spans="1:7">
      <c r="A8" s="797"/>
      <c r="B8" s="779" t="s">
        <v>155</v>
      </c>
      <c r="C8" s="784" t="s">
        <v>154</v>
      </c>
      <c r="D8" s="808">
        <v>822.22</v>
      </c>
      <c r="E8" s="808">
        <f>E24</f>
        <v>6.26</v>
      </c>
      <c r="F8" s="808">
        <f t="shared" ref="F8:F13" si="0">D8*E8</f>
        <v>5147.1</v>
      </c>
      <c r="G8" s="798"/>
    </row>
    <row r="9" s="789" customFormat="1" ht="17.1" customHeight="1" spans="1:7">
      <c r="A9" s="797"/>
      <c r="B9" s="779" t="s">
        <v>156</v>
      </c>
      <c r="C9" s="784" t="s">
        <v>154</v>
      </c>
      <c r="D9" s="809">
        <f>(1.4^2+1.4^2)^0.5*0.2*2*D6*1000+0.8*0.2*D6*1000</f>
        <v>622.582</v>
      </c>
      <c r="E9" s="808">
        <f>'单价汇总 3'!D25/100</f>
        <v>633.07</v>
      </c>
      <c r="F9" s="808">
        <f t="shared" si="0"/>
        <v>394137.99</v>
      </c>
      <c r="G9" s="798"/>
    </row>
    <row r="10" s="789" customFormat="1" ht="17.1" customHeight="1" spans="1:7">
      <c r="A10" s="797"/>
      <c r="B10" s="779" t="s">
        <v>157</v>
      </c>
      <c r="C10" s="784" t="s">
        <v>158</v>
      </c>
      <c r="D10" s="809">
        <f>22.032+14.24</f>
        <v>36.272</v>
      </c>
      <c r="E10" s="808">
        <f>'单价汇总 3'!D17</f>
        <v>7426.63</v>
      </c>
      <c r="F10" s="808">
        <f t="shared" si="0"/>
        <v>269378.72</v>
      </c>
      <c r="G10" s="798"/>
    </row>
    <row r="11" s="789" customFormat="1" ht="17.1" customHeight="1" spans="1:7">
      <c r="A11" s="797"/>
      <c r="B11" s="779" t="s">
        <v>159</v>
      </c>
      <c r="C11" s="784" t="s">
        <v>154</v>
      </c>
      <c r="D11" s="809">
        <f>((1.4^2+1.4^2)^0.5*2+0.8)*0.03*0.2*D6*1000/15</f>
        <v>1.245</v>
      </c>
      <c r="E11" s="808">
        <f>E28</f>
        <v>5500</v>
      </c>
      <c r="F11" s="808">
        <f t="shared" si="0"/>
        <v>6847.5</v>
      </c>
      <c r="G11" s="798"/>
    </row>
    <row r="12" s="789" customFormat="1" ht="17.1" customHeight="1" spans="1:7">
      <c r="A12" s="797"/>
      <c r="B12" s="779" t="s">
        <v>160</v>
      </c>
      <c r="C12" s="784" t="s">
        <v>161</v>
      </c>
      <c r="D12" s="809">
        <f>D6*1000/2*0.4</f>
        <v>130.8</v>
      </c>
      <c r="E12" s="808">
        <f>管材价格!E9/1000</f>
        <v>6.12</v>
      </c>
      <c r="F12" s="808">
        <f t="shared" si="0"/>
        <v>800.5</v>
      </c>
      <c r="G12" s="798"/>
    </row>
    <row r="13" s="789" customFormat="1" ht="17.1" customHeight="1" spans="1:7">
      <c r="A13" s="797"/>
      <c r="B13" s="779" t="s">
        <v>162</v>
      </c>
      <c r="C13" s="784" t="s">
        <v>154</v>
      </c>
      <c r="D13" s="809">
        <f>0.4*0.4*D6*1000</f>
        <v>104.64</v>
      </c>
      <c r="E13" s="808">
        <v>147.3</v>
      </c>
      <c r="F13" s="808">
        <f t="shared" si="0"/>
        <v>15413.47</v>
      </c>
      <c r="G13" s="798"/>
    </row>
    <row r="14" s="789" customFormat="1" ht="17.1" customHeight="1" spans="1:7">
      <c r="A14" s="797" t="s">
        <v>163</v>
      </c>
      <c r="B14" s="803" t="s">
        <v>164</v>
      </c>
      <c r="C14" s="804" t="s">
        <v>150</v>
      </c>
      <c r="D14" s="805">
        <f>0.823-0.654</f>
        <v>0.169</v>
      </c>
      <c r="E14" s="806"/>
      <c r="F14" s="807">
        <f>SUM(F15:F21)</f>
        <v>192075.25</v>
      </c>
      <c r="G14" s="798"/>
    </row>
    <row r="15" s="789" customFormat="1" ht="17.1" customHeight="1" spans="1:7">
      <c r="A15" s="797"/>
      <c r="B15" s="779" t="s">
        <v>153</v>
      </c>
      <c r="C15" s="784" t="s">
        <v>154</v>
      </c>
      <c r="D15" s="808">
        <v>116.43</v>
      </c>
      <c r="E15" s="808">
        <f t="shared" ref="E15:E21" si="1">E7</f>
        <v>4</v>
      </c>
      <c r="F15" s="808">
        <f>D15*E15</f>
        <v>465.72</v>
      </c>
      <c r="G15" s="798"/>
    </row>
    <row r="16" s="789" customFormat="1" ht="17.1" customHeight="1" spans="1:7">
      <c r="A16" s="797"/>
      <c r="B16" s="779" t="s">
        <v>155</v>
      </c>
      <c r="C16" s="784" t="s">
        <v>154</v>
      </c>
      <c r="D16" s="808">
        <v>188.09</v>
      </c>
      <c r="E16" s="808">
        <f t="shared" si="1"/>
        <v>6.26</v>
      </c>
      <c r="F16" s="808">
        <f t="shared" ref="F16:F21" si="2">D16*E16</f>
        <v>1177.44</v>
      </c>
      <c r="G16" s="798"/>
    </row>
    <row r="17" s="789" customFormat="1" ht="17.1" customHeight="1" spans="1:7">
      <c r="A17" s="797"/>
      <c r="B17" s="779" t="s">
        <v>156</v>
      </c>
      <c r="C17" s="784" t="s">
        <v>154</v>
      </c>
      <c r="D17" s="809">
        <f>(1.7+1.4*2)*0.2*D14*1000</f>
        <v>152.1</v>
      </c>
      <c r="E17" s="808">
        <f t="shared" si="1"/>
        <v>633.07</v>
      </c>
      <c r="F17" s="808">
        <f t="shared" si="2"/>
        <v>96289.95</v>
      </c>
      <c r="G17" s="798"/>
    </row>
    <row r="18" s="789" customFormat="1" ht="17.1" customHeight="1" spans="1:7">
      <c r="A18" s="797"/>
      <c r="B18" s="779" t="s">
        <v>157</v>
      </c>
      <c r="C18" s="784" t="s">
        <v>158</v>
      </c>
      <c r="D18" s="809">
        <f>6.131+5.134+0.582</f>
        <v>11.847</v>
      </c>
      <c r="E18" s="808">
        <f t="shared" si="1"/>
        <v>7426.63</v>
      </c>
      <c r="F18" s="808">
        <f t="shared" si="2"/>
        <v>87983.29</v>
      </c>
      <c r="G18" s="798"/>
    </row>
    <row r="19" s="789" customFormat="1" ht="17.1" customHeight="1" spans="1:7">
      <c r="A19" s="797"/>
      <c r="B19" s="779" t="s">
        <v>159</v>
      </c>
      <c r="C19" s="784" t="s">
        <v>154</v>
      </c>
      <c r="D19" s="809">
        <f>(2.5+1.4*2)*0.03*0.2*D14*1000/15</f>
        <v>0.358</v>
      </c>
      <c r="E19" s="808">
        <f t="shared" si="1"/>
        <v>5500</v>
      </c>
      <c r="F19" s="808">
        <f t="shared" si="2"/>
        <v>1969</v>
      </c>
      <c r="G19" s="798"/>
    </row>
    <row r="20" s="789" customFormat="1" ht="17.1" customHeight="1" spans="1:7">
      <c r="A20" s="797"/>
      <c r="B20" s="779" t="s">
        <v>160</v>
      </c>
      <c r="C20" s="784" t="s">
        <v>161</v>
      </c>
      <c r="D20" s="809">
        <f>D14*1000/2*0.4</f>
        <v>33.8</v>
      </c>
      <c r="E20" s="808">
        <f t="shared" si="1"/>
        <v>6.12</v>
      </c>
      <c r="F20" s="808">
        <f t="shared" si="2"/>
        <v>206.86</v>
      </c>
      <c r="G20" s="798"/>
    </row>
    <row r="21" s="789" customFormat="1" ht="17.1" customHeight="1" spans="1:7">
      <c r="A21" s="797"/>
      <c r="B21" s="779" t="s">
        <v>162</v>
      </c>
      <c r="C21" s="784" t="s">
        <v>154</v>
      </c>
      <c r="D21" s="809">
        <f>0.4*0.4*D14*1000</f>
        <v>27.04</v>
      </c>
      <c r="E21" s="808">
        <f t="shared" si="1"/>
        <v>147.3</v>
      </c>
      <c r="F21" s="808">
        <f t="shared" si="2"/>
        <v>3982.99</v>
      </c>
      <c r="G21" s="798"/>
    </row>
    <row r="22" s="789" customFormat="1" ht="17.1" customHeight="1" spans="1:7">
      <c r="A22" s="797" t="s">
        <v>165</v>
      </c>
      <c r="B22" s="803" t="s">
        <v>166</v>
      </c>
      <c r="C22" s="804" t="s">
        <v>150</v>
      </c>
      <c r="D22" s="805">
        <f>3.473-0.823</f>
        <v>2.65</v>
      </c>
      <c r="E22" s="806"/>
      <c r="F22" s="807">
        <f>SUM(F23:F28)</f>
        <v>805769.69</v>
      </c>
      <c r="G22" s="810"/>
    </row>
    <row r="23" s="789" customFormat="1" ht="17.1" customHeight="1" spans="1:7">
      <c r="A23" s="811"/>
      <c r="B23" s="779" t="s">
        <v>153</v>
      </c>
      <c r="C23" s="784" t="s">
        <v>154</v>
      </c>
      <c r="D23" s="808">
        <v>119.71</v>
      </c>
      <c r="E23" s="812">
        <f>('单价汇总 3'!D7*0.2+'单价汇总 3'!D8*0.8)/100</f>
        <v>4</v>
      </c>
      <c r="F23" s="812">
        <f>D23*E23</f>
        <v>478.84</v>
      </c>
      <c r="G23" s="810"/>
    </row>
    <row r="24" s="789" customFormat="1" ht="17.1" customHeight="1" spans="1:7">
      <c r="A24" s="811"/>
      <c r="B24" s="779" t="s">
        <v>155</v>
      </c>
      <c r="C24" s="784" t="s">
        <v>154</v>
      </c>
      <c r="D24" s="808">
        <v>3803.33</v>
      </c>
      <c r="E24" s="812">
        <f>'单价汇总 3'!D27/100</f>
        <v>6.26</v>
      </c>
      <c r="F24" s="812">
        <f t="shared" ref="F24:F28" si="3">D24*E24</f>
        <v>23808.85</v>
      </c>
      <c r="G24" s="810"/>
    </row>
    <row r="25" s="789" customFormat="1" ht="17.1" customHeight="1" spans="1:7">
      <c r="A25" s="811"/>
      <c r="B25" s="779" t="s">
        <v>167</v>
      </c>
      <c r="C25" s="784" t="s">
        <v>154</v>
      </c>
      <c r="D25" s="808">
        <f>D24-D23</f>
        <v>3683.62</v>
      </c>
      <c r="E25" s="812">
        <f>'单价汇总 3'!D33/100</f>
        <v>13.76</v>
      </c>
      <c r="F25" s="812">
        <f t="shared" si="3"/>
        <v>50686.61</v>
      </c>
      <c r="G25" s="810"/>
    </row>
    <row r="26" s="789" customFormat="1" ht="17.1" customHeight="1" spans="1:7">
      <c r="A26" s="811"/>
      <c r="B26" s="779" t="s">
        <v>168</v>
      </c>
      <c r="C26" s="784" t="s">
        <v>169</v>
      </c>
      <c r="D26" s="808">
        <f>4.787*D22*1000</f>
        <v>12685.55</v>
      </c>
      <c r="E26" s="812">
        <f>'单价汇总 3'!D26/100</f>
        <v>0.7</v>
      </c>
      <c r="F26" s="812">
        <f t="shared" si="3"/>
        <v>8879.89</v>
      </c>
      <c r="G26" s="810"/>
    </row>
    <row r="27" s="789" customFormat="1" ht="17.1" customHeight="1" spans="1:7">
      <c r="A27" s="811"/>
      <c r="B27" s="779" t="s">
        <v>170</v>
      </c>
      <c r="C27" s="784" t="s">
        <v>154</v>
      </c>
      <c r="D27" s="808">
        <f>D22*1000/7.48*2.496</f>
        <v>884.28</v>
      </c>
      <c r="E27" s="812">
        <f>'单价汇总 3'!D31/100</f>
        <v>794.37</v>
      </c>
      <c r="F27" s="812">
        <f t="shared" si="3"/>
        <v>702445.5</v>
      </c>
      <c r="G27" s="810"/>
    </row>
    <row r="28" s="789" customFormat="1" ht="17.1" customHeight="1" spans="1:7">
      <c r="A28" s="811"/>
      <c r="B28" s="779" t="s">
        <v>159</v>
      </c>
      <c r="C28" s="784" t="s">
        <v>154</v>
      </c>
      <c r="D28" s="808">
        <f>0.01*D22*1000/7.48</f>
        <v>3.54</v>
      </c>
      <c r="E28" s="812">
        <f>'单价汇总 3'!D18</f>
        <v>5500</v>
      </c>
      <c r="F28" s="812">
        <f t="shared" si="3"/>
        <v>19470</v>
      </c>
      <c r="G28" s="810"/>
    </row>
    <row r="29" s="789" customFormat="1" ht="17.1" customHeight="1" spans="1:7">
      <c r="A29" s="797">
        <v>2</v>
      </c>
      <c r="B29" s="803" t="s">
        <v>171</v>
      </c>
      <c r="C29" s="798" t="s">
        <v>172</v>
      </c>
      <c r="D29" s="806">
        <f>D30+D40+D49+D59</f>
        <v>5</v>
      </c>
      <c r="E29" s="807"/>
      <c r="F29" s="807">
        <f>F30+F40+F49+F59+F68+F78</f>
        <v>104108.35</v>
      </c>
      <c r="G29" s="810"/>
    </row>
    <row r="30" s="789" customFormat="1" ht="17.1" customHeight="1" spans="1:7">
      <c r="A30" s="797">
        <v>2.1</v>
      </c>
      <c r="B30" s="813" t="s">
        <v>173</v>
      </c>
      <c r="C30" s="798" t="s">
        <v>172</v>
      </c>
      <c r="D30" s="806">
        <v>2</v>
      </c>
      <c r="E30" s="807">
        <f>F31</f>
        <v>18763.2</v>
      </c>
      <c r="F30" s="807">
        <f>D30*E30</f>
        <v>37526.4</v>
      </c>
      <c r="G30" s="810"/>
    </row>
    <row r="31" s="789" customFormat="1" ht="17.1" customHeight="1" spans="1:7">
      <c r="A31" s="811" t="s">
        <v>174</v>
      </c>
      <c r="B31" s="814" t="s">
        <v>175</v>
      </c>
      <c r="C31" s="810" t="s">
        <v>172</v>
      </c>
      <c r="D31" s="815">
        <v>1</v>
      </c>
      <c r="E31" s="812"/>
      <c r="F31" s="812">
        <f>SUM(F32:F39)</f>
        <v>18763.2</v>
      </c>
      <c r="G31" s="810"/>
    </row>
    <row r="32" s="789" customFormat="1" ht="17.1" customHeight="1" spans="1:7">
      <c r="A32" s="811"/>
      <c r="B32" s="779" t="s">
        <v>153</v>
      </c>
      <c r="C32" s="784" t="s">
        <v>154</v>
      </c>
      <c r="D32" s="812">
        <v>87</v>
      </c>
      <c r="E32" s="812">
        <f>('单价汇总 3'!D8*0.8+'单价汇总 3'!D7*0.2)/100</f>
        <v>4</v>
      </c>
      <c r="F32" s="812">
        <f>D32*E32</f>
        <v>348</v>
      </c>
      <c r="G32" s="810"/>
    </row>
    <row r="33" s="789" customFormat="1" ht="17.1" customHeight="1" spans="1:7">
      <c r="A33" s="811"/>
      <c r="B33" s="779" t="s">
        <v>155</v>
      </c>
      <c r="C33" s="784" t="s">
        <v>154</v>
      </c>
      <c r="D33" s="812">
        <f>D32*0.75</f>
        <v>65.25</v>
      </c>
      <c r="E33" s="812">
        <f>'单价汇总 3'!D11/100*0.3+'单价汇总 3'!D10*0.7/100</f>
        <v>10.78</v>
      </c>
      <c r="F33" s="812">
        <f t="shared" ref="F33:F39" si="4">D33*E33</f>
        <v>703.4</v>
      </c>
      <c r="G33" s="810"/>
    </row>
    <row r="34" s="789" customFormat="1" ht="17.1" customHeight="1" spans="1:7">
      <c r="A34" s="811"/>
      <c r="B34" s="814" t="s">
        <v>176</v>
      </c>
      <c r="C34" s="784" t="s">
        <v>154</v>
      </c>
      <c r="D34" s="812">
        <v>14.85</v>
      </c>
      <c r="E34" s="812">
        <f>'单价汇总 3'!D15/100</f>
        <v>352.57</v>
      </c>
      <c r="F34" s="812">
        <f t="shared" si="4"/>
        <v>5235.66</v>
      </c>
      <c r="G34" s="810"/>
    </row>
    <row r="35" s="789" customFormat="1" ht="17.1" customHeight="1" spans="1:7">
      <c r="A35" s="811"/>
      <c r="B35" s="814" t="s">
        <v>177</v>
      </c>
      <c r="C35" s="784" t="s">
        <v>154</v>
      </c>
      <c r="D35" s="812">
        <f>8.72+1.75</f>
        <v>10.47</v>
      </c>
      <c r="E35" s="812">
        <f>'单价汇总 3'!D14/100</f>
        <v>336.88</v>
      </c>
      <c r="F35" s="812">
        <f t="shared" si="4"/>
        <v>3527.13</v>
      </c>
      <c r="G35" s="810"/>
    </row>
    <row r="36" s="789" customFormat="1" ht="17.1" customHeight="1" spans="1:7">
      <c r="A36" s="811"/>
      <c r="B36" s="814" t="s">
        <v>178</v>
      </c>
      <c r="C36" s="784" t="s">
        <v>154</v>
      </c>
      <c r="D36" s="812">
        <v>1.26</v>
      </c>
      <c r="E36" s="812">
        <f>'单价汇总 3'!D13/100</f>
        <v>348.22</v>
      </c>
      <c r="F36" s="812">
        <f t="shared" si="4"/>
        <v>438.76</v>
      </c>
      <c r="G36" s="810"/>
    </row>
    <row r="37" s="789" customFormat="1" ht="17.1" customHeight="1" spans="1:7">
      <c r="A37" s="811"/>
      <c r="B37" s="814" t="s">
        <v>179</v>
      </c>
      <c r="C37" s="784" t="s">
        <v>154</v>
      </c>
      <c r="D37" s="812">
        <v>0.88</v>
      </c>
      <c r="E37" s="812">
        <f>'单价汇总 3'!D23/100</f>
        <v>500.17</v>
      </c>
      <c r="F37" s="812">
        <f t="shared" si="4"/>
        <v>440.15</v>
      </c>
      <c r="G37" s="810"/>
    </row>
    <row r="38" s="789" customFormat="1" ht="17.1" customHeight="1" spans="1:7">
      <c r="A38" s="811"/>
      <c r="B38" s="814" t="s">
        <v>180</v>
      </c>
      <c r="C38" s="784" t="s">
        <v>154</v>
      </c>
      <c r="D38" s="812">
        <v>4.48</v>
      </c>
      <c r="E38" s="812">
        <f>'单价汇总 3'!D21/100</f>
        <v>955.92</v>
      </c>
      <c r="F38" s="812">
        <f t="shared" si="4"/>
        <v>4282.52</v>
      </c>
      <c r="G38" s="810"/>
    </row>
    <row r="39" s="789" customFormat="1" ht="17.1" customHeight="1" spans="1:7">
      <c r="A39" s="811"/>
      <c r="B39" s="814" t="s">
        <v>157</v>
      </c>
      <c r="C39" s="784" t="s">
        <v>158</v>
      </c>
      <c r="D39" s="812">
        <f>(95.83*3+111.94*2)/1000</f>
        <v>0.51</v>
      </c>
      <c r="E39" s="812">
        <f>'单价汇总 3'!D17</f>
        <v>7426.63</v>
      </c>
      <c r="F39" s="812">
        <f t="shared" si="4"/>
        <v>3787.58</v>
      </c>
      <c r="G39" s="810"/>
    </row>
    <row r="40" s="789" customFormat="1" ht="17.1" customHeight="1" spans="1:7">
      <c r="A40" s="797">
        <v>2.2</v>
      </c>
      <c r="B40" s="816" t="s">
        <v>181</v>
      </c>
      <c r="C40" s="798" t="s">
        <v>172</v>
      </c>
      <c r="D40" s="817">
        <v>1</v>
      </c>
      <c r="E40" s="799">
        <f>F41</f>
        <v>5794.03</v>
      </c>
      <c r="F40" s="799">
        <f t="shared" ref="F40:F59" si="5">D40*E40</f>
        <v>5794.03</v>
      </c>
      <c r="G40" s="810"/>
    </row>
    <row r="41" s="789" customFormat="1" ht="17.1" customHeight="1" spans="1:7">
      <c r="A41" s="811" t="s">
        <v>174</v>
      </c>
      <c r="B41" s="814" t="s">
        <v>182</v>
      </c>
      <c r="C41" s="810" t="s">
        <v>172</v>
      </c>
      <c r="D41" s="815">
        <v>1</v>
      </c>
      <c r="E41" s="812"/>
      <c r="F41" s="812">
        <f>SUM(F42:F48)</f>
        <v>5794.03</v>
      </c>
      <c r="G41" s="810"/>
    </row>
    <row r="42" s="789" customFormat="1" ht="17.1" customHeight="1" spans="1:7">
      <c r="A42" s="811"/>
      <c r="B42" s="779" t="s">
        <v>153</v>
      </c>
      <c r="C42" s="784" t="s">
        <v>154</v>
      </c>
      <c r="D42" s="812">
        <v>45</v>
      </c>
      <c r="E42" s="812">
        <f>E32</f>
        <v>4</v>
      </c>
      <c r="F42" s="812">
        <f>D42*E42</f>
        <v>180</v>
      </c>
      <c r="G42" s="810"/>
    </row>
    <row r="43" s="789" customFormat="1" ht="17.1" customHeight="1" spans="1:7">
      <c r="A43" s="811"/>
      <c r="B43" s="779" t="s">
        <v>155</v>
      </c>
      <c r="C43" s="784" t="s">
        <v>154</v>
      </c>
      <c r="D43" s="812">
        <f>D42*0.75</f>
        <v>33.75</v>
      </c>
      <c r="E43" s="812">
        <f>E33</f>
        <v>10.78</v>
      </c>
      <c r="F43" s="812">
        <f t="shared" ref="F43:F48" si="6">D43*E43</f>
        <v>363.83</v>
      </c>
      <c r="G43" s="810"/>
    </row>
    <row r="44" s="789" customFormat="1" ht="17.1" customHeight="1" spans="1:7">
      <c r="A44" s="811"/>
      <c r="B44" s="814" t="s">
        <v>176</v>
      </c>
      <c r="C44" s="784" t="s">
        <v>154</v>
      </c>
      <c r="D44" s="812">
        <v>9.39</v>
      </c>
      <c r="E44" s="812">
        <f>$E$34</f>
        <v>352.57</v>
      </c>
      <c r="F44" s="812">
        <f t="shared" si="6"/>
        <v>3310.63</v>
      </c>
      <c r="G44" s="810"/>
    </row>
    <row r="45" s="789" customFormat="1" ht="17.1" customHeight="1" spans="1:7">
      <c r="A45" s="811"/>
      <c r="B45" s="814" t="s">
        <v>177</v>
      </c>
      <c r="C45" s="784" t="s">
        <v>154</v>
      </c>
      <c r="D45" s="812">
        <v>2.04</v>
      </c>
      <c r="E45" s="812">
        <f>E35</f>
        <v>336.88</v>
      </c>
      <c r="F45" s="812">
        <f t="shared" si="6"/>
        <v>687.24</v>
      </c>
      <c r="G45" s="810"/>
    </row>
    <row r="46" s="789" customFormat="1" ht="17.1" customHeight="1" spans="1:7">
      <c r="A46" s="811"/>
      <c r="B46" s="814" t="s">
        <v>178</v>
      </c>
      <c r="C46" s="784" t="s">
        <v>154</v>
      </c>
      <c r="D46" s="812">
        <v>1.32</v>
      </c>
      <c r="E46" s="812">
        <f>E36</f>
        <v>348.22</v>
      </c>
      <c r="F46" s="812">
        <f t="shared" si="6"/>
        <v>459.65</v>
      </c>
      <c r="G46" s="810"/>
    </row>
    <row r="47" s="789" customFormat="1" ht="17.1" customHeight="1" spans="1:7">
      <c r="A47" s="811"/>
      <c r="B47" s="814" t="s">
        <v>179</v>
      </c>
      <c r="C47" s="784" t="s">
        <v>154</v>
      </c>
      <c r="D47" s="812">
        <v>0.84</v>
      </c>
      <c r="E47" s="812">
        <f>$E$37</f>
        <v>500.17</v>
      </c>
      <c r="F47" s="812">
        <f t="shared" si="6"/>
        <v>420.14</v>
      </c>
      <c r="G47" s="810"/>
    </row>
    <row r="48" s="789" customFormat="1" ht="17.1" customHeight="1" spans="1:7">
      <c r="A48" s="811"/>
      <c r="B48" s="814" t="s">
        <v>183</v>
      </c>
      <c r="C48" s="784" t="s">
        <v>161</v>
      </c>
      <c r="D48" s="812">
        <v>2</v>
      </c>
      <c r="E48" s="812">
        <v>186.27</v>
      </c>
      <c r="F48" s="812">
        <f t="shared" si="6"/>
        <v>372.54</v>
      </c>
      <c r="G48" s="810"/>
    </row>
    <row r="49" s="789" customFormat="1" ht="17.1" customHeight="1" spans="1:7">
      <c r="A49" s="797">
        <v>2.3</v>
      </c>
      <c r="B49" s="803" t="s">
        <v>184</v>
      </c>
      <c r="C49" s="798" t="s">
        <v>172</v>
      </c>
      <c r="D49" s="806">
        <v>1</v>
      </c>
      <c r="E49" s="799">
        <f>F50</f>
        <v>10858.86</v>
      </c>
      <c r="F49" s="799">
        <f t="shared" si="5"/>
        <v>10858.86</v>
      </c>
      <c r="G49" s="810"/>
    </row>
    <row r="50" s="789" customFormat="1" ht="17.1" customHeight="1" spans="1:7">
      <c r="A50" s="811" t="s">
        <v>174</v>
      </c>
      <c r="B50" s="814" t="s">
        <v>185</v>
      </c>
      <c r="C50" s="810" t="s">
        <v>172</v>
      </c>
      <c r="D50" s="815">
        <v>1</v>
      </c>
      <c r="E50" s="812"/>
      <c r="F50" s="812">
        <f>SUM(F51:F58)</f>
        <v>10858.86</v>
      </c>
      <c r="G50" s="810"/>
    </row>
    <row r="51" s="789" customFormat="1" ht="17.1" customHeight="1" spans="1:7">
      <c r="A51" s="811"/>
      <c r="B51" s="779" t="s">
        <v>153</v>
      </c>
      <c r="C51" s="784" t="s">
        <v>154</v>
      </c>
      <c r="D51" s="812">
        <v>52</v>
      </c>
      <c r="E51" s="812">
        <f t="shared" ref="E51:E56" si="7">E42</f>
        <v>4</v>
      </c>
      <c r="F51" s="812">
        <f>D51*E51</f>
        <v>208</v>
      </c>
      <c r="G51" s="810"/>
    </row>
    <row r="52" s="789" customFormat="1" ht="17.1" customHeight="1" spans="1:7">
      <c r="A52" s="811"/>
      <c r="B52" s="779" t="s">
        <v>155</v>
      </c>
      <c r="C52" s="784" t="s">
        <v>154</v>
      </c>
      <c r="D52" s="812">
        <f>D51*0.75</f>
        <v>39</v>
      </c>
      <c r="E52" s="812">
        <f t="shared" si="7"/>
        <v>10.78</v>
      </c>
      <c r="F52" s="812">
        <f t="shared" ref="F52:F58" si="8">D52*E52</f>
        <v>420.42</v>
      </c>
      <c r="G52" s="810"/>
    </row>
    <row r="53" s="789" customFormat="1" ht="17.1" customHeight="1" spans="1:7">
      <c r="A53" s="811"/>
      <c r="B53" s="814" t="s">
        <v>176</v>
      </c>
      <c r="C53" s="784" t="s">
        <v>154</v>
      </c>
      <c r="D53" s="812">
        <v>15.29</v>
      </c>
      <c r="E53" s="812">
        <f t="shared" si="7"/>
        <v>352.57</v>
      </c>
      <c r="F53" s="812">
        <f t="shared" si="8"/>
        <v>5390.8</v>
      </c>
      <c r="G53" s="810"/>
    </row>
    <row r="54" s="789" customFormat="1" ht="17.1" customHeight="1" spans="1:7">
      <c r="A54" s="811"/>
      <c r="B54" s="814" t="s">
        <v>177</v>
      </c>
      <c r="C54" s="784" t="s">
        <v>154</v>
      </c>
      <c r="D54" s="812">
        <v>6.24</v>
      </c>
      <c r="E54" s="812">
        <f t="shared" si="7"/>
        <v>336.88</v>
      </c>
      <c r="F54" s="812">
        <f t="shared" si="8"/>
        <v>2102.13</v>
      </c>
      <c r="G54" s="810"/>
    </row>
    <row r="55" s="789" customFormat="1" ht="17.1" customHeight="1" spans="1:7">
      <c r="A55" s="811"/>
      <c r="B55" s="814" t="s">
        <v>178</v>
      </c>
      <c r="C55" s="784" t="s">
        <v>154</v>
      </c>
      <c r="D55" s="812">
        <v>1.53</v>
      </c>
      <c r="E55" s="812">
        <f t="shared" si="7"/>
        <v>348.22</v>
      </c>
      <c r="F55" s="812">
        <f t="shared" si="8"/>
        <v>532.78</v>
      </c>
      <c r="G55" s="810"/>
    </row>
    <row r="56" s="789" customFormat="1" ht="17.1" customHeight="1" spans="1:7">
      <c r="A56" s="811"/>
      <c r="B56" s="814" t="s">
        <v>179</v>
      </c>
      <c r="C56" s="784" t="s">
        <v>154</v>
      </c>
      <c r="D56" s="812">
        <v>1.16</v>
      </c>
      <c r="E56" s="812">
        <f t="shared" si="7"/>
        <v>500.17</v>
      </c>
      <c r="F56" s="812">
        <f t="shared" si="8"/>
        <v>580.2</v>
      </c>
      <c r="G56" s="810"/>
    </row>
    <row r="57" s="789" customFormat="1" ht="17.1" customHeight="1" spans="1:7">
      <c r="A57" s="811"/>
      <c r="B57" s="814" t="s">
        <v>180</v>
      </c>
      <c r="C57" s="784" t="s">
        <v>154</v>
      </c>
      <c r="D57" s="812">
        <v>0.92</v>
      </c>
      <c r="E57" s="812">
        <f>E38</f>
        <v>955.92</v>
      </c>
      <c r="F57" s="812">
        <f t="shared" si="8"/>
        <v>879.45</v>
      </c>
      <c r="G57" s="810"/>
    </row>
    <row r="58" s="789" customFormat="1" ht="17.1" customHeight="1" spans="1:7">
      <c r="A58" s="811"/>
      <c r="B58" s="814" t="s">
        <v>183</v>
      </c>
      <c r="C58" s="784" t="s">
        <v>161</v>
      </c>
      <c r="D58" s="812">
        <v>4</v>
      </c>
      <c r="E58" s="812">
        <v>186.27</v>
      </c>
      <c r="F58" s="812">
        <f t="shared" si="8"/>
        <v>745.08</v>
      </c>
      <c r="G58" s="810"/>
    </row>
    <row r="59" s="789" customFormat="1" ht="17.1" customHeight="1" spans="1:7">
      <c r="A59" s="797">
        <v>2.4</v>
      </c>
      <c r="B59" s="803" t="s">
        <v>186</v>
      </c>
      <c r="C59" s="798" t="s">
        <v>172</v>
      </c>
      <c r="D59" s="806">
        <v>1</v>
      </c>
      <c r="E59" s="799">
        <f>F60</f>
        <v>6204.35</v>
      </c>
      <c r="F59" s="799">
        <f t="shared" si="5"/>
        <v>6204.35</v>
      </c>
      <c r="G59" s="810"/>
    </row>
    <row r="60" s="789" customFormat="1" ht="17.1" customHeight="1" spans="1:7">
      <c r="A60" s="811" t="s">
        <v>174</v>
      </c>
      <c r="B60" s="814" t="s">
        <v>187</v>
      </c>
      <c r="C60" s="810" t="s">
        <v>172</v>
      </c>
      <c r="D60" s="815">
        <v>1</v>
      </c>
      <c r="E60" s="812"/>
      <c r="F60" s="812">
        <f>SUM(F61:F67)</f>
        <v>6204.35</v>
      </c>
      <c r="G60" s="810"/>
    </row>
    <row r="61" s="789" customFormat="1" ht="17.1" customHeight="1" spans="1:7">
      <c r="A61" s="811"/>
      <c r="B61" s="779" t="s">
        <v>153</v>
      </c>
      <c r="C61" s="784" t="s">
        <v>154</v>
      </c>
      <c r="D61" s="812">
        <v>45</v>
      </c>
      <c r="E61" s="812">
        <f t="shared" ref="E61:E66" si="9">E42</f>
        <v>4</v>
      </c>
      <c r="F61" s="812">
        <f>D61*E61</f>
        <v>180</v>
      </c>
      <c r="G61" s="810"/>
    </row>
    <row r="62" s="789" customFormat="1" ht="17.1" customHeight="1" spans="1:7">
      <c r="A62" s="811"/>
      <c r="B62" s="779" t="s">
        <v>155</v>
      </c>
      <c r="C62" s="784" t="s">
        <v>154</v>
      </c>
      <c r="D62" s="812">
        <f>D61*0.75</f>
        <v>33.75</v>
      </c>
      <c r="E62" s="812">
        <f t="shared" si="9"/>
        <v>10.78</v>
      </c>
      <c r="F62" s="812">
        <f t="shared" ref="F62:F67" si="10">D62*E62</f>
        <v>363.83</v>
      </c>
      <c r="G62" s="810"/>
    </row>
    <row r="63" s="789" customFormat="1" ht="17.1" customHeight="1" spans="1:7">
      <c r="A63" s="811"/>
      <c r="B63" s="814" t="s">
        <v>176</v>
      </c>
      <c r="C63" s="784" t="s">
        <v>154</v>
      </c>
      <c r="D63" s="812">
        <v>9.39</v>
      </c>
      <c r="E63" s="812">
        <f t="shared" si="9"/>
        <v>352.57</v>
      </c>
      <c r="F63" s="812">
        <f t="shared" si="10"/>
        <v>3310.63</v>
      </c>
      <c r="G63" s="810"/>
    </row>
    <row r="64" s="789" customFormat="1" ht="17.1" customHeight="1" spans="1:7">
      <c r="A64" s="811"/>
      <c r="B64" s="814" t="s">
        <v>177</v>
      </c>
      <c r="C64" s="784" t="s">
        <v>154</v>
      </c>
      <c r="D64" s="812">
        <v>2.04</v>
      </c>
      <c r="E64" s="812">
        <f t="shared" si="9"/>
        <v>336.88</v>
      </c>
      <c r="F64" s="812">
        <f t="shared" si="10"/>
        <v>687.24</v>
      </c>
      <c r="G64" s="810"/>
    </row>
    <row r="65" s="789" customFormat="1" ht="17.1" customHeight="1" spans="1:7">
      <c r="A65" s="811"/>
      <c r="B65" s="814" t="s">
        <v>178</v>
      </c>
      <c r="C65" s="784" t="s">
        <v>154</v>
      </c>
      <c r="D65" s="812">
        <v>1.32</v>
      </c>
      <c r="E65" s="812">
        <f t="shared" si="9"/>
        <v>348.22</v>
      </c>
      <c r="F65" s="812">
        <f t="shared" si="10"/>
        <v>459.65</v>
      </c>
      <c r="G65" s="810"/>
    </row>
    <row r="66" s="789" customFormat="1" ht="17.1" customHeight="1" spans="1:7">
      <c r="A66" s="811"/>
      <c r="B66" s="814" t="s">
        <v>179</v>
      </c>
      <c r="C66" s="784" t="s">
        <v>154</v>
      </c>
      <c r="D66" s="812">
        <v>0.84</v>
      </c>
      <c r="E66" s="812">
        <f t="shared" si="9"/>
        <v>500.17</v>
      </c>
      <c r="F66" s="812">
        <f t="shared" si="10"/>
        <v>420.14</v>
      </c>
      <c r="G66" s="810"/>
    </row>
    <row r="67" s="789" customFormat="1" ht="17.1" customHeight="1" spans="1:7">
      <c r="A67" s="811"/>
      <c r="B67" s="814" t="s">
        <v>188</v>
      </c>
      <c r="C67" s="784" t="s">
        <v>161</v>
      </c>
      <c r="D67" s="812">
        <v>2</v>
      </c>
      <c r="E67" s="812">
        <v>391.43</v>
      </c>
      <c r="F67" s="812">
        <f t="shared" si="10"/>
        <v>782.86</v>
      </c>
      <c r="G67" s="810"/>
    </row>
    <row r="68" s="789" customFormat="1" ht="17.1" customHeight="1" spans="1:7">
      <c r="A68" s="797" t="s">
        <v>189</v>
      </c>
      <c r="B68" s="813" t="s">
        <v>190</v>
      </c>
      <c r="C68" s="801" t="s">
        <v>172</v>
      </c>
      <c r="D68" s="799">
        <v>1</v>
      </c>
      <c r="E68" s="799"/>
      <c r="F68" s="799">
        <f>SUM(F69:F77)</f>
        <v>22144.84</v>
      </c>
      <c r="G68" s="810"/>
    </row>
    <row r="69" s="789" customFormat="1" ht="17.1" customHeight="1" spans="1:7">
      <c r="A69" s="811"/>
      <c r="B69" s="814" t="s">
        <v>153</v>
      </c>
      <c r="C69" s="784" t="s">
        <v>154</v>
      </c>
      <c r="D69" s="812">
        <f>2.35*0.8*2*15+1.7*15*0.4</f>
        <v>66.6</v>
      </c>
      <c r="E69" s="812">
        <f>E61</f>
        <v>4</v>
      </c>
      <c r="F69" s="812">
        <f>D69*E69</f>
        <v>266.4</v>
      </c>
      <c r="G69" s="810"/>
    </row>
    <row r="70" s="789" customFormat="1" ht="17.1" customHeight="1" spans="1:7">
      <c r="A70" s="811"/>
      <c r="B70" s="814" t="s">
        <v>155</v>
      </c>
      <c r="C70" s="784" t="s">
        <v>154</v>
      </c>
      <c r="D70" s="812">
        <f>D69*0.65</f>
        <v>43.29</v>
      </c>
      <c r="E70" s="812">
        <f>E62</f>
        <v>10.78</v>
      </c>
      <c r="F70" s="812">
        <f t="shared" ref="F70:F77" si="11">D70*E70</f>
        <v>466.67</v>
      </c>
      <c r="G70" s="810"/>
    </row>
    <row r="71" s="789" customFormat="1" ht="17.1" customHeight="1" spans="1:7">
      <c r="A71" s="811"/>
      <c r="B71" s="814" t="s">
        <v>177</v>
      </c>
      <c r="C71" s="784" t="s">
        <v>154</v>
      </c>
      <c r="D71" s="812">
        <f>0.8*0.8*15*2</f>
        <v>19.2</v>
      </c>
      <c r="E71" s="812">
        <f>E64</f>
        <v>336.88</v>
      </c>
      <c r="F71" s="812">
        <f t="shared" si="11"/>
        <v>6468.1</v>
      </c>
      <c r="G71" s="810"/>
    </row>
    <row r="72" s="789" customFormat="1" ht="17.1" customHeight="1" spans="1:7">
      <c r="A72" s="811"/>
      <c r="B72" s="814" t="s">
        <v>176</v>
      </c>
      <c r="C72" s="784" t="s">
        <v>154</v>
      </c>
      <c r="D72" s="812">
        <f>0.55*15*2</f>
        <v>16.5</v>
      </c>
      <c r="E72" s="812">
        <f>E63</f>
        <v>352.57</v>
      </c>
      <c r="F72" s="812">
        <f t="shared" si="11"/>
        <v>5817.41</v>
      </c>
      <c r="G72" s="810"/>
    </row>
    <row r="73" s="789" customFormat="1" ht="17.1" customHeight="1" spans="1:7">
      <c r="A73" s="811"/>
      <c r="B73" s="814" t="s">
        <v>178</v>
      </c>
      <c r="C73" s="784" t="s">
        <v>154</v>
      </c>
      <c r="D73" s="812">
        <f>1.9*0.4*15</f>
        <v>11.4</v>
      </c>
      <c r="E73" s="812">
        <f>E65</f>
        <v>348.22</v>
      </c>
      <c r="F73" s="812">
        <f t="shared" si="11"/>
        <v>3969.71</v>
      </c>
      <c r="G73" s="810"/>
    </row>
    <row r="74" s="789" customFormat="1" ht="17.1" customHeight="1" spans="1:7">
      <c r="A74" s="811"/>
      <c r="B74" s="814" t="s">
        <v>191</v>
      </c>
      <c r="C74" s="784" t="s">
        <v>154</v>
      </c>
      <c r="D74" s="812">
        <f>0.15*0.3*15*2</f>
        <v>1.35</v>
      </c>
      <c r="E74" s="812">
        <f>E66</f>
        <v>500.17</v>
      </c>
      <c r="F74" s="812">
        <f t="shared" si="11"/>
        <v>675.23</v>
      </c>
      <c r="G74" s="810"/>
    </row>
    <row r="75" s="789" customFormat="1" ht="17.1" customHeight="1" spans="1:7">
      <c r="A75" s="811"/>
      <c r="B75" s="814" t="s">
        <v>192</v>
      </c>
      <c r="C75" s="784" t="s">
        <v>154</v>
      </c>
      <c r="D75" s="812">
        <f>1.9*0.1*15+1.3*0.1*15*2</f>
        <v>6.75</v>
      </c>
      <c r="E75" s="812">
        <f>'单价汇总 3'!D25/100</f>
        <v>633.07</v>
      </c>
      <c r="F75" s="812">
        <f t="shared" si="11"/>
        <v>4273.22</v>
      </c>
      <c r="G75" s="810"/>
    </row>
    <row r="76" s="789" customFormat="1" ht="17.1" customHeight="1" spans="1:7">
      <c r="A76" s="811"/>
      <c r="B76" s="814" t="s">
        <v>193</v>
      </c>
      <c r="C76" s="784" t="s">
        <v>154</v>
      </c>
      <c r="D76" s="812">
        <f>0.4*0.2*1.7</f>
        <v>0.14</v>
      </c>
      <c r="E76" s="812">
        <f>'单价汇总 3'!D21/100</f>
        <v>955.92</v>
      </c>
      <c r="F76" s="812">
        <f t="shared" si="11"/>
        <v>133.83</v>
      </c>
      <c r="G76" s="810"/>
    </row>
    <row r="77" s="789" customFormat="1" ht="17.1" customHeight="1" spans="1:7">
      <c r="A77" s="811"/>
      <c r="B77" s="814" t="s">
        <v>157</v>
      </c>
      <c r="C77" s="784" t="s">
        <v>158</v>
      </c>
      <c r="D77" s="812">
        <f>(0.34*2*1.64/0.2+0.14*2*1.64/0.2+(1.64+0.07)*4)*0.617/1000</f>
        <v>0.01</v>
      </c>
      <c r="E77" s="812">
        <f>'单价汇总 3'!D17</f>
        <v>7426.63</v>
      </c>
      <c r="F77" s="812">
        <f t="shared" si="11"/>
        <v>74.27</v>
      </c>
      <c r="G77" s="810"/>
    </row>
    <row r="78" s="789" customFormat="1" ht="17.1" customHeight="1" spans="1:7">
      <c r="A78" s="797" t="s">
        <v>194</v>
      </c>
      <c r="B78" s="813" t="s">
        <v>195</v>
      </c>
      <c r="C78" s="801" t="s">
        <v>172</v>
      </c>
      <c r="D78" s="799">
        <v>1</v>
      </c>
      <c r="E78" s="799"/>
      <c r="F78" s="799">
        <f>SUM(F79:F87)</f>
        <v>21579.87</v>
      </c>
      <c r="G78" s="798"/>
    </row>
    <row r="79" s="789" customFormat="1" ht="17.1" customHeight="1" spans="1:7">
      <c r="A79" s="811"/>
      <c r="B79" s="814" t="s">
        <v>153</v>
      </c>
      <c r="C79" s="784" t="s">
        <v>154</v>
      </c>
      <c r="D79" s="812">
        <f>1.5*2.64*4.6*2*2+1*2.59*(9.9+5.4)</f>
        <v>112.49</v>
      </c>
      <c r="E79" s="812">
        <f t="shared" ref="E79:E84" si="12">E69</f>
        <v>4</v>
      </c>
      <c r="F79" s="812">
        <f>D79*E79</f>
        <v>449.96</v>
      </c>
      <c r="G79" s="810"/>
    </row>
    <row r="80" s="789" customFormat="1" ht="17.1" customHeight="1" spans="1:7">
      <c r="A80" s="811"/>
      <c r="B80" s="814" t="s">
        <v>155</v>
      </c>
      <c r="C80" s="784" t="s">
        <v>154</v>
      </c>
      <c r="D80" s="812">
        <f>D79*0.65</f>
        <v>73.12</v>
      </c>
      <c r="E80" s="812">
        <f t="shared" si="12"/>
        <v>10.78</v>
      </c>
      <c r="F80" s="812">
        <f t="shared" ref="F80:F87" si="13">D80*E80</f>
        <v>788.23</v>
      </c>
      <c r="G80" s="810"/>
    </row>
    <row r="81" s="789" customFormat="1" ht="17.1" customHeight="1" spans="1:7">
      <c r="A81" s="811"/>
      <c r="B81" s="814" t="s">
        <v>177</v>
      </c>
      <c r="C81" s="784" t="s">
        <v>154</v>
      </c>
      <c r="D81" s="812">
        <f>1*1*(5.4+5.3)+0.5*0.4*2.85+0.6*0.5*2.7+1*1*1*2+1*1*2*2+0.4*0.5*3.106+1*1*3</f>
        <v>21.7</v>
      </c>
      <c r="E81" s="812">
        <f t="shared" si="12"/>
        <v>336.88</v>
      </c>
      <c r="F81" s="812">
        <f t="shared" si="13"/>
        <v>7310.3</v>
      </c>
      <c r="G81" s="810"/>
    </row>
    <row r="82" s="789" customFormat="1" ht="17.1" customHeight="1" spans="1:7">
      <c r="A82" s="811"/>
      <c r="B82" s="814" t="s">
        <v>176</v>
      </c>
      <c r="C82" s="784" t="s">
        <v>154</v>
      </c>
      <c r="D82" s="812">
        <f>0.65*1.49*10.7+0.65*1.49*4*2+0.65*1.49*3</f>
        <v>21.02</v>
      </c>
      <c r="E82" s="812">
        <f t="shared" si="12"/>
        <v>352.57</v>
      </c>
      <c r="F82" s="812">
        <f t="shared" si="13"/>
        <v>7411.02</v>
      </c>
      <c r="G82" s="810"/>
    </row>
    <row r="83" s="789" customFormat="1" ht="17.1" customHeight="1" spans="1:7">
      <c r="A83" s="811"/>
      <c r="B83" s="814" t="s">
        <v>178</v>
      </c>
      <c r="C83" s="784" t="s">
        <v>154</v>
      </c>
      <c r="D83" s="812">
        <f>10.4/2*5.4*0.3+1.5*1*0.3+3*3*0.3</f>
        <v>11.57</v>
      </c>
      <c r="E83" s="812">
        <f t="shared" si="12"/>
        <v>348.22</v>
      </c>
      <c r="F83" s="812">
        <f t="shared" si="13"/>
        <v>4028.91</v>
      </c>
      <c r="G83" s="810"/>
    </row>
    <row r="84" s="789" customFormat="1" ht="17.1" customHeight="1" spans="1:7">
      <c r="A84" s="811"/>
      <c r="B84" s="814" t="s">
        <v>191</v>
      </c>
      <c r="C84" s="784" t="s">
        <v>154</v>
      </c>
      <c r="D84" s="812">
        <f>0.3*0.15*10.7*0.3*0.15*4*2</f>
        <v>0.17</v>
      </c>
      <c r="E84" s="812">
        <f t="shared" si="12"/>
        <v>500.17</v>
      </c>
      <c r="F84" s="812">
        <f t="shared" si="13"/>
        <v>85.03</v>
      </c>
      <c r="G84" s="810"/>
    </row>
    <row r="85" s="789" customFormat="1" ht="17.1" customHeight="1" spans="1:7">
      <c r="A85" s="811"/>
      <c r="B85" s="814" t="s">
        <v>196</v>
      </c>
      <c r="C85" s="784" t="s">
        <v>154</v>
      </c>
      <c r="D85" s="812">
        <f>0.6*1.49*0.6*2+0.3*1.5*0.6</f>
        <v>1.34</v>
      </c>
      <c r="E85" s="812">
        <f>'单价汇总 3'!D25/100</f>
        <v>633.07</v>
      </c>
      <c r="F85" s="812">
        <f t="shared" si="13"/>
        <v>848.31</v>
      </c>
      <c r="G85" s="810"/>
    </row>
    <row r="86" s="789" customFormat="1" ht="17.1" customHeight="1" spans="1:7">
      <c r="A86" s="811"/>
      <c r="B86" s="814" t="s">
        <v>197</v>
      </c>
      <c r="C86" s="784" t="s">
        <v>154</v>
      </c>
      <c r="D86" s="812">
        <f>2*0.15*1</f>
        <v>0.3</v>
      </c>
      <c r="E86" s="812">
        <f>'单价汇总 3'!D21/100</f>
        <v>955.92</v>
      </c>
      <c r="F86" s="812">
        <f t="shared" si="13"/>
        <v>286.78</v>
      </c>
      <c r="G86" s="810"/>
    </row>
    <row r="87" s="789" customFormat="1" ht="17.1" customHeight="1" spans="1:7">
      <c r="A87" s="811"/>
      <c r="B87" s="814" t="s">
        <v>157</v>
      </c>
      <c r="C87" s="784" t="s">
        <v>158</v>
      </c>
      <c r="D87" s="812">
        <f>47.5/1000</f>
        <v>0.05</v>
      </c>
      <c r="E87" s="812">
        <f>'单价汇总 3'!D17</f>
        <v>7426.63</v>
      </c>
      <c r="F87" s="812">
        <f t="shared" si="13"/>
        <v>371.33</v>
      </c>
      <c r="G87" s="810"/>
    </row>
    <row r="88" ht="17.1" customHeight="1" spans="1:7">
      <c r="A88" s="797" t="s">
        <v>14</v>
      </c>
      <c r="B88" s="818" t="s">
        <v>198</v>
      </c>
      <c r="C88" s="798"/>
      <c r="D88" s="799"/>
      <c r="E88" s="799"/>
      <c r="F88" s="799">
        <f>F89+F96</f>
        <v>1201596.35</v>
      </c>
      <c r="G88" s="819"/>
    </row>
    <row r="89" ht="17.1" customHeight="1" spans="1:7">
      <c r="A89" s="797">
        <v>1</v>
      </c>
      <c r="B89" s="803" t="s">
        <v>149</v>
      </c>
      <c r="C89" s="804" t="s">
        <v>150</v>
      </c>
      <c r="D89" s="805">
        <f>D90</f>
        <v>3.179</v>
      </c>
      <c r="E89" s="806"/>
      <c r="F89" s="807">
        <f>F90</f>
        <v>816090.14</v>
      </c>
      <c r="G89" s="819"/>
    </row>
    <row r="90" ht="17.1" customHeight="1" spans="1:7">
      <c r="A90" s="797">
        <v>1.1</v>
      </c>
      <c r="B90" s="803" t="s">
        <v>199</v>
      </c>
      <c r="C90" s="804" t="s">
        <v>150</v>
      </c>
      <c r="D90" s="805">
        <v>3.179</v>
      </c>
      <c r="E90" s="806"/>
      <c r="F90" s="807">
        <f>SUM(F91:F95)</f>
        <v>816090.14</v>
      </c>
      <c r="G90" s="810"/>
    </row>
    <row r="91" ht="17.1" customHeight="1" spans="1:7">
      <c r="A91" s="811"/>
      <c r="B91" s="779" t="s">
        <v>153</v>
      </c>
      <c r="C91" s="784" t="s">
        <v>154</v>
      </c>
      <c r="D91" s="808">
        <v>1783.89</v>
      </c>
      <c r="E91" s="812">
        <f>E23</f>
        <v>4</v>
      </c>
      <c r="F91" s="812">
        <f>D91*E91</f>
        <v>7135.56</v>
      </c>
      <c r="G91" s="810"/>
    </row>
    <row r="92" ht="17.1" customHeight="1" spans="1:7">
      <c r="A92" s="811"/>
      <c r="B92" s="779" t="s">
        <v>155</v>
      </c>
      <c r="C92" s="784" t="s">
        <v>154</v>
      </c>
      <c r="D92" s="808">
        <v>1383.41</v>
      </c>
      <c r="E92" s="812">
        <f>E24</f>
        <v>6.26</v>
      </c>
      <c r="F92" s="812">
        <f>D92*E92</f>
        <v>8660.15</v>
      </c>
      <c r="G92" s="810"/>
    </row>
    <row r="93" ht="17.1" customHeight="1" spans="1:7">
      <c r="A93" s="811"/>
      <c r="B93" s="779" t="s">
        <v>168</v>
      </c>
      <c r="C93" s="784" t="s">
        <v>169</v>
      </c>
      <c r="D93" s="808">
        <f>4.368*D90*1000</f>
        <v>13885.87</v>
      </c>
      <c r="E93" s="812">
        <f>E26</f>
        <v>0.7</v>
      </c>
      <c r="F93" s="812">
        <f>D93*E93</f>
        <v>9720.11</v>
      </c>
      <c r="G93" s="810"/>
    </row>
    <row r="94" ht="17.1" customHeight="1" spans="1:7">
      <c r="A94" s="811"/>
      <c r="B94" s="779" t="s">
        <v>170</v>
      </c>
      <c r="C94" s="784" t="s">
        <v>154</v>
      </c>
      <c r="D94" s="808">
        <f>D90*1000/7.48*2.278</f>
        <v>968.15</v>
      </c>
      <c r="E94" s="812">
        <f>E27</f>
        <v>794.37</v>
      </c>
      <c r="F94" s="812">
        <f>D94*E94</f>
        <v>769069.32</v>
      </c>
      <c r="G94" s="810"/>
    </row>
    <row r="95" ht="17.1" customHeight="1" spans="1:7">
      <c r="A95" s="811"/>
      <c r="B95" s="779" t="s">
        <v>159</v>
      </c>
      <c r="C95" s="784" t="s">
        <v>154</v>
      </c>
      <c r="D95" s="808">
        <f>D90*1000*0.0092/7.48</f>
        <v>3.91</v>
      </c>
      <c r="E95" s="812">
        <f>E28</f>
        <v>5500</v>
      </c>
      <c r="F95" s="812">
        <f t="shared" ref="F95" si="14">D95*E95</f>
        <v>21505</v>
      </c>
      <c r="G95" s="810"/>
    </row>
    <row r="96" ht="17.1" customHeight="1" spans="1:7">
      <c r="A96" s="797">
        <v>2</v>
      </c>
      <c r="B96" s="803" t="s">
        <v>171</v>
      </c>
      <c r="C96" s="798" t="s">
        <v>172</v>
      </c>
      <c r="D96" s="806">
        <f>D97+D107+D116+D126+D135+D144+D156</f>
        <v>30</v>
      </c>
      <c r="E96" s="807"/>
      <c r="F96" s="807">
        <f>F97+F107+F116+F126+F135+F144+F156</f>
        <v>385506.21</v>
      </c>
      <c r="G96" s="798"/>
    </row>
    <row r="97" ht="17.1" customHeight="1" spans="1:7">
      <c r="A97" s="797">
        <v>2.1</v>
      </c>
      <c r="B97" s="813" t="s">
        <v>200</v>
      </c>
      <c r="C97" s="798" t="s">
        <v>172</v>
      </c>
      <c r="D97" s="817">
        <v>4</v>
      </c>
      <c r="E97" s="799">
        <f>F98</f>
        <v>17892.68</v>
      </c>
      <c r="F97" s="799">
        <f>D97*E97</f>
        <v>71570.72</v>
      </c>
      <c r="G97" s="810"/>
    </row>
    <row r="98" ht="17.1" customHeight="1" spans="1:7">
      <c r="A98" s="811" t="s">
        <v>174</v>
      </c>
      <c r="B98" s="814" t="s">
        <v>201</v>
      </c>
      <c r="C98" s="810" t="s">
        <v>172</v>
      </c>
      <c r="D98" s="815">
        <v>1</v>
      </c>
      <c r="E98" s="812"/>
      <c r="F98" s="812">
        <f>SUM(F99:F106)</f>
        <v>17892.68</v>
      </c>
      <c r="G98" s="810"/>
    </row>
    <row r="99" ht="17.1" customHeight="1" spans="1:7">
      <c r="A99" s="811"/>
      <c r="B99" s="779" t="s">
        <v>153</v>
      </c>
      <c r="C99" s="784" t="s">
        <v>154</v>
      </c>
      <c r="D99" s="812">
        <v>75</v>
      </c>
      <c r="E99" s="812">
        <f t="shared" ref="E99:E106" si="15">E32</f>
        <v>4</v>
      </c>
      <c r="F99" s="812">
        <f>D99*E99</f>
        <v>300</v>
      </c>
      <c r="G99" s="812"/>
    </row>
    <row r="100" ht="17.1" customHeight="1" spans="1:7">
      <c r="A100" s="811"/>
      <c r="B100" s="779" t="s">
        <v>155</v>
      </c>
      <c r="C100" s="784" t="s">
        <v>154</v>
      </c>
      <c r="D100" s="812">
        <f>D99*0.75</f>
        <v>56.25</v>
      </c>
      <c r="E100" s="812">
        <f t="shared" si="15"/>
        <v>10.78</v>
      </c>
      <c r="F100" s="812">
        <f t="shared" ref="F100:F106" si="16">D100*E100</f>
        <v>606.38</v>
      </c>
      <c r="G100" s="810"/>
    </row>
    <row r="101" ht="17.1" customHeight="1" spans="1:7">
      <c r="A101" s="811"/>
      <c r="B101" s="814" t="s">
        <v>176</v>
      </c>
      <c r="C101" s="784" t="s">
        <v>154</v>
      </c>
      <c r="D101" s="812">
        <v>14.25</v>
      </c>
      <c r="E101" s="812">
        <f t="shared" si="15"/>
        <v>352.57</v>
      </c>
      <c r="F101" s="812">
        <f t="shared" si="16"/>
        <v>5024.12</v>
      </c>
      <c r="G101" s="810"/>
    </row>
    <row r="102" ht="17.1" customHeight="1" spans="1:7">
      <c r="A102" s="811"/>
      <c r="B102" s="814" t="s">
        <v>177</v>
      </c>
      <c r="C102" s="784" t="s">
        <v>154</v>
      </c>
      <c r="D102" s="812">
        <f>8.72+1.63</f>
        <v>10.35</v>
      </c>
      <c r="E102" s="812">
        <f t="shared" si="15"/>
        <v>336.88</v>
      </c>
      <c r="F102" s="812">
        <f t="shared" si="16"/>
        <v>3486.71</v>
      </c>
      <c r="G102" s="810"/>
    </row>
    <row r="103" ht="17.1" customHeight="1" spans="1:7">
      <c r="A103" s="811"/>
      <c r="B103" s="814" t="s">
        <v>178</v>
      </c>
      <c r="C103" s="784" t="s">
        <v>154</v>
      </c>
      <c r="D103" s="812">
        <v>1.26</v>
      </c>
      <c r="E103" s="812">
        <f t="shared" si="15"/>
        <v>348.22</v>
      </c>
      <c r="F103" s="812">
        <f t="shared" si="16"/>
        <v>438.76</v>
      </c>
      <c r="G103" s="810"/>
    </row>
    <row r="104" ht="17.1" customHeight="1" spans="1:7">
      <c r="A104" s="811"/>
      <c r="B104" s="814" t="s">
        <v>179</v>
      </c>
      <c r="C104" s="784" t="s">
        <v>154</v>
      </c>
      <c r="D104" s="812">
        <v>0.88</v>
      </c>
      <c r="E104" s="812">
        <f t="shared" si="15"/>
        <v>500.17</v>
      </c>
      <c r="F104" s="812">
        <f t="shared" si="16"/>
        <v>440.15</v>
      </c>
      <c r="G104" s="810"/>
    </row>
    <row r="105" ht="17.1" customHeight="1" spans="1:7">
      <c r="A105" s="811"/>
      <c r="B105" s="814" t="s">
        <v>180</v>
      </c>
      <c r="C105" s="784" t="s">
        <v>154</v>
      </c>
      <c r="D105" s="812">
        <v>4.14</v>
      </c>
      <c r="E105" s="812">
        <f t="shared" si="15"/>
        <v>955.92</v>
      </c>
      <c r="F105" s="812">
        <f t="shared" si="16"/>
        <v>3957.51</v>
      </c>
      <c r="G105" s="810"/>
    </row>
    <row r="106" ht="17.1" customHeight="1" spans="1:7">
      <c r="A106" s="811"/>
      <c r="B106" s="814" t="s">
        <v>157</v>
      </c>
      <c r="C106" s="784" t="s">
        <v>158</v>
      </c>
      <c r="D106" s="812">
        <f>(89.47*3+110.07*2)/1000</f>
        <v>0.49</v>
      </c>
      <c r="E106" s="812">
        <f t="shared" si="15"/>
        <v>7426.63</v>
      </c>
      <c r="F106" s="812">
        <f t="shared" si="16"/>
        <v>3639.05</v>
      </c>
      <c r="G106" s="810"/>
    </row>
    <row r="107" ht="17.1" customHeight="1" spans="1:7">
      <c r="A107" s="797">
        <v>2.2</v>
      </c>
      <c r="B107" s="816" t="s">
        <v>202</v>
      </c>
      <c r="C107" s="798" t="s">
        <v>172</v>
      </c>
      <c r="D107" s="817">
        <v>10</v>
      </c>
      <c r="E107" s="799">
        <f>F108</f>
        <v>5366.42</v>
      </c>
      <c r="F107" s="799">
        <f t="shared" ref="F107:F156" si="17">D107*E107</f>
        <v>53664.2</v>
      </c>
      <c r="G107" s="798"/>
    </row>
    <row r="108" ht="17.1" customHeight="1" spans="1:7">
      <c r="A108" s="811" t="s">
        <v>174</v>
      </c>
      <c r="B108" s="814" t="s">
        <v>203</v>
      </c>
      <c r="C108" s="810" t="s">
        <v>172</v>
      </c>
      <c r="D108" s="815">
        <v>1</v>
      </c>
      <c r="E108" s="812"/>
      <c r="F108" s="812">
        <f>SUM(F109:F115)</f>
        <v>5366.42</v>
      </c>
      <c r="G108" s="810"/>
    </row>
    <row r="109" ht="17.1" customHeight="1" spans="1:7">
      <c r="A109" s="811"/>
      <c r="B109" s="779" t="s">
        <v>153</v>
      </c>
      <c r="C109" s="784" t="s">
        <v>154</v>
      </c>
      <c r="D109" s="812">
        <v>42</v>
      </c>
      <c r="E109" s="812">
        <f t="shared" ref="E109:E114" si="18">E61</f>
        <v>4</v>
      </c>
      <c r="F109" s="812">
        <f>D109*E109</f>
        <v>168</v>
      </c>
      <c r="G109" s="810"/>
    </row>
    <row r="110" ht="17.1" customHeight="1" spans="1:7">
      <c r="A110" s="811"/>
      <c r="B110" s="779" t="s">
        <v>155</v>
      </c>
      <c r="C110" s="784" t="s">
        <v>154</v>
      </c>
      <c r="D110" s="812">
        <f>D109*0.75</f>
        <v>31.5</v>
      </c>
      <c r="E110" s="812">
        <f t="shared" si="18"/>
        <v>10.78</v>
      </c>
      <c r="F110" s="812">
        <f t="shared" ref="F110:F115" si="19">D110*E110</f>
        <v>339.57</v>
      </c>
      <c r="G110" s="810"/>
    </row>
    <row r="111" ht="17.1" customHeight="1" spans="1:7">
      <c r="A111" s="811"/>
      <c r="B111" s="814" t="s">
        <v>176</v>
      </c>
      <c r="C111" s="784" t="s">
        <v>154</v>
      </c>
      <c r="D111" s="812">
        <v>8.28</v>
      </c>
      <c r="E111" s="812">
        <f t="shared" si="18"/>
        <v>352.57</v>
      </c>
      <c r="F111" s="812">
        <f t="shared" si="19"/>
        <v>2919.28</v>
      </c>
      <c r="G111" s="810"/>
    </row>
    <row r="112" ht="17.1" customHeight="1" spans="1:7">
      <c r="A112" s="811"/>
      <c r="B112" s="814" t="s">
        <v>177</v>
      </c>
      <c r="C112" s="784" t="s">
        <v>154</v>
      </c>
      <c r="D112" s="812">
        <v>2.04</v>
      </c>
      <c r="E112" s="812">
        <f t="shared" si="18"/>
        <v>336.88</v>
      </c>
      <c r="F112" s="812">
        <f t="shared" si="19"/>
        <v>687.24</v>
      </c>
      <c r="G112" s="810"/>
    </row>
    <row r="113" ht="17.1" customHeight="1" spans="1:7">
      <c r="A113" s="811"/>
      <c r="B113" s="814" t="s">
        <v>178</v>
      </c>
      <c r="C113" s="784" t="s">
        <v>154</v>
      </c>
      <c r="D113" s="812">
        <v>1.32</v>
      </c>
      <c r="E113" s="812">
        <f t="shared" si="18"/>
        <v>348.22</v>
      </c>
      <c r="F113" s="812">
        <f t="shared" si="19"/>
        <v>459.65</v>
      </c>
      <c r="G113" s="810"/>
    </row>
    <row r="114" ht="17.1" customHeight="1" spans="1:7">
      <c r="A114" s="811"/>
      <c r="B114" s="814" t="s">
        <v>179</v>
      </c>
      <c r="C114" s="784" t="s">
        <v>154</v>
      </c>
      <c r="D114" s="812">
        <v>0.84</v>
      </c>
      <c r="E114" s="812">
        <f t="shared" si="18"/>
        <v>500.17</v>
      </c>
      <c r="F114" s="812">
        <f t="shared" si="19"/>
        <v>420.14</v>
      </c>
      <c r="G114" s="810"/>
    </row>
    <row r="115" ht="17.1" customHeight="1" spans="1:7">
      <c r="A115" s="811"/>
      <c r="B115" s="814" t="s">
        <v>183</v>
      </c>
      <c r="C115" s="784" t="s">
        <v>161</v>
      </c>
      <c r="D115" s="812">
        <v>2</v>
      </c>
      <c r="E115" s="812">
        <v>186.27</v>
      </c>
      <c r="F115" s="812">
        <f t="shared" si="19"/>
        <v>372.54</v>
      </c>
      <c r="G115" s="810"/>
    </row>
    <row r="116" ht="17.1" customHeight="1" spans="1:7">
      <c r="A116" s="797">
        <v>2.3</v>
      </c>
      <c r="B116" s="803" t="s">
        <v>204</v>
      </c>
      <c r="C116" s="798" t="s">
        <v>172</v>
      </c>
      <c r="D116" s="806">
        <v>1</v>
      </c>
      <c r="E116" s="799">
        <f>F117</f>
        <v>10804.53</v>
      </c>
      <c r="F116" s="799">
        <f t="shared" si="17"/>
        <v>10804.53</v>
      </c>
      <c r="G116" s="810"/>
    </row>
    <row r="117" ht="17.1" customHeight="1" spans="1:7">
      <c r="A117" s="811" t="s">
        <v>174</v>
      </c>
      <c r="B117" s="814" t="s">
        <v>205</v>
      </c>
      <c r="C117" s="810" t="s">
        <v>172</v>
      </c>
      <c r="D117" s="815">
        <v>1</v>
      </c>
      <c r="E117" s="812"/>
      <c r="F117" s="812">
        <f>SUM(F118:F125)</f>
        <v>10804.53</v>
      </c>
      <c r="G117" s="810"/>
    </row>
    <row r="118" ht="17.1" customHeight="1" spans="1:7">
      <c r="A118" s="811"/>
      <c r="B118" s="779" t="s">
        <v>153</v>
      </c>
      <c r="C118" s="784" t="s">
        <v>154</v>
      </c>
      <c r="D118" s="812">
        <v>47.5</v>
      </c>
      <c r="E118" s="812">
        <f t="shared" ref="E118:E124" si="20">E51</f>
        <v>4</v>
      </c>
      <c r="F118" s="812">
        <f>D118*E118</f>
        <v>190</v>
      </c>
      <c r="G118" s="810"/>
    </row>
    <row r="119" ht="17.1" customHeight="1" spans="1:7">
      <c r="A119" s="811"/>
      <c r="B119" s="779" t="s">
        <v>155</v>
      </c>
      <c r="C119" s="784" t="s">
        <v>154</v>
      </c>
      <c r="D119" s="812">
        <f>D118*0.75</f>
        <v>35.63</v>
      </c>
      <c r="E119" s="812">
        <f t="shared" si="20"/>
        <v>10.78</v>
      </c>
      <c r="F119" s="812">
        <f t="shared" ref="F119:F125" si="21">D119*E119</f>
        <v>384.09</v>
      </c>
      <c r="G119" s="810"/>
    </row>
    <row r="120" ht="17.1" customHeight="1" spans="1:7">
      <c r="A120" s="811"/>
      <c r="B120" s="814" t="s">
        <v>176</v>
      </c>
      <c r="C120" s="784" t="s">
        <v>154</v>
      </c>
      <c r="D120" s="812">
        <v>15.29</v>
      </c>
      <c r="E120" s="812">
        <f t="shared" si="20"/>
        <v>352.57</v>
      </c>
      <c r="F120" s="812">
        <f t="shared" si="21"/>
        <v>5390.8</v>
      </c>
      <c r="G120" s="810"/>
    </row>
    <row r="121" ht="17.1" customHeight="1" spans="1:7">
      <c r="A121" s="811"/>
      <c r="B121" s="814" t="s">
        <v>177</v>
      </c>
      <c r="C121" s="784" t="s">
        <v>154</v>
      </c>
      <c r="D121" s="812">
        <v>6.24</v>
      </c>
      <c r="E121" s="812">
        <f t="shared" si="20"/>
        <v>336.88</v>
      </c>
      <c r="F121" s="812">
        <f t="shared" si="21"/>
        <v>2102.13</v>
      </c>
      <c r="G121" s="810"/>
    </row>
    <row r="122" ht="17.1" customHeight="1" spans="1:7">
      <c r="A122" s="811"/>
      <c r="B122" s="814" t="s">
        <v>178</v>
      </c>
      <c r="C122" s="784" t="s">
        <v>154</v>
      </c>
      <c r="D122" s="812">
        <v>1.53</v>
      </c>
      <c r="E122" s="812">
        <f t="shared" si="20"/>
        <v>348.22</v>
      </c>
      <c r="F122" s="812">
        <f t="shared" si="21"/>
        <v>532.78</v>
      </c>
      <c r="G122" s="810"/>
    </row>
    <row r="123" ht="17.1" customHeight="1" spans="1:7">
      <c r="A123" s="811"/>
      <c r="B123" s="814" t="s">
        <v>179</v>
      </c>
      <c r="C123" s="784" t="s">
        <v>154</v>
      </c>
      <c r="D123" s="812">
        <v>1.16</v>
      </c>
      <c r="E123" s="812">
        <f t="shared" si="20"/>
        <v>500.17</v>
      </c>
      <c r="F123" s="812">
        <f t="shared" si="21"/>
        <v>580.2</v>
      </c>
      <c r="G123" s="810"/>
    </row>
    <row r="124" ht="17.1" customHeight="1" spans="1:7">
      <c r="A124" s="811"/>
      <c r="B124" s="814" t="s">
        <v>180</v>
      </c>
      <c r="C124" s="784" t="s">
        <v>154</v>
      </c>
      <c r="D124" s="812">
        <v>0.92</v>
      </c>
      <c r="E124" s="812">
        <f t="shared" si="20"/>
        <v>955.92</v>
      </c>
      <c r="F124" s="812">
        <f t="shared" si="21"/>
        <v>879.45</v>
      </c>
      <c r="G124" s="810"/>
    </row>
    <row r="125" ht="17.1" customHeight="1" spans="1:7">
      <c r="A125" s="811"/>
      <c r="B125" s="814" t="s">
        <v>183</v>
      </c>
      <c r="C125" s="784" t="s">
        <v>161</v>
      </c>
      <c r="D125" s="812">
        <v>4</v>
      </c>
      <c r="E125" s="812">
        <v>186.27</v>
      </c>
      <c r="F125" s="812">
        <f t="shared" si="21"/>
        <v>745.08</v>
      </c>
      <c r="G125" s="810"/>
    </row>
    <row r="126" ht="17.1" customHeight="1" spans="1:7">
      <c r="A126" s="797">
        <v>2.4</v>
      </c>
      <c r="B126" s="803" t="s">
        <v>206</v>
      </c>
      <c r="C126" s="798" t="s">
        <v>172</v>
      </c>
      <c r="D126" s="806">
        <v>10</v>
      </c>
      <c r="E126" s="799">
        <f>F127</f>
        <v>6163.26</v>
      </c>
      <c r="F126" s="799">
        <f t="shared" si="17"/>
        <v>61632.6</v>
      </c>
      <c r="G126" s="810"/>
    </row>
    <row r="127" ht="17.1" customHeight="1" spans="1:7">
      <c r="A127" s="811" t="s">
        <v>174</v>
      </c>
      <c r="B127" s="814" t="s">
        <v>207</v>
      </c>
      <c r="C127" s="810" t="s">
        <v>172</v>
      </c>
      <c r="D127" s="815">
        <v>1</v>
      </c>
      <c r="E127" s="812"/>
      <c r="F127" s="812">
        <f>SUM(F128:F134)</f>
        <v>6163.26</v>
      </c>
      <c r="G127" s="810"/>
    </row>
    <row r="128" ht="17.1" customHeight="1" spans="1:7">
      <c r="A128" s="811"/>
      <c r="B128" s="779" t="s">
        <v>153</v>
      </c>
      <c r="C128" s="784" t="s">
        <v>154</v>
      </c>
      <c r="D128" s="812">
        <v>41.6</v>
      </c>
      <c r="E128" s="812">
        <f t="shared" ref="E128:E133" si="22">E61</f>
        <v>4</v>
      </c>
      <c r="F128" s="812">
        <f>D128*E128</f>
        <v>166.4</v>
      </c>
      <c r="G128" s="810"/>
    </row>
    <row r="129" ht="17.1" customHeight="1" spans="1:7">
      <c r="A129" s="811"/>
      <c r="B129" s="779" t="s">
        <v>155</v>
      </c>
      <c r="C129" s="784" t="s">
        <v>154</v>
      </c>
      <c r="D129" s="812">
        <f>D128*0.75</f>
        <v>31.2</v>
      </c>
      <c r="E129" s="812">
        <f t="shared" si="22"/>
        <v>10.78</v>
      </c>
      <c r="F129" s="812">
        <f t="shared" ref="F129:F134" si="23">D129*E129</f>
        <v>336.34</v>
      </c>
      <c r="G129" s="810"/>
    </row>
    <row r="130" ht="17.1" customHeight="1" spans="1:7">
      <c r="A130" s="811"/>
      <c r="B130" s="814" t="s">
        <v>176</v>
      </c>
      <c r="C130" s="784" t="s">
        <v>154</v>
      </c>
      <c r="D130" s="812">
        <v>9.39</v>
      </c>
      <c r="E130" s="812">
        <f t="shared" si="22"/>
        <v>352.57</v>
      </c>
      <c r="F130" s="812">
        <f t="shared" si="23"/>
        <v>3310.63</v>
      </c>
      <c r="G130" s="810"/>
    </row>
    <row r="131" ht="17.1" customHeight="1" spans="1:7">
      <c r="A131" s="811"/>
      <c r="B131" s="814" t="s">
        <v>177</v>
      </c>
      <c r="C131" s="784" t="s">
        <v>154</v>
      </c>
      <c r="D131" s="812">
        <v>2.04</v>
      </c>
      <c r="E131" s="812">
        <f t="shared" si="22"/>
        <v>336.88</v>
      </c>
      <c r="F131" s="812">
        <f t="shared" si="23"/>
        <v>687.24</v>
      </c>
      <c r="G131" s="810"/>
    </row>
    <row r="132" ht="17.1" customHeight="1" spans="1:7">
      <c r="A132" s="811"/>
      <c r="B132" s="814" t="s">
        <v>178</v>
      </c>
      <c r="C132" s="784" t="s">
        <v>154</v>
      </c>
      <c r="D132" s="812">
        <v>1.32</v>
      </c>
      <c r="E132" s="812">
        <f t="shared" si="22"/>
        <v>348.22</v>
      </c>
      <c r="F132" s="812">
        <f t="shared" si="23"/>
        <v>459.65</v>
      </c>
      <c r="G132" s="810"/>
    </row>
    <row r="133" ht="17.1" customHeight="1" spans="1:7">
      <c r="A133" s="811"/>
      <c r="B133" s="814" t="s">
        <v>179</v>
      </c>
      <c r="C133" s="784" t="s">
        <v>154</v>
      </c>
      <c r="D133" s="812">
        <v>0.84</v>
      </c>
      <c r="E133" s="812">
        <f t="shared" si="22"/>
        <v>500.17</v>
      </c>
      <c r="F133" s="812">
        <f t="shared" si="23"/>
        <v>420.14</v>
      </c>
      <c r="G133" s="810"/>
    </row>
    <row r="134" ht="17.1" customHeight="1" spans="1:7">
      <c r="A134" s="811"/>
      <c r="B134" s="814" t="s">
        <v>188</v>
      </c>
      <c r="C134" s="784" t="s">
        <v>161</v>
      </c>
      <c r="D134" s="812">
        <v>2</v>
      </c>
      <c r="E134" s="812">
        <v>391.43</v>
      </c>
      <c r="F134" s="812">
        <f t="shared" si="23"/>
        <v>782.86</v>
      </c>
      <c r="G134" s="812"/>
    </row>
    <row r="135" ht="17.1" customHeight="1" spans="1:7">
      <c r="A135" s="797">
        <v>2.5</v>
      </c>
      <c r="B135" s="803" t="s">
        <v>208</v>
      </c>
      <c r="C135" s="798" t="s">
        <v>172</v>
      </c>
      <c r="D135" s="806">
        <v>1</v>
      </c>
      <c r="E135" s="799">
        <f>F136</f>
        <v>10745.72</v>
      </c>
      <c r="F135" s="799">
        <f t="shared" si="17"/>
        <v>10745.72</v>
      </c>
      <c r="G135" s="810"/>
    </row>
    <row r="136" ht="17.1" customHeight="1" spans="1:7">
      <c r="A136" s="811" t="s">
        <v>174</v>
      </c>
      <c r="B136" s="814" t="s">
        <v>209</v>
      </c>
      <c r="C136" s="810" t="s">
        <v>172</v>
      </c>
      <c r="D136" s="815">
        <v>1</v>
      </c>
      <c r="E136" s="812"/>
      <c r="F136" s="812">
        <f>SUM(F137:F143)</f>
        <v>10745.72</v>
      </c>
      <c r="G136" s="810"/>
    </row>
    <row r="137" ht="17.1" customHeight="1" spans="1:7">
      <c r="A137" s="811"/>
      <c r="B137" s="779" t="s">
        <v>153</v>
      </c>
      <c r="C137" s="784" t="s">
        <v>154</v>
      </c>
      <c r="D137" s="812">
        <v>47.5</v>
      </c>
      <c r="E137" s="812">
        <f t="shared" ref="E137:E142" si="24">E118</f>
        <v>4</v>
      </c>
      <c r="F137" s="812">
        <f>D137*E137</f>
        <v>190</v>
      </c>
      <c r="G137" s="810"/>
    </row>
    <row r="138" ht="17.1" customHeight="1" spans="1:7">
      <c r="A138" s="811"/>
      <c r="B138" s="779" t="s">
        <v>155</v>
      </c>
      <c r="C138" s="784" t="s">
        <v>154</v>
      </c>
      <c r="D138" s="812">
        <f>D137*0.75</f>
        <v>35.63</v>
      </c>
      <c r="E138" s="812">
        <f t="shared" si="24"/>
        <v>10.78</v>
      </c>
      <c r="F138" s="812">
        <f t="shared" ref="F138:F143" si="25">D138*E138</f>
        <v>384.09</v>
      </c>
      <c r="G138" s="810"/>
    </row>
    <row r="139" ht="17.1" customHeight="1" spans="1:7">
      <c r="A139" s="811"/>
      <c r="B139" s="814" t="s">
        <v>176</v>
      </c>
      <c r="C139" s="784" t="s">
        <v>154</v>
      </c>
      <c r="D139" s="812">
        <v>15.29</v>
      </c>
      <c r="E139" s="812">
        <f t="shared" si="24"/>
        <v>352.57</v>
      </c>
      <c r="F139" s="812">
        <f t="shared" si="25"/>
        <v>5390.8</v>
      </c>
      <c r="G139" s="810"/>
    </row>
    <row r="140" ht="17.1" customHeight="1" spans="1:7">
      <c r="A140" s="811"/>
      <c r="B140" s="814" t="s">
        <v>177</v>
      </c>
      <c r="C140" s="784" t="s">
        <v>154</v>
      </c>
      <c r="D140" s="812">
        <v>6.24</v>
      </c>
      <c r="E140" s="812">
        <f t="shared" si="24"/>
        <v>336.88</v>
      </c>
      <c r="F140" s="812">
        <f t="shared" si="25"/>
        <v>2102.13</v>
      </c>
      <c r="G140" s="810"/>
    </row>
    <row r="141" ht="17.1" customHeight="1" spans="1:7">
      <c r="A141" s="811"/>
      <c r="B141" s="814" t="s">
        <v>178</v>
      </c>
      <c r="C141" s="784" t="s">
        <v>154</v>
      </c>
      <c r="D141" s="812">
        <v>1.53</v>
      </c>
      <c r="E141" s="812">
        <f t="shared" si="24"/>
        <v>348.22</v>
      </c>
      <c r="F141" s="812">
        <f t="shared" si="25"/>
        <v>532.78</v>
      </c>
      <c r="G141" s="810"/>
    </row>
    <row r="142" ht="17.1" customHeight="1" spans="1:7">
      <c r="A142" s="811"/>
      <c r="B142" s="814" t="s">
        <v>179</v>
      </c>
      <c r="C142" s="784" t="s">
        <v>154</v>
      </c>
      <c r="D142" s="812">
        <v>1.16</v>
      </c>
      <c r="E142" s="812">
        <f t="shared" si="24"/>
        <v>500.17</v>
      </c>
      <c r="F142" s="812">
        <f t="shared" si="25"/>
        <v>580.2</v>
      </c>
      <c r="G142" s="810"/>
    </row>
    <row r="143" ht="17.1" customHeight="1" spans="1:7">
      <c r="A143" s="811"/>
      <c r="B143" s="814" t="s">
        <v>188</v>
      </c>
      <c r="C143" s="784" t="s">
        <v>161</v>
      </c>
      <c r="D143" s="812">
        <v>4</v>
      </c>
      <c r="E143" s="812">
        <v>391.43</v>
      </c>
      <c r="F143" s="812">
        <f t="shared" si="25"/>
        <v>1565.72</v>
      </c>
      <c r="G143" s="810"/>
    </row>
    <row r="144" ht="17.1" customHeight="1" spans="1:7">
      <c r="A144" s="797">
        <v>2.6</v>
      </c>
      <c r="B144" s="818" t="s">
        <v>210</v>
      </c>
      <c r="C144" s="798" t="s">
        <v>172</v>
      </c>
      <c r="D144" s="817">
        <v>1</v>
      </c>
      <c r="E144" s="799">
        <v>160000</v>
      </c>
      <c r="F144" s="799">
        <f>SUM(F145:F155)</f>
        <v>148798.83</v>
      </c>
      <c r="G144" s="820"/>
    </row>
    <row r="145" ht="17.1" customHeight="1" spans="1:7">
      <c r="A145" s="821"/>
      <c r="B145" s="779" t="s">
        <v>153</v>
      </c>
      <c r="C145" s="784" t="s">
        <v>154</v>
      </c>
      <c r="D145" s="812">
        <f>4*8*1.7*2</f>
        <v>108.8</v>
      </c>
      <c r="E145" s="812">
        <f t="shared" ref="E145:E150" si="26">E137</f>
        <v>4</v>
      </c>
      <c r="F145" s="812">
        <f>D145*E145</f>
        <v>435.2</v>
      </c>
      <c r="G145" s="820"/>
    </row>
    <row r="146" ht="17.1" customHeight="1" spans="1:7">
      <c r="A146" s="821"/>
      <c r="B146" s="779" t="s">
        <v>155</v>
      </c>
      <c r="C146" s="784" t="s">
        <v>154</v>
      </c>
      <c r="D146" s="812">
        <f>D145*0.65</f>
        <v>70.72</v>
      </c>
      <c r="E146" s="812">
        <f t="shared" si="26"/>
        <v>10.78</v>
      </c>
      <c r="F146" s="812">
        <f t="shared" ref="F146:F155" si="27">D146*E146</f>
        <v>762.36</v>
      </c>
      <c r="G146" s="820"/>
    </row>
    <row r="147" ht="17.1" customHeight="1" spans="1:7">
      <c r="A147" s="821"/>
      <c r="B147" s="814" t="s">
        <v>176</v>
      </c>
      <c r="C147" s="784" t="s">
        <v>154</v>
      </c>
      <c r="D147" s="812">
        <f>0.65*1.08*5*4+0.9*3*4</f>
        <v>24.84</v>
      </c>
      <c r="E147" s="812">
        <f t="shared" si="26"/>
        <v>352.57</v>
      </c>
      <c r="F147" s="812">
        <f t="shared" si="27"/>
        <v>8757.84</v>
      </c>
      <c r="G147" s="820"/>
    </row>
    <row r="148" ht="17.1" customHeight="1" spans="1:7">
      <c r="A148" s="821"/>
      <c r="B148" s="814" t="s">
        <v>177</v>
      </c>
      <c r="C148" s="784" t="s">
        <v>154</v>
      </c>
      <c r="D148" s="812">
        <f>0.5*0.7*1.4*4+0.5*0.7*3.8*4+0.3*1.4*3*4+0.3*1.5*5*4</f>
        <v>21.32</v>
      </c>
      <c r="E148" s="812">
        <f t="shared" si="26"/>
        <v>336.88</v>
      </c>
      <c r="F148" s="812">
        <f t="shared" si="27"/>
        <v>7182.28</v>
      </c>
      <c r="G148" s="820"/>
    </row>
    <row r="149" ht="17.1" customHeight="1" spans="1:7">
      <c r="A149" s="821"/>
      <c r="B149" s="814" t="s">
        <v>178</v>
      </c>
      <c r="C149" s="784" t="s">
        <v>154</v>
      </c>
      <c r="D149" s="812">
        <f>2*0.3*3*2+5*0.3*1.8*2</f>
        <v>9</v>
      </c>
      <c r="E149" s="812">
        <f t="shared" si="26"/>
        <v>348.22</v>
      </c>
      <c r="F149" s="812">
        <f t="shared" si="27"/>
        <v>3133.98</v>
      </c>
      <c r="G149" s="820"/>
    </row>
    <row r="150" ht="17.1" customHeight="1" spans="1:7">
      <c r="A150" s="821"/>
      <c r="B150" s="814" t="s">
        <v>179</v>
      </c>
      <c r="C150" s="784" t="s">
        <v>154</v>
      </c>
      <c r="D150" s="812">
        <f>0.2*0.4*8*4+3.14*1.6/2*0.1*16</f>
        <v>6.58</v>
      </c>
      <c r="E150" s="812">
        <f t="shared" si="26"/>
        <v>500.17</v>
      </c>
      <c r="F150" s="812">
        <f t="shared" si="27"/>
        <v>3291.12</v>
      </c>
      <c r="G150" s="820"/>
    </row>
    <row r="151" ht="17.1" customHeight="1" spans="1:7">
      <c r="A151" s="821"/>
      <c r="B151" s="814" t="s">
        <v>180</v>
      </c>
      <c r="C151" s="784" t="s">
        <v>154</v>
      </c>
      <c r="D151" s="812">
        <f>0.16*2.2*10+0.28*2.2*0.3*2</f>
        <v>3.89</v>
      </c>
      <c r="E151" s="812">
        <f>'单价汇总 3'!D21/100</f>
        <v>955.92</v>
      </c>
      <c r="F151" s="812">
        <f t="shared" si="27"/>
        <v>3718.53</v>
      </c>
      <c r="G151" s="820"/>
    </row>
    <row r="152" ht="17.1" customHeight="1" spans="1:7">
      <c r="A152" s="821"/>
      <c r="B152" s="814" t="s">
        <v>157</v>
      </c>
      <c r="C152" s="784" t="s">
        <v>154</v>
      </c>
      <c r="D152" s="812">
        <f>(51.99*2+52.37*3)/1000</f>
        <v>0.26</v>
      </c>
      <c r="E152" s="812">
        <f>'单价汇总 3'!D17</f>
        <v>7426.63</v>
      </c>
      <c r="F152" s="812">
        <f t="shared" si="27"/>
        <v>1930.92</v>
      </c>
      <c r="G152" s="820"/>
    </row>
    <row r="153" ht="17.1" customHeight="1" spans="1:7">
      <c r="A153" s="821"/>
      <c r="B153" s="822" t="s">
        <v>211</v>
      </c>
      <c r="C153" s="784" t="s">
        <v>172</v>
      </c>
      <c r="D153" s="812">
        <v>3</v>
      </c>
      <c r="E153" s="812">
        <v>38000</v>
      </c>
      <c r="F153" s="812">
        <f t="shared" si="27"/>
        <v>114000</v>
      </c>
      <c r="G153" s="820"/>
    </row>
    <row r="154" ht="17.1" customHeight="1" spans="1:7">
      <c r="A154" s="821"/>
      <c r="B154" s="814" t="s">
        <v>212</v>
      </c>
      <c r="C154" s="784" t="s">
        <v>154</v>
      </c>
      <c r="D154" s="812">
        <f>2*2*0.5*2</f>
        <v>4</v>
      </c>
      <c r="E154" s="812">
        <f>E151</f>
        <v>955.92</v>
      </c>
      <c r="F154" s="812">
        <f t="shared" si="27"/>
        <v>3823.68</v>
      </c>
      <c r="G154" s="820"/>
    </row>
    <row r="155" ht="17.1" customHeight="1" spans="1:7">
      <c r="A155" s="821"/>
      <c r="B155" s="814" t="s">
        <v>213</v>
      </c>
      <c r="C155" s="784" t="s">
        <v>161</v>
      </c>
      <c r="D155" s="812">
        <f>(0.6*2+3.14*0.8*2)*4</f>
        <v>24.9</v>
      </c>
      <c r="E155" s="812">
        <v>70.8</v>
      </c>
      <c r="F155" s="812">
        <f t="shared" si="27"/>
        <v>1762.92</v>
      </c>
      <c r="G155" s="820"/>
    </row>
    <row r="156" ht="17.1" customHeight="1" spans="1:7">
      <c r="A156" s="797">
        <v>2.7</v>
      </c>
      <c r="B156" s="818" t="s">
        <v>214</v>
      </c>
      <c r="C156" s="798" t="s">
        <v>172</v>
      </c>
      <c r="D156" s="817">
        <v>3</v>
      </c>
      <c r="E156" s="799">
        <f>F157</f>
        <v>9429.87</v>
      </c>
      <c r="F156" s="799">
        <f t="shared" si="17"/>
        <v>28289.61</v>
      </c>
      <c r="G156" s="820"/>
    </row>
    <row r="157" ht="17.1" customHeight="1" spans="1:7">
      <c r="A157" s="811" t="s">
        <v>174</v>
      </c>
      <c r="B157" s="814" t="s">
        <v>201</v>
      </c>
      <c r="C157" s="810" t="s">
        <v>172</v>
      </c>
      <c r="D157" s="815">
        <v>1</v>
      </c>
      <c r="E157" s="812"/>
      <c r="F157" s="812">
        <f>SUM(F158:F165)</f>
        <v>9429.87</v>
      </c>
      <c r="G157" s="820"/>
    </row>
    <row r="158" ht="17.1" customHeight="1" spans="1:7">
      <c r="A158" s="811"/>
      <c r="B158" s="779" t="s">
        <v>153</v>
      </c>
      <c r="C158" s="784" t="s">
        <v>154</v>
      </c>
      <c r="D158" s="812">
        <v>62</v>
      </c>
      <c r="E158" s="812">
        <f t="shared" ref="E158:E165" si="28">E99</f>
        <v>4</v>
      </c>
      <c r="F158" s="812">
        <f>D158*E158</f>
        <v>248</v>
      </c>
      <c r="G158" s="820"/>
    </row>
    <row r="159" ht="17.1" customHeight="1" spans="1:7">
      <c r="A159" s="811"/>
      <c r="B159" s="779" t="s">
        <v>155</v>
      </c>
      <c r="C159" s="784" t="s">
        <v>154</v>
      </c>
      <c r="D159" s="812">
        <f>D158*0.75</f>
        <v>46.5</v>
      </c>
      <c r="E159" s="812">
        <f t="shared" si="28"/>
        <v>10.78</v>
      </c>
      <c r="F159" s="812">
        <f t="shared" ref="F159:F165" si="29">D159*E159</f>
        <v>501.27</v>
      </c>
      <c r="G159" s="820"/>
    </row>
    <row r="160" ht="17.1" customHeight="1" spans="1:7">
      <c r="A160" s="811"/>
      <c r="B160" s="814" t="s">
        <v>176</v>
      </c>
      <c r="C160" s="784" t="s">
        <v>154</v>
      </c>
      <c r="D160" s="812">
        <v>15.06</v>
      </c>
      <c r="E160" s="812">
        <f t="shared" si="28"/>
        <v>352.57</v>
      </c>
      <c r="F160" s="812">
        <f t="shared" si="29"/>
        <v>5309.7</v>
      </c>
      <c r="G160" s="820"/>
    </row>
    <row r="161" ht="17.1" customHeight="1" spans="1:7">
      <c r="A161" s="811"/>
      <c r="B161" s="814" t="s">
        <v>177</v>
      </c>
      <c r="C161" s="784" t="s">
        <v>154</v>
      </c>
      <c r="D161" s="812">
        <v>5.15</v>
      </c>
      <c r="E161" s="812">
        <f t="shared" si="28"/>
        <v>336.88</v>
      </c>
      <c r="F161" s="812">
        <f t="shared" si="29"/>
        <v>1734.93</v>
      </c>
      <c r="G161" s="820"/>
    </row>
    <row r="162" ht="17.1" customHeight="1" spans="1:7">
      <c r="A162" s="811"/>
      <c r="B162" s="814" t="s">
        <v>178</v>
      </c>
      <c r="C162" s="784" t="s">
        <v>154</v>
      </c>
      <c r="D162" s="812">
        <v>0.9</v>
      </c>
      <c r="E162" s="812">
        <f t="shared" si="28"/>
        <v>348.22</v>
      </c>
      <c r="F162" s="812">
        <f t="shared" si="29"/>
        <v>313.4</v>
      </c>
      <c r="G162" s="820"/>
    </row>
    <row r="163" ht="17.1" customHeight="1" spans="1:7">
      <c r="A163" s="811"/>
      <c r="B163" s="814" t="s">
        <v>179</v>
      </c>
      <c r="C163" s="784" t="s">
        <v>154</v>
      </c>
      <c r="D163" s="812">
        <v>0.12</v>
      </c>
      <c r="E163" s="812">
        <f t="shared" si="28"/>
        <v>500.17</v>
      </c>
      <c r="F163" s="812">
        <f t="shared" si="29"/>
        <v>60.02</v>
      </c>
      <c r="G163" s="820"/>
    </row>
    <row r="164" ht="17.1" customHeight="1" spans="1:7">
      <c r="A164" s="811"/>
      <c r="B164" s="814" t="s">
        <v>180</v>
      </c>
      <c r="C164" s="784" t="s">
        <v>154</v>
      </c>
      <c r="D164" s="812">
        <v>1.01</v>
      </c>
      <c r="E164" s="812">
        <f t="shared" si="28"/>
        <v>955.92</v>
      </c>
      <c r="F164" s="812">
        <f t="shared" si="29"/>
        <v>965.48</v>
      </c>
      <c r="G164" s="820"/>
    </row>
    <row r="165" ht="17.1" customHeight="1" spans="1:7">
      <c r="A165" s="811"/>
      <c r="B165" s="814" t="s">
        <v>157</v>
      </c>
      <c r="C165" s="784" t="s">
        <v>158</v>
      </c>
      <c r="D165" s="812">
        <v>0.04</v>
      </c>
      <c r="E165" s="812">
        <f t="shared" si="28"/>
        <v>7426.63</v>
      </c>
      <c r="F165" s="812">
        <f t="shared" si="29"/>
        <v>297.07</v>
      </c>
      <c r="G165" s="820"/>
    </row>
    <row r="166" ht="17.1" customHeight="1" spans="1:7">
      <c r="A166" s="797" t="s">
        <v>16</v>
      </c>
      <c r="B166" s="818" t="s">
        <v>215</v>
      </c>
      <c r="C166" s="798"/>
      <c r="D166" s="799"/>
      <c r="E166" s="799"/>
      <c r="F166" s="799">
        <f>F167+F174</f>
        <v>327571.43</v>
      </c>
      <c r="G166" s="819"/>
    </row>
    <row r="167" ht="17.1" customHeight="1" spans="1:7">
      <c r="A167" s="797">
        <v>1</v>
      </c>
      <c r="B167" s="803" t="s">
        <v>149</v>
      </c>
      <c r="C167" s="804" t="s">
        <v>150</v>
      </c>
      <c r="D167" s="805">
        <f>D168</f>
        <v>1.309</v>
      </c>
      <c r="E167" s="806"/>
      <c r="F167" s="807">
        <f>F168</f>
        <v>262871.51</v>
      </c>
      <c r="G167" s="819"/>
    </row>
    <row r="168" ht="17.1" customHeight="1" spans="1:7">
      <c r="A168" s="797">
        <v>1.1</v>
      </c>
      <c r="B168" s="803" t="s">
        <v>216</v>
      </c>
      <c r="C168" s="804" t="s">
        <v>150</v>
      </c>
      <c r="D168" s="805">
        <v>1.309</v>
      </c>
      <c r="E168" s="806">
        <f>F168/D168</f>
        <v>200819</v>
      </c>
      <c r="F168" s="807">
        <f>SUM(F169:F173)</f>
        <v>262871.51</v>
      </c>
      <c r="G168" s="810"/>
    </row>
    <row r="169" ht="17.1" customHeight="1" spans="1:7">
      <c r="A169" s="811"/>
      <c r="B169" s="779" t="s">
        <v>153</v>
      </c>
      <c r="C169" s="784" t="s">
        <v>154</v>
      </c>
      <c r="D169" s="808">
        <v>2443</v>
      </c>
      <c r="E169" s="812">
        <f t="shared" ref="E169:E170" si="30">E216</f>
        <v>4</v>
      </c>
      <c r="F169" s="812">
        <f>D169*E169</f>
        <v>9772</v>
      </c>
      <c r="G169" s="810"/>
    </row>
    <row r="170" ht="17.1" customHeight="1" spans="1:7">
      <c r="A170" s="811"/>
      <c r="B170" s="779" t="s">
        <v>155</v>
      </c>
      <c r="C170" s="784" t="s">
        <v>154</v>
      </c>
      <c r="D170" s="808">
        <v>234</v>
      </c>
      <c r="E170" s="812">
        <f t="shared" si="30"/>
        <v>6.26</v>
      </c>
      <c r="F170" s="812">
        <f>D170*E170</f>
        <v>1464.84</v>
      </c>
      <c r="G170" s="810"/>
    </row>
    <row r="171" ht="17.1" customHeight="1" spans="1:7">
      <c r="A171" s="811"/>
      <c r="B171" s="779" t="s">
        <v>168</v>
      </c>
      <c r="C171" s="784" t="s">
        <v>169</v>
      </c>
      <c r="D171" s="808">
        <f>3.56*D168*1000</f>
        <v>4660.04</v>
      </c>
      <c r="E171" s="812">
        <f>E219</f>
        <v>0.7</v>
      </c>
      <c r="F171" s="812">
        <f>D171*E171</f>
        <v>3262.03</v>
      </c>
      <c r="G171" s="810"/>
    </row>
    <row r="172" ht="17.1" customHeight="1" spans="1:7">
      <c r="A172" s="811"/>
      <c r="B172" s="779" t="s">
        <v>170</v>
      </c>
      <c r="C172" s="784" t="s">
        <v>154</v>
      </c>
      <c r="D172" s="808">
        <f>D168*1000/7.48*1.738</f>
        <v>304.15</v>
      </c>
      <c r="E172" s="812">
        <f>E220</f>
        <v>794.37</v>
      </c>
      <c r="F172" s="812">
        <f>D172*E172</f>
        <v>241607.64</v>
      </c>
      <c r="G172" s="810"/>
    </row>
    <row r="173" ht="17.1" customHeight="1" spans="1:7">
      <c r="A173" s="811"/>
      <c r="B173" s="779" t="s">
        <v>159</v>
      </c>
      <c r="C173" s="784" t="s">
        <v>154</v>
      </c>
      <c r="D173" s="808">
        <f>0.007*D168*1000/7.48</f>
        <v>1.23</v>
      </c>
      <c r="E173" s="812">
        <f>E221</f>
        <v>5500</v>
      </c>
      <c r="F173" s="812">
        <f t="shared" ref="F173" si="31">D173*E173</f>
        <v>6765</v>
      </c>
      <c r="G173" s="810"/>
    </row>
    <row r="174" ht="17.1" customHeight="1" spans="1:7">
      <c r="A174" s="797">
        <v>2</v>
      </c>
      <c r="B174" s="803" t="s">
        <v>171</v>
      </c>
      <c r="C174" s="798" t="s">
        <v>172</v>
      </c>
      <c r="D174" s="806">
        <f>D175+D185+D194+D203</f>
        <v>10</v>
      </c>
      <c r="E174" s="807"/>
      <c r="F174" s="807">
        <f>F175+F185+F194+F203</f>
        <v>64699.92</v>
      </c>
      <c r="G174" s="798"/>
    </row>
    <row r="175" ht="17.1" customHeight="1" spans="1:7">
      <c r="A175" s="797">
        <v>2.1</v>
      </c>
      <c r="B175" s="813" t="s">
        <v>217</v>
      </c>
      <c r="C175" s="798" t="s">
        <v>172</v>
      </c>
      <c r="D175" s="817">
        <v>2</v>
      </c>
      <c r="E175" s="799">
        <f>F176</f>
        <v>12179.45</v>
      </c>
      <c r="F175" s="799">
        <f>D175*E175</f>
        <v>24358.9</v>
      </c>
      <c r="G175" s="810"/>
    </row>
    <row r="176" ht="17.1" customHeight="1" spans="1:7">
      <c r="A176" s="811" t="s">
        <v>174</v>
      </c>
      <c r="B176" s="814" t="s">
        <v>218</v>
      </c>
      <c r="C176" s="810" t="s">
        <v>172</v>
      </c>
      <c r="D176" s="815">
        <v>1</v>
      </c>
      <c r="E176" s="812"/>
      <c r="F176" s="812">
        <f>SUM(F177:F184)</f>
        <v>12179.45</v>
      </c>
      <c r="G176" s="810"/>
    </row>
    <row r="177" ht="17.1" customHeight="1" spans="1:7">
      <c r="A177" s="811"/>
      <c r="B177" s="779" t="s">
        <v>153</v>
      </c>
      <c r="C177" s="784" t="s">
        <v>154</v>
      </c>
      <c r="D177" s="812">
        <v>36</v>
      </c>
      <c r="E177" s="812">
        <f t="shared" ref="E177:E184" si="32">E99</f>
        <v>4</v>
      </c>
      <c r="F177" s="812">
        <f>D177*E177</f>
        <v>144</v>
      </c>
      <c r="G177" s="810"/>
    </row>
    <row r="178" ht="17.1" customHeight="1" spans="1:7">
      <c r="A178" s="811"/>
      <c r="B178" s="779" t="s">
        <v>155</v>
      </c>
      <c r="C178" s="784" t="s">
        <v>154</v>
      </c>
      <c r="D178" s="812">
        <f>D177*0.75</f>
        <v>27</v>
      </c>
      <c r="E178" s="812">
        <f t="shared" si="32"/>
        <v>10.78</v>
      </c>
      <c r="F178" s="812">
        <f t="shared" ref="F178:F184" si="33">D178*E178</f>
        <v>291.06</v>
      </c>
      <c r="G178" s="810"/>
    </row>
    <row r="179" ht="17.1" customHeight="1" spans="1:7">
      <c r="A179" s="811"/>
      <c r="B179" s="814" t="s">
        <v>176</v>
      </c>
      <c r="C179" s="784" t="s">
        <v>154</v>
      </c>
      <c r="D179" s="812">
        <v>13.23</v>
      </c>
      <c r="E179" s="812">
        <f t="shared" si="32"/>
        <v>352.57</v>
      </c>
      <c r="F179" s="812">
        <f t="shared" si="33"/>
        <v>4664.5</v>
      </c>
      <c r="G179" s="810"/>
    </row>
    <row r="180" ht="17.1" customHeight="1" spans="1:7">
      <c r="A180" s="811"/>
      <c r="B180" s="814" t="s">
        <v>177</v>
      </c>
      <c r="C180" s="784" t="s">
        <v>154</v>
      </c>
      <c r="D180" s="812">
        <f>4.72+1.1</f>
        <v>5.82</v>
      </c>
      <c r="E180" s="812">
        <f t="shared" si="32"/>
        <v>336.88</v>
      </c>
      <c r="F180" s="812">
        <f t="shared" si="33"/>
        <v>1960.64</v>
      </c>
      <c r="G180" s="810"/>
    </row>
    <row r="181" ht="17.1" customHeight="1" spans="1:7">
      <c r="A181" s="811"/>
      <c r="B181" s="814" t="s">
        <v>178</v>
      </c>
      <c r="C181" s="784" t="s">
        <v>154</v>
      </c>
      <c r="D181" s="812">
        <v>0.84</v>
      </c>
      <c r="E181" s="812">
        <f t="shared" si="32"/>
        <v>348.22</v>
      </c>
      <c r="F181" s="812">
        <f t="shared" si="33"/>
        <v>292.5</v>
      </c>
      <c r="G181" s="810"/>
    </row>
    <row r="182" ht="17.1" customHeight="1" spans="1:7">
      <c r="A182" s="811"/>
      <c r="B182" s="814" t="s">
        <v>179</v>
      </c>
      <c r="C182" s="784" t="s">
        <v>154</v>
      </c>
      <c r="D182" s="812">
        <v>0.8</v>
      </c>
      <c r="E182" s="812">
        <f t="shared" si="32"/>
        <v>500.17</v>
      </c>
      <c r="F182" s="812">
        <f t="shared" si="33"/>
        <v>400.14</v>
      </c>
      <c r="G182" s="810"/>
    </row>
    <row r="183" ht="17.1" customHeight="1" spans="1:7">
      <c r="A183" s="811"/>
      <c r="B183" s="814" t="s">
        <v>180</v>
      </c>
      <c r="C183" s="784" t="s">
        <v>154</v>
      </c>
      <c r="D183" s="812">
        <v>2.3</v>
      </c>
      <c r="E183" s="812">
        <f t="shared" si="32"/>
        <v>955.92</v>
      </c>
      <c r="F183" s="812">
        <f t="shared" si="33"/>
        <v>2198.62</v>
      </c>
      <c r="G183" s="810"/>
    </row>
    <row r="184" ht="17.1" customHeight="1" spans="1:7">
      <c r="A184" s="811"/>
      <c r="B184" s="814" t="s">
        <v>157</v>
      </c>
      <c r="C184" s="784" t="s">
        <v>158</v>
      </c>
      <c r="D184" s="812">
        <f>(56.63*3+63.89*2)/1000</f>
        <v>0.3</v>
      </c>
      <c r="E184" s="812">
        <f t="shared" si="32"/>
        <v>7426.63</v>
      </c>
      <c r="F184" s="812">
        <f t="shared" si="33"/>
        <v>2227.99</v>
      </c>
      <c r="G184" s="810"/>
    </row>
    <row r="185" ht="17.1" customHeight="1" spans="1:7">
      <c r="A185" s="797">
        <v>2.2</v>
      </c>
      <c r="B185" s="816" t="s">
        <v>219</v>
      </c>
      <c r="C185" s="798" t="s">
        <v>172</v>
      </c>
      <c r="D185" s="817">
        <v>4</v>
      </c>
      <c r="E185" s="799">
        <f>F186</f>
        <v>4727.29</v>
      </c>
      <c r="F185" s="799">
        <f t="shared" ref="F185:F203" si="34">D185*E185</f>
        <v>18909.16</v>
      </c>
      <c r="G185" s="810"/>
    </row>
    <row r="186" ht="17.1" customHeight="1" spans="1:7">
      <c r="A186" s="811" t="s">
        <v>174</v>
      </c>
      <c r="B186" s="814" t="s">
        <v>220</v>
      </c>
      <c r="C186" s="810" t="s">
        <v>172</v>
      </c>
      <c r="D186" s="815">
        <v>1</v>
      </c>
      <c r="E186" s="812"/>
      <c r="F186" s="812">
        <f>SUM(F187:F193)</f>
        <v>4727.29</v>
      </c>
      <c r="G186" s="810"/>
    </row>
    <row r="187" ht="17.1" customHeight="1" spans="1:7">
      <c r="A187" s="811"/>
      <c r="B187" s="779" t="s">
        <v>153</v>
      </c>
      <c r="C187" s="784" t="s">
        <v>154</v>
      </c>
      <c r="D187" s="812">
        <v>32</v>
      </c>
      <c r="E187" s="812">
        <f t="shared" ref="E187:E192" si="35">E109</f>
        <v>4</v>
      </c>
      <c r="F187" s="812">
        <f>D187*E187</f>
        <v>128</v>
      </c>
      <c r="G187" s="810"/>
    </row>
    <row r="188" ht="17.1" customHeight="1" spans="1:7">
      <c r="A188" s="811"/>
      <c r="B188" s="779" t="s">
        <v>155</v>
      </c>
      <c r="C188" s="784" t="s">
        <v>154</v>
      </c>
      <c r="D188" s="812">
        <f>D187*0.75</f>
        <v>24</v>
      </c>
      <c r="E188" s="812">
        <f t="shared" si="35"/>
        <v>10.78</v>
      </c>
      <c r="F188" s="812">
        <f t="shared" ref="F188:F193" si="36">D188*E188</f>
        <v>258.72</v>
      </c>
      <c r="G188" s="810"/>
    </row>
    <row r="189" ht="17.1" customHeight="1" spans="1:7">
      <c r="A189" s="811"/>
      <c r="B189" s="814" t="s">
        <v>176</v>
      </c>
      <c r="C189" s="784" t="s">
        <v>154</v>
      </c>
      <c r="D189" s="812">
        <v>6.81</v>
      </c>
      <c r="E189" s="812">
        <f t="shared" si="35"/>
        <v>352.57</v>
      </c>
      <c r="F189" s="812">
        <f t="shared" si="36"/>
        <v>2401</v>
      </c>
      <c r="G189" s="810"/>
    </row>
    <row r="190" ht="17.1" customHeight="1" spans="1:7">
      <c r="A190" s="811"/>
      <c r="B190" s="814" t="s">
        <v>177</v>
      </c>
      <c r="C190" s="784" t="s">
        <v>154</v>
      </c>
      <c r="D190" s="812">
        <v>2.04</v>
      </c>
      <c r="E190" s="812">
        <f t="shared" si="35"/>
        <v>336.88</v>
      </c>
      <c r="F190" s="812">
        <f t="shared" si="36"/>
        <v>687.24</v>
      </c>
      <c r="G190" s="810"/>
    </row>
    <row r="191" ht="17.1" customHeight="1" spans="1:7">
      <c r="A191" s="811"/>
      <c r="B191" s="814" t="s">
        <v>178</v>
      </c>
      <c r="C191" s="784" t="s">
        <v>154</v>
      </c>
      <c r="D191" s="812">
        <v>1.32</v>
      </c>
      <c r="E191" s="812">
        <f t="shared" si="35"/>
        <v>348.22</v>
      </c>
      <c r="F191" s="812">
        <f t="shared" si="36"/>
        <v>459.65</v>
      </c>
      <c r="G191" s="810"/>
    </row>
    <row r="192" ht="17.1" customHeight="1" spans="1:7">
      <c r="A192" s="811"/>
      <c r="B192" s="814" t="s">
        <v>179</v>
      </c>
      <c r="C192" s="784" t="s">
        <v>154</v>
      </c>
      <c r="D192" s="812">
        <v>0.84</v>
      </c>
      <c r="E192" s="812">
        <f t="shared" si="35"/>
        <v>500.17</v>
      </c>
      <c r="F192" s="812">
        <f t="shared" si="36"/>
        <v>420.14</v>
      </c>
      <c r="G192" s="810"/>
    </row>
    <row r="193" ht="17.1" customHeight="1" spans="1:7">
      <c r="A193" s="811"/>
      <c r="B193" s="814" t="s">
        <v>183</v>
      </c>
      <c r="C193" s="784" t="s">
        <v>161</v>
      </c>
      <c r="D193" s="812">
        <v>2</v>
      </c>
      <c r="E193" s="812">
        <v>186.27</v>
      </c>
      <c r="F193" s="812">
        <f t="shared" si="36"/>
        <v>372.54</v>
      </c>
      <c r="G193" s="810"/>
    </row>
    <row r="194" ht="17.1" customHeight="1" spans="1:7">
      <c r="A194" s="797" t="s">
        <v>221</v>
      </c>
      <c r="B194" s="803" t="s">
        <v>222</v>
      </c>
      <c r="C194" s="798" t="s">
        <v>172</v>
      </c>
      <c r="D194" s="806">
        <v>3</v>
      </c>
      <c r="E194" s="799">
        <f>F195</f>
        <v>5195.62</v>
      </c>
      <c r="F194" s="799">
        <f t="shared" si="34"/>
        <v>15586.86</v>
      </c>
      <c r="G194" s="810"/>
    </row>
    <row r="195" ht="17.1" customHeight="1" spans="1:7">
      <c r="A195" s="811" t="s">
        <v>174</v>
      </c>
      <c r="B195" s="814" t="s">
        <v>223</v>
      </c>
      <c r="C195" s="810" t="s">
        <v>172</v>
      </c>
      <c r="D195" s="815">
        <v>1</v>
      </c>
      <c r="E195" s="812"/>
      <c r="F195" s="812">
        <f>SUM(F196:F202)</f>
        <v>5195.62</v>
      </c>
      <c r="G195" s="810"/>
    </row>
    <row r="196" ht="17.1" customHeight="1" spans="1:7">
      <c r="A196" s="811"/>
      <c r="B196" s="779" t="s">
        <v>153</v>
      </c>
      <c r="C196" s="784" t="s">
        <v>154</v>
      </c>
      <c r="D196" s="812">
        <v>36.8</v>
      </c>
      <c r="E196" s="812">
        <f t="shared" ref="E196:E201" si="37">E128</f>
        <v>4</v>
      </c>
      <c r="F196" s="812">
        <f>D196*E196</f>
        <v>147.2</v>
      </c>
      <c r="G196" s="810"/>
    </row>
    <row r="197" ht="17.1" customHeight="1" spans="1:7">
      <c r="A197" s="811"/>
      <c r="B197" s="779" t="s">
        <v>155</v>
      </c>
      <c r="C197" s="784" t="s">
        <v>154</v>
      </c>
      <c r="D197" s="812">
        <f>D196*0.75</f>
        <v>27.6</v>
      </c>
      <c r="E197" s="812">
        <f t="shared" si="37"/>
        <v>10.78</v>
      </c>
      <c r="F197" s="812">
        <f t="shared" ref="F197:F202" si="38">D197*E197</f>
        <v>297.53</v>
      </c>
      <c r="G197" s="810"/>
    </row>
    <row r="198" ht="17.1" customHeight="1" spans="1:7">
      <c r="A198" s="811"/>
      <c r="B198" s="814" t="s">
        <v>176</v>
      </c>
      <c r="C198" s="784" t="s">
        <v>154</v>
      </c>
      <c r="D198" s="812">
        <v>6.81</v>
      </c>
      <c r="E198" s="812">
        <f t="shared" si="37"/>
        <v>352.57</v>
      </c>
      <c r="F198" s="812">
        <f t="shared" si="38"/>
        <v>2401</v>
      </c>
      <c r="G198" s="810"/>
    </row>
    <row r="199" ht="17.1" customHeight="1" spans="1:7">
      <c r="A199" s="811"/>
      <c r="B199" s="814" t="s">
        <v>177</v>
      </c>
      <c r="C199" s="784" t="s">
        <v>154</v>
      </c>
      <c r="D199" s="812">
        <v>2.04</v>
      </c>
      <c r="E199" s="812">
        <f t="shared" si="37"/>
        <v>336.88</v>
      </c>
      <c r="F199" s="812">
        <f t="shared" si="38"/>
        <v>687.24</v>
      </c>
      <c r="G199" s="810"/>
    </row>
    <row r="200" ht="17.1" customHeight="1" spans="1:7">
      <c r="A200" s="811"/>
      <c r="B200" s="814" t="s">
        <v>178</v>
      </c>
      <c r="C200" s="784" t="s">
        <v>154</v>
      </c>
      <c r="D200" s="812">
        <v>1.32</v>
      </c>
      <c r="E200" s="812">
        <f t="shared" si="37"/>
        <v>348.22</v>
      </c>
      <c r="F200" s="812">
        <f t="shared" si="38"/>
        <v>459.65</v>
      </c>
      <c r="G200" s="810"/>
    </row>
    <row r="201" ht="17.1" customHeight="1" spans="1:7">
      <c r="A201" s="811"/>
      <c r="B201" s="814" t="s">
        <v>179</v>
      </c>
      <c r="C201" s="784" t="s">
        <v>154</v>
      </c>
      <c r="D201" s="812">
        <v>0.84</v>
      </c>
      <c r="E201" s="812">
        <f t="shared" si="37"/>
        <v>500.17</v>
      </c>
      <c r="F201" s="812">
        <f t="shared" si="38"/>
        <v>420.14</v>
      </c>
      <c r="G201" s="810"/>
    </row>
    <row r="202" ht="17.1" customHeight="1" spans="1:7">
      <c r="A202" s="811"/>
      <c r="B202" s="814" t="s">
        <v>188</v>
      </c>
      <c r="C202" s="784" t="s">
        <v>161</v>
      </c>
      <c r="D202" s="812">
        <v>2</v>
      </c>
      <c r="E202" s="812">
        <v>391.43</v>
      </c>
      <c r="F202" s="812">
        <f t="shared" si="38"/>
        <v>782.86</v>
      </c>
      <c r="G202" s="810"/>
    </row>
    <row r="203" ht="17.1" customHeight="1" spans="1:7">
      <c r="A203" s="797" t="s">
        <v>224</v>
      </c>
      <c r="B203" s="818" t="s">
        <v>225</v>
      </c>
      <c r="C203" s="798" t="s">
        <v>172</v>
      </c>
      <c r="D203" s="817">
        <v>1</v>
      </c>
      <c r="E203" s="799">
        <f>F204</f>
        <v>5845</v>
      </c>
      <c r="F203" s="799">
        <f t="shared" si="34"/>
        <v>5845</v>
      </c>
      <c r="G203" s="820"/>
    </row>
    <row r="204" ht="17.1" customHeight="1" spans="1:7">
      <c r="A204" s="811" t="s">
        <v>174</v>
      </c>
      <c r="B204" s="814" t="s">
        <v>226</v>
      </c>
      <c r="C204" s="810" t="s">
        <v>172</v>
      </c>
      <c r="D204" s="815">
        <v>1</v>
      </c>
      <c r="E204" s="812"/>
      <c r="F204" s="812">
        <f>SUM(F205:F212)</f>
        <v>5845</v>
      </c>
      <c r="G204" s="820"/>
    </row>
    <row r="205" ht="17.1" customHeight="1" spans="1:7">
      <c r="A205" s="811"/>
      <c r="B205" s="779" t="s">
        <v>153</v>
      </c>
      <c r="C205" s="784" t="s">
        <v>154</v>
      </c>
      <c r="D205" s="812">
        <v>41</v>
      </c>
      <c r="E205" s="812">
        <f t="shared" ref="E205:E212" si="39">E158</f>
        <v>4</v>
      </c>
      <c r="F205" s="812">
        <f>D205*E205</f>
        <v>164</v>
      </c>
      <c r="G205" s="820"/>
    </row>
    <row r="206" ht="17.1" customHeight="1" spans="1:7">
      <c r="A206" s="811"/>
      <c r="B206" s="779" t="s">
        <v>155</v>
      </c>
      <c r="C206" s="784" t="s">
        <v>154</v>
      </c>
      <c r="D206" s="812">
        <f>D205*0.75</f>
        <v>30.75</v>
      </c>
      <c r="E206" s="812">
        <f t="shared" si="39"/>
        <v>10.78</v>
      </c>
      <c r="F206" s="812">
        <f t="shared" ref="F206:F212" si="40">D206*E206</f>
        <v>331.49</v>
      </c>
      <c r="G206" s="820"/>
    </row>
    <row r="207" ht="17.1" customHeight="1" spans="1:7">
      <c r="A207" s="811"/>
      <c r="B207" s="814" t="s">
        <v>176</v>
      </c>
      <c r="C207" s="784" t="s">
        <v>154</v>
      </c>
      <c r="D207" s="812">
        <v>7.56</v>
      </c>
      <c r="E207" s="812">
        <f t="shared" si="39"/>
        <v>352.57</v>
      </c>
      <c r="F207" s="812">
        <f t="shared" si="40"/>
        <v>2665.43</v>
      </c>
      <c r="G207" s="820"/>
    </row>
    <row r="208" ht="17.1" customHeight="1" spans="1:7">
      <c r="A208" s="811"/>
      <c r="B208" s="814" t="s">
        <v>177</v>
      </c>
      <c r="C208" s="784" t="s">
        <v>154</v>
      </c>
      <c r="D208" s="812">
        <v>4.53</v>
      </c>
      <c r="E208" s="812">
        <f t="shared" si="39"/>
        <v>336.88</v>
      </c>
      <c r="F208" s="812">
        <f t="shared" si="40"/>
        <v>1526.07</v>
      </c>
      <c r="G208" s="820"/>
    </row>
    <row r="209" ht="17.1" customHeight="1" spans="1:7">
      <c r="A209" s="811"/>
      <c r="B209" s="814" t="s">
        <v>178</v>
      </c>
      <c r="C209" s="784" t="s">
        <v>154</v>
      </c>
      <c r="D209" s="812">
        <v>0.9</v>
      </c>
      <c r="E209" s="812">
        <f t="shared" si="39"/>
        <v>348.22</v>
      </c>
      <c r="F209" s="812">
        <f t="shared" si="40"/>
        <v>313.4</v>
      </c>
      <c r="G209" s="820"/>
    </row>
    <row r="210" ht="17.1" customHeight="1" spans="1:7">
      <c r="A210" s="811"/>
      <c r="B210" s="814" t="s">
        <v>179</v>
      </c>
      <c r="C210" s="784" t="s">
        <v>154</v>
      </c>
      <c r="D210" s="812">
        <v>0.12</v>
      </c>
      <c r="E210" s="812">
        <f t="shared" si="39"/>
        <v>500.17</v>
      </c>
      <c r="F210" s="812">
        <f t="shared" si="40"/>
        <v>60.02</v>
      </c>
      <c r="G210" s="820"/>
    </row>
    <row r="211" ht="17.1" customHeight="1" spans="1:7">
      <c r="A211" s="811"/>
      <c r="B211" s="814" t="s">
        <v>180</v>
      </c>
      <c r="C211" s="784" t="s">
        <v>154</v>
      </c>
      <c r="D211" s="812">
        <v>0.51</v>
      </c>
      <c r="E211" s="812">
        <f t="shared" si="39"/>
        <v>955.92</v>
      </c>
      <c r="F211" s="812">
        <f t="shared" si="40"/>
        <v>487.52</v>
      </c>
      <c r="G211" s="820"/>
    </row>
    <row r="212" ht="17.1" customHeight="1" spans="1:7">
      <c r="A212" s="811"/>
      <c r="B212" s="814" t="s">
        <v>157</v>
      </c>
      <c r="C212" s="784" t="s">
        <v>158</v>
      </c>
      <c r="D212" s="812">
        <v>0.04</v>
      </c>
      <c r="E212" s="812">
        <f t="shared" si="39"/>
        <v>7426.63</v>
      </c>
      <c r="F212" s="812">
        <f t="shared" si="40"/>
        <v>297.07</v>
      </c>
      <c r="G212" s="820"/>
    </row>
    <row r="213" ht="17.1" customHeight="1" spans="1:7">
      <c r="A213" s="797" t="s">
        <v>18</v>
      </c>
      <c r="B213" s="818" t="s">
        <v>227</v>
      </c>
      <c r="C213" s="798"/>
      <c r="D213" s="799"/>
      <c r="E213" s="799"/>
      <c r="F213" s="799">
        <f>F214+F222</f>
        <v>1228072.08</v>
      </c>
      <c r="G213" s="820"/>
    </row>
    <row r="214" ht="17.1" customHeight="1" spans="1:7">
      <c r="A214" s="797">
        <v>1</v>
      </c>
      <c r="B214" s="803" t="s">
        <v>149</v>
      </c>
      <c r="C214" s="804" t="s">
        <v>150</v>
      </c>
      <c r="D214" s="805">
        <f>D215</f>
        <v>2.684</v>
      </c>
      <c r="E214" s="806"/>
      <c r="F214" s="807">
        <f>F215</f>
        <v>771093.56</v>
      </c>
      <c r="G214" s="820"/>
    </row>
    <row r="215" ht="17.1" customHeight="1" spans="1:7">
      <c r="A215" s="797">
        <v>1.1</v>
      </c>
      <c r="B215" s="803" t="s">
        <v>199</v>
      </c>
      <c r="C215" s="804" t="s">
        <v>150</v>
      </c>
      <c r="D215" s="805">
        <v>2.684</v>
      </c>
      <c r="E215" s="806">
        <f>F215/D215</f>
        <v>287293</v>
      </c>
      <c r="F215" s="807">
        <f>SUM(F216:F221)</f>
        <v>771093.56</v>
      </c>
      <c r="G215" s="810"/>
    </row>
    <row r="216" ht="17.1" customHeight="1" spans="1:7">
      <c r="A216" s="811"/>
      <c r="B216" s="779" t="s">
        <v>153</v>
      </c>
      <c r="C216" s="784" t="s">
        <v>154</v>
      </c>
      <c r="D216" s="808">
        <v>201.78</v>
      </c>
      <c r="E216" s="812">
        <f t="shared" ref="E216:E221" si="41">E23</f>
        <v>4</v>
      </c>
      <c r="F216" s="812">
        <f>D216*E216</f>
        <v>807.12</v>
      </c>
      <c r="G216" s="810"/>
    </row>
    <row r="217" ht="17.1" customHeight="1" spans="1:7">
      <c r="A217" s="811"/>
      <c r="B217" s="779" t="s">
        <v>155</v>
      </c>
      <c r="C217" s="784" t="s">
        <v>154</v>
      </c>
      <c r="D217" s="808">
        <v>4864.55</v>
      </c>
      <c r="E217" s="812">
        <f t="shared" si="41"/>
        <v>6.26</v>
      </c>
      <c r="F217" s="812">
        <f>D217*E217</f>
        <v>30452.08</v>
      </c>
      <c r="G217" s="810"/>
    </row>
    <row r="218" ht="17.1" customHeight="1" spans="1:7">
      <c r="A218" s="811"/>
      <c r="B218" s="779" t="s">
        <v>167</v>
      </c>
      <c r="C218" s="784" t="s">
        <v>154</v>
      </c>
      <c r="D218" s="808">
        <f>D217-D216</f>
        <v>4662.77</v>
      </c>
      <c r="E218" s="812">
        <f t="shared" si="41"/>
        <v>13.76</v>
      </c>
      <c r="F218" s="812">
        <f>D218*E218</f>
        <v>64159.72</v>
      </c>
      <c r="G218" s="810"/>
    </row>
    <row r="219" ht="17.1" customHeight="1" spans="1:7">
      <c r="A219" s="811"/>
      <c r="B219" s="779" t="s">
        <v>168</v>
      </c>
      <c r="C219" s="784" t="s">
        <v>169</v>
      </c>
      <c r="D219" s="808">
        <f>4.368*D215*1000</f>
        <v>11723.71</v>
      </c>
      <c r="E219" s="812">
        <f t="shared" si="41"/>
        <v>0.7</v>
      </c>
      <c r="F219" s="812">
        <f>D219*E219</f>
        <v>8206.6</v>
      </c>
      <c r="G219" s="810"/>
    </row>
    <row r="220" ht="17.1" customHeight="1" spans="1:7">
      <c r="A220" s="811"/>
      <c r="B220" s="779" t="s">
        <v>170</v>
      </c>
      <c r="C220" s="784" t="s">
        <v>154</v>
      </c>
      <c r="D220" s="808">
        <f>D215*1000/7.48*2.278</f>
        <v>817.4</v>
      </c>
      <c r="E220" s="812">
        <f t="shared" si="41"/>
        <v>794.37</v>
      </c>
      <c r="F220" s="812">
        <f>D220*E220</f>
        <v>649318.04</v>
      </c>
      <c r="G220" s="810"/>
    </row>
    <row r="221" ht="17.1" customHeight="1" spans="1:7">
      <c r="A221" s="811"/>
      <c r="B221" s="779" t="s">
        <v>159</v>
      </c>
      <c r="C221" s="784" t="s">
        <v>154</v>
      </c>
      <c r="D221" s="808">
        <f>0.0092/7.48*D215*1000</f>
        <v>3.3</v>
      </c>
      <c r="E221" s="812">
        <f t="shared" si="41"/>
        <v>5500</v>
      </c>
      <c r="F221" s="812">
        <f t="shared" ref="F221" si="42">D221*E221</f>
        <v>18150</v>
      </c>
      <c r="G221" s="810"/>
    </row>
    <row r="222" ht="17.1" customHeight="1" spans="1:7">
      <c r="A222" s="797">
        <v>2</v>
      </c>
      <c r="B222" s="803" t="s">
        <v>171</v>
      </c>
      <c r="C222" s="798" t="s">
        <v>172</v>
      </c>
      <c r="D222" s="806">
        <f>D223+D233+D242+D251+D261</f>
        <v>43</v>
      </c>
      <c r="E222" s="807"/>
      <c r="F222" s="807">
        <f>F223+F233+F242+F251+F261</f>
        <v>456978.52</v>
      </c>
      <c r="G222" s="798"/>
    </row>
    <row r="223" ht="17.1" customHeight="1" spans="1:7">
      <c r="A223" s="797">
        <v>2.1</v>
      </c>
      <c r="B223" s="813" t="s">
        <v>200</v>
      </c>
      <c r="C223" s="798" t="s">
        <v>172</v>
      </c>
      <c r="D223" s="817">
        <v>5</v>
      </c>
      <c r="E223" s="799">
        <f>F224</f>
        <v>17892.68</v>
      </c>
      <c r="F223" s="799">
        <f>D223*E223</f>
        <v>89463.4</v>
      </c>
      <c r="G223" s="810"/>
    </row>
    <row r="224" ht="17.1" customHeight="1" spans="1:7">
      <c r="A224" s="811" t="s">
        <v>174</v>
      </c>
      <c r="B224" s="814" t="s">
        <v>228</v>
      </c>
      <c r="C224" s="810" t="s">
        <v>172</v>
      </c>
      <c r="D224" s="815">
        <v>1</v>
      </c>
      <c r="E224" s="812"/>
      <c r="F224" s="812">
        <f>SUM(F225:F232)</f>
        <v>17892.68</v>
      </c>
      <c r="G224" s="810"/>
    </row>
    <row r="225" ht="17.1" customHeight="1" spans="1:7">
      <c r="A225" s="811"/>
      <c r="B225" s="779" t="s">
        <v>153</v>
      </c>
      <c r="C225" s="784" t="s">
        <v>154</v>
      </c>
      <c r="D225" s="812">
        <v>75</v>
      </c>
      <c r="E225" s="812">
        <f t="shared" ref="E225:E232" si="43">E177</f>
        <v>4</v>
      </c>
      <c r="F225" s="812">
        <f>D225*E225</f>
        <v>300</v>
      </c>
      <c r="G225" s="810"/>
    </row>
    <row r="226" ht="17.1" customHeight="1" spans="1:7">
      <c r="A226" s="811"/>
      <c r="B226" s="779" t="s">
        <v>155</v>
      </c>
      <c r="C226" s="784" t="s">
        <v>154</v>
      </c>
      <c r="D226" s="812">
        <f>D225*0.75</f>
        <v>56.25</v>
      </c>
      <c r="E226" s="812">
        <f t="shared" si="43"/>
        <v>10.78</v>
      </c>
      <c r="F226" s="812">
        <f t="shared" ref="F226:F232" si="44">D226*E226</f>
        <v>606.38</v>
      </c>
      <c r="G226" s="810"/>
    </row>
    <row r="227" ht="17.1" customHeight="1" spans="1:7">
      <c r="A227" s="811"/>
      <c r="B227" s="814" t="s">
        <v>176</v>
      </c>
      <c r="C227" s="784" t="s">
        <v>154</v>
      </c>
      <c r="D227" s="812">
        <v>14.25</v>
      </c>
      <c r="E227" s="812">
        <f t="shared" si="43"/>
        <v>352.57</v>
      </c>
      <c r="F227" s="812">
        <f t="shared" si="44"/>
        <v>5024.12</v>
      </c>
      <c r="G227" s="810"/>
    </row>
    <row r="228" ht="17.1" customHeight="1" spans="1:7">
      <c r="A228" s="811"/>
      <c r="B228" s="814" t="s">
        <v>177</v>
      </c>
      <c r="C228" s="784" t="s">
        <v>154</v>
      </c>
      <c r="D228" s="812">
        <f>8.72+1.63</f>
        <v>10.35</v>
      </c>
      <c r="E228" s="812">
        <f t="shared" si="43"/>
        <v>336.88</v>
      </c>
      <c r="F228" s="812">
        <f t="shared" si="44"/>
        <v>3486.71</v>
      </c>
      <c r="G228" s="810"/>
    </row>
    <row r="229" ht="17.1" customHeight="1" spans="1:7">
      <c r="A229" s="811"/>
      <c r="B229" s="814" t="s">
        <v>178</v>
      </c>
      <c r="C229" s="784" t="s">
        <v>154</v>
      </c>
      <c r="D229" s="812">
        <v>1.26</v>
      </c>
      <c r="E229" s="812">
        <f t="shared" si="43"/>
        <v>348.22</v>
      </c>
      <c r="F229" s="812">
        <f t="shared" si="44"/>
        <v>438.76</v>
      </c>
      <c r="G229" s="810"/>
    </row>
    <row r="230" ht="17.1" customHeight="1" spans="1:7">
      <c r="A230" s="811"/>
      <c r="B230" s="814" t="s">
        <v>179</v>
      </c>
      <c r="C230" s="784" t="s">
        <v>154</v>
      </c>
      <c r="D230" s="812">
        <v>0.88</v>
      </c>
      <c r="E230" s="812">
        <f t="shared" si="43"/>
        <v>500.17</v>
      </c>
      <c r="F230" s="812">
        <f t="shared" si="44"/>
        <v>440.15</v>
      </c>
      <c r="G230" s="810"/>
    </row>
    <row r="231" ht="17.1" customHeight="1" spans="1:7">
      <c r="A231" s="811"/>
      <c r="B231" s="814" t="s">
        <v>180</v>
      </c>
      <c r="C231" s="784" t="s">
        <v>154</v>
      </c>
      <c r="D231" s="812">
        <v>4.14</v>
      </c>
      <c r="E231" s="812">
        <f t="shared" si="43"/>
        <v>955.92</v>
      </c>
      <c r="F231" s="812">
        <f t="shared" si="44"/>
        <v>3957.51</v>
      </c>
      <c r="G231" s="810"/>
    </row>
    <row r="232" ht="17.1" customHeight="1" spans="1:7">
      <c r="A232" s="811"/>
      <c r="B232" s="814" t="s">
        <v>157</v>
      </c>
      <c r="C232" s="784" t="s">
        <v>158</v>
      </c>
      <c r="D232" s="812">
        <f>(89.47*3+110.07*2)/1000</f>
        <v>0.49</v>
      </c>
      <c r="E232" s="812">
        <f t="shared" si="43"/>
        <v>7426.63</v>
      </c>
      <c r="F232" s="812">
        <f t="shared" si="44"/>
        <v>3639.05</v>
      </c>
      <c r="G232" s="810"/>
    </row>
    <row r="233" ht="17.1" customHeight="1" spans="1:7">
      <c r="A233" s="797">
        <v>2.2</v>
      </c>
      <c r="B233" s="816" t="s">
        <v>202</v>
      </c>
      <c r="C233" s="798" t="s">
        <v>172</v>
      </c>
      <c r="D233" s="817">
        <v>24</v>
      </c>
      <c r="E233" s="799">
        <f>F234</f>
        <v>5366.42</v>
      </c>
      <c r="F233" s="799">
        <f t="shared" ref="F233:F251" si="45">D233*E233</f>
        <v>128794.08</v>
      </c>
      <c r="G233" s="810"/>
    </row>
    <row r="234" ht="17.1" customHeight="1" spans="1:7">
      <c r="A234" s="811"/>
      <c r="B234" s="822" t="s">
        <v>229</v>
      </c>
      <c r="C234" s="810"/>
      <c r="D234" s="815"/>
      <c r="E234" s="812"/>
      <c r="F234" s="812">
        <f>SUM(F235:F241)</f>
        <v>5366.42</v>
      </c>
      <c r="G234" s="810"/>
    </row>
    <row r="235" ht="17.1" customHeight="1" spans="1:7">
      <c r="A235" s="811"/>
      <c r="B235" s="779" t="s">
        <v>153</v>
      </c>
      <c r="C235" s="784" t="s">
        <v>154</v>
      </c>
      <c r="D235" s="812">
        <v>42</v>
      </c>
      <c r="E235" s="812">
        <f t="shared" ref="E235:E240" si="46">E109</f>
        <v>4</v>
      </c>
      <c r="F235" s="812">
        <f>D235*E235</f>
        <v>168</v>
      </c>
      <c r="G235" s="810"/>
    </row>
    <row r="236" ht="17.1" customHeight="1" spans="1:7">
      <c r="A236" s="811"/>
      <c r="B236" s="779" t="s">
        <v>155</v>
      </c>
      <c r="C236" s="784" t="s">
        <v>154</v>
      </c>
      <c r="D236" s="812">
        <f>D235*0.75</f>
        <v>31.5</v>
      </c>
      <c r="E236" s="812">
        <f t="shared" si="46"/>
        <v>10.78</v>
      </c>
      <c r="F236" s="812">
        <f t="shared" ref="F236:F241" si="47">D236*E236</f>
        <v>339.57</v>
      </c>
      <c r="G236" s="810"/>
    </row>
    <row r="237" ht="17.1" customHeight="1" spans="1:7">
      <c r="A237" s="811"/>
      <c r="B237" s="814" t="s">
        <v>176</v>
      </c>
      <c r="C237" s="784" t="s">
        <v>154</v>
      </c>
      <c r="D237" s="812">
        <v>8.28</v>
      </c>
      <c r="E237" s="812">
        <f t="shared" si="46"/>
        <v>352.57</v>
      </c>
      <c r="F237" s="812">
        <f t="shared" si="47"/>
        <v>2919.28</v>
      </c>
      <c r="G237" s="810"/>
    </row>
    <row r="238" ht="17.1" customHeight="1" spans="1:7">
      <c r="A238" s="811"/>
      <c r="B238" s="814" t="s">
        <v>177</v>
      </c>
      <c r="C238" s="784" t="s">
        <v>154</v>
      </c>
      <c r="D238" s="812">
        <v>2.04</v>
      </c>
      <c r="E238" s="812">
        <f t="shared" si="46"/>
        <v>336.88</v>
      </c>
      <c r="F238" s="812">
        <f t="shared" si="47"/>
        <v>687.24</v>
      </c>
      <c r="G238" s="810"/>
    </row>
    <row r="239" ht="17.1" customHeight="1" spans="1:7">
      <c r="A239" s="811"/>
      <c r="B239" s="814" t="s">
        <v>178</v>
      </c>
      <c r="C239" s="784" t="s">
        <v>154</v>
      </c>
      <c r="D239" s="812">
        <v>1.32</v>
      </c>
      <c r="E239" s="812">
        <f t="shared" si="46"/>
        <v>348.22</v>
      </c>
      <c r="F239" s="812">
        <f t="shared" si="47"/>
        <v>459.65</v>
      </c>
      <c r="G239" s="810"/>
    </row>
    <row r="240" ht="17.1" customHeight="1" spans="1:7">
      <c r="A240" s="811"/>
      <c r="B240" s="814" t="s">
        <v>179</v>
      </c>
      <c r="C240" s="784" t="s">
        <v>154</v>
      </c>
      <c r="D240" s="812">
        <v>0.84</v>
      </c>
      <c r="E240" s="812">
        <f t="shared" si="46"/>
        <v>500.17</v>
      </c>
      <c r="F240" s="812">
        <f t="shared" si="47"/>
        <v>420.14</v>
      </c>
      <c r="G240" s="810"/>
    </row>
    <row r="241" ht="17.1" customHeight="1" spans="1:7">
      <c r="A241" s="811"/>
      <c r="B241" s="814" t="s">
        <v>183</v>
      </c>
      <c r="C241" s="784" t="s">
        <v>161</v>
      </c>
      <c r="D241" s="812">
        <v>2</v>
      </c>
      <c r="E241" s="812">
        <v>186.27</v>
      </c>
      <c r="F241" s="812">
        <f t="shared" si="47"/>
        <v>372.54</v>
      </c>
      <c r="G241" s="810"/>
    </row>
    <row r="242" ht="17.1" customHeight="1" spans="1:7">
      <c r="A242" s="797">
        <v>2.3</v>
      </c>
      <c r="B242" s="803" t="s">
        <v>206</v>
      </c>
      <c r="C242" s="798" t="s">
        <v>172</v>
      </c>
      <c r="D242" s="806">
        <v>10</v>
      </c>
      <c r="E242" s="799">
        <f>F243</f>
        <v>6163.26</v>
      </c>
      <c r="F242" s="799">
        <f t="shared" si="45"/>
        <v>61632.6</v>
      </c>
      <c r="G242" s="810"/>
    </row>
    <row r="243" ht="17.1" customHeight="1" spans="1:7">
      <c r="A243" s="811" t="s">
        <v>174</v>
      </c>
      <c r="B243" s="814" t="s">
        <v>207</v>
      </c>
      <c r="C243" s="810" t="s">
        <v>172</v>
      </c>
      <c r="D243" s="815">
        <v>1</v>
      </c>
      <c r="E243" s="812"/>
      <c r="F243" s="812">
        <f>SUM(F244:F250)</f>
        <v>6163.26</v>
      </c>
      <c r="G243" s="810"/>
    </row>
    <row r="244" ht="17.1" customHeight="1" spans="1:7">
      <c r="A244" s="811"/>
      <c r="B244" s="779" t="s">
        <v>153</v>
      </c>
      <c r="C244" s="784" t="s">
        <v>154</v>
      </c>
      <c r="D244" s="812">
        <v>41.6</v>
      </c>
      <c r="E244" s="812">
        <f t="shared" ref="E244:E249" si="48">E128</f>
        <v>4</v>
      </c>
      <c r="F244" s="812">
        <f>D244*E244</f>
        <v>166.4</v>
      </c>
      <c r="G244" s="810"/>
    </row>
    <row r="245" ht="17.1" customHeight="1" spans="1:7">
      <c r="A245" s="811"/>
      <c r="B245" s="779" t="s">
        <v>155</v>
      </c>
      <c r="C245" s="784" t="s">
        <v>154</v>
      </c>
      <c r="D245" s="812">
        <f>D244*0.75</f>
        <v>31.2</v>
      </c>
      <c r="E245" s="812">
        <f t="shared" si="48"/>
        <v>10.78</v>
      </c>
      <c r="F245" s="812">
        <f t="shared" ref="F245:F250" si="49">D245*E245</f>
        <v>336.34</v>
      </c>
      <c r="G245" s="810"/>
    </row>
    <row r="246" ht="17.1" customHeight="1" spans="1:7">
      <c r="A246" s="811"/>
      <c r="B246" s="814" t="s">
        <v>176</v>
      </c>
      <c r="C246" s="784" t="s">
        <v>154</v>
      </c>
      <c r="D246" s="812">
        <v>9.39</v>
      </c>
      <c r="E246" s="812">
        <f t="shared" si="48"/>
        <v>352.57</v>
      </c>
      <c r="F246" s="812">
        <f t="shared" si="49"/>
        <v>3310.63</v>
      </c>
      <c r="G246" s="810"/>
    </row>
    <row r="247" ht="17.1" customHeight="1" spans="1:7">
      <c r="A247" s="811"/>
      <c r="B247" s="814" t="s">
        <v>177</v>
      </c>
      <c r="C247" s="784" t="s">
        <v>154</v>
      </c>
      <c r="D247" s="812">
        <v>2.04</v>
      </c>
      <c r="E247" s="812">
        <f t="shared" si="48"/>
        <v>336.88</v>
      </c>
      <c r="F247" s="812">
        <f t="shared" si="49"/>
        <v>687.24</v>
      </c>
      <c r="G247" s="810"/>
    </row>
    <row r="248" ht="17.1" customHeight="1" spans="1:7">
      <c r="A248" s="811"/>
      <c r="B248" s="814" t="s">
        <v>178</v>
      </c>
      <c r="C248" s="784" t="s">
        <v>154</v>
      </c>
      <c r="D248" s="812">
        <v>1.32</v>
      </c>
      <c r="E248" s="812">
        <f t="shared" si="48"/>
        <v>348.22</v>
      </c>
      <c r="F248" s="812">
        <f t="shared" si="49"/>
        <v>459.65</v>
      </c>
      <c r="G248" s="810"/>
    </row>
    <row r="249" ht="17.1" customHeight="1" spans="1:7">
      <c r="A249" s="811"/>
      <c r="B249" s="814" t="s">
        <v>179</v>
      </c>
      <c r="C249" s="784" t="s">
        <v>154</v>
      </c>
      <c r="D249" s="812">
        <v>0.84</v>
      </c>
      <c r="E249" s="812">
        <f t="shared" si="48"/>
        <v>500.17</v>
      </c>
      <c r="F249" s="812">
        <f t="shared" si="49"/>
        <v>420.14</v>
      </c>
      <c r="G249" s="810"/>
    </row>
    <row r="250" ht="17.1" customHeight="1" spans="1:7">
      <c r="A250" s="811"/>
      <c r="B250" s="814" t="s">
        <v>188</v>
      </c>
      <c r="C250" s="784" t="s">
        <v>161</v>
      </c>
      <c r="D250" s="812">
        <v>2</v>
      </c>
      <c r="E250" s="812">
        <v>391.43</v>
      </c>
      <c r="F250" s="812">
        <f t="shared" si="49"/>
        <v>782.86</v>
      </c>
      <c r="G250" s="810"/>
    </row>
    <row r="251" ht="17.1" customHeight="1" spans="1:7">
      <c r="A251" s="797">
        <v>2.4</v>
      </c>
      <c r="B251" s="818" t="s">
        <v>214</v>
      </c>
      <c r="C251" s="798" t="s">
        <v>172</v>
      </c>
      <c r="D251" s="817">
        <v>3</v>
      </c>
      <c r="E251" s="799">
        <f>F252</f>
        <v>9429.87</v>
      </c>
      <c r="F251" s="799">
        <f t="shared" si="45"/>
        <v>28289.61</v>
      </c>
      <c r="G251" s="820"/>
    </row>
    <row r="252" ht="17.1" customHeight="1" spans="1:7">
      <c r="A252" s="811" t="s">
        <v>174</v>
      </c>
      <c r="B252" s="814" t="s">
        <v>201</v>
      </c>
      <c r="C252" s="810" t="s">
        <v>172</v>
      </c>
      <c r="D252" s="815">
        <v>1</v>
      </c>
      <c r="E252" s="812"/>
      <c r="F252" s="812">
        <f>SUM(F253:F260)</f>
        <v>9429.87</v>
      </c>
      <c r="G252" s="820"/>
    </row>
    <row r="253" ht="17.1" customHeight="1" spans="1:7">
      <c r="A253" s="811"/>
      <c r="B253" s="779" t="s">
        <v>153</v>
      </c>
      <c r="C253" s="784" t="s">
        <v>154</v>
      </c>
      <c r="D253" s="812">
        <v>62</v>
      </c>
      <c r="E253" s="812">
        <f t="shared" ref="E253:E260" si="50">E158</f>
        <v>4</v>
      </c>
      <c r="F253" s="812">
        <f>D253*E253</f>
        <v>248</v>
      </c>
      <c r="G253" s="820"/>
    </row>
    <row r="254" ht="17.1" customHeight="1" spans="1:7">
      <c r="A254" s="811"/>
      <c r="B254" s="779" t="s">
        <v>155</v>
      </c>
      <c r="C254" s="784" t="s">
        <v>154</v>
      </c>
      <c r="D254" s="812">
        <f>D253*0.75</f>
        <v>46.5</v>
      </c>
      <c r="E254" s="812">
        <f t="shared" si="50"/>
        <v>10.78</v>
      </c>
      <c r="F254" s="812">
        <f t="shared" ref="F254:F260" si="51">D254*E254</f>
        <v>501.27</v>
      </c>
      <c r="G254" s="820"/>
    </row>
    <row r="255" ht="17.1" customHeight="1" spans="1:7">
      <c r="A255" s="811"/>
      <c r="B255" s="814" t="s">
        <v>176</v>
      </c>
      <c r="C255" s="784" t="s">
        <v>154</v>
      </c>
      <c r="D255" s="812">
        <v>15.06</v>
      </c>
      <c r="E255" s="812">
        <f t="shared" si="50"/>
        <v>352.57</v>
      </c>
      <c r="F255" s="812">
        <f t="shared" si="51"/>
        <v>5309.7</v>
      </c>
      <c r="G255" s="820"/>
    </row>
    <row r="256" ht="17.1" customHeight="1" spans="1:7">
      <c r="A256" s="811"/>
      <c r="B256" s="814" t="s">
        <v>177</v>
      </c>
      <c r="C256" s="784" t="s">
        <v>154</v>
      </c>
      <c r="D256" s="812">
        <v>5.15</v>
      </c>
      <c r="E256" s="812">
        <f t="shared" si="50"/>
        <v>336.88</v>
      </c>
      <c r="F256" s="812">
        <f t="shared" si="51"/>
        <v>1734.93</v>
      </c>
      <c r="G256" s="820"/>
    </row>
    <row r="257" ht="17.1" customHeight="1" spans="1:7">
      <c r="A257" s="811"/>
      <c r="B257" s="814" t="s">
        <v>178</v>
      </c>
      <c r="C257" s="784" t="s">
        <v>154</v>
      </c>
      <c r="D257" s="812">
        <v>0.9</v>
      </c>
      <c r="E257" s="812">
        <f t="shared" si="50"/>
        <v>348.22</v>
      </c>
      <c r="F257" s="812">
        <f t="shared" si="51"/>
        <v>313.4</v>
      </c>
      <c r="G257" s="820"/>
    </row>
    <row r="258" ht="17.1" customHeight="1" spans="1:7">
      <c r="A258" s="811"/>
      <c r="B258" s="814" t="s">
        <v>179</v>
      </c>
      <c r="C258" s="784" t="s">
        <v>154</v>
      </c>
      <c r="D258" s="812">
        <v>0.12</v>
      </c>
      <c r="E258" s="812">
        <f t="shared" si="50"/>
        <v>500.17</v>
      </c>
      <c r="F258" s="812">
        <f t="shared" si="51"/>
        <v>60.02</v>
      </c>
      <c r="G258" s="820"/>
    </row>
    <row r="259" ht="17.1" customHeight="1" spans="1:7">
      <c r="A259" s="811"/>
      <c r="B259" s="814" t="s">
        <v>180</v>
      </c>
      <c r="C259" s="784" t="s">
        <v>154</v>
      </c>
      <c r="D259" s="812">
        <v>1.01</v>
      </c>
      <c r="E259" s="812">
        <f t="shared" si="50"/>
        <v>955.92</v>
      </c>
      <c r="F259" s="812">
        <f t="shared" si="51"/>
        <v>965.48</v>
      </c>
      <c r="G259" s="820"/>
    </row>
    <row r="260" ht="17.1" customHeight="1" spans="1:7">
      <c r="A260" s="811"/>
      <c r="B260" s="814" t="s">
        <v>157</v>
      </c>
      <c r="C260" s="784" t="s">
        <v>158</v>
      </c>
      <c r="D260" s="812">
        <v>0.04</v>
      </c>
      <c r="E260" s="812">
        <f t="shared" si="50"/>
        <v>7426.63</v>
      </c>
      <c r="F260" s="812">
        <f t="shared" si="51"/>
        <v>297.07</v>
      </c>
      <c r="G260" s="820"/>
    </row>
    <row r="261" ht="17.1" customHeight="1" spans="1:7">
      <c r="A261" s="797">
        <v>2.5</v>
      </c>
      <c r="B261" s="818" t="s">
        <v>230</v>
      </c>
      <c r="C261" s="798" t="s">
        <v>172</v>
      </c>
      <c r="D261" s="817">
        <v>1</v>
      </c>
      <c r="E261" s="799"/>
      <c r="F261" s="799">
        <f>SUM(F262:F272)</f>
        <v>148798.83</v>
      </c>
      <c r="G261" s="820"/>
    </row>
    <row r="262" spans="1:7">
      <c r="A262" s="821"/>
      <c r="B262" s="779" t="s">
        <v>153</v>
      </c>
      <c r="C262" s="784" t="s">
        <v>154</v>
      </c>
      <c r="D262" s="812">
        <f>4*8*1.7*2</f>
        <v>108.8</v>
      </c>
      <c r="E262" s="812">
        <f t="shared" ref="E262:E269" si="52">E253</f>
        <v>4</v>
      </c>
      <c r="F262" s="812">
        <f>D262*E262</f>
        <v>435.2</v>
      </c>
      <c r="G262" s="820"/>
    </row>
    <row r="263" spans="1:7">
      <c r="A263" s="821"/>
      <c r="B263" s="779" t="s">
        <v>155</v>
      </c>
      <c r="C263" s="784" t="s">
        <v>154</v>
      </c>
      <c r="D263" s="812">
        <f>D262*0.65</f>
        <v>70.72</v>
      </c>
      <c r="E263" s="812">
        <f t="shared" si="52"/>
        <v>10.78</v>
      </c>
      <c r="F263" s="812">
        <f t="shared" ref="F263:F272" si="53">D263*E263</f>
        <v>762.36</v>
      </c>
      <c r="G263" s="820"/>
    </row>
    <row r="264" spans="1:7">
      <c r="A264" s="821"/>
      <c r="B264" s="814" t="s">
        <v>176</v>
      </c>
      <c r="C264" s="784" t="s">
        <v>154</v>
      </c>
      <c r="D264" s="812">
        <f>0.65*1.08*5*4+0.9*3*4</f>
        <v>24.84</v>
      </c>
      <c r="E264" s="812">
        <f t="shared" si="52"/>
        <v>352.57</v>
      </c>
      <c r="F264" s="812">
        <f t="shared" si="53"/>
        <v>8757.84</v>
      </c>
      <c r="G264" s="820"/>
    </row>
    <row r="265" spans="1:7">
      <c r="A265" s="821"/>
      <c r="B265" s="814" t="s">
        <v>177</v>
      </c>
      <c r="C265" s="784" t="s">
        <v>154</v>
      </c>
      <c r="D265" s="812">
        <f>0.5*0.7*1.4*4+0.5*0.7*3.8*4+0.3*1.4*3*4+0.3*1.5*5*4</f>
        <v>21.32</v>
      </c>
      <c r="E265" s="812">
        <f t="shared" si="52"/>
        <v>336.88</v>
      </c>
      <c r="F265" s="812">
        <f t="shared" si="53"/>
        <v>7182.28</v>
      </c>
      <c r="G265" s="820"/>
    </row>
    <row r="266" spans="1:7">
      <c r="A266" s="821"/>
      <c r="B266" s="814" t="s">
        <v>178</v>
      </c>
      <c r="C266" s="784" t="s">
        <v>154</v>
      </c>
      <c r="D266" s="812">
        <f>2*0.3*3*2+5*0.3*1.8*2</f>
        <v>9</v>
      </c>
      <c r="E266" s="812">
        <f t="shared" si="52"/>
        <v>348.22</v>
      </c>
      <c r="F266" s="812">
        <f t="shared" si="53"/>
        <v>3133.98</v>
      </c>
      <c r="G266" s="820"/>
    </row>
    <row r="267" spans="1:7">
      <c r="A267" s="821"/>
      <c r="B267" s="814" t="s">
        <v>179</v>
      </c>
      <c r="C267" s="784" t="s">
        <v>154</v>
      </c>
      <c r="D267" s="812">
        <f>0.2*0.4*8*4+3.14*1.6/2*0.1*16</f>
        <v>6.58</v>
      </c>
      <c r="E267" s="812">
        <f t="shared" si="52"/>
        <v>500.17</v>
      </c>
      <c r="F267" s="812">
        <f t="shared" si="53"/>
        <v>3291.12</v>
      </c>
      <c r="G267" s="820"/>
    </row>
    <row r="268" spans="1:7">
      <c r="A268" s="821"/>
      <c r="B268" s="814" t="s">
        <v>180</v>
      </c>
      <c r="C268" s="784" t="s">
        <v>154</v>
      </c>
      <c r="D268" s="812">
        <f>0.16*2.2*10+0.28*2.2*0.3*2</f>
        <v>3.89</v>
      </c>
      <c r="E268" s="812">
        <f t="shared" si="52"/>
        <v>955.92</v>
      </c>
      <c r="F268" s="812">
        <f t="shared" si="53"/>
        <v>3718.53</v>
      </c>
      <c r="G268" s="820"/>
    </row>
    <row r="269" spans="1:7">
      <c r="A269" s="821"/>
      <c r="B269" s="814" t="s">
        <v>157</v>
      </c>
      <c r="C269" s="784" t="s">
        <v>154</v>
      </c>
      <c r="D269" s="812">
        <f>(51.99*2+52.37*3)/1000</f>
        <v>0.26</v>
      </c>
      <c r="E269" s="812">
        <f t="shared" si="52"/>
        <v>7426.63</v>
      </c>
      <c r="F269" s="812">
        <f t="shared" si="53"/>
        <v>1930.92</v>
      </c>
      <c r="G269" s="820"/>
    </row>
    <row r="270" spans="1:7">
      <c r="A270" s="821"/>
      <c r="B270" s="814" t="s">
        <v>231</v>
      </c>
      <c r="C270" s="784" t="s">
        <v>172</v>
      </c>
      <c r="D270" s="812">
        <v>3</v>
      </c>
      <c r="E270" s="812">
        <v>38000</v>
      </c>
      <c r="F270" s="812">
        <f t="shared" si="53"/>
        <v>114000</v>
      </c>
      <c r="G270" s="820"/>
    </row>
    <row r="271" spans="1:7">
      <c r="A271" s="821"/>
      <c r="B271" s="814" t="s">
        <v>212</v>
      </c>
      <c r="C271" s="784" t="s">
        <v>154</v>
      </c>
      <c r="D271" s="812">
        <f>2*2*0.5*2</f>
        <v>4</v>
      </c>
      <c r="E271" s="812">
        <f>E268</f>
        <v>955.92</v>
      </c>
      <c r="F271" s="812">
        <f t="shared" si="53"/>
        <v>3823.68</v>
      </c>
      <c r="G271" s="820"/>
    </row>
    <row r="272" spans="1:7">
      <c r="A272" s="821"/>
      <c r="B272" s="814" t="s">
        <v>213</v>
      </c>
      <c r="C272" s="784" t="s">
        <v>161</v>
      </c>
      <c r="D272" s="812">
        <f>(0.6*2+3.14*0.8*2)*4</f>
        <v>24.9</v>
      </c>
      <c r="E272" s="812">
        <v>70.8</v>
      </c>
      <c r="F272" s="812">
        <f t="shared" si="53"/>
        <v>1762.92</v>
      </c>
      <c r="G272" s="820"/>
    </row>
  </sheetData>
  <mergeCells count="2">
    <mergeCell ref="A1:G1"/>
    <mergeCell ref="A3:B3"/>
  </mergeCells>
  <printOptions horizontalCentered="1"/>
  <pageMargins left="0.78740157480315" right="0.78740157480315" top="0.78740157480315" bottom="0.78740157480315" header="0.393700787401575" footer="0.393700787401575"/>
  <pageSetup paperSize="9" firstPageNumber="6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T74"/>
  <sheetViews>
    <sheetView view="pageBreakPreview" zoomScaleNormal="100" workbookViewId="0">
      <selection activeCell="F5" sqref="F5"/>
    </sheetView>
  </sheetViews>
  <sheetFormatPr defaultColWidth="8.75" defaultRowHeight="14.25"/>
  <cols>
    <col min="1" max="1" width="4.375" customWidth="1"/>
    <col min="2" max="2" width="27.875" customWidth="1"/>
    <col min="3" max="8" width="7.875" customWidth="1"/>
    <col min="10" max="11" width="11.25" customWidth="1"/>
    <col min="13" max="13" width="9.5" customWidth="1"/>
  </cols>
  <sheetData>
    <row r="1" ht="66" customHeight="1" spans="1:8">
      <c r="A1" s="772" t="s">
        <v>232</v>
      </c>
      <c r="B1" s="772"/>
      <c r="C1" s="772"/>
      <c r="D1" s="772"/>
      <c r="E1" s="772"/>
      <c r="F1" s="772"/>
      <c r="G1" s="772"/>
      <c r="H1" s="772"/>
    </row>
    <row r="2" s="770" customFormat="1" ht="27.95" customHeight="1" spans="1:8">
      <c r="A2" s="773" t="s">
        <v>2</v>
      </c>
      <c r="B2" s="773" t="s">
        <v>233</v>
      </c>
      <c r="C2" s="773" t="s">
        <v>88</v>
      </c>
      <c r="D2" s="773" t="s">
        <v>130</v>
      </c>
      <c r="E2" s="774" t="s">
        <v>144</v>
      </c>
      <c r="F2" s="774"/>
      <c r="G2" s="774" t="s">
        <v>234</v>
      </c>
      <c r="H2" s="774"/>
    </row>
    <row r="3" s="770" customFormat="1" ht="27.95" customHeight="1" spans="1:8">
      <c r="A3" s="773"/>
      <c r="B3" s="773"/>
      <c r="C3" s="773"/>
      <c r="D3" s="773"/>
      <c r="E3" s="774" t="s">
        <v>235</v>
      </c>
      <c r="F3" s="774" t="s">
        <v>236</v>
      </c>
      <c r="G3" s="773" t="s">
        <v>235</v>
      </c>
      <c r="H3" s="773" t="s">
        <v>236</v>
      </c>
    </row>
    <row r="4" ht="27.95" customHeight="1" spans="1:13">
      <c r="A4" s="773" t="s">
        <v>9</v>
      </c>
      <c r="B4" s="775" t="s">
        <v>237</v>
      </c>
      <c r="C4" s="776"/>
      <c r="D4" s="777">
        <f>D5+D6+D8</f>
        <v>46</v>
      </c>
      <c r="E4" s="778"/>
      <c r="F4" s="778"/>
      <c r="G4" s="773">
        <f>SUM(G5:G8)</f>
        <v>18145</v>
      </c>
      <c r="H4" s="773">
        <f>SUM(H5:H8)</f>
        <v>181450</v>
      </c>
      <c r="J4" s="788"/>
      <c r="L4" s="789">
        <v>0.4</v>
      </c>
      <c r="M4" s="789">
        <f>2+11+4+24</f>
        <v>41</v>
      </c>
    </row>
    <row r="5" ht="27.95" customHeight="1" spans="1:13">
      <c r="A5" s="773"/>
      <c r="B5" s="779" t="s">
        <v>238</v>
      </c>
      <c r="C5" s="780" t="s">
        <v>239</v>
      </c>
      <c r="D5" s="781">
        <v>6</v>
      </c>
      <c r="E5" s="778">
        <f t="shared" ref="E5:E8" si="0">F5*0.1</f>
        <v>1180</v>
      </c>
      <c r="F5" s="782">
        <v>11800</v>
      </c>
      <c r="G5" s="783">
        <f t="shared" ref="G5:G6" si="1">D5*E5</f>
        <v>7080</v>
      </c>
      <c r="H5" s="783">
        <f t="shared" ref="H5" si="2">D5*F5</f>
        <v>70800</v>
      </c>
      <c r="J5" s="788"/>
      <c r="L5" s="789">
        <v>0.8</v>
      </c>
      <c r="M5" s="789">
        <f>1+11+3+10</f>
        <v>25</v>
      </c>
    </row>
    <row r="6" ht="27.95" customHeight="1" spans="1:13">
      <c r="A6" s="773"/>
      <c r="B6" s="779" t="s">
        <v>240</v>
      </c>
      <c r="C6" s="780" t="s">
        <v>239</v>
      </c>
      <c r="D6" s="781">
        <v>1</v>
      </c>
      <c r="E6" s="778">
        <f t="shared" si="0"/>
        <v>920</v>
      </c>
      <c r="F6" s="782">
        <v>9200</v>
      </c>
      <c r="G6" s="783">
        <f t="shared" si="1"/>
        <v>920</v>
      </c>
      <c r="H6" s="783">
        <f t="shared" ref="H6:H8" si="3">D6*F6</f>
        <v>9200</v>
      </c>
      <c r="J6" s="788"/>
      <c r="L6" s="789">
        <v>1.2</v>
      </c>
      <c r="M6" s="789">
        <v>1</v>
      </c>
    </row>
    <row r="7" ht="27.95" customHeight="1" spans="1:13">
      <c r="A7" s="773"/>
      <c r="B7" s="779" t="s">
        <v>241</v>
      </c>
      <c r="C7" s="784" t="s">
        <v>239</v>
      </c>
      <c r="D7" s="781">
        <v>23</v>
      </c>
      <c r="E7" s="778">
        <f t="shared" ref="E7" si="4">F7*0.1</f>
        <v>280</v>
      </c>
      <c r="F7" s="782">
        <v>2800</v>
      </c>
      <c r="G7" s="783">
        <f t="shared" ref="G7" si="5">D7*E7</f>
        <v>6440</v>
      </c>
      <c r="H7" s="783">
        <f t="shared" ref="H7" si="6">D7*F7</f>
        <v>64400</v>
      </c>
      <c r="J7" s="788"/>
      <c r="L7" s="789"/>
      <c r="M7" s="789"/>
    </row>
    <row r="8" ht="27.95" customHeight="1" spans="1:13">
      <c r="A8" s="773"/>
      <c r="B8" s="779" t="s">
        <v>242</v>
      </c>
      <c r="C8" s="784" t="s">
        <v>239</v>
      </c>
      <c r="D8" s="781">
        <v>39</v>
      </c>
      <c r="E8" s="778">
        <f t="shared" si="0"/>
        <v>95</v>
      </c>
      <c r="F8" s="782">
        <v>950</v>
      </c>
      <c r="G8" s="783">
        <f t="shared" ref="G8" si="7">D8*E8</f>
        <v>3705</v>
      </c>
      <c r="H8" s="783">
        <f t="shared" si="3"/>
        <v>37050</v>
      </c>
      <c r="J8" s="788" t="e">
        <f>D8+#REF!</f>
        <v>#REF!</v>
      </c>
      <c r="L8" s="789">
        <v>1.5</v>
      </c>
      <c r="M8" s="789">
        <f>3+3</f>
        <v>6</v>
      </c>
    </row>
    <row r="9" s="771" customFormat="1" ht="27.95" customHeight="1" spans="1:46">
      <c r="A9" s="783"/>
      <c r="B9" s="785"/>
      <c r="C9" s="786"/>
      <c r="D9" s="787"/>
      <c r="E9" s="778"/>
      <c r="F9" s="778"/>
      <c r="G9" s="783"/>
      <c r="H9" s="783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0"/>
      <c r="AS9" s="790"/>
      <c r="AT9" s="790"/>
    </row>
    <row r="10" s="771" customFormat="1" ht="27.95" customHeight="1" spans="1:46">
      <c r="A10" s="783"/>
      <c r="B10" s="785"/>
      <c r="C10" s="786"/>
      <c r="D10" s="787"/>
      <c r="E10" s="778"/>
      <c r="F10" s="778"/>
      <c r="G10" s="783"/>
      <c r="H10" s="783"/>
      <c r="M10" s="790"/>
      <c r="N10" s="790"/>
      <c r="O10" s="790"/>
      <c r="P10" s="790"/>
      <c r="Q10" s="790"/>
      <c r="R10" s="790"/>
      <c r="S10" s="790"/>
      <c r="T10" s="790"/>
      <c r="U10" s="790"/>
      <c r="V10" s="790"/>
      <c r="W10" s="790"/>
      <c r="X10" s="790"/>
      <c r="Y10" s="790"/>
      <c r="Z10" s="790"/>
      <c r="AA10" s="790"/>
      <c r="AB10" s="790"/>
      <c r="AC10" s="790"/>
      <c r="AD10" s="790"/>
      <c r="AE10" s="790"/>
      <c r="AF10" s="790"/>
      <c r="AG10" s="790"/>
      <c r="AH10" s="790"/>
      <c r="AI10" s="790"/>
      <c r="AJ10" s="790"/>
      <c r="AK10" s="790"/>
      <c r="AL10" s="790"/>
      <c r="AM10" s="790"/>
      <c r="AN10" s="790"/>
      <c r="AO10" s="790"/>
      <c r="AP10" s="790"/>
      <c r="AQ10" s="790"/>
      <c r="AR10" s="790"/>
      <c r="AS10" s="790"/>
      <c r="AT10" s="790"/>
    </row>
    <row r="11" ht="19.9" customHeight="1"/>
    <row r="12" ht="19.9" customHeight="1"/>
    <row r="13" ht="19.9" customHeight="1"/>
    <row r="14" ht="19.9" customHeight="1"/>
    <row r="15" ht="19.9" customHeight="1"/>
    <row r="16" ht="19.9" customHeight="1"/>
    <row r="17" ht="19.9" customHeight="1"/>
    <row r="18" ht="19.9" customHeight="1"/>
    <row r="19" ht="19.9" customHeight="1"/>
    <row r="20" ht="19.9" customHeight="1"/>
    <row r="21" ht="19.9" customHeight="1"/>
    <row r="22" ht="19.9" customHeight="1"/>
    <row r="23" ht="19.9" customHeight="1"/>
    <row r="24" ht="19.9" customHeight="1"/>
    <row r="25" ht="19.9" customHeight="1"/>
    <row r="26" ht="19.9" customHeight="1"/>
    <row r="27" ht="19.9" customHeight="1"/>
    <row r="28" ht="19.9" customHeight="1"/>
    <row r="29" ht="19.9" customHeight="1"/>
    <row r="30" ht="19.9" customHeight="1"/>
    <row r="31" ht="19.9" customHeight="1"/>
    <row r="32" ht="19.9" customHeight="1"/>
    <row r="33" ht="19.9" customHeight="1"/>
    <row r="34" ht="19.9" customHeight="1"/>
    <row r="35" ht="19.9" customHeight="1"/>
    <row r="36" ht="19.9" customHeight="1"/>
    <row r="37" ht="19.9" customHeight="1"/>
    <row r="38" ht="19.9" customHeight="1"/>
    <row r="39" ht="19.9" customHeight="1"/>
    <row r="40" ht="19.9" customHeight="1"/>
    <row r="41" ht="19.9" customHeight="1"/>
    <row r="42" ht="19.9" customHeight="1"/>
    <row r="43" ht="19.9" customHeight="1"/>
    <row r="44" ht="19.9" customHeight="1"/>
    <row r="45" ht="19.9" customHeight="1"/>
    <row r="46" ht="19.9" customHeight="1"/>
    <row r="47" ht="19.9" customHeight="1"/>
    <row r="48" ht="19.9" customHeight="1"/>
    <row r="49" ht="19.9" customHeight="1"/>
    <row r="50" ht="19.9" customHeight="1"/>
    <row r="51" ht="19.9" customHeight="1"/>
    <row r="52" ht="19.9" customHeight="1"/>
    <row r="53" ht="19.9" customHeight="1"/>
    <row r="54" ht="19.9" customHeight="1"/>
    <row r="55" ht="19.9" customHeight="1"/>
    <row r="56" ht="19.9" customHeight="1"/>
    <row r="57" ht="19.9" customHeight="1"/>
    <row r="58" ht="19.9" customHeight="1"/>
    <row r="59" ht="19.9" customHeight="1"/>
    <row r="60" ht="19.9" customHeight="1"/>
    <row r="61" ht="19.9" customHeight="1"/>
    <row r="62" ht="19.9" customHeight="1"/>
    <row r="63" ht="19.9" customHeight="1"/>
    <row r="64" ht="19.9" customHeight="1"/>
    <row r="65" ht="19.9" customHeight="1"/>
    <row r="66" ht="19.9" customHeight="1"/>
    <row r="67" ht="19.9" customHeight="1"/>
    <row r="68" ht="19.9" customHeight="1"/>
    <row r="69" ht="19.9" customHeight="1"/>
    <row r="70" ht="19.9" customHeight="1"/>
    <row r="71" ht="19.9" customHeight="1"/>
    <row r="72" ht="19.9" customHeight="1"/>
    <row r="73" ht="19.9" customHeight="1"/>
    <row r="74" ht="19.9" customHeight="1"/>
  </sheetData>
  <mergeCells count="7">
    <mergeCell ref="A1:H1"/>
    <mergeCell ref="E2:F2"/>
    <mergeCell ref="G2:H2"/>
    <mergeCell ref="A2:A3"/>
    <mergeCell ref="B2:B3"/>
    <mergeCell ref="C2:C3"/>
    <mergeCell ref="D2:D3"/>
  </mergeCells>
  <printOptions horizontalCentered="1"/>
  <pageMargins left="0.78740157480315" right="0.78740157480315" top="0.78740157480315" bottom="0.78740157480315" header="0.393700787401575" footer="0.393700787401575"/>
  <pageSetup paperSize="9" firstPageNumber="24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4"/>
  <sheetViews>
    <sheetView view="pageBreakPreview" zoomScale="115" zoomScaleNormal="100" workbookViewId="0">
      <pane ySplit="4" topLeftCell="A29" activePane="bottomLeft" state="frozen"/>
      <selection/>
      <selection pane="bottomLeft" activeCell="F31" sqref="F31"/>
    </sheetView>
  </sheetViews>
  <sheetFormatPr defaultColWidth="9" defaultRowHeight="14.25"/>
  <cols>
    <col min="1" max="1" width="5.75" style="742" customWidth="1"/>
    <col min="2" max="2" width="28.125" style="743" customWidth="1"/>
    <col min="3" max="3" width="5.75" style="744" customWidth="1"/>
    <col min="4" max="4" width="9.375" style="745" customWidth="1"/>
    <col min="5" max="5" width="7" style="742" customWidth="1"/>
    <col min="6" max="6" width="7.625" style="742" customWidth="1"/>
    <col min="7" max="7" width="7.125" style="742" customWidth="1"/>
    <col min="8" max="8" width="6.75" style="742" customWidth="1"/>
    <col min="9" max="9" width="8.25" style="742" customWidth="1"/>
    <col min="10" max="10" width="7.125" style="742" customWidth="1"/>
    <col min="11" max="11" width="7.375" style="742" customWidth="1"/>
    <col min="12" max="12" width="7.125" style="742" customWidth="1"/>
    <col min="13" max="14" width="6.625" style="742" customWidth="1"/>
    <col min="15" max="16384" width="9" style="742"/>
  </cols>
  <sheetData>
    <row r="1" s="735" customFormat="1" ht="30.75" customHeight="1" spans="1:14">
      <c r="A1" s="746" t="s">
        <v>243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</row>
    <row r="2" s="736" customFormat="1" ht="19.9" customHeight="1" spans="1:14">
      <c r="A2" s="747" t="s">
        <v>244</v>
      </c>
      <c r="B2" s="747" t="s">
        <v>245</v>
      </c>
      <c r="C2" s="747" t="s">
        <v>88</v>
      </c>
      <c r="D2" s="747" t="s">
        <v>144</v>
      </c>
      <c r="E2" s="747" t="s">
        <v>246</v>
      </c>
      <c r="F2" s="747"/>
      <c r="G2" s="747"/>
      <c r="H2" s="747"/>
      <c r="I2" s="747"/>
      <c r="J2" s="747"/>
      <c r="K2" s="747"/>
      <c r="L2" s="747"/>
      <c r="M2" s="747"/>
      <c r="N2" s="747"/>
    </row>
    <row r="3" s="736" customFormat="1" ht="19.9" customHeight="1" spans="1:14">
      <c r="A3" s="747"/>
      <c r="B3" s="747"/>
      <c r="C3" s="747"/>
      <c r="D3" s="747"/>
      <c r="E3" s="747" t="s">
        <v>247</v>
      </c>
      <c r="F3" s="747" t="s">
        <v>248</v>
      </c>
      <c r="G3" s="747" t="s">
        <v>249</v>
      </c>
      <c r="H3" s="747" t="s">
        <v>250</v>
      </c>
      <c r="I3" s="747" t="s">
        <v>251</v>
      </c>
      <c r="J3" s="747" t="s">
        <v>252</v>
      </c>
      <c r="K3" s="747" t="s">
        <v>253</v>
      </c>
      <c r="L3" s="747" t="s">
        <v>254</v>
      </c>
      <c r="M3" s="747" t="s">
        <v>255</v>
      </c>
      <c r="N3" s="747" t="s">
        <v>256</v>
      </c>
    </row>
    <row r="4" s="736" customFormat="1" ht="19.9" customHeight="1" spans="1:14">
      <c r="A4" s="747"/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</row>
    <row r="5" s="737" customFormat="1" ht="19.9" customHeight="1" spans="1:14">
      <c r="A5" s="748">
        <v>-1</v>
      </c>
      <c r="B5" s="748">
        <v>-2</v>
      </c>
      <c r="C5" s="748">
        <v>-3</v>
      </c>
      <c r="D5" s="748">
        <v>-4</v>
      </c>
      <c r="E5" s="748">
        <v>-5</v>
      </c>
      <c r="F5" s="748">
        <v>-6</v>
      </c>
      <c r="G5" s="748">
        <v>-7</v>
      </c>
      <c r="H5" s="748">
        <v>-8</v>
      </c>
      <c r="I5" s="748">
        <v>-9</v>
      </c>
      <c r="J5" s="748">
        <v>-10</v>
      </c>
      <c r="K5" s="748">
        <v>-11</v>
      </c>
      <c r="L5" s="748">
        <v>-12</v>
      </c>
      <c r="M5" s="748">
        <v>-13</v>
      </c>
      <c r="N5" s="748">
        <v>-14</v>
      </c>
    </row>
    <row r="6" s="738" customFormat="1" ht="19.9" customHeight="1" spans="1:14">
      <c r="A6" s="749">
        <v>1001</v>
      </c>
      <c r="B6" s="750" t="str">
        <f>土方!E2</f>
        <v>人工挖一般土方（Ⅰ～Ⅱ类土）</v>
      </c>
      <c r="C6" s="751" t="s">
        <v>257</v>
      </c>
      <c r="D6" s="752">
        <f t="shared" ref="D6:D27" si="0">SUM(E6:N6)</f>
        <v>320.02</v>
      </c>
      <c r="E6" s="752">
        <f>土方!G9</f>
        <v>244.2</v>
      </c>
      <c r="F6" s="752">
        <f>土方!G12</f>
        <v>4.88</v>
      </c>
      <c r="G6" s="752"/>
      <c r="H6" s="752"/>
      <c r="I6" s="752">
        <f>土方!G14</f>
        <v>11.96</v>
      </c>
      <c r="J6" s="752">
        <f>土方!G15</f>
        <v>10.44</v>
      </c>
      <c r="K6" s="752">
        <f>土方!G16</f>
        <v>13.57</v>
      </c>
      <c r="L6" s="752"/>
      <c r="M6" s="752">
        <f>土方!G17</f>
        <v>25.65</v>
      </c>
      <c r="N6" s="752">
        <f>土方!G18</f>
        <v>9.32</v>
      </c>
    </row>
    <row r="7" s="739" customFormat="1" ht="19.9" customHeight="1" spans="1:14">
      <c r="A7" s="749">
        <v>1031</v>
      </c>
      <c r="B7" s="749" t="str">
        <f>土方!E22</f>
        <v>人工挖倒沟槽土方（Ⅰ～Ⅱ类土）</v>
      </c>
      <c r="C7" s="751" t="s">
        <v>257</v>
      </c>
      <c r="D7" s="752">
        <f t="shared" si="0"/>
        <v>864.53</v>
      </c>
      <c r="E7" s="752">
        <f>土方!G29</f>
        <v>659.68</v>
      </c>
      <c r="F7" s="752">
        <f>土方!G32</f>
        <v>13.19</v>
      </c>
      <c r="G7" s="752"/>
      <c r="H7" s="752"/>
      <c r="I7" s="752">
        <f>土方!G34</f>
        <v>32.3</v>
      </c>
      <c r="J7" s="752">
        <f>土方!G35</f>
        <v>28.21</v>
      </c>
      <c r="K7" s="752">
        <f>土方!G36</f>
        <v>36.67</v>
      </c>
      <c r="L7" s="752"/>
      <c r="M7" s="752">
        <f>土方!G37</f>
        <v>69.3</v>
      </c>
      <c r="N7" s="752">
        <f>土方!G38</f>
        <v>25.18</v>
      </c>
    </row>
    <row r="8" s="740" customFormat="1" ht="19.9" customHeight="1" spans="1:14">
      <c r="A8" s="749">
        <v>1144</v>
      </c>
      <c r="B8" s="753" t="str">
        <f>土方!E82</f>
        <v>挖掘机挖土方（Ⅰ～Ⅱ类土）</v>
      </c>
      <c r="C8" s="751" t="s">
        <v>257</v>
      </c>
      <c r="D8" s="752">
        <f t="shared" si="0"/>
        <v>283.29</v>
      </c>
      <c r="E8" s="752">
        <f>土方!G89</f>
        <v>23.66</v>
      </c>
      <c r="F8" s="752">
        <f>土方!G92</f>
        <v>7.76</v>
      </c>
      <c r="G8" s="752">
        <f>土方!G94</f>
        <v>131.55</v>
      </c>
      <c r="H8" s="752"/>
      <c r="I8" s="752">
        <f>土方!G96</f>
        <v>7.82</v>
      </c>
      <c r="J8" s="752">
        <f>土方!G97</f>
        <v>6.83</v>
      </c>
      <c r="K8" s="752">
        <f>土方!G98</f>
        <v>8.88</v>
      </c>
      <c r="L8" s="752">
        <f>土方!G99</f>
        <v>65.83</v>
      </c>
      <c r="M8" s="752">
        <f>土方!G101</f>
        <v>22.71</v>
      </c>
      <c r="N8" s="752">
        <f>土方!G102</f>
        <v>8.25</v>
      </c>
    </row>
    <row r="9" s="741" customFormat="1" ht="19.9" customHeight="1" spans="1:14">
      <c r="A9" s="749">
        <v>1128</v>
      </c>
      <c r="B9" s="753" t="str">
        <f>土方!E130</f>
        <v>74kW推土机（推距：10m）（Ⅰ～Ⅱ类土）</v>
      </c>
      <c r="C9" s="751" t="s">
        <v>257</v>
      </c>
      <c r="D9" s="752">
        <f t="shared" si="0"/>
        <v>145.92</v>
      </c>
      <c r="E9" s="752">
        <f>土方!G137</f>
        <v>6.35</v>
      </c>
      <c r="F9" s="752">
        <f>土方!G140</f>
        <v>7.61</v>
      </c>
      <c r="G9" s="752">
        <f>土方!G142</f>
        <v>69.76</v>
      </c>
      <c r="H9" s="752"/>
      <c r="I9" s="752">
        <f>土方!G144</f>
        <v>4.02</v>
      </c>
      <c r="J9" s="752">
        <f>土方!G145</f>
        <v>3.51</v>
      </c>
      <c r="K9" s="752">
        <f>土方!G146</f>
        <v>4.56</v>
      </c>
      <c r="L9" s="752">
        <f>土方!G147</f>
        <v>34.16</v>
      </c>
      <c r="M9" s="752">
        <f>土方!G149</f>
        <v>11.7</v>
      </c>
      <c r="N9" s="752">
        <f>土方!G150</f>
        <v>4.25</v>
      </c>
    </row>
    <row r="10" s="740" customFormat="1" ht="19.9" customHeight="1" spans="1:14">
      <c r="A10" s="754">
        <v>1225</v>
      </c>
      <c r="B10" s="755" t="str">
        <f>土方!E380</f>
        <v>拖拉机压实</v>
      </c>
      <c r="C10" s="756" t="s">
        <v>257</v>
      </c>
      <c r="D10" s="757">
        <f t="shared" si="0"/>
        <v>608.72</v>
      </c>
      <c r="E10" s="752">
        <f>土方!G387</f>
        <v>115.4</v>
      </c>
      <c r="F10" s="752">
        <f>土方!G390</f>
        <v>33.98</v>
      </c>
      <c r="G10" s="752">
        <f>土方!G392</f>
        <v>224.39</v>
      </c>
      <c r="H10" s="752"/>
      <c r="I10" s="752">
        <f>土方!G398</f>
        <v>17.94</v>
      </c>
      <c r="J10" s="752">
        <f>土方!G399</f>
        <v>15.67</v>
      </c>
      <c r="K10" s="752">
        <f>土方!G400</f>
        <v>20.37</v>
      </c>
      <c r="L10" s="752">
        <f>土方!G401</f>
        <v>114.44</v>
      </c>
      <c r="M10" s="752">
        <f>土方!G403</f>
        <v>48.8</v>
      </c>
      <c r="N10" s="752">
        <f>土方!G404</f>
        <v>17.73</v>
      </c>
    </row>
    <row r="11" s="741" customFormat="1" ht="19.9" customHeight="1" spans="1:14">
      <c r="A11" s="754">
        <v>1238</v>
      </c>
      <c r="B11" s="755" t="str">
        <f>土方!E468</f>
        <v>建筑物回填土石（机夯）</v>
      </c>
      <c r="C11" s="756" t="s">
        <v>257</v>
      </c>
      <c r="D11" s="757">
        <f t="shared" si="0"/>
        <v>2173.16</v>
      </c>
      <c r="E11" s="752">
        <f>土方!G475</f>
        <v>1343.59</v>
      </c>
      <c r="F11" s="752">
        <f>土方!G478</f>
        <v>80.54</v>
      </c>
      <c r="G11" s="752">
        <f>土方!G480</f>
        <v>267.26</v>
      </c>
      <c r="H11" s="752"/>
      <c r="I11" s="752">
        <f>土方!G482</f>
        <v>81.19</v>
      </c>
      <c r="J11" s="752">
        <f>土方!G483</f>
        <v>70.9</v>
      </c>
      <c r="K11" s="752">
        <f>土方!G484</f>
        <v>92.17</v>
      </c>
      <c r="L11" s="752"/>
      <c r="M11" s="752">
        <f>土方!G485</f>
        <v>174.21</v>
      </c>
      <c r="N11" s="752">
        <f>土方!G486</f>
        <v>63.3</v>
      </c>
    </row>
    <row r="12" s="740" customFormat="1" ht="19.9" customHeight="1" spans="1:14">
      <c r="A12" s="749">
        <v>3017</v>
      </c>
      <c r="B12" s="758" t="str">
        <f>堆砌石!E27</f>
        <v>M7.5浆砌石护坡（平）</v>
      </c>
      <c r="C12" s="751" t="s">
        <v>257</v>
      </c>
      <c r="D12" s="752">
        <f t="shared" si="0"/>
        <v>35780.55</v>
      </c>
      <c r="E12" s="752">
        <f>堆砌石!G34</f>
        <v>5684.86</v>
      </c>
      <c r="F12" s="752">
        <f>堆砌石!G37</f>
        <v>12756.97</v>
      </c>
      <c r="G12" s="752">
        <f>堆砌石!G41</f>
        <v>280.93</v>
      </c>
      <c r="H12" s="752"/>
      <c r="I12" s="752">
        <f>堆砌石!G44</f>
        <v>898.69</v>
      </c>
      <c r="J12" s="752">
        <f>堆砌石!G45</f>
        <v>1667.82</v>
      </c>
      <c r="K12" s="752">
        <f>堆砌石!G46</f>
        <v>1490.25</v>
      </c>
      <c r="L12" s="752">
        <f>堆砌石!G47</f>
        <v>9090.57</v>
      </c>
      <c r="M12" s="752">
        <f>堆砌石!G51</f>
        <v>2868.31</v>
      </c>
      <c r="N12" s="752">
        <f>堆砌石!G52</f>
        <v>1042.15</v>
      </c>
    </row>
    <row r="13" s="740" customFormat="1" ht="19.9" customHeight="1" spans="1:14">
      <c r="A13" s="749">
        <v>3019</v>
      </c>
      <c r="B13" s="758" t="str">
        <f>堆砌石!E85</f>
        <v>M7.5浆砌石护底</v>
      </c>
      <c r="C13" s="751" t="s">
        <v>257</v>
      </c>
      <c r="D13" s="752">
        <f t="shared" si="0"/>
        <v>34822.12</v>
      </c>
      <c r="E13" s="752">
        <f>堆砌石!G92</f>
        <v>4983.2</v>
      </c>
      <c r="F13" s="752">
        <f>堆砌石!G95</f>
        <v>12756.97</v>
      </c>
      <c r="G13" s="752">
        <f>堆砌石!G99</f>
        <v>280.93</v>
      </c>
      <c r="H13" s="752"/>
      <c r="I13" s="752">
        <f>堆砌石!G102</f>
        <v>865.01</v>
      </c>
      <c r="J13" s="752">
        <f>堆砌石!G103</f>
        <v>1605.32</v>
      </c>
      <c r="K13" s="752">
        <f>堆砌石!G104</f>
        <v>1434.4</v>
      </c>
      <c r="L13" s="752">
        <f>堆砌石!G105</f>
        <v>9090.57</v>
      </c>
      <c r="M13" s="752">
        <f>堆砌石!G109</f>
        <v>2791.48</v>
      </c>
      <c r="N13" s="752">
        <f>堆砌石!G110</f>
        <v>1014.24</v>
      </c>
    </row>
    <row r="14" s="741" customFormat="1" ht="19.9" customHeight="1" spans="1:14">
      <c r="A14" s="749">
        <v>3020</v>
      </c>
      <c r="B14" s="758" t="str">
        <f>堆砌石!E114</f>
        <v>M7.5浆砌石基础</v>
      </c>
      <c r="C14" s="751" t="s">
        <v>257</v>
      </c>
      <c r="D14" s="752">
        <f t="shared" si="0"/>
        <v>33688.34</v>
      </c>
      <c r="E14" s="752">
        <f>堆砌石!G121</f>
        <v>4415.5</v>
      </c>
      <c r="F14" s="752">
        <f>堆砌石!G124</f>
        <v>12579.93</v>
      </c>
      <c r="G14" s="752">
        <f>堆砌石!G128</f>
        <v>272.88</v>
      </c>
      <c r="H14" s="752"/>
      <c r="I14" s="752">
        <f>堆砌石!G131</f>
        <v>828.88</v>
      </c>
      <c r="J14" s="752">
        <f>堆砌石!G132</f>
        <v>1538.26</v>
      </c>
      <c r="K14" s="752">
        <f>堆砌石!G133</f>
        <v>1374.48</v>
      </c>
      <c r="L14" s="752">
        <f>堆砌石!G134</f>
        <v>8996.61</v>
      </c>
      <c r="M14" s="752">
        <f>堆砌石!G138</f>
        <v>2700.59</v>
      </c>
      <c r="N14" s="752">
        <f>堆砌石!G139</f>
        <v>981.21</v>
      </c>
    </row>
    <row r="15" s="741" customFormat="1" ht="19.9" customHeight="1" spans="1:14">
      <c r="A15" s="749">
        <v>3021</v>
      </c>
      <c r="B15" s="758" t="str">
        <f>堆砌石!E143</f>
        <v>M7.5浆砌石墙</v>
      </c>
      <c r="C15" s="751" t="s">
        <v>257</v>
      </c>
      <c r="D15" s="752">
        <f t="shared" si="0"/>
        <v>35256.86</v>
      </c>
      <c r="E15" s="752">
        <f>堆砌石!G150</f>
        <v>5482.31</v>
      </c>
      <c r="F15" s="752">
        <f>堆砌石!G153</f>
        <v>12634.4</v>
      </c>
      <c r="G15" s="752">
        <f>堆砌石!G157</f>
        <v>276.13</v>
      </c>
      <c r="H15" s="752"/>
      <c r="I15" s="752">
        <f>堆砌石!G160</f>
        <v>882.86</v>
      </c>
      <c r="J15" s="752">
        <f>堆砌石!G161</f>
        <v>1638.43</v>
      </c>
      <c r="K15" s="752">
        <f>堆砌石!G162</f>
        <v>1463.99</v>
      </c>
      <c r="L15" s="752">
        <f>堆砌石!G163</f>
        <v>9025.51</v>
      </c>
      <c r="M15" s="752">
        <f>堆砌石!G167</f>
        <v>2826.33</v>
      </c>
      <c r="N15" s="752">
        <f>堆砌石!G168</f>
        <v>1026.9</v>
      </c>
    </row>
    <row r="16" s="741" customFormat="1" ht="19.9" customHeight="1" spans="1:14">
      <c r="A16" s="749">
        <v>4052</v>
      </c>
      <c r="B16" s="759" t="s">
        <v>258</v>
      </c>
      <c r="C16" s="751" t="s">
        <v>257</v>
      </c>
      <c r="D16" s="752">
        <f t="shared" si="0"/>
        <v>60474.27</v>
      </c>
      <c r="E16" s="752">
        <f>混凝土!G9</f>
        <v>13059.4</v>
      </c>
      <c r="F16" s="752">
        <f>混凝土!G12</f>
        <v>24310.13</v>
      </c>
      <c r="G16" s="752">
        <f>混凝土!G22</f>
        <v>802.31</v>
      </c>
      <c r="H16" s="752">
        <f>混凝土!G29</f>
        <v>798.25</v>
      </c>
      <c r="I16" s="752">
        <f>混凝土!G32</f>
        <v>1870.56</v>
      </c>
      <c r="J16" s="752">
        <f>混凝土!G33</f>
        <v>2858.85</v>
      </c>
      <c r="K16" s="752">
        <f>混凝土!G34</f>
        <v>3058.97</v>
      </c>
      <c r="L16" s="752">
        <f>混凝土!G35</f>
        <v>7106.56</v>
      </c>
      <c r="M16" s="752">
        <f>混凝土!G41</f>
        <v>4847.85</v>
      </c>
      <c r="N16" s="752">
        <f>混凝土!G42</f>
        <v>1761.39</v>
      </c>
    </row>
    <row r="17" s="741" customFormat="1" ht="19.9" customHeight="1" spans="1:14">
      <c r="A17" s="749">
        <v>4267</v>
      </c>
      <c r="B17" s="759" t="str">
        <f>混凝土!E375</f>
        <v>钢筋制作安装</v>
      </c>
      <c r="C17" s="760" t="s">
        <v>158</v>
      </c>
      <c r="D17" s="752">
        <f t="shared" si="0"/>
        <v>7426.63</v>
      </c>
      <c r="E17" s="752">
        <f>混凝土!G382</f>
        <v>814.08</v>
      </c>
      <c r="F17" s="752">
        <f>混凝土!G385</f>
        <v>2709.24</v>
      </c>
      <c r="G17" s="752">
        <f>混凝土!G390</f>
        <v>249.42</v>
      </c>
      <c r="H17" s="752"/>
      <c r="I17" s="752">
        <f>混凝土!G400</f>
        <v>181.09</v>
      </c>
      <c r="J17" s="752">
        <f>混凝土!G401</f>
        <v>197.69</v>
      </c>
      <c r="K17" s="752">
        <f>混凝土!G402</f>
        <v>290.61</v>
      </c>
      <c r="L17" s="752">
        <f>混凝土!G403</f>
        <v>2172.84</v>
      </c>
      <c r="M17" s="752">
        <f>混凝土!G406</f>
        <v>595.35</v>
      </c>
      <c r="N17" s="752">
        <f>混凝土!G407</f>
        <v>216.31</v>
      </c>
    </row>
    <row r="18" s="741" customFormat="1" ht="19.9" customHeight="1" spans="1:14">
      <c r="A18" s="748" t="s">
        <v>259</v>
      </c>
      <c r="B18" s="759" t="s">
        <v>260</v>
      </c>
      <c r="C18" s="760" t="s">
        <v>154</v>
      </c>
      <c r="D18" s="752">
        <v>5500</v>
      </c>
      <c r="E18" s="752">
        <f>混凝土!G443</f>
        <v>2264.12</v>
      </c>
      <c r="F18" s="752">
        <f>混凝土!G446</f>
        <v>2633.07</v>
      </c>
      <c r="G18" s="752"/>
      <c r="H18" s="752"/>
      <c r="I18" s="752">
        <f>混凝土!G452</f>
        <v>235.07</v>
      </c>
      <c r="J18" s="752">
        <f>混凝土!G453</f>
        <v>359.26</v>
      </c>
      <c r="K18" s="752">
        <f>混凝土!G454</f>
        <v>384.41</v>
      </c>
      <c r="L18" s="752">
        <f>混凝土!G455</f>
        <v>0</v>
      </c>
      <c r="M18" s="752">
        <f>混凝土!G458</f>
        <v>528.83</v>
      </c>
      <c r="N18" s="752">
        <f>混凝土!G459</f>
        <v>192.14</v>
      </c>
    </row>
    <row r="19" s="741" customFormat="1" ht="19.9" customHeight="1" spans="1:14">
      <c r="A19" s="749">
        <v>10184</v>
      </c>
      <c r="B19" s="753" t="str">
        <f>堆砌石!E250</f>
        <v>挖掘机拆除砌体（水泥浆砌石）</v>
      </c>
      <c r="C19" s="751" t="s">
        <v>257</v>
      </c>
      <c r="D19" s="752">
        <f t="shared" si="0"/>
        <v>1802.9</v>
      </c>
      <c r="E19" s="752">
        <f>堆砌石!G257</f>
        <v>623.16</v>
      </c>
      <c r="F19" s="752">
        <f>堆砌石!G260</f>
        <v>33.08</v>
      </c>
      <c r="G19" s="752">
        <f>堆砌石!G262</f>
        <v>479.47</v>
      </c>
      <c r="H19" s="752"/>
      <c r="I19" s="752">
        <f>堆砌石!G264</f>
        <v>54.51</v>
      </c>
      <c r="J19" s="752">
        <f>堆砌石!G265</f>
        <v>86.29</v>
      </c>
      <c r="K19" s="752">
        <f>堆砌石!G266</f>
        <v>89.36</v>
      </c>
      <c r="L19" s="752">
        <f>堆砌石!G267</f>
        <v>239.99</v>
      </c>
      <c r="M19" s="752">
        <f>堆砌石!G269</f>
        <v>144.53</v>
      </c>
      <c r="N19" s="752">
        <f>堆砌石!G270</f>
        <v>52.51</v>
      </c>
    </row>
    <row r="20" s="741" customFormat="1" ht="19.9" customHeight="1" spans="1:14">
      <c r="A20" s="749">
        <v>10191</v>
      </c>
      <c r="B20" s="753" t="str">
        <f>堆砌石!E274</f>
        <v>人工拆除砌体（水泥浆砌石）</v>
      </c>
      <c r="C20" s="751" t="s">
        <v>257</v>
      </c>
      <c r="D20" s="752">
        <f t="shared" si="0"/>
        <v>6962.75</v>
      </c>
      <c r="E20" s="752">
        <f>堆砌石!G281</f>
        <v>5131.08</v>
      </c>
      <c r="F20" s="752">
        <f>堆砌石!G284</f>
        <v>25.66</v>
      </c>
      <c r="G20" s="752"/>
      <c r="H20" s="752"/>
      <c r="I20" s="752">
        <f>堆砌石!G286</f>
        <v>247.52</v>
      </c>
      <c r="J20" s="752">
        <f>堆砌石!G287</f>
        <v>391.81</v>
      </c>
      <c r="K20" s="752">
        <f>堆砌石!G288</f>
        <v>405.72</v>
      </c>
      <c r="L20" s="752"/>
      <c r="M20" s="752">
        <f>堆砌石!G289</f>
        <v>558.16</v>
      </c>
      <c r="N20" s="752">
        <f>堆砌石!G290</f>
        <v>202.8</v>
      </c>
    </row>
    <row r="21" s="741" customFormat="1" ht="19.9" customHeight="1" spans="1:14">
      <c r="A21" s="748">
        <v>4192</v>
      </c>
      <c r="B21" s="750" t="s">
        <v>261</v>
      </c>
      <c r="C21" s="751" t="s">
        <v>257</v>
      </c>
      <c r="D21" s="752">
        <f t="shared" si="0"/>
        <v>95591.9</v>
      </c>
      <c r="E21" s="761">
        <f>混凝土!G780</f>
        <v>2595.24</v>
      </c>
      <c r="F21" s="761">
        <f>混凝土!G783</f>
        <v>52829.78</v>
      </c>
      <c r="G21" s="761">
        <f>混凝土!G792</f>
        <v>2024.4</v>
      </c>
      <c r="H21" s="761">
        <f>混凝土!G798</f>
        <v>3467.3</v>
      </c>
      <c r="I21" s="761">
        <f>混凝土!G801</f>
        <v>2924</v>
      </c>
      <c r="J21" s="761">
        <f>混凝土!G802</f>
        <v>4468.85</v>
      </c>
      <c r="K21" s="761">
        <f>混凝土!G803</f>
        <v>4781.67</v>
      </c>
      <c r="L21" s="761">
        <f>混凝土!G804</f>
        <v>12053.41</v>
      </c>
      <c r="M21" s="761">
        <f>混凝土!G810</f>
        <v>7663.02</v>
      </c>
      <c r="N21" s="761">
        <f>混凝土!G811</f>
        <v>2784.23</v>
      </c>
    </row>
    <row r="22" s="741" customFormat="1" ht="19.9" customHeight="1" spans="1:14">
      <c r="A22" s="762">
        <v>10188</v>
      </c>
      <c r="B22" s="763" t="s">
        <v>262</v>
      </c>
      <c r="C22" s="751" t="s">
        <v>263</v>
      </c>
      <c r="D22" s="764">
        <f t="shared" si="0"/>
        <v>4032.9</v>
      </c>
      <c r="E22" s="764">
        <f>混凝土!G895</f>
        <v>1774.28</v>
      </c>
      <c r="F22" s="764">
        <f>混凝土!G898</f>
        <v>0</v>
      </c>
      <c r="G22" s="764">
        <f>混凝土!G903</f>
        <v>927.61</v>
      </c>
      <c r="H22" s="764">
        <f>混凝土!G917</f>
        <v>181.99</v>
      </c>
      <c r="I22" s="764">
        <f>混凝土!G910</f>
        <v>135.09</v>
      </c>
      <c r="J22" s="764">
        <f>混凝土!G912</f>
        <v>198.59</v>
      </c>
      <c r="K22" s="764">
        <f>混凝土!G913</f>
        <v>212.49</v>
      </c>
      <c r="L22" s="764">
        <f>混凝土!G915</f>
        <v>181.99</v>
      </c>
      <c r="M22" s="764">
        <f>混凝土!G922</f>
        <v>308.7</v>
      </c>
      <c r="N22" s="764">
        <f>混凝土!G923</f>
        <v>112.16</v>
      </c>
    </row>
    <row r="23" s="741" customFormat="1" ht="19.9" customHeight="1" spans="1:14">
      <c r="A23" s="762">
        <v>4124</v>
      </c>
      <c r="B23" s="763" t="s">
        <v>264</v>
      </c>
      <c r="C23" s="751" t="s">
        <v>257</v>
      </c>
      <c r="D23" s="764">
        <f t="shared" si="0"/>
        <v>50016.93</v>
      </c>
      <c r="E23" s="764">
        <f>混凝土!G211</f>
        <v>7794.28</v>
      </c>
      <c r="F23" s="764">
        <f>混凝土!G214</f>
        <v>21889.71</v>
      </c>
      <c r="G23" s="764">
        <f>混凝土!G224</f>
        <v>729.09</v>
      </c>
      <c r="H23" s="764">
        <f>混凝土!G231</f>
        <v>798.25</v>
      </c>
      <c r="I23" s="764">
        <f>混凝土!G234</f>
        <v>1498.14</v>
      </c>
      <c r="J23" s="764">
        <f>混凝土!G235</f>
        <v>2289.66</v>
      </c>
      <c r="K23" s="764">
        <f>混凝土!G236</f>
        <v>2449.94</v>
      </c>
      <c r="L23" s="764">
        <f>混凝土!G237</f>
        <v>7101.51</v>
      </c>
      <c r="M23" s="764">
        <f>混凝土!G242</f>
        <v>4009.55</v>
      </c>
      <c r="N23" s="764">
        <f>混凝土!G243</f>
        <v>1456.8</v>
      </c>
    </row>
    <row r="24" s="741" customFormat="1" ht="19.9" customHeight="1" spans="1:14">
      <c r="A24" s="762">
        <v>4067</v>
      </c>
      <c r="B24" s="763" t="s">
        <v>265</v>
      </c>
      <c r="C24" s="751" t="s">
        <v>257</v>
      </c>
      <c r="D24" s="764">
        <f t="shared" si="0"/>
        <v>47768.52</v>
      </c>
      <c r="E24" s="764">
        <f>混凝土!G934</f>
        <v>7221.66</v>
      </c>
      <c r="F24" s="764">
        <f>混凝土!G937</f>
        <v>20283.33</v>
      </c>
      <c r="G24" s="764">
        <f>混凝土!G947</f>
        <v>675.5</v>
      </c>
      <c r="H24" s="764">
        <f>混凝土!G955</f>
        <v>798.25</v>
      </c>
      <c r="I24" s="764">
        <f>混凝土!G958</f>
        <v>1390.98</v>
      </c>
      <c r="J24" s="764">
        <f>混凝土!G959</f>
        <v>2125.88</v>
      </c>
      <c r="K24" s="764">
        <f>混凝土!G960</f>
        <v>2274.69</v>
      </c>
      <c r="L24" s="764">
        <f>混凝土!G961</f>
        <v>7777.6</v>
      </c>
      <c r="M24" s="764">
        <f>混凝土!G967</f>
        <v>3829.31</v>
      </c>
      <c r="N24" s="764">
        <f>混凝土!G968</f>
        <v>1391.32</v>
      </c>
    </row>
    <row r="25" s="741" customFormat="1" ht="19.9" customHeight="1" spans="1:14">
      <c r="A25" s="762">
        <v>4059</v>
      </c>
      <c r="B25" s="763" t="s">
        <v>266</v>
      </c>
      <c r="C25" s="751" t="s">
        <v>257</v>
      </c>
      <c r="D25" s="764">
        <f t="shared" si="0"/>
        <v>63307.19</v>
      </c>
      <c r="E25" s="764">
        <f>混凝土!G53</f>
        <v>15609.11</v>
      </c>
      <c r="F25" s="764">
        <f>混凝土!G56</f>
        <v>23849.78</v>
      </c>
      <c r="G25" s="764">
        <f>混凝土!G66</f>
        <v>777.01</v>
      </c>
      <c r="H25" s="764">
        <f>混凝土!G73</f>
        <v>798.25</v>
      </c>
      <c r="I25" s="764">
        <f>混凝土!G76</f>
        <v>1969.64</v>
      </c>
      <c r="J25" s="764">
        <f>混凝土!G77</f>
        <v>3010.27</v>
      </c>
      <c r="K25" s="764">
        <f>混凝土!G78</f>
        <v>3220.98</v>
      </c>
      <c r="L25" s="764">
        <f>混凝土!G79</f>
        <v>7153.3</v>
      </c>
      <c r="M25" s="764">
        <f>混凝土!G85</f>
        <v>5074.95</v>
      </c>
      <c r="N25" s="764">
        <f>混凝土!G86</f>
        <v>1843.9</v>
      </c>
    </row>
    <row r="26" s="741" customFormat="1" ht="19.9" customHeight="1" spans="1:14">
      <c r="A26" s="762">
        <v>1259</v>
      </c>
      <c r="B26" s="763" t="s">
        <v>168</v>
      </c>
      <c r="C26" s="751" t="s">
        <v>263</v>
      </c>
      <c r="D26" s="764">
        <f t="shared" si="0"/>
        <v>70.07</v>
      </c>
      <c r="E26" s="764">
        <f>土方!G415</f>
        <v>51.93</v>
      </c>
      <c r="F26" s="764">
        <f>土方!G418</f>
        <v>2.6</v>
      </c>
      <c r="G26" s="764">
        <v>0</v>
      </c>
      <c r="H26" s="764">
        <v>0</v>
      </c>
      <c r="I26" s="764">
        <f>土方!G420</f>
        <v>2.62</v>
      </c>
      <c r="J26" s="764">
        <f>土方!G421</f>
        <v>2.29</v>
      </c>
      <c r="K26" s="764">
        <f>土方!G422</f>
        <v>2.97</v>
      </c>
      <c r="L26" s="764">
        <v>0</v>
      </c>
      <c r="M26" s="764">
        <f>土方!G423</f>
        <v>5.62</v>
      </c>
      <c r="N26" s="764">
        <f>土方!G424</f>
        <v>2.04</v>
      </c>
    </row>
    <row r="27" s="741" customFormat="1" ht="19.9" customHeight="1" spans="1:14">
      <c r="A27" s="762">
        <v>1237</v>
      </c>
      <c r="B27" s="763" t="s">
        <v>267</v>
      </c>
      <c r="C27" s="751" t="s">
        <v>268</v>
      </c>
      <c r="D27" s="764">
        <f t="shared" si="0"/>
        <v>626.2</v>
      </c>
      <c r="E27" s="764">
        <f>土方!G455</f>
        <v>464.17</v>
      </c>
      <c r="F27" s="764">
        <f>土方!G458</f>
        <v>23.21</v>
      </c>
      <c r="G27" s="764"/>
      <c r="H27" s="764"/>
      <c r="I27" s="764">
        <f>土方!G460</f>
        <v>23.39</v>
      </c>
      <c r="J27" s="764">
        <f>土方!G461</f>
        <v>20.43</v>
      </c>
      <c r="K27" s="764">
        <f>土方!G462</f>
        <v>26.56</v>
      </c>
      <c r="L27" s="764"/>
      <c r="M27" s="764">
        <f>土方!G463</f>
        <v>50.2</v>
      </c>
      <c r="N27" s="764">
        <f>土方!G464</f>
        <v>18.24</v>
      </c>
    </row>
    <row r="28" s="741" customFormat="1" ht="19.9" customHeight="1" spans="1:14">
      <c r="A28" s="762">
        <v>4296</v>
      </c>
      <c r="B28" s="763" t="str">
        <f>混凝土!E972</f>
        <v>沥青砂浆伸缩缝</v>
      </c>
      <c r="C28" s="751" t="s">
        <v>269</v>
      </c>
      <c r="D28" s="764">
        <f t="shared" ref="D28" si="1">SUM(E28:N28)</f>
        <v>7420.93</v>
      </c>
      <c r="E28" s="764">
        <f>混凝土!G979</f>
        <v>2264.12</v>
      </c>
      <c r="F28" s="764">
        <f>混凝土!G982</f>
        <v>3057.02</v>
      </c>
      <c r="G28" s="764">
        <v>0</v>
      </c>
      <c r="H28" s="764"/>
      <c r="I28" s="764">
        <f>混凝土!G987</f>
        <v>255.41</v>
      </c>
      <c r="J28" s="764">
        <f>混凝土!G988</f>
        <v>390.36</v>
      </c>
      <c r="K28" s="764">
        <f>混凝土!G989</f>
        <v>417.68</v>
      </c>
      <c r="L28" s="764">
        <f>混凝土!G990</f>
        <v>225.31</v>
      </c>
      <c r="M28" s="764">
        <f>混凝土!G993</f>
        <v>594.89</v>
      </c>
      <c r="N28" s="764">
        <f>混凝土!G994</f>
        <v>216.14</v>
      </c>
    </row>
    <row r="29" s="741" customFormat="1" ht="19.9" customHeight="1" spans="1:14">
      <c r="A29" s="762">
        <v>4267</v>
      </c>
      <c r="B29" s="763" t="str">
        <f>混凝土!E1020</f>
        <v>钢板制作安装</v>
      </c>
      <c r="C29" s="751" t="s">
        <v>158</v>
      </c>
      <c r="D29" s="764">
        <f t="shared" ref="D29:D33" si="2">SUM(E29:N29)</f>
        <v>8374.48</v>
      </c>
      <c r="E29" s="764">
        <f>混凝土!G1027</f>
        <v>1046.18</v>
      </c>
      <c r="F29" s="764">
        <f>混凝土!G1030</f>
        <v>5108.55</v>
      </c>
      <c r="G29" s="764">
        <f>混凝土!G1035</f>
        <v>180.46</v>
      </c>
      <c r="H29" s="764"/>
      <c r="I29" s="764">
        <f>混凝土!G1038</f>
        <v>304.09</v>
      </c>
      <c r="J29" s="764">
        <f>混凝土!G1039</f>
        <v>331.96</v>
      </c>
      <c r="K29" s="764">
        <f>混凝土!G1040</f>
        <v>487.99</v>
      </c>
      <c r="L29" s="764">
        <f>混凝土!G1041</f>
        <v>0</v>
      </c>
      <c r="M29" s="764">
        <f>混凝土!G1042</f>
        <v>671.33</v>
      </c>
      <c r="N29" s="764">
        <f>混凝土!G1043</f>
        <v>243.92</v>
      </c>
    </row>
    <row r="30" s="741" customFormat="1" ht="19.9" customHeight="1" spans="1:14">
      <c r="A30" s="762">
        <v>1254</v>
      </c>
      <c r="B30" s="763" t="s">
        <v>270</v>
      </c>
      <c r="C30" s="751" t="s">
        <v>263</v>
      </c>
      <c r="D30" s="764">
        <f t="shared" si="2"/>
        <v>98.17</v>
      </c>
      <c r="E30" s="764">
        <f>土方!G521</f>
        <v>16.16</v>
      </c>
      <c r="F30" s="764">
        <f>土方!G524</f>
        <v>3.64</v>
      </c>
      <c r="G30" s="764">
        <f>土方!G526</f>
        <v>56.61</v>
      </c>
      <c r="H30" s="764"/>
      <c r="I30" s="764">
        <f>土方!G528</f>
        <v>3.67</v>
      </c>
      <c r="J30" s="764">
        <f>土方!G529</f>
        <v>3.2</v>
      </c>
      <c r="K30" s="764">
        <f>土方!G530</f>
        <v>4.16</v>
      </c>
      <c r="L30" s="764">
        <f>土方!G531</f>
        <v>0</v>
      </c>
      <c r="M30" s="764">
        <f>土方!G532</f>
        <v>7.87</v>
      </c>
      <c r="N30" s="764">
        <f>土方!G533</f>
        <v>2.86</v>
      </c>
    </row>
    <row r="31" s="741" customFormat="1" ht="19.9" customHeight="1" spans="1:14">
      <c r="A31" s="765" t="s">
        <v>271</v>
      </c>
      <c r="B31" s="766" t="str">
        <f>混凝土!E2059</f>
        <v>渠道预制板混土构件砌筑（缝板比0.23）</v>
      </c>
      <c r="C31" s="767" t="s">
        <v>272</v>
      </c>
      <c r="D31" s="768">
        <f t="shared" ref="D31" si="3">SUM(E31:N31)</f>
        <v>79436.66</v>
      </c>
      <c r="E31" s="769">
        <f>混凝土!G2066</f>
        <v>8595.47</v>
      </c>
      <c r="F31" s="769">
        <f>混凝土!G2069</f>
        <v>41117.21</v>
      </c>
      <c r="G31" s="769">
        <f>混凝土!G2073</f>
        <v>199.18</v>
      </c>
      <c r="H31" s="769">
        <f>混凝土!G2076</f>
        <v>1827.78</v>
      </c>
      <c r="I31" s="769">
        <f>混凝土!G2077</f>
        <v>2483.5</v>
      </c>
      <c r="J31" s="769">
        <f>混凝土!G2078</f>
        <v>3795.62</v>
      </c>
      <c r="K31" s="769">
        <f>混凝土!G2079</f>
        <v>4061.31</v>
      </c>
      <c r="L31" s="769">
        <f>混凝土!G2080</f>
        <v>8674.95</v>
      </c>
      <c r="M31" s="769">
        <f>混凝土!G2086</f>
        <v>6367.95</v>
      </c>
      <c r="N31" s="769">
        <f>混凝土!G2087</f>
        <v>2313.69</v>
      </c>
    </row>
    <row r="32" s="741" customFormat="1" ht="19.9" customHeight="1" spans="1:14">
      <c r="A32" s="762">
        <v>4048</v>
      </c>
      <c r="B32" s="763" t="str">
        <f>混凝土!E1331</f>
        <v>现浇C25混凝土桥墩</v>
      </c>
      <c r="C32" s="751" t="s">
        <v>257</v>
      </c>
      <c r="D32" s="764">
        <f t="shared" si="2"/>
        <v>62760.62</v>
      </c>
      <c r="E32" s="764">
        <f>混凝土!G1338</f>
        <v>8680.21</v>
      </c>
      <c r="F32" s="764">
        <f>混凝土!G1341</f>
        <v>29817.28</v>
      </c>
      <c r="G32" s="764">
        <f>混凝土!G1352</f>
        <v>999.07</v>
      </c>
      <c r="H32" s="764">
        <f>混凝土!G1359</f>
        <v>798.25</v>
      </c>
      <c r="I32" s="764">
        <f>混凝土!G1362</f>
        <v>1934.15</v>
      </c>
      <c r="J32" s="764">
        <f>混凝土!G1363</f>
        <v>2956.03</v>
      </c>
      <c r="K32" s="764">
        <f>混凝土!G1364</f>
        <v>3162.95</v>
      </c>
      <c r="L32" s="764">
        <f>混凝土!G1365</f>
        <v>7553.56</v>
      </c>
      <c r="M32" s="764">
        <f>混凝土!G1370</f>
        <v>5031.14</v>
      </c>
      <c r="N32" s="764">
        <f>混凝土!G1371</f>
        <v>1827.98</v>
      </c>
    </row>
    <row r="33" s="741" customFormat="1" ht="19.9" customHeight="1" spans="1:14">
      <c r="A33" s="762">
        <v>1159</v>
      </c>
      <c r="B33" s="763" t="str">
        <f>土方!E252</f>
        <v>1m³挖掘机挖装土自卸汽车运输（运距1—1.5km）</v>
      </c>
      <c r="C33" s="751" t="s">
        <v>273</v>
      </c>
      <c r="D33" s="764">
        <f t="shared" si="2"/>
        <v>1376.29</v>
      </c>
      <c r="E33" s="764">
        <f>土方!G259</f>
        <v>30</v>
      </c>
      <c r="F33" s="764">
        <f>土方!G262</f>
        <v>35.35</v>
      </c>
      <c r="G33" s="764">
        <f>土方!G264</f>
        <v>677.03</v>
      </c>
      <c r="H33" s="764"/>
      <c r="I33" s="764">
        <f>土方!G268</f>
        <v>35.63</v>
      </c>
      <c r="J33" s="764">
        <f>土方!G269</f>
        <v>31.12</v>
      </c>
      <c r="K33" s="764">
        <f>土方!G270</f>
        <v>40.46</v>
      </c>
      <c r="L33" s="764">
        <f>土方!G271</f>
        <v>376.28</v>
      </c>
      <c r="M33" s="764">
        <f>土方!G273</f>
        <v>110.33</v>
      </c>
      <c r="N33" s="764">
        <f>土方!G274</f>
        <v>40.09</v>
      </c>
    </row>
    <row r="34" s="741" customFormat="1" ht="19.9" customHeight="1" spans="1:14">
      <c r="A34" s="762">
        <v>1161</v>
      </c>
      <c r="B34" s="763" t="str">
        <f>土方!E278</f>
        <v>1m³挖掘机挖装土自卸汽车运输（运距2—3km）</v>
      </c>
      <c r="C34" s="751" t="s">
        <v>268</v>
      </c>
      <c r="D34" s="764">
        <f t="shared" ref="D34" si="4">SUM(E34:N34)</f>
        <v>1770.25</v>
      </c>
      <c r="E34" s="764">
        <f>土方!G285</f>
        <v>30</v>
      </c>
      <c r="F34" s="764">
        <f>土方!G288</f>
        <v>45.22</v>
      </c>
      <c r="G34" s="764">
        <f>土方!G290</f>
        <v>874.4</v>
      </c>
      <c r="H34" s="764"/>
      <c r="I34" s="764">
        <f>土方!G294</f>
        <v>45.58</v>
      </c>
      <c r="J34" s="764">
        <f>土方!G295</f>
        <v>39.81</v>
      </c>
      <c r="K34" s="764">
        <f>土方!G296</f>
        <v>51.75</v>
      </c>
      <c r="L34" s="764">
        <f>土方!G297</f>
        <v>490.02</v>
      </c>
      <c r="M34" s="764">
        <f>土方!G299</f>
        <v>141.91</v>
      </c>
      <c r="N34" s="764">
        <f>土方!G300</f>
        <v>51.56</v>
      </c>
    </row>
  </sheetData>
  <mergeCells count="16">
    <mergeCell ref="A1:N1"/>
    <mergeCell ref="E2:N2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78740157480315" right="0.78740157480315" top="0.78740157480315" bottom="0.78740157480315" header="0.393700787401575" footer="0.393700787401575"/>
  <pageSetup paperSize="9" firstPageNumber="75" orientation="landscape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AH560"/>
  <sheetViews>
    <sheetView view="pageBreakPreview" zoomScaleNormal="100" topLeftCell="A25" workbookViewId="0">
      <selection activeCell="G275" sqref="G275"/>
    </sheetView>
  </sheetViews>
  <sheetFormatPr defaultColWidth="9" defaultRowHeight="20.1" customHeight="1"/>
  <cols>
    <col min="1" max="2" width="6" style="128" customWidth="1"/>
    <col min="3" max="3" width="10.875" style="128" customWidth="1"/>
    <col min="4" max="4" width="9.375" style="128" customWidth="1"/>
    <col min="5" max="5" width="11.875" style="128" customWidth="1"/>
    <col min="6" max="6" width="11.375" style="128" customWidth="1"/>
    <col min="7" max="7" width="17.75" style="128" customWidth="1"/>
    <col min="8" max="8" width="13.625" style="128" customWidth="1"/>
    <col min="9" max="9" width="12.625" style="128" customWidth="1"/>
    <col min="10" max="10" width="8.375" style="128" customWidth="1"/>
    <col min="11" max="11" width="8.75" style="128" customWidth="1"/>
    <col min="12" max="12" width="11.125" style="128" customWidth="1"/>
    <col min="13" max="13" width="10.375" style="128" customWidth="1"/>
    <col min="14" max="14" width="11.625" style="128" customWidth="1"/>
    <col min="15" max="15" width="13.25" style="128" customWidth="1"/>
    <col min="16" max="16" width="9.5" style="128" customWidth="1"/>
    <col min="17" max="17" width="20.125" style="128" customWidth="1"/>
    <col min="18" max="18" width="9.125" style="128" customWidth="1"/>
    <col min="19" max="19" width="10.625" style="127" customWidth="1"/>
    <col min="20" max="20" width="11.375" style="127" customWidth="1"/>
    <col min="21" max="21" width="9.375" style="127" customWidth="1"/>
    <col min="22" max="22" width="9.5" style="127" customWidth="1"/>
    <col min="23" max="23" width="19.625" style="127" customWidth="1"/>
    <col min="24" max="24" width="9.5" style="127" customWidth="1"/>
    <col min="25" max="25" width="9.375" style="127" customWidth="1"/>
    <col min="26" max="26" width="11.125" style="127" customWidth="1"/>
    <col min="27" max="27" width="12.25" style="127" customWidth="1"/>
    <col min="28" max="28" width="8.5" style="127" customWidth="1"/>
    <col min="29" max="29" width="20.375" style="127" customWidth="1"/>
    <col min="30" max="30" width="8.5" style="127" customWidth="1"/>
    <col min="31" max="31" width="9.5" style="128" customWidth="1"/>
    <col min="32" max="32" width="10.75" style="128" customWidth="1"/>
    <col min="33" max="33" width="17.125" style="128" customWidth="1"/>
    <col min="34" max="34" width="24.5" style="128" customWidth="1"/>
    <col min="35" max="35" width="9" style="128"/>
    <col min="36" max="36" width="18.875" style="128" customWidth="1"/>
    <col min="37" max="37" width="9" style="128"/>
    <col min="38" max="38" width="11.5" style="128" customWidth="1"/>
    <col min="39" max="39" width="12.125" style="128" customWidth="1"/>
    <col min="40" max="40" width="16.625" style="128" customWidth="1"/>
    <col min="41" max="16384" width="9" style="128"/>
  </cols>
  <sheetData>
    <row r="1" ht="23.25" customHeight="1" spans="1:7">
      <c r="A1" s="725" t="s">
        <v>274</v>
      </c>
      <c r="B1" s="725"/>
      <c r="C1" s="725"/>
      <c r="D1" s="725"/>
      <c r="E1" s="725"/>
      <c r="F1" s="725"/>
      <c r="G1" s="725"/>
    </row>
    <row r="2" ht="19.15" customHeight="1" spans="1:7">
      <c r="A2" s="102" t="s">
        <v>275</v>
      </c>
      <c r="B2" s="103"/>
      <c r="C2" s="103" t="s">
        <v>39</v>
      </c>
      <c r="D2" s="103" t="s">
        <v>276</v>
      </c>
      <c r="E2" s="104" t="s">
        <v>277</v>
      </c>
      <c r="F2" s="104"/>
      <c r="G2" s="105"/>
    </row>
    <row r="3" ht="19.15" customHeight="1" spans="1:7">
      <c r="A3" s="106" t="s">
        <v>278</v>
      </c>
      <c r="B3" s="107"/>
      <c r="C3" s="108" t="s">
        <v>279</v>
      </c>
      <c r="D3" s="108"/>
      <c r="E3" s="108"/>
      <c r="F3" s="109" t="s">
        <v>280</v>
      </c>
      <c r="G3" s="110" t="s">
        <v>281</v>
      </c>
    </row>
    <row r="4" ht="19.15" customHeight="1" spans="1:7">
      <c r="A4" s="111" t="s">
        <v>282</v>
      </c>
      <c r="B4" s="108"/>
      <c r="C4" s="108"/>
      <c r="D4" s="108"/>
      <c r="E4" s="108"/>
      <c r="F4" s="108"/>
      <c r="G4" s="112"/>
    </row>
    <row r="5" ht="19.15" customHeight="1" spans="1:7">
      <c r="A5" s="113" t="s">
        <v>283</v>
      </c>
      <c r="B5" s="114"/>
      <c r="C5" s="54"/>
      <c r="D5" s="54"/>
      <c r="E5" s="54"/>
      <c r="F5" s="54"/>
      <c r="G5" s="55"/>
    </row>
    <row r="6" ht="19.15" customHeight="1" spans="1:7">
      <c r="A6" s="106" t="s">
        <v>284</v>
      </c>
      <c r="B6" s="109" t="s">
        <v>233</v>
      </c>
      <c r="C6" s="109"/>
      <c r="D6" s="109" t="s">
        <v>88</v>
      </c>
      <c r="E6" s="115" t="s">
        <v>130</v>
      </c>
      <c r="F6" s="109" t="s">
        <v>285</v>
      </c>
      <c r="G6" s="110" t="s">
        <v>286</v>
      </c>
    </row>
    <row r="7" ht="19.15" customHeight="1" spans="1:7">
      <c r="A7" s="106" t="s">
        <v>9</v>
      </c>
      <c r="B7" s="116" t="s">
        <v>287</v>
      </c>
      <c r="C7" s="116"/>
      <c r="D7" s="109"/>
      <c r="E7" s="115"/>
      <c r="F7" s="115"/>
      <c r="G7" s="117">
        <f>G8+G14</f>
        <v>261.04</v>
      </c>
    </row>
    <row r="8" ht="19.15" customHeight="1" spans="1:7">
      <c r="A8" s="106" t="s">
        <v>132</v>
      </c>
      <c r="B8" s="116" t="s">
        <v>288</v>
      </c>
      <c r="C8" s="116"/>
      <c r="D8" s="109"/>
      <c r="E8" s="115"/>
      <c r="F8" s="115"/>
      <c r="G8" s="117">
        <f>G9+G12</f>
        <v>249.08</v>
      </c>
    </row>
    <row r="9" ht="19.15" customHeight="1" spans="1:7">
      <c r="A9" s="106" t="s">
        <v>39</v>
      </c>
      <c r="B9" s="116" t="s">
        <v>247</v>
      </c>
      <c r="C9" s="116"/>
      <c r="D9" s="109"/>
      <c r="E9" s="115"/>
      <c r="F9" s="115"/>
      <c r="G9" s="117">
        <f>SUM(G10:G11)</f>
        <v>244.2</v>
      </c>
    </row>
    <row r="10" ht="19.15" customHeight="1" spans="1:7">
      <c r="A10" s="106"/>
      <c r="B10" s="116" t="s">
        <v>289</v>
      </c>
      <c r="C10" s="116"/>
      <c r="D10" s="109" t="s">
        <v>290</v>
      </c>
      <c r="E10" s="115">
        <v>0.8</v>
      </c>
      <c r="F10" s="115">
        <f>主材!D21</f>
        <v>8.1</v>
      </c>
      <c r="G10" s="117">
        <f>E10*F10</f>
        <v>6.48</v>
      </c>
    </row>
    <row r="11" ht="19.15" customHeight="1" spans="1:7">
      <c r="A11" s="106"/>
      <c r="B11" s="116" t="s">
        <v>291</v>
      </c>
      <c r="C11" s="116"/>
      <c r="D11" s="109" t="s">
        <v>290</v>
      </c>
      <c r="E11" s="115">
        <v>41.2</v>
      </c>
      <c r="F11" s="115">
        <f>主材!D22</f>
        <v>5.77</v>
      </c>
      <c r="G11" s="117">
        <f>E11*F11</f>
        <v>237.72</v>
      </c>
    </row>
    <row r="12" ht="19.15" customHeight="1" spans="1:7">
      <c r="A12" s="106" t="s">
        <v>41</v>
      </c>
      <c r="B12" s="116" t="s">
        <v>248</v>
      </c>
      <c r="C12" s="116"/>
      <c r="D12" s="109"/>
      <c r="E12" s="115"/>
      <c r="F12" s="115"/>
      <c r="G12" s="117">
        <f>G13</f>
        <v>4.88</v>
      </c>
    </row>
    <row r="13" ht="19.15" customHeight="1" spans="1:7">
      <c r="A13" s="106"/>
      <c r="B13" s="116" t="s">
        <v>292</v>
      </c>
      <c r="C13" s="116"/>
      <c r="D13" s="109" t="s">
        <v>293</v>
      </c>
      <c r="E13" s="115">
        <f>G9</f>
        <v>244.2</v>
      </c>
      <c r="F13" s="115">
        <v>2</v>
      </c>
      <c r="G13" s="117">
        <f>E13*F13/100</f>
        <v>4.88</v>
      </c>
    </row>
    <row r="14" ht="19.15" customHeight="1" spans="1:7">
      <c r="A14" s="106" t="s">
        <v>133</v>
      </c>
      <c r="B14" s="116" t="s">
        <v>294</v>
      </c>
      <c r="C14" s="116"/>
      <c r="D14" s="109"/>
      <c r="E14" s="717">
        <f>G8</f>
        <v>249.08</v>
      </c>
      <c r="F14" s="120">
        <f>费率!C4</f>
        <v>0.048</v>
      </c>
      <c r="G14" s="117">
        <f>E14*F14</f>
        <v>11.96</v>
      </c>
    </row>
    <row r="15" ht="19.15" customHeight="1" spans="1:7">
      <c r="A15" s="106" t="s">
        <v>14</v>
      </c>
      <c r="B15" s="116" t="s">
        <v>295</v>
      </c>
      <c r="C15" s="116"/>
      <c r="D15" s="109"/>
      <c r="E15" s="115">
        <f>G7</f>
        <v>261.04</v>
      </c>
      <c r="F15" s="122">
        <f>费率!C5</f>
        <v>0.04</v>
      </c>
      <c r="G15" s="117">
        <f>E15*F15</f>
        <v>10.44</v>
      </c>
    </row>
    <row r="16" ht="19.15" customHeight="1" spans="1:7">
      <c r="A16" s="106" t="s">
        <v>16</v>
      </c>
      <c r="B16" s="116" t="s">
        <v>296</v>
      </c>
      <c r="C16" s="116"/>
      <c r="D16" s="109"/>
      <c r="E16" s="115">
        <f>G7+G15</f>
        <v>271.48</v>
      </c>
      <c r="F16" s="122">
        <f>费率!C6</f>
        <v>0.05</v>
      </c>
      <c r="G16" s="117">
        <f>E16*F16</f>
        <v>13.57</v>
      </c>
    </row>
    <row r="17" ht="19.15" customHeight="1" spans="1:7">
      <c r="A17" s="106" t="s">
        <v>18</v>
      </c>
      <c r="B17" s="116" t="s">
        <v>297</v>
      </c>
      <c r="C17" s="116"/>
      <c r="D17" s="109"/>
      <c r="E17" s="115">
        <f>G7+G15++G16</f>
        <v>285.05</v>
      </c>
      <c r="F17" s="122">
        <f>费率!C7</f>
        <v>0.09</v>
      </c>
      <c r="G17" s="117">
        <f>E17*F17</f>
        <v>25.65</v>
      </c>
    </row>
    <row r="18" ht="19.15" customHeight="1" spans="1:7">
      <c r="A18" s="106"/>
      <c r="B18" s="116" t="s">
        <v>298</v>
      </c>
      <c r="C18" s="116"/>
      <c r="D18" s="109"/>
      <c r="E18" s="115">
        <f>G7+G15+G16+G17</f>
        <v>310.7</v>
      </c>
      <c r="F18" s="122">
        <v>0.03</v>
      </c>
      <c r="G18" s="117">
        <f>E18*F18</f>
        <v>9.32</v>
      </c>
    </row>
    <row r="19" ht="19.15" customHeight="1" spans="1:7">
      <c r="A19" s="123"/>
      <c r="B19" s="124" t="s">
        <v>121</v>
      </c>
      <c r="C19" s="124"/>
      <c r="D19" s="124"/>
      <c r="E19" s="125"/>
      <c r="F19" s="124"/>
      <c r="G19" s="126">
        <f>G7+G15+G16+G17+G18</f>
        <v>320.02</v>
      </c>
    </row>
    <row r="20" ht="18" customHeight="1" spans="1:7">
      <c r="A20" s="138"/>
      <c r="B20" s="138"/>
      <c r="C20" s="215"/>
      <c r="D20" s="138"/>
      <c r="E20" s="139"/>
      <c r="F20" s="138"/>
      <c r="G20" s="139"/>
    </row>
    <row r="21" ht="19.15" customHeight="1" spans="1:7">
      <c r="A21" s="725" t="s">
        <v>274</v>
      </c>
      <c r="B21" s="725"/>
      <c r="C21" s="725"/>
      <c r="D21" s="725"/>
      <c r="E21" s="725"/>
      <c r="F21" s="725"/>
      <c r="G21" s="725"/>
    </row>
    <row r="22" ht="19.15" customHeight="1" spans="1:7">
      <c r="A22" s="102" t="s">
        <v>275</v>
      </c>
      <c r="B22" s="103"/>
      <c r="C22" s="103" t="s">
        <v>41</v>
      </c>
      <c r="D22" s="103" t="s">
        <v>276</v>
      </c>
      <c r="E22" s="104" t="s">
        <v>299</v>
      </c>
      <c r="F22" s="104"/>
      <c r="G22" s="105"/>
    </row>
    <row r="23" ht="19.15" customHeight="1" spans="1:7">
      <c r="A23" s="106" t="s">
        <v>278</v>
      </c>
      <c r="B23" s="107"/>
      <c r="C23" s="108" t="s">
        <v>300</v>
      </c>
      <c r="D23" s="108"/>
      <c r="E23" s="108"/>
      <c r="F23" s="109" t="s">
        <v>280</v>
      </c>
      <c r="G23" s="110" t="s">
        <v>281</v>
      </c>
    </row>
    <row r="24" ht="19.15" customHeight="1" spans="1:7">
      <c r="A24" s="111" t="s">
        <v>301</v>
      </c>
      <c r="B24" s="108"/>
      <c r="C24" s="108"/>
      <c r="D24" s="108"/>
      <c r="E24" s="108"/>
      <c r="F24" s="108"/>
      <c r="G24" s="112"/>
    </row>
    <row r="25" ht="19.15" customHeight="1" spans="1:7">
      <c r="A25" s="113" t="s">
        <v>302</v>
      </c>
      <c r="B25" s="114"/>
      <c r="C25" s="54"/>
      <c r="D25" s="54"/>
      <c r="E25" s="54"/>
      <c r="F25" s="54"/>
      <c r="G25" s="55"/>
    </row>
    <row r="26" ht="19.15" customHeight="1" spans="1:7">
      <c r="A26" s="106" t="s">
        <v>284</v>
      </c>
      <c r="B26" s="109" t="s">
        <v>233</v>
      </c>
      <c r="C26" s="109"/>
      <c r="D26" s="109" t="s">
        <v>88</v>
      </c>
      <c r="E26" s="115" t="s">
        <v>130</v>
      </c>
      <c r="F26" s="109" t="s">
        <v>285</v>
      </c>
      <c r="G26" s="110" t="s">
        <v>286</v>
      </c>
    </row>
    <row r="27" ht="19.15" customHeight="1" spans="1:7">
      <c r="A27" s="106" t="s">
        <v>9</v>
      </c>
      <c r="B27" s="116" t="s">
        <v>287</v>
      </c>
      <c r="C27" s="116"/>
      <c r="D27" s="109"/>
      <c r="E27" s="115"/>
      <c r="F27" s="115"/>
      <c r="G27" s="117">
        <f>G28+G34</f>
        <v>705.17</v>
      </c>
    </row>
    <row r="28" ht="19.15" customHeight="1" spans="1:7">
      <c r="A28" s="106" t="s">
        <v>132</v>
      </c>
      <c r="B28" s="116" t="s">
        <v>288</v>
      </c>
      <c r="C28" s="116"/>
      <c r="D28" s="109"/>
      <c r="E28" s="115"/>
      <c r="F28" s="115"/>
      <c r="G28" s="117">
        <f>G29+G32</f>
        <v>672.87</v>
      </c>
    </row>
    <row r="29" ht="19.15" customHeight="1" spans="1:7">
      <c r="A29" s="106" t="s">
        <v>39</v>
      </c>
      <c r="B29" s="116" t="s">
        <v>247</v>
      </c>
      <c r="C29" s="116"/>
      <c r="D29" s="109"/>
      <c r="E29" s="115"/>
      <c r="F29" s="115"/>
      <c r="G29" s="117">
        <f>SUM(G30:G31)</f>
        <v>659.68</v>
      </c>
    </row>
    <row r="30" ht="19.15" customHeight="1" spans="1:7">
      <c r="A30" s="106"/>
      <c r="B30" s="116" t="s">
        <v>289</v>
      </c>
      <c r="C30" s="116"/>
      <c r="D30" s="109" t="s">
        <v>290</v>
      </c>
      <c r="E30" s="115">
        <v>2.3</v>
      </c>
      <c r="F30" s="115">
        <f>主材!D21</f>
        <v>8.1</v>
      </c>
      <c r="G30" s="117">
        <f>E30*F30</f>
        <v>18.63</v>
      </c>
    </row>
    <row r="31" ht="19.15" customHeight="1" spans="1:7">
      <c r="A31" s="106"/>
      <c r="B31" s="116" t="s">
        <v>291</v>
      </c>
      <c r="C31" s="116"/>
      <c r="D31" s="109" t="s">
        <v>290</v>
      </c>
      <c r="E31" s="115">
        <v>111.1</v>
      </c>
      <c r="F31" s="115">
        <f>主材!D22</f>
        <v>5.77</v>
      </c>
      <c r="G31" s="117">
        <f>E31*F31</f>
        <v>641.05</v>
      </c>
    </row>
    <row r="32" ht="19.15" customHeight="1" spans="1:7">
      <c r="A32" s="106" t="s">
        <v>41</v>
      </c>
      <c r="B32" s="116" t="s">
        <v>248</v>
      </c>
      <c r="C32" s="116"/>
      <c r="D32" s="109"/>
      <c r="E32" s="115"/>
      <c r="F32" s="115"/>
      <c r="G32" s="117">
        <f>G33</f>
        <v>13.19</v>
      </c>
    </row>
    <row r="33" ht="19.15" customHeight="1" spans="1:7">
      <c r="A33" s="106"/>
      <c r="B33" s="116" t="s">
        <v>292</v>
      </c>
      <c r="C33" s="116"/>
      <c r="D33" s="109" t="s">
        <v>293</v>
      </c>
      <c r="E33" s="115">
        <f>G29</f>
        <v>659.68</v>
      </c>
      <c r="F33" s="115">
        <v>2</v>
      </c>
      <c r="G33" s="117">
        <f>E33*F33/100</f>
        <v>13.19</v>
      </c>
    </row>
    <row r="34" ht="19.15" customHeight="1" spans="1:7">
      <c r="A34" s="106" t="s">
        <v>133</v>
      </c>
      <c r="B34" s="116" t="s">
        <v>294</v>
      </c>
      <c r="C34" s="116"/>
      <c r="D34" s="109"/>
      <c r="E34" s="717">
        <f>G28</f>
        <v>672.87</v>
      </c>
      <c r="F34" s="120">
        <f>费率!C4</f>
        <v>0.048</v>
      </c>
      <c r="G34" s="117">
        <f>E34*F34</f>
        <v>32.3</v>
      </c>
    </row>
    <row r="35" ht="19.15" customHeight="1" spans="1:7">
      <c r="A35" s="106" t="s">
        <v>14</v>
      </c>
      <c r="B35" s="116" t="s">
        <v>295</v>
      </c>
      <c r="C35" s="116"/>
      <c r="D35" s="109"/>
      <c r="E35" s="115">
        <f>G27</f>
        <v>705.17</v>
      </c>
      <c r="F35" s="122">
        <f>费率!C5</f>
        <v>0.04</v>
      </c>
      <c r="G35" s="117">
        <f>E35*F35</f>
        <v>28.21</v>
      </c>
    </row>
    <row r="36" ht="19.15" customHeight="1" spans="1:7">
      <c r="A36" s="106" t="s">
        <v>16</v>
      </c>
      <c r="B36" s="116" t="s">
        <v>296</v>
      </c>
      <c r="C36" s="116"/>
      <c r="D36" s="109"/>
      <c r="E36" s="115">
        <f>G27+G35</f>
        <v>733.38</v>
      </c>
      <c r="F36" s="122">
        <f>费率!C6</f>
        <v>0.05</v>
      </c>
      <c r="G36" s="117">
        <f>E36*F36</f>
        <v>36.67</v>
      </c>
    </row>
    <row r="37" ht="19.15" customHeight="1" spans="1:7">
      <c r="A37" s="106" t="s">
        <v>18</v>
      </c>
      <c r="B37" s="116" t="s">
        <v>297</v>
      </c>
      <c r="C37" s="116"/>
      <c r="D37" s="109"/>
      <c r="E37" s="115">
        <f>G27+G35++G36</f>
        <v>770.05</v>
      </c>
      <c r="F37" s="122">
        <f>费率!C7</f>
        <v>0.09</v>
      </c>
      <c r="G37" s="117">
        <f>E37*F37</f>
        <v>69.3</v>
      </c>
    </row>
    <row r="38" ht="19.15" customHeight="1" spans="1:7">
      <c r="A38" s="106"/>
      <c r="B38" s="116" t="s">
        <v>298</v>
      </c>
      <c r="C38" s="116"/>
      <c r="D38" s="109"/>
      <c r="E38" s="115">
        <f>G27+G35+G36+G37</f>
        <v>839.35</v>
      </c>
      <c r="F38" s="122">
        <v>0.03</v>
      </c>
      <c r="G38" s="117">
        <f>E38*F38</f>
        <v>25.18</v>
      </c>
    </row>
    <row r="39" ht="19.15" customHeight="1" spans="1:7">
      <c r="A39" s="123"/>
      <c r="B39" s="124" t="s">
        <v>121</v>
      </c>
      <c r="C39" s="124"/>
      <c r="D39" s="124"/>
      <c r="E39" s="125"/>
      <c r="F39" s="124"/>
      <c r="G39" s="126">
        <f>G27+G35+G36+G37+G38</f>
        <v>864.53</v>
      </c>
    </row>
    <row r="40" customHeight="1" spans="1:7">
      <c r="A40" s="138"/>
      <c r="B40" s="138"/>
      <c r="C40" s="215"/>
      <c r="D40" s="138"/>
      <c r="E40" s="139"/>
      <c r="F40" s="138"/>
      <c r="G40" s="139"/>
    </row>
    <row r="41" customHeight="1" spans="1:7">
      <c r="A41" s="725" t="s">
        <v>274</v>
      </c>
      <c r="B41" s="725"/>
      <c r="C41" s="725"/>
      <c r="D41" s="725"/>
      <c r="E41" s="725"/>
      <c r="F41" s="725"/>
      <c r="G41" s="725"/>
    </row>
    <row r="42" customHeight="1" spans="1:7">
      <c r="A42" s="102" t="s">
        <v>275</v>
      </c>
      <c r="B42" s="103"/>
      <c r="C42" s="103" t="s">
        <v>46</v>
      </c>
      <c r="D42" s="103" t="s">
        <v>276</v>
      </c>
      <c r="E42" s="709" t="s">
        <v>303</v>
      </c>
      <c r="F42" s="710"/>
      <c r="G42" s="711"/>
    </row>
    <row r="43" customHeight="1" spans="1:7">
      <c r="A43" s="106" t="s">
        <v>278</v>
      </c>
      <c r="B43" s="107"/>
      <c r="C43" s="108" t="s">
        <v>300</v>
      </c>
      <c r="D43" s="108"/>
      <c r="E43" s="108"/>
      <c r="F43" s="109" t="s">
        <v>280</v>
      </c>
      <c r="G43" s="110" t="s">
        <v>281</v>
      </c>
    </row>
    <row r="44" customHeight="1" spans="1:7">
      <c r="A44" s="712" t="s">
        <v>304</v>
      </c>
      <c r="B44" s="713"/>
      <c r="C44" s="713"/>
      <c r="D44" s="713"/>
      <c r="E44" s="713"/>
      <c r="F44" s="713"/>
      <c r="G44" s="714"/>
    </row>
    <row r="45" customHeight="1" spans="1:7">
      <c r="A45" s="113" t="s">
        <v>302</v>
      </c>
      <c r="B45" s="114"/>
      <c r="C45" s="54"/>
      <c r="D45" s="54"/>
      <c r="E45" s="54"/>
      <c r="F45" s="54"/>
      <c r="G45" s="55"/>
    </row>
    <row r="46" customHeight="1" spans="1:7">
      <c r="A46" s="106" t="s">
        <v>284</v>
      </c>
      <c r="B46" s="109" t="s">
        <v>233</v>
      </c>
      <c r="C46" s="109"/>
      <c r="D46" s="109" t="s">
        <v>88</v>
      </c>
      <c r="E46" s="115" t="s">
        <v>130</v>
      </c>
      <c r="F46" s="109" t="s">
        <v>285</v>
      </c>
      <c r="G46" s="110" t="s">
        <v>286</v>
      </c>
    </row>
    <row r="47" customHeight="1" spans="1:7">
      <c r="A47" s="106" t="s">
        <v>9</v>
      </c>
      <c r="B47" s="715" t="s">
        <v>287</v>
      </c>
      <c r="C47" s="716"/>
      <c r="D47" s="109"/>
      <c r="E47" s="115"/>
      <c r="F47" s="115"/>
      <c r="G47" s="117">
        <f>G48+G54</f>
        <v>1221.71</v>
      </c>
    </row>
    <row r="48" customHeight="1" spans="1:7">
      <c r="A48" s="106" t="s">
        <v>132</v>
      </c>
      <c r="B48" s="715" t="s">
        <v>288</v>
      </c>
      <c r="C48" s="716"/>
      <c r="D48" s="109"/>
      <c r="E48" s="115"/>
      <c r="F48" s="115"/>
      <c r="G48" s="117">
        <f>G49+G52</f>
        <v>1165.75</v>
      </c>
    </row>
    <row r="49" customHeight="1" spans="1:7">
      <c r="A49" s="106" t="s">
        <v>39</v>
      </c>
      <c r="B49" s="715" t="s">
        <v>247</v>
      </c>
      <c r="C49" s="716"/>
      <c r="D49" s="109"/>
      <c r="E49" s="115"/>
      <c r="F49" s="115"/>
      <c r="G49" s="117">
        <f>SUM(G50:G51)</f>
        <v>1142.89</v>
      </c>
    </row>
    <row r="50" customHeight="1" spans="1:7">
      <c r="A50" s="106"/>
      <c r="B50" s="715" t="s">
        <v>289</v>
      </c>
      <c r="C50" s="716"/>
      <c r="D50" s="109" t="s">
        <v>290</v>
      </c>
      <c r="E50" s="115">
        <v>3.9</v>
      </c>
      <c r="F50" s="115">
        <f>主材!D21</f>
        <v>8.1</v>
      </c>
      <c r="G50" s="117">
        <f>E50*F50</f>
        <v>31.59</v>
      </c>
    </row>
    <row r="51" customHeight="1" spans="1:7">
      <c r="A51" s="106"/>
      <c r="B51" s="715" t="s">
        <v>291</v>
      </c>
      <c r="C51" s="716"/>
      <c r="D51" s="109" t="s">
        <v>290</v>
      </c>
      <c r="E51" s="115">
        <v>192.6</v>
      </c>
      <c r="F51" s="115">
        <f>主材!D22</f>
        <v>5.77</v>
      </c>
      <c r="G51" s="117">
        <f>E51*F51</f>
        <v>1111.3</v>
      </c>
    </row>
    <row r="52" customHeight="1" spans="1:7">
      <c r="A52" s="106" t="s">
        <v>41</v>
      </c>
      <c r="B52" s="715" t="s">
        <v>248</v>
      </c>
      <c r="C52" s="716"/>
      <c r="D52" s="109"/>
      <c r="E52" s="115"/>
      <c r="F52" s="115"/>
      <c r="G52" s="117">
        <f>G53</f>
        <v>22.86</v>
      </c>
    </row>
    <row r="53" customHeight="1" spans="1:7">
      <c r="A53" s="106"/>
      <c r="B53" s="715" t="s">
        <v>292</v>
      </c>
      <c r="C53" s="716"/>
      <c r="D53" s="109" t="s">
        <v>293</v>
      </c>
      <c r="E53" s="115">
        <f>G49</f>
        <v>1142.89</v>
      </c>
      <c r="F53" s="115">
        <v>2</v>
      </c>
      <c r="G53" s="117">
        <f>E53*F53/100</f>
        <v>22.86</v>
      </c>
    </row>
    <row r="54" customHeight="1" spans="1:7">
      <c r="A54" s="106" t="s">
        <v>133</v>
      </c>
      <c r="B54" s="715" t="s">
        <v>294</v>
      </c>
      <c r="C54" s="716"/>
      <c r="D54" s="109"/>
      <c r="E54" s="717">
        <f>G48</f>
        <v>1165.75</v>
      </c>
      <c r="F54" s="120">
        <f>费率!C4</f>
        <v>0.048</v>
      </c>
      <c r="G54" s="117">
        <f>E54*F54</f>
        <v>55.96</v>
      </c>
    </row>
    <row r="55" customHeight="1" spans="1:7">
      <c r="A55" s="106" t="s">
        <v>14</v>
      </c>
      <c r="B55" s="715" t="s">
        <v>295</v>
      </c>
      <c r="C55" s="716"/>
      <c r="D55" s="109"/>
      <c r="E55" s="115">
        <f>G47</f>
        <v>1221.71</v>
      </c>
      <c r="F55" s="122">
        <f>费率!C5</f>
        <v>0.04</v>
      </c>
      <c r="G55" s="117">
        <f>E55*F55</f>
        <v>48.87</v>
      </c>
    </row>
    <row r="56" customHeight="1" spans="1:7">
      <c r="A56" s="106" t="s">
        <v>16</v>
      </c>
      <c r="B56" s="715" t="s">
        <v>296</v>
      </c>
      <c r="C56" s="716"/>
      <c r="D56" s="109"/>
      <c r="E56" s="115">
        <f>G47+G55</f>
        <v>1270.58</v>
      </c>
      <c r="F56" s="122">
        <f>费率!C6</f>
        <v>0.05</v>
      </c>
      <c r="G56" s="117">
        <f>E56*F56</f>
        <v>63.53</v>
      </c>
    </row>
    <row r="57" customHeight="1" spans="1:7">
      <c r="A57" s="106" t="s">
        <v>18</v>
      </c>
      <c r="B57" s="715" t="s">
        <v>297</v>
      </c>
      <c r="C57" s="716"/>
      <c r="D57" s="109"/>
      <c r="E57" s="115">
        <f>G47+G55++G56</f>
        <v>1334.11</v>
      </c>
      <c r="F57" s="122">
        <f>费率!C7</f>
        <v>0.09</v>
      </c>
      <c r="G57" s="117">
        <f>E57*F57</f>
        <v>120.07</v>
      </c>
    </row>
    <row r="58" customHeight="1" spans="1:7">
      <c r="A58" s="106"/>
      <c r="B58" s="715" t="s">
        <v>298</v>
      </c>
      <c r="C58" s="716"/>
      <c r="D58" s="109"/>
      <c r="E58" s="115">
        <f>G47+G55+G56+G57</f>
        <v>1454.18</v>
      </c>
      <c r="F58" s="122">
        <v>0.03</v>
      </c>
      <c r="G58" s="117">
        <f>E58*F58</f>
        <v>43.63</v>
      </c>
    </row>
    <row r="59" customHeight="1" spans="1:7">
      <c r="A59" s="123"/>
      <c r="B59" s="718" t="s">
        <v>121</v>
      </c>
      <c r="C59" s="719"/>
      <c r="D59" s="124"/>
      <c r="E59" s="125"/>
      <c r="F59" s="124"/>
      <c r="G59" s="126">
        <f>G47+G55+G56+G57+G58</f>
        <v>1497.81</v>
      </c>
    </row>
    <row r="60" customHeight="1" spans="1:7">
      <c r="A60" s="726"/>
      <c r="B60" s="726"/>
      <c r="C60" s="727"/>
      <c r="D60" s="726"/>
      <c r="E60" s="728"/>
      <c r="F60" s="726"/>
      <c r="G60" s="728"/>
    </row>
    <row r="61" customHeight="1" spans="1:7">
      <c r="A61" s="729" t="s">
        <v>274</v>
      </c>
      <c r="B61" s="729"/>
      <c r="C61" s="729"/>
      <c r="D61" s="729"/>
      <c r="E61" s="729"/>
      <c r="F61" s="729"/>
      <c r="G61" s="729"/>
    </row>
    <row r="62" ht="24.95" customHeight="1" spans="1:7">
      <c r="A62" s="102" t="s">
        <v>275</v>
      </c>
      <c r="B62" s="103"/>
      <c r="C62" s="103" t="s">
        <v>305</v>
      </c>
      <c r="D62" s="103" t="s">
        <v>276</v>
      </c>
      <c r="E62" s="709" t="s">
        <v>306</v>
      </c>
      <c r="F62" s="710"/>
      <c r="G62" s="711"/>
    </row>
    <row r="63" ht="24.95" customHeight="1" spans="1:7">
      <c r="A63" s="106" t="s">
        <v>278</v>
      </c>
      <c r="B63" s="107"/>
      <c r="C63" s="108" t="s">
        <v>307</v>
      </c>
      <c r="D63" s="108"/>
      <c r="E63" s="108"/>
      <c r="F63" s="109" t="s">
        <v>280</v>
      </c>
      <c r="G63" s="110" t="s">
        <v>281</v>
      </c>
    </row>
    <row r="64" ht="24.95" customHeight="1" spans="1:7">
      <c r="A64" s="712" t="s">
        <v>308</v>
      </c>
      <c r="B64" s="713"/>
      <c r="C64" s="713"/>
      <c r="D64" s="713"/>
      <c r="E64" s="713"/>
      <c r="F64" s="713"/>
      <c r="G64" s="714"/>
    </row>
    <row r="65" ht="24.95" customHeight="1" spans="1:7">
      <c r="A65" s="113" t="s">
        <v>309</v>
      </c>
      <c r="B65" s="114"/>
      <c r="C65" s="54"/>
      <c r="D65" s="54"/>
      <c r="E65" s="54"/>
      <c r="F65" s="54"/>
      <c r="G65" s="55"/>
    </row>
    <row r="66" ht="24.95" customHeight="1" spans="1:7">
      <c r="A66" s="106" t="s">
        <v>284</v>
      </c>
      <c r="B66" s="109" t="s">
        <v>233</v>
      </c>
      <c r="C66" s="109"/>
      <c r="D66" s="109" t="s">
        <v>88</v>
      </c>
      <c r="E66" s="115" t="s">
        <v>130</v>
      </c>
      <c r="F66" s="109" t="s">
        <v>285</v>
      </c>
      <c r="G66" s="110" t="s">
        <v>286</v>
      </c>
    </row>
    <row r="67" ht="24.95" customHeight="1" spans="1:7">
      <c r="A67" s="106" t="s">
        <v>9</v>
      </c>
      <c r="B67" s="715" t="s">
        <v>287</v>
      </c>
      <c r="C67" s="716"/>
      <c r="D67" s="109"/>
      <c r="E67" s="115"/>
      <c r="F67" s="115"/>
      <c r="G67" s="117">
        <f>G68+G74</f>
        <v>1880.12</v>
      </c>
    </row>
    <row r="68" ht="24.95" customHeight="1" spans="1:7">
      <c r="A68" s="106" t="s">
        <v>132</v>
      </c>
      <c r="B68" s="715" t="s">
        <v>288</v>
      </c>
      <c r="C68" s="716"/>
      <c r="D68" s="109"/>
      <c r="E68" s="115"/>
      <c r="F68" s="115"/>
      <c r="G68" s="117">
        <f>G69+G72</f>
        <v>1794.01</v>
      </c>
    </row>
    <row r="69" ht="24.95" customHeight="1" spans="1:7">
      <c r="A69" s="106" t="s">
        <v>39</v>
      </c>
      <c r="B69" s="715" t="s">
        <v>247</v>
      </c>
      <c r="C69" s="716"/>
      <c r="D69" s="109"/>
      <c r="E69" s="115"/>
      <c r="F69" s="115"/>
      <c r="G69" s="117">
        <f>SUM(G70:G71)</f>
        <v>1758.83</v>
      </c>
    </row>
    <row r="70" ht="24.95" customHeight="1" spans="1:7">
      <c r="A70" s="106"/>
      <c r="B70" s="715" t="s">
        <v>289</v>
      </c>
      <c r="C70" s="716"/>
      <c r="D70" s="109" t="s">
        <v>290</v>
      </c>
      <c r="E70" s="115">
        <v>6</v>
      </c>
      <c r="F70" s="115">
        <f>主材!D21</f>
        <v>8.1</v>
      </c>
      <c r="G70" s="117">
        <f>E70*F70</f>
        <v>48.6</v>
      </c>
    </row>
    <row r="71" ht="24.95" customHeight="1" spans="1:7">
      <c r="A71" s="106"/>
      <c r="B71" s="715" t="s">
        <v>291</v>
      </c>
      <c r="C71" s="716"/>
      <c r="D71" s="109" t="s">
        <v>290</v>
      </c>
      <c r="E71" s="115">
        <v>296.4</v>
      </c>
      <c r="F71" s="115">
        <f>主材!D22</f>
        <v>5.77</v>
      </c>
      <c r="G71" s="117">
        <f>E71*F71</f>
        <v>1710.23</v>
      </c>
    </row>
    <row r="72" ht="24.95" customHeight="1" spans="1:7">
      <c r="A72" s="106" t="s">
        <v>41</v>
      </c>
      <c r="B72" s="715" t="s">
        <v>248</v>
      </c>
      <c r="C72" s="716"/>
      <c r="D72" s="109"/>
      <c r="E72" s="115"/>
      <c r="F72" s="115"/>
      <c r="G72" s="117">
        <f>G73</f>
        <v>35.18</v>
      </c>
    </row>
    <row r="73" ht="24.95" customHeight="1" spans="1:7">
      <c r="A73" s="106"/>
      <c r="B73" s="715" t="s">
        <v>292</v>
      </c>
      <c r="C73" s="716"/>
      <c r="D73" s="109" t="s">
        <v>293</v>
      </c>
      <c r="E73" s="115">
        <f>G69</f>
        <v>1758.83</v>
      </c>
      <c r="F73" s="115">
        <v>2</v>
      </c>
      <c r="G73" s="117">
        <f>E73*F73/100</f>
        <v>35.18</v>
      </c>
    </row>
    <row r="74" ht="24.95" customHeight="1" spans="1:7">
      <c r="A74" s="106" t="s">
        <v>133</v>
      </c>
      <c r="B74" s="715" t="s">
        <v>294</v>
      </c>
      <c r="C74" s="716"/>
      <c r="D74" s="109"/>
      <c r="E74" s="717">
        <f>G68</f>
        <v>1794.01</v>
      </c>
      <c r="F74" s="120">
        <f>费率!C4</f>
        <v>0.048</v>
      </c>
      <c r="G74" s="117">
        <f>E74*F74</f>
        <v>86.11</v>
      </c>
    </row>
    <row r="75" ht="24.95" customHeight="1" spans="1:7">
      <c r="A75" s="106" t="s">
        <v>14</v>
      </c>
      <c r="B75" s="715" t="s">
        <v>295</v>
      </c>
      <c r="C75" s="716"/>
      <c r="D75" s="109"/>
      <c r="E75" s="115">
        <f>G67</f>
        <v>1880.12</v>
      </c>
      <c r="F75" s="122">
        <f>费率!C5</f>
        <v>0.04</v>
      </c>
      <c r="G75" s="117">
        <f>E75*F75</f>
        <v>75.2</v>
      </c>
    </row>
    <row r="76" ht="24.95" customHeight="1" spans="1:7">
      <c r="A76" s="106" t="s">
        <v>16</v>
      </c>
      <c r="B76" s="715" t="s">
        <v>296</v>
      </c>
      <c r="C76" s="716"/>
      <c r="D76" s="109"/>
      <c r="E76" s="115">
        <f>G67+G75</f>
        <v>1955.32</v>
      </c>
      <c r="F76" s="122">
        <f>费率!C6</f>
        <v>0.05</v>
      </c>
      <c r="G76" s="117">
        <f>E76*F76</f>
        <v>97.77</v>
      </c>
    </row>
    <row r="77" ht="24.95" customHeight="1" spans="1:7">
      <c r="A77" s="106" t="s">
        <v>18</v>
      </c>
      <c r="B77" s="715" t="s">
        <v>297</v>
      </c>
      <c r="C77" s="716"/>
      <c r="D77" s="109"/>
      <c r="E77" s="115">
        <f>G67+G75++G76</f>
        <v>2053.09</v>
      </c>
      <c r="F77" s="122">
        <f>费率!C7</f>
        <v>0.09</v>
      </c>
      <c r="G77" s="117">
        <f>E77*F77</f>
        <v>184.78</v>
      </c>
    </row>
    <row r="78" ht="24.95" customHeight="1" spans="1:7">
      <c r="A78" s="106"/>
      <c r="B78" s="715" t="s">
        <v>298</v>
      </c>
      <c r="C78" s="716"/>
      <c r="D78" s="109"/>
      <c r="E78" s="115">
        <f>G67+G75+G76+G77</f>
        <v>2237.87</v>
      </c>
      <c r="F78" s="122">
        <v>0.03</v>
      </c>
      <c r="G78" s="117">
        <f>E78*F78</f>
        <v>67.14</v>
      </c>
    </row>
    <row r="79" ht="24.95" customHeight="1" spans="1:7">
      <c r="A79" s="123"/>
      <c r="B79" s="718" t="s">
        <v>121</v>
      </c>
      <c r="C79" s="719"/>
      <c r="D79" s="124"/>
      <c r="E79" s="125"/>
      <c r="F79" s="124"/>
      <c r="G79" s="126">
        <f>G67+G75+G76+G77+G78</f>
        <v>2305.01</v>
      </c>
    </row>
    <row r="80" ht="15" customHeight="1"/>
    <row r="81" customHeight="1" spans="1:7">
      <c r="A81" s="725" t="s">
        <v>274</v>
      </c>
      <c r="B81" s="725"/>
      <c r="C81" s="725"/>
      <c r="D81" s="725"/>
      <c r="E81" s="725"/>
      <c r="F81" s="725"/>
      <c r="G81" s="725"/>
    </row>
    <row r="82" ht="16.15" customHeight="1" spans="1:7">
      <c r="A82" s="102" t="s">
        <v>275</v>
      </c>
      <c r="B82" s="103"/>
      <c r="C82" s="103" t="s">
        <v>46</v>
      </c>
      <c r="D82" s="103" t="s">
        <v>276</v>
      </c>
      <c r="E82" s="104" t="s">
        <v>310</v>
      </c>
      <c r="F82" s="104"/>
      <c r="G82" s="105"/>
    </row>
    <row r="83" ht="16.15" customHeight="1" spans="1:7">
      <c r="A83" s="106" t="s">
        <v>278</v>
      </c>
      <c r="B83" s="107"/>
      <c r="C83" s="108" t="s">
        <v>311</v>
      </c>
      <c r="D83" s="108"/>
      <c r="E83" s="108"/>
      <c r="F83" s="109" t="s">
        <v>280</v>
      </c>
      <c r="G83" s="110" t="s">
        <v>281</v>
      </c>
    </row>
    <row r="84" ht="16.15" customHeight="1" spans="1:7">
      <c r="A84" s="111" t="s">
        <v>312</v>
      </c>
      <c r="B84" s="108"/>
      <c r="C84" s="108"/>
      <c r="D84" s="108"/>
      <c r="E84" s="108"/>
      <c r="F84" s="108"/>
      <c r="G84" s="112"/>
    </row>
    <row r="85" ht="16.15" customHeight="1" spans="1:7">
      <c r="A85" s="113" t="s">
        <v>313</v>
      </c>
      <c r="B85" s="114"/>
      <c r="C85" s="54"/>
      <c r="D85" s="54"/>
      <c r="E85" s="54"/>
      <c r="F85" s="54"/>
      <c r="G85" s="55"/>
    </row>
    <row r="86" ht="16.15" customHeight="1" spans="1:7">
      <c r="A86" s="106" t="s">
        <v>284</v>
      </c>
      <c r="B86" s="109" t="s">
        <v>233</v>
      </c>
      <c r="C86" s="109"/>
      <c r="D86" s="109" t="s">
        <v>88</v>
      </c>
      <c r="E86" s="115" t="s">
        <v>130</v>
      </c>
      <c r="F86" s="109" t="s">
        <v>285</v>
      </c>
      <c r="G86" s="110" t="s">
        <v>286</v>
      </c>
    </row>
    <row r="87" ht="16.15" customHeight="1" spans="1:7">
      <c r="A87" s="106" t="s">
        <v>9</v>
      </c>
      <c r="B87" s="116" t="s">
        <v>287</v>
      </c>
      <c r="C87" s="116"/>
      <c r="D87" s="109"/>
      <c r="E87" s="115"/>
      <c r="F87" s="115"/>
      <c r="G87" s="117">
        <f>G88+G96</f>
        <v>170.79</v>
      </c>
    </row>
    <row r="88" ht="16.15" customHeight="1" spans="1:7">
      <c r="A88" s="106" t="s">
        <v>132</v>
      </c>
      <c r="B88" s="116" t="s">
        <v>288</v>
      </c>
      <c r="C88" s="116"/>
      <c r="D88" s="109"/>
      <c r="E88" s="115"/>
      <c r="F88" s="115"/>
      <c r="G88" s="117">
        <f>G89+G92+G94</f>
        <v>162.97</v>
      </c>
    </row>
    <row r="89" ht="16.15" customHeight="1" spans="1:7">
      <c r="A89" s="106" t="s">
        <v>39</v>
      </c>
      <c r="B89" s="116" t="s">
        <v>247</v>
      </c>
      <c r="C89" s="116"/>
      <c r="D89" s="109"/>
      <c r="E89" s="115"/>
      <c r="F89" s="115"/>
      <c r="G89" s="117">
        <f>SUM(G90:G91)</f>
        <v>23.66</v>
      </c>
    </row>
    <row r="90" ht="16.15" customHeight="1" spans="1:7">
      <c r="A90" s="106"/>
      <c r="B90" s="116" t="s">
        <v>289</v>
      </c>
      <c r="C90" s="116"/>
      <c r="D90" s="109" t="s">
        <v>290</v>
      </c>
      <c r="E90" s="115"/>
      <c r="F90" s="115"/>
      <c r="G90" s="117">
        <f>E90*F90</f>
        <v>0</v>
      </c>
    </row>
    <row r="91" ht="16.15" customHeight="1" spans="1:7">
      <c r="A91" s="106"/>
      <c r="B91" s="116" t="s">
        <v>291</v>
      </c>
      <c r="C91" s="116"/>
      <c r="D91" s="109" t="s">
        <v>290</v>
      </c>
      <c r="E91" s="115">
        <v>4.1</v>
      </c>
      <c r="F91" s="115">
        <f>主材!D22</f>
        <v>5.77</v>
      </c>
      <c r="G91" s="117">
        <f>E91*F91</f>
        <v>23.66</v>
      </c>
    </row>
    <row r="92" ht="16.15" customHeight="1" spans="1:7">
      <c r="A92" s="106" t="s">
        <v>41</v>
      </c>
      <c r="B92" s="116" t="s">
        <v>248</v>
      </c>
      <c r="C92" s="116"/>
      <c r="D92" s="109"/>
      <c r="E92" s="115"/>
      <c r="F92" s="115"/>
      <c r="G92" s="117">
        <f>G93</f>
        <v>7.76</v>
      </c>
    </row>
    <row r="93" ht="16.15" customHeight="1" spans="1:7">
      <c r="A93" s="106"/>
      <c r="B93" s="116" t="s">
        <v>292</v>
      </c>
      <c r="C93" s="116"/>
      <c r="D93" s="109" t="s">
        <v>293</v>
      </c>
      <c r="E93" s="115">
        <f>G89+G94</f>
        <v>155.21</v>
      </c>
      <c r="F93" s="115">
        <v>5</v>
      </c>
      <c r="G93" s="117">
        <f>E93*F93/100</f>
        <v>7.76</v>
      </c>
    </row>
    <row r="94" ht="16.15" customHeight="1" spans="1:7">
      <c r="A94" s="106" t="s">
        <v>46</v>
      </c>
      <c r="B94" s="116" t="s">
        <v>314</v>
      </c>
      <c r="C94" s="116"/>
      <c r="D94" s="116"/>
      <c r="E94" s="115"/>
      <c r="F94" s="115"/>
      <c r="G94" s="117">
        <f>G95</f>
        <v>131.55</v>
      </c>
    </row>
    <row r="95" ht="16.15" customHeight="1" spans="1:7">
      <c r="A95" s="106"/>
      <c r="B95" s="730" t="s">
        <v>315</v>
      </c>
      <c r="C95" s="730"/>
      <c r="D95" s="109" t="s">
        <v>316</v>
      </c>
      <c r="E95" s="115">
        <f>0.86*1.24</f>
        <v>1.07</v>
      </c>
      <c r="F95" s="115">
        <f>机械!E4</f>
        <v>122.94</v>
      </c>
      <c r="G95" s="117">
        <f>E95*F95</f>
        <v>131.55</v>
      </c>
    </row>
    <row r="96" ht="16.15" customHeight="1" spans="1:7">
      <c r="A96" s="106" t="s">
        <v>133</v>
      </c>
      <c r="B96" s="116" t="s">
        <v>294</v>
      </c>
      <c r="C96" s="116"/>
      <c r="D96" s="109"/>
      <c r="E96" s="717">
        <f>G88</f>
        <v>162.97</v>
      </c>
      <c r="F96" s="120">
        <f>费率!C4</f>
        <v>0.048</v>
      </c>
      <c r="G96" s="117">
        <f>E96*F96</f>
        <v>7.82</v>
      </c>
    </row>
    <row r="97" ht="16.15" customHeight="1" spans="1:7">
      <c r="A97" s="106" t="s">
        <v>14</v>
      </c>
      <c r="B97" s="116" t="s">
        <v>295</v>
      </c>
      <c r="C97" s="116"/>
      <c r="D97" s="109"/>
      <c r="E97" s="115">
        <f>G87</f>
        <v>170.79</v>
      </c>
      <c r="F97" s="120">
        <f>费率!C5</f>
        <v>0.04</v>
      </c>
      <c r="G97" s="117">
        <f>E97*F97</f>
        <v>6.83</v>
      </c>
    </row>
    <row r="98" ht="16.15" customHeight="1" spans="1:7">
      <c r="A98" s="106" t="s">
        <v>16</v>
      </c>
      <c r="B98" s="116" t="s">
        <v>296</v>
      </c>
      <c r="C98" s="116"/>
      <c r="D98" s="109"/>
      <c r="E98" s="115">
        <f>G87+G97</f>
        <v>177.62</v>
      </c>
      <c r="F98" s="120">
        <f>费率!C6</f>
        <v>0.05</v>
      </c>
      <c r="G98" s="117">
        <f>E98*F98</f>
        <v>8.88</v>
      </c>
    </row>
    <row r="99" ht="16.15" customHeight="1" spans="1:7">
      <c r="A99" s="106" t="s">
        <v>18</v>
      </c>
      <c r="B99" s="116" t="s">
        <v>254</v>
      </c>
      <c r="C99" s="116"/>
      <c r="D99" s="109"/>
      <c r="E99" s="115"/>
      <c r="F99" s="120"/>
      <c r="G99" s="117">
        <f>G100</f>
        <v>65.83</v>
      </c>
    </row>
    <row r="100" ht="16.15" customHeight="1" spans="1:7">
      <c r="A100" s="106" t="s">
        <v>39</v>
      </c>
      <c r="B100" s="116" t="s">
        <v>317</v>
      </c>
      <c r="C100" s="116"/>
      <c r="D100" s="109"/>
      <c r="E100" s="115">
        <f>E95*14.9</f>
        <v>15.94</v>
      </c>
      <c r="F100" s="115">
        <f>主材!N13</f>
        <v>4.13</v>
      </c>
      <c r="G100" s="117">
        <f>E100*F100</f>
        <v>65.83</v>
      </c>
    </row>
    <row r="101" ht="16.15" customHeight="1" spans="1:7">
      <c r="A101" s="106" t="s">
        <v>20</v>
      </c>
      <c r="B101" s="116" t="s">
        <v>297</v>
      </c>
      <c r="C101" s="116"/>
      <c r="D101" s="109"/>
      <c r="E101" s="115">
        <f>G87+G97+G98+G99</f>
        <v>252.33</v>
      </c>
      <c r="F101" s="122">
        <f>费率!C7</f>
        <v>0.09</v>
      </c>
      <c r="G101" s="117">
        <f>E101*F101</f>
        <v>22.71</v>
      </c>
    </row>
    <row r="102" ht="16.15" customHeight="1" spans="1:7">
      <c r="A102" s="106"/>
      <c r="B102" s="116" t="s">
        <v>298</v>
      </c>
      <c r="C102" s="116"/>
      <c r="D102" s="109"/>
      <c r="E102" s="115">
        <f>G87+G97+G98+G99+G101</f>
        <v>275.04</v>
      </c>
      <c r="F102" s="122">
        <v>0.03</v>
      </c>
      <c r="G102" s="117">
        <f>E102*F102</f>
        <v>8.25</v>
      </c>
    </row>
    <row r="103" ht="16.15" customHeight="1" spans="1:7">
      <c r="A103" s="123"/>
      <c r="B103" s="124" t="s">
        <v>121</v>
      </c>
      <c r="C103" s="124"/>
      <c r="D103" s="124"/>
      <c r="E103" s="125"/>
      <c r="F103" s="124"/>
      <c r="G103" s="126">
        <f>G87+G97+G98+G99+G101+G102</f>
        <v>283.29</v>
      </c>
    </row>
    <row r="104" hidden="1" customHeight="1"/>
    <row r="105" hidden="1" customHeight="1" spans="1:7">
      <c r="A105" s="725" t="s">
        <v>274</v>
      </c>
      <c r="B105" s="725"/>
      <c r="C105" s="725"/>
      <c r="D105" s="725"/>
      <c r="E105" s="725"/>
      <c r="F105" s="725"/>
      <c r="G105" s="725"/>
    </row>
    <row r="106" hidden="1" customHeight="1" spans="1:7">
      <c r="A106" s="102" t="s">
        <v>275</v>
      </c>
      <c r="B106" s="103"/>
      <c r="C106" s="103" t="s">
        <v>318</v>
      </c>
      <c r="D106" s="103" t="s">
        <v>276</v>
      </c>
      <c r="E106" s="104" t="s">
        <v>319</v>
      </c>
      <c r="F106" s="104"/>
      <c r="G106" s="105"/>
    </row>
    <row r="107" hidden="1" customHeight="1" spans="1:7">
      <c r="A107" s="106" t="s">
        <v>278</v>
      </c>
      <c r="B107" s="107"/>
      <c r="C107" s="108" t="s">
        <v>320</v>
      </c>
      <c r="D107" s="108"/>
      <c r="E107" s="108"/>
      <c r="F107" s="109" t="s">
        <v>280</v>
      </c>
      <c r="G107" s="110" t="s">
        <v>281</v>
      </c>
    </row>
    <row r="108" hidden="1" customHeight="1" spans="1:7">
      <c r="A108" s="111" t="s">
        <v>321</v>
      </c>
      <c r="B108" s="108"/>
      <c r="C108" s="108"/>
      <c r="D108" s="108"/>
      <c r="E108" s="108"/>
      <c r="F108" s="108"/>
      <c r="G108" s="112"/>
    </row>
    <row r="109" hidden="1" customHeight="1" spans="1:7">
      <c r="A109" s="113" t="s">
        <v>322</v>
      </c>
      <c r="B109" s="114"/>
      <c r="C109" s="54"/>
      <c r="D109" s="54"/>
      <c r="E109" s="54"/>
      <c r="F109" s="54"/>
      <c r="G109" s="55"/>
    </row>
    <row r="110" hidden="1" customHeight="1" spans="1:7">
      <c r="A110" s="106" t="s">
        <v>284</v>
      </c>
      <c r="B110" s="109" t="s">
        <v>233</v>
      </c>
      <c r="C110" s="109"/>
      <c r="D110" s="109" t="s">
        <v>88</v>
      </c>
      <c r="E110" s="115" t="s">
        <v>130</v>
      </c>
      <c r="F110" s="109" t="s">
        <v>285</v>
      </c>
      <c r="G110" s="110" t="s">
        <v>286</v>
      </c>
    </row>
    <row r="111" hidden="1" customHeight="1" spans="1:7">
      <c r="A111" s="106" t="s">
        <v>9</v>
      </c>
      <c r="B111" s="116" t="s">
        <v>287</v>
      </c>
      <c r="C111" s="116"/>
      <c r="D111" s="109"/>
      <c r="E111" s="115"/>
      <c r="F111" s="115"/>
      <c r="G111" s="117">
        <f>G112+G120</f>
        <v>384.45</v>
      </c>
    </row>
    <row r="112" hidden="1" customHeight="1" spans="1:7">
      <c r="A112" s="106" t="s">
        <v>132</v>
      </c>
      <c r="B112" s="116" t="s">
        <v>288</v>
      </c>
      <c r="C112" s="116"/>
      <c r="D112" s="109"/>
      <c r="E112" s="115"/>
      <c r="F112" s="115"/>
      <c r="G112" s="117">
        <f>G113+G116+G118</f>
        <v>366.84</v>
      </c>
    </row>
    <row r="113" hidden="1" customHeight="1" spans="1:7">
      <c r="A113" s="106" t="s">
        <v>39</v>
      </c>
      <c r="B113" s="116" t="s">
        <v>247</v>
      </c>
      <c r="C113" s="116"/>
      <c r="D113" s="109"/>
      <c r="E113" s="115"/>
      <c r="F113" s="115"/>
      <c r="G113" s="117">
        <f>SUM(G114:G115)</f>
        <v>24.81</v>
      </c>
    </row>
    <row r="114" hidden="1" customHeight="1" spans="1:7">
      <c r="A114" s="106"/>
      <c r="B114" s="116" t="s">
        <v>289</v>
      </c>
      <c r="C114" s="116"/>
      <c r="D114" s="109" t="s">
        <v>290</v>
      </c>
      <c r="E114" s="115"/>
      <c r="F114" s="115"/>
      <c r="G114" s="117">
        <f>E114*F114</f>
        <v>0</v>
      </c>
    </row>
    <row r="115" hidden="1" customHeight="1" spans="1:7">
      <c r="A115" s="106"/>
      <c r="B115" s="116" t="s">
        <v>291</v>
      </c>
      <c r="C115" s="116"/>
      <c r="D115" s="109" t="s">
        <v>290</v>
      </c>
      <c r="E115" s="115">
        <v>4.3</v>
      </c>
      <c r="F115" s="115">
        <f>主材!D22</f>
        <v>5.77</v>
      </c>
      <c r="G115" s="117">
        <f>E115*F115</f>
        <v>24.81</v>
      </c>
    </row>
    <row r="116" hidden="1" customHeight="1" spans="1:7">
      <c r="A116" s="106" t="s">
        <v>41</v>
      </c>
      <c r="B116" s="715" t="s">
        <v>248</v>
      </c>
      <c r="C116" s="716"/>
      <c r="D116" s="109"/>
      <c r="E116" s="115"/>
      <c r="F116" s="115"/>
      <c r="G116" s="117">
        <f>G117</f>
        <v>17.47</v>
      </c>
    </row>
    <row r="117" hidden="1" customHeight="1" spans="1:7">
      <c r="A117" s="106"/>
      <c r="B117" s="116" t="s">
        <v>292</v>
      </c>
      <c r="C117" s="116"/>
      <c r="D117" s="109" t="s">
        <v>293</v>
      </c>
      <c r="E117" s="115">
        <f>G113+G118</f>
        <v>349.37</v>
      </c>
      <c r="F117" s="115">
        <v>5</v>
      </c>
      <c r="G117" s="117">
        <f>E117*F117/100</f>
        <v>17.47</v>
      </c>
    </row>
    <row r="118" hidden="1" customHeight="1" spans="1:7">
      <c r="A118" s="106" t="s">
        <v>46</v>
      </c>
      <c r="B118" s="116" t="s">
        <v>314</v>
      </c>
      <c r="C118" s="116"/>
      <c r="D118" s="116"/>
      <c r="E118" s="115"/>
      <c r="F118" s="115"/>
      <c r="G118" s="117">
        <f>G119</f>
        <v>324.56</v>
      </c>
    </row>
    <row r="119" hidden="1" customHeight="1" spans="1:7">
      <c r="A119" s="106"/>
      <c r="B119" s="730" t="s">
        <v>315</v>
      </c>
      <c r="C119" s="730"/>
      <c r="D119" s="109" t="s">
        <v>316</v>
      </c>
      <c r="E119" s="115">
        <f>2.13*1.24</f>
        <v>2.64</v>
      </c>
      <c r="F119" s="115">
        <f>机械!E4</f>
        <v>122.94</v>
      </c>
      <c r="G119" s="117">
        <f>E119*F119</f>
        <v>324.56</v>
      </c>
    </row>
    <row r="120" hidden="1" customHeight="1" spans="1:7">
      <c r="A120" s="106" t="s">
        <v>133</v>
      </c>
      <c r="B120" s="116" t="s">
        <v>294</v>
      </c>
      <c r="C120" s="116"/>
      <c r="D120" s="109"/>
      <c r="E120" s="717">
        <f>G112</f>
        <v>366.84</v>
      </c>
      <c r="F120" s="120">
        <f>费率!C4</f>
        <v>0.048</v>
      </c>
      <c r="G120" s="117">
        <f>E120*F120</f>
        <v>17.61</v>
      </c>
    </row>
    <row r="121" hidden="1" customHeight="1" spans="1:7">
      <c r="A121" s="106" t="s">
        <v>14</v>
      </c>
      <c r="B121" s="116" t="s">
        <v>295</v>
      </c>
      <c r="C121" s="116"/>
      <c r="D121" s="109"/>
      <c r="E121" s="115">
        <f>G111</f>
        <v>384.45</v>
      </c>
      <c r="F121" s="120">
        <f>费率!C5</f>
        <v>0.04</v>
      </c>
      <c r="G121" s="117">
        <f>E121*F121</f>
        <v>15.38</v>
      </c>
    </row>
    <row r="122" hidden="1" customHeight="1" spans="1:7">
      <c r="A122" s="106" t="s">
        <v>16</v>
      </c>
      <c r="B122" s="116" t="s">
        <v>296</v>
      </c>
      <c r="C122" s="116"/>
      <c r="D122" s="109"/>
      <c r="E122" s="115">
        <f>G111+G121</f>
        <v>399.83</v>
      </c>
      <c r="F122" s="120">
        <f>费率!C6</f>
        <v>0.05</v>
      </c>
      <c r="G122" s="117">
        <f>E122*F122</f>
        <v>19.99</v>
      </c>
    </row>
    <row r="123" hidden="1" customHeight="1" spans="1:7">
      <c r="A123" s="106" t="s">
        <v>18</v>
      </c>
      <c r="B123" s="715" t="s">
        <v>254</v>
      </c>
      <c r="C123" s="716"/>
      <c r="D123" s="109"/>
      <c r="E123" s="115"/>
      <c r="F123" s="120"/>
      <c r="G123" s="117">
        <f>G124</f>
        <v>162.47</v>
      </c>
    </row>
    <row r="124" hidden="1" customHeight="1" spans="1:7">
      <c r="A124" s="106" t="s">
        <v>39</v>
      </c>
      <c r="B124" s="715" t="s">
        <v>317</v>
      </c>
      <c r="C124" s="716"/>
      <c r="D124" s="109" t="s">
        <v>323</v>
      </c>
      <c r="E124" s="115">
        <f>E119*14.9</f>
        <v>39.34</v>
      </c>
      <c r="F124" s="115">
        <f>主材!N13</f>
        <v>4.13</v>
      </c>
      <c r="G124" s="117">
        <f>E124*F124</f>
        <v>162.47</v>
      </c>
    </row>
    <row r="125" hidden="1" customHeight="1" spans="1:7">
      <c r="A125" s="106" t="s">
        <v>20</v>
      </c>
      <c r="B125" s="116" t="s">
        <v>297</v>
      </c>
      <c r="C125" s="116"/>
      <c r="D125" s="109"/>
      <c r="E125" s="115">
        <f>G111+G121+G122+G123</f>
        <v>582.29</v>
      </c>
      <c r="F125" s="122">
        <f>费率!C7</f>
        <v>0.09</v>
      </c>
      <c r="G125" s="117">
        <f>E125*F125</f>
        <v>52.41</v>
      </c>
    </row>
    <row r="126" hidden="1" customHeight="1" spans="1:7">
      <c r="A126" s="106"/>
      <c r="B126" s="116" t="s">
        <v>298</v>
      </c>
      <c r="C126" s="116"/>
      <c r="D126" s="109"/>
      <c r="E126" s="115">
        <f>G111+G121+G122+G123+G125</f>
        <v>634.7</v>
      </c>
      <c r="F126" s="122">
        <v>0.03</v>
      </c>
      <c r="G126" s="117">
        <f>E126*F126</f>
        <v>19.04</v>
      </c>
    </row>
    <row r="127" hidden="1" customHeight="1" spans="1:7">
      <c r="A127" s="123"/>
      <c r="B127" s="124" t="s">
        <v>121</v>
      </c>
      <c r="C127" s="124"/>
      <c r="D127" s="124"/>
      <c r="E127" s="125"/>
      <c r="F127" s="124"/>
      <c r="G127" s="126">
        <f>G111+G121+G122+G123+G125+G126</f>
        <v>653.74</v>
      </c>
    </row>
    <row r="128" ht="10.15" customHeight="1" spans="3:7">
      <c r="C128" s="727"/>
      <c r="D128" s="731"/>
      <c r="E128" s="732"/>
      <c r="F128" s="731"/>
      <c r="G128" s="732"/>
    </row>
    <row r="129" ht="16.15" customHeight="1" spans="1:7">
      <c r="A129" s="79" t="s">
        <v>274</v>
      </c>
      <c r="B129" s="79"/>
      <c r="C129" s="79"/>
      <c r="D129" s="79"/>
      <c r="E129" s="79"/>
      <c r="F129" s="79"/>
      <c r="G129" s="79"/>
    </row>
    <row r="130" ht="16.15" customHeight="1" spans="1:7">
      <c r="A130" s="102" t="s">
        <v>275</v>
      </c>
      <c r="B130" s="103"/>
      <c r="C130" s="103" t="s">
        <v>305</v>
      </c>
      <c r="D130" s="103" t="s">
        <v>276</v>
      </c>
      <c r="E130" s="104" t="s">
        <v>324</v>
      </c>
      <c r="F130" s="104"/>
      <c r="G130" s="105"/>
    </row>
    <row r="131" ht="16.15" customHeight="1" spans="1:7">
      <c r="A131" s="106" t="s">
        <v>278</v>
      </c>
      <c r="B131" s="107"/>
      <c r="C131" s="108" t="s">
        <v>325</v>
      </c>
      <c r="D131" s="108"/>
      <c r="E131" s="108"/>
      <c r="F131" s="109" t="s">
        <v>280</v>
      </c>
      <c r="G131" s="110" t="s">
        <v>281</v>
      </c>
    </row>
    <row r="132" ht="16.15" customHeight="1" spans="1:7">
      <c r="A132" s="111" t="s">
        <v>326</v>
      </c>
      <c r="B132" s="108"/>
      <c r="C132" s="108"/>
      <c r="D132" s="108"/>
      <c r="E132" s="108"/>
      <c r="F132" s="108"/>
      <c r="G132" s="112"/>
    </row>
    <row r="133" ht="16.15" customHeight="1" spans="1:7">
      <c r="A133" s="113" t="s">
        <v>327</v>
      </c>
      <c r="B133" s="114"/>
      <c r="C133" s="54"/>
      <c r="D133" s="54"/>
      <c r="E133" s="54"/>
      <c r="F133" s="54"/>
      <c r="G133" s="55"/>
    </row>
    <row r="134" ht="16.15" customHeight="1" spans="1:7">
      <c r="A134" s="106" t="s">
        <v>284</v>
      </c>
      <c r="B134" s="109" t="s">
        <v>233</v>
      </c>
      <c r="C134" s="109"/>
      <c r="D134" s="109" t="s">
        <v>88</v>
      </c>
      <c r="E134" s="115" t="s">
        <v>130</v>
      </c>
      <c r="F134" s="109" t="s">
        <v>285</v>
      </c>
      <c r="G134" s="110" t="s">
        <v>286</v>
      </c>
    </row>
    <row r="135" ht="16.15" customHeight="1" spans="1:7">
      <c r="A135" s="106" t="s">
        <v>9</v>
      </c>
      <c r="B135" s="116" t="s">
        <v>287</v>
      </c>
      <c r="C135" s="116"/>
      <c r="D135" s="109"/>
      <c r="E135" s="115"/>
      <c r="F135" s="115"/>
      <c r="G135" s="117">
        <f>G136+G144</f>
        <v>87.74</v>
      </c>
    </row>
    <row r="136" ht="16.15" customHeight="1" spans="1:7">
      <c r="A136" s="106" t="s">
        <v>132</v>
      </c>
      <c r="B136" s="116" t="s">
        <v>288</v>
      </c>
      <c r="C136" s="116"/>
      <c r="D136" s="109"/>
      <c r="E136" s="115"/>
      <c r="F136" s="115"/>
      <c r="G136" s="117">
        <f>G137+G140+G142</f>
        <v>83.72</v>
      </c>
    </row>
    <row r="137" ht="16.15" customHeight="1" spans="1:7">
      <c r="A137" s="106" t="s">
        <v>39</v>
      </c>
      <c r="B137" s="116" t="s">
        <v>247</v>
      </c>
      <c r="C137" s="116"/>
      <c r="D137" s="109"/>
      <c r="E137" s="115"/>
      <c r="F137" s="115"/>
      <c r="G137" s="117">
        <f>SUM(G138:G139)</f>
        <v>6.35</v>
      </c>
    </row>
    <row r="138" ht="16.15" customHeight="1" spans="1:7">
      <c r="A138" s="106"/>
      <c r="B138" s="116" t="s">
        <v>289</v>
      </c>
      <c r="C138" s="116"/>
      <c r="D138" s="109" t="s">
        <v>290</v>
      </c>
      <c r="E138" s="115"/>
      <c r="F138" s="115"/>
      <c r="G138" s="117">
        <f>E138*F138</f>
        <v>0</v>
      </c>
    </row>
    <row r="139" ht="16.15" customHeight="1" spans="1:7">
      <c r="A139" s="106"/>
      <c r="B139" s="116" t="s">
        <v>291</v>
      </c>
      <c r="C139" s="116"/>
      <c r="D139" s="109" t="s">
        <v>290</v>
      </c>
      <c r="E139" s="115">
        <v>1.1</v>
      </c>
      <c r="F139" s="115">
        <f>主材!D22</f>
        <v>5.77</v>
      </c>
      <c r="G139" s="117">
        <f>E139*F139</f>
        <v>6.35</v>
      </c>
    </row>
    <row r="140" ht="16.15" customHeight="1" spans="1:7">
      <c r="A140" s="106" t="s">
        <v>41</v>
      </c>
      <c r="B140" s="116" t="s">
        <v>248</v>
      </c>
      <c r="C140" s="116"/>
      <c r="D140" s="109"/>
      <c r="E140" s="115"/>
      <c r="F140" s="115"/>
      <c r="G140" s="117">
        <f>G141</f>
        <v>7.61</v>
      </c>
    </row>
    <row r="141" ht="16.15" customHeight="1" spans="1:7">
      <c r="A141" s="106"/>
      <c r="B141" s="116" t="s">
        <v>292</v>
      </c>
      <c r="C141" s="116"/>
      <c r="D141" s="109" t="s">
        <v>293</v>
      </c>
      <c r="E141" s="115">
        <f>G137+G142</f>
        <v>76.11</v>
      </c>
      <c r="F141" s="115">
        <v>10</v>
      </c>
      <c r="G141" s="117">
        <f>E141*F141/100</f>
        <v>7.61</v>
      </c>
    </row>
    <row r="142" ht="16.15" customHeight="1" spans="1:7">
      <c r="A142" s="106" t="s">
        <v>46</v>
      </c>
      <c r="B142" s="116" t="s">
        <v>314</v>
      </c>
      <c r="C142" s="116"/>
      <c r="D142" s="116"/>
      <c r="E142" s="115"/>
      <c r="F142" s="115"/>
      <c r="G142" s="117">
        <f>G143</f>
        <v>69.76</v>
      </c>
    </row>
    <row r="143" ht="16.15" customHeight="1" spans="1:7">
      <c r="A143" s="106"/>
      <c r="B143" s="730" t="s">
        <v>328</v>
      </c>
      <c r="C143" s="730"/>
      <c r="D143" s="109" t="s">
        <v>316</v>
      </c>
      <c r="E143" s="115">
        <v>0.78</v>
      </c>
      <c r="F143" s="115">
        <f>机械!E9</f>
        <v>89.44</v>
      </c>
      <c r="G143" s="117">
        <f>E143*F143</f>
        <v>69.76</v>
      </c>
    </row>
    <row r="144" ht="16.15" customHeight="1" spans="1:7">
      <c r="A144" s="106" t="s">
        <v>133</v>
      </c>
      <c r="B144" s="116" t="s">
        <v>294</v>
      </c>
      <c r="C144" s="116"/>
      <c r="D144" s="109"/>
      <c r="E144" s="717">
        <f>G136</f>
        <v>83.72</v>
      </c>
      <c r="F144" s="120">
        <f>费率!C4</f>
        <v>0.048</v>
      </c>
      <c r="G144" s="117">
        <f>E144*F144</f>
        <v>4.02</v>
      </c>
    </row>
    <row r="145" ht="16.15" customHeight="1" spans="1:7">
      <c r="A145" s="106" t="s">
        <v>14</v>
      </c>
      <c r="B145" s="116" t="s">
        <v>295</v>
      </c>
      <c r="C145" s="116"/>
      <c r="D145" s="109"/>
      <c r="E145" s="115">
        <f>G135</f>
        <v>87.74</v>
      </c>
      <c r="F145" s="120">
        <f>费率!C5</f>
        <v>0.04</v>
      </c>
      <c r="G145" s="117">
        <f>E145*F145</f>
        <v>3.51</v>
      </c>
    </row>
    <row r="146" ht="16.15" customHeight="1" spans="1:7">
      <c r="A146" s="106" t="s">
        <v>16</v>
      </c>
      <c r="B146" s="116" t="s">
        <v>296</v>
      </c>
      <c r="C146" s="116"/>
      <c r="D146" s="109"/>
      <c r="E146" s="115">
        <f>G135+G145</f>
        <v>91.25</v>
      </c>
      <c r="F146" s="120">
        <f>费率!C6</f>
        <v>0.05</v>
      </c>
      <c r="G146" s="117">
        <f>E146*F146</f>
        <v>4.56</v>
      </c>
    </row>
    <row r="147" ht="16.15" customHeight="1" spans="1:7">
      <c r="A147" s="106" t="s">
        <v>18</v>
      </c>
      <c r="B147" s="116" t="s">
        <v>254</v>
      </c>
      <c r="C147" s="116"/>
      <c r="D147" s="109"/>
      <c r="E147" s="115"/>
      <c r="F147" s="120"/>
      <c r="G147" s="117">
        <f>G148</f>
        <v>34.16</v>
      </c>
    </row>
    <row r="148" ht="16.15" customHeight="1" spans="1:7">
      <c r="A148" s="106" t="s">
        <v>39</v>
      </c>
      <c r="B148" s="116" t="s">
        <v>317</v>
      </c>
      <c r="C148" s="116"/>
      <c r="D148" s="109" t="s">
        <v>323</v>
      </c>
      <c r="E148" s="115">
        <f>E143*10.6</f>
        <v>8.27</v>
      </c>
      <c r="F148" s="115">
        <f>主材!N13</f>
        <v>4.13</v>
      </c>
      <c r="G148" s="117">
        <f>E148*F148</f>
        <v>34.16</v>
      </c>
    </row>
    <row r="149" ht="16.15" customHeight="1" spans="1:7">
      <c r="A149" s="106" t="s">
        <v>20</v>
      </c>
      <c r="B149" s="116" t="s">
        <v>297</v>
      </c>
      <c r="C149" s="116"/>
      <c r="D149" s="109"/>
      <c r="E149" s="115">
        <f>G135+G145+G146+G147</f>
        <v>129.97</v>
      </c>
      <c r="F149" s="122">
        <f>费率!C7</f>
        <v>0.09</v>
      </c>
      <c r="G149" s="117">
        <f>E149*F149</f>
        <v>11.7</v>
      </c>
    </row>
    <row r="150" ht="16.15" customHeight="1" spans="1:7">
      <c r="A150" s="106"/>
      <c r="B150" s="116" t="s">
        <v>298</v>
      </c>
      <c r="C150" s="116"/>
      <c r="D150" s="109"/>
      <c r="E150" s="115">
        <f>G135+G145+G146+G147+G149</f>
        <v>141.67</v>
      </c>
      <c r="F150" s="122">
        <v>0.03</v>
      </c>
      <c r="G150" s="117">
        <f>E150*F150</f>
        <v>4.25</v>
      </c>
    </row>
    <row r="151" ht="16.15" customHeight="1" spans="1:7">
      <c r="A151" s="123"/>
      <c r="B151" s="124" t="s">
        <v>121</v>
      </c>
      <c r="C151" s="124"/>
      <c r="D151" s="124"/>
      <c r="E151" s="125"/>
      <c r="F151" s="124"/>
      <c r="G151" s="126">
        <f>G135+G145+G146+G147+G149+G150</f>
        <v>145.92</v>
      </c>
    </row>
    <row r="152" ht="1.15" customHeight="1" spans="3:7">
      <c r="C152" s="727"/>
      <c r="D152" s="731"/>
      <c r="E152" s="732"/>
      <c r="F152" s="731"/>
      <c r="G152" s="732"/>
    </row>
    <row r="153" customHeight="1" spans="1:14">
      <c r="A153" s="79" t="s">
        <v>274</v>
      </c>
      <c r="B153" s="79"/>
      <c r="C153" s="79"/>
      <c r="D153" s="79"/>
      <c r="E153" s="79"/>
      <c r="F153" s="79"/>
      <c r="G153" s="79"/>
      <c r="H153" s="79" t="s">
        <v>274</v>
      </c>
      <c r="I153" s="79"/>
      <c r="J153" s="79"/>
      <c r="K153" s="79"/>
      <c r="L153" s="79"/>
      <c r="M153" s="79"/>
      <c r="N153" s="79"/>
    </row>
    <row r="154" ht="15.4" customHeight="1" spans="1:14">
      <c r="A154" s="102" t="s">
        <v>275</v>
      </c>
      <c r="B154" s="103"/>
      <c r="C154" s="103" t="s">
        <v>329</v>
      </c>
      <c r="D154" s="103" t="s">
        <v>276</v>
      </c>
      <c r="E154" s="104" t="s">
        <v>330</v>
      </c>
      <c r="F154" s="104"/>
      <c r="G154" s="105"/>
      <c r="H154" s="102" t="s">
        <v>275</v>
      </c>
      <c r="I154" s="103"/>
      <c r="J154" s="103" t="s">
        <v>329</v>
      </c>
      <c r="K154" s="103" t="s">
        <v>276</v>
      </c>
      <c r="L154" s="104" t="s">
        <v>331</v>
      </c>
      <c r="M154" s="104"/>
      <c r="N154" s="105"/>
    </row>
    <row r="155" ht="15.4" customHeight="1" spans="1:14">
      <c r="A155" s="106" t="s">
        <v>278</v>
      </c>
      <c r="B155" s="107"/>
      <c r="C155" s="108" t="s">
        <v>325</v>
      </c>
      <c r="D155" s="108"/>
      <c r="E155" s="108"/>
      <c r="F155" s="109" t="s">
        <v>280</v>
      </c>
      <c r="G155" s="110" t="s">
        <v>281</v>
      </c>
      <c r="H155" s="106" t="s">
        <v>278</v>
      </c>
      <c r="I155" s="107"/>
      <c r="J155" s="108" t="s">
        <v>325</v>
      </c>
      <c r="K155" s="108"/>
      <c r="L155" s="108"/>
      <c r="M155" s="109" t="s">
        <v>280</v>
      </c>
      <c r="N155" s="110" t="s">
        <v>281</v>
      </c>
    </row>
    <row r="156" ht="15.4" customHeight="1" spans="1:14">
      <c r="A156" s="111" t="s">
        <v>326</v>
      </c>
      <c r="B156" s="108"/>
      <c r="C156" s="108"/>
      <c r="D156" s="108"/>
      <c r="E156" s="108"/>
      <c r="F156" s="108"/>
      <c r="G156" s="112"/>
      <c r="H156" s="111" t="s">
        <v>326</v>
      </c>
      <c r="I156" s="108"/>
      <c r="J156" s="108"/>
      <c r="K156" s="108"/>
      <c r="L156" s="108"/>
      <c r="M156" s="108"/>
      <c r="N156" s="112"/>
    </row>
    <row r="157" ht="15.4" customHeight="1" spans="1:14">
      <c r="A157" s="113" t="s">
        <v>327</v>
      </c>
      <c r="B157" s="114"/>
      <c r="C157" s="54"/>
      <c r="D157" s="54"/>
      <c r="E157" s="54"/>
      <c r="F157" s="54"/>
      <c r="G157" s="55"/>
      <c r="H157" s="113" t="s">
        <v>327</v>
      </c>
      <c r="I157" s="114"/>
      <c r="J157" s="54"/>
      <c r="K157" s="54"/>
      <c r="L157" s="54"/>
      <c r="M157" s="54"/>
      <c r="N157" s="55"/>
    </row>
    <row r="158" ht="15.4" customHeight="1" spans="1:14">
      <c r="A158" s="106" t="s">
        <v>284</v>
      </c>
      <c r="B158" s="109" t="s">
        <v>233</v>
      </c>
      <c r="C158" s="109"/>
      <c r="D158" s="109" t="s">
        <v>88</v>
      </c>
      <c r="E158" s="115" t="s">
        <v>130</v>
      </c>
      <c r="F158" s="109" t="s">
        <v>285</v>
      </c>
      <c r="G158" s="110" t="s">
        <v>286</v>
      </c>
      <c r="H158" s="106" t="s">
        <v>284</v>
      </c>
      <c r="I158" s="109" t="s">
        <v>233</v>
      </c>
      <c r="J158" s="109"/>
      <c r="K158" s="109" t="s">
        <v>88</v>
      </c>
      <c r="L158" s="115" t="s">
        <v>130</v>
      </c>
      <c r="M158" s="109" t="s">
        <v>285</v>
      </c>
      <c r="N158" s="110" t="s">
        <v>286</v>
      </c>
    </row>
    <row r="159" ht="15.4" customHeight="1" spans="1:14">
      <c r="A159" s="106" t="s">
        <v>9</v>
      </c>
      <c r="B159" s="116" t="s">
        <v>287</v>
      </c>
      <c r="C159" s="116"/>
      <c r="D159" s="109"/>
      <c r="E159" s="115"/>
      <c r="F159" s="115"/>
      <c r="G159" s="117">
        <f>G160+G168</f>
        <v>169.66</v>
      </c>
      <c r="H159" s="106" t="s">
        <v>9</v>
      </c>
      <c r="I159" s="116" t="s">
        <v>287</v>
      </c>
      <c r="J159" s="116"/>
      <c r="K159" s="109"/>
      <c r="L159" s="115"/>
      <c r="M159" s="115"/>
      <c r="N159" s="117">
        <f>N160+N168</f>
        <v>210.1</v>
      </c>
    </row>
    <row r="160" ht="15.4" customHeight="1" spans="1:14">
      <c r="A160" s="106" t="s">
        <v>132</v>
      </c>
      <c r="B160" s="116" t="s">
        <v>288</v>
      </c>
      <c r="C160" s="116"/>
      <c r="D160" s="109"/>
      <c r="E160" s="115"/>
      <c r="F160" s="115"/>
      <c r="G160" s="117">
        <f>G161+G164+G166</f>
        <v>161.89</v>
      </c>
      <c r="H160" s="106" t="s">
        <v>132</v>
      </c>
      <c r="I160" s="116" t="s">
        <v>288</v>
      </c>
      <c r="J160" s="116"/>
      <c r="K160" s="109"/>
      <c r="L160" s="115"/>
      <c r="M160" s="115"/>
      <c r="N160" s="117">
        <f>N161+N164+N166</f>
        <v>200.48</v>
      </c>
    </row>
    <row r="161" ht="15.4" customHeight="1" spans="1:14">
      <c r="A161" s="106" t="s">
        <v>39</v>
      </c>
      <c r="B161" s="116" t="s">
        <v>247</v>
      </c>
      <c r="C161" s="116"/>
      <c r="D161" s="109"/>
      <c r="E161" s="115"/>
      <c r="F161" s="115"/>
      <c r="G161" s="117">
        <f>SUM(G162:G163)</f>
        <v>12.12</v>
      </c>
      <c r="H161" s="106" t="s">
        <v>39</v>
      </c>
      <c r="I161" s="116" t="s">
        <v>247</v>
      </c>
      <c r="J161" s="116"/>
      <c r="K161" s="109"/>
      <c r="L161" s="115"/>
      <c r="M161" s="115"/>
      <c r="N161" s="117">
        <f>SUM(N162:N163)</f>
        <v>15</v>
      </c>
    </row>
    <row r="162" ht="15.4" customHeight="1" spans="1:14">
      <c r="A162" s="106"/>
      <c r="B162" s="116" t="s">
        <v>289</v>
      </c>
      <c r="C162" s="116"/>
      <c r="D162" s="109" t="s">
        <v>290</v>
      </c>
      <c r="E162" s="115"/>
      <c r="F162" s="115"/>
      <c r="G162" s="117">
        <f>E162*F162</f>
        <v>0</v>
      </c>
      <c r="H162" s="106"/>
      <c r="I162" s="116" t="s">
        <v>289</v>
      </c>
      <c r="J162" s="116"/>
      <c r="K162" s="109" t="s">
        <v>290</v>
      </c>
      <c r="L162" s="115"/>
      <c r="M162" s="115"/>
      <c r="N162" s="117">
        <f>L162*M162</f>
        <v>0</v>
      </c>
    </row>
    <row r="163" ht="15.4" customHeight="1" spans="1:14">
      <c r="A163" s="106"/>
      <c r="B163" s="116" t="s">
        <v>291</v>
      </c>
      <c r="C163" s="116"/>
      <c r="D163" s="109" t="s">
        <v>290</v>
      </c>
      <c r="E163" s="115">
        <v>2.1</v>
      </c>
      <c r="F163" s="115">
        <f>主材!D22</f>
        <v>5.77</v>
      </c>
      <c r="G163" s="117">
        <f>E163*F163</f>
        <v>12.12</v>
      </c>
      <c r="H163" s="106"/>
      <c r="I163" s="116" t="s">
        <v>291</v>
      </c>
      <c r="J163" s="116"/>
      <c r="K163" s="109" t="s">
        <v>290</v>
      </c>
      <c r="L163" s="115">
        <v>2.6</v>
      </c>
      <c r="M163" s="115">
        <f>F163</f>
        <v>5.77</v>
      </c>
      <c r="N163" s="117">
        <f>L163*M163</f>
        <v>15</v>
      </c>
    </row>
    <row r="164" ht="15.4" customHeight="1" spans="1:14">
      <c r="A164" s="106" t="s">
        <v>41</v>
      </c>
      <c r="B164" s="116" t="s">
        <v>248</v>
      </c>
      <c r="C164" s="116"/>
      <c r="D164" s="109"/>
      <c r="E164" s="115"/>
      <c r="F164" s="115"/>
      <c r="G164" s="117">
        <f>G165</f>
        <v>14.72</v>
      </c>
      <c r="H164" s="106" t="s">
        <v>41</v>
      </c>
      <c r="I164" s="116" t="s">
        <v>248</v>
      </c>
      <c r="J164" s="116"/>
      <c r="K164" s="109"/>
      <c r="L164" s="115"/>
      <c r="M164" s="115"/>
      <c r="N164" s="117">
        <f>N165</f>
        <v>18.23</v>
      </c>
    </row>
    <row r="165" ht="15.4" customHeight="1" spans="1:14">
      <c r="A165" s="106"/>
      <c r="B165" s="116" t="s">
        <v>292</v>
      </c>
      <c r="C165" s="116"/>
      <c r="D165" s="109" t="s">
        <v>293</v>
      </c>
      <c r="E165" s="115">
        <f>G161+G166</f>
        <v>147.17</v>
      </c>
      <c r="F165" s="115">
        <v>10</v>
      </c>
      <c r="G165" s="117">
        <f>E165*F165/100</f>
        <v>14.72</v>
      </c>
      <c r="H165" s="106"/>
      <c r="I165" s="116" t="s">
        <v>292</v>
      </c>
      <c r="J165" s="116"/>
      <c r="K165" s="109" t="s">
        <v>293</v>
      </c>
      <c r="L165" s="115">
        <f>N161+N166</f>
        <v>182.25</v>
      </c>
      <c r="M165" s="115">
        <v>10</v>
      </c>
      <c r="N165" s="117">
        <f>L165*M165/100</f>
        <v>18.23</v>
      </c>
    </row>
    <row r="166" ht="15.4" customHeight="1" spans="1:14">
      <c r="A166" s="106" t="s">
        <v>46</v>
      </c>
      <c r="B166" s="116" t="s">
        <v>314</v>
      </c>
      <c r="C166" s="116"/>
      <c r="D166" s="116"/>
      <c r="E166" s="115"/>
      <c r="F166" s="115"/>
      <c r="G166" s="117">
        <f>G167</f>
        <v>135.05</v>
      </c>
      <c r="H166" s="106" t="s">
        <v>46</v>
      </c>
      <c r="I166" s="116" t="s">
        <v>314</v>
      </c>
      <c r="J166" s="116"/>
      <c r="K166" s="116"/>
      <c r="L166" s="115"/>
      <c r="M166" s="115"/>
      <c r="N166" s="117">
        <f>N167</f>
        <v>167.25</v>
      </c>
    </row>
    <row r="167" ht="15.4" customHeight="1" spans="1:14">
      <c r="A167" s="106"/>
      <c r="B167" s="730" t="s">
        <v>328</v>
      </c>
      <c r="C167" s="730"/>
      <c r="D167" s="109" t="s">
        <v>316</v>
      </c>
      <c r="E167" s="115">
        <v>1.51</v>
      </c>
      <c r="F167" s="115">
        <f>机械!E9</f>
        <v>89.44</v>
      </c>
      <c r="G167" s="117">
        <f>E167*F167</f>
        <v>135.05</v>
      </c>
      <c r="H167" s="106"/>
      <c r="I167" s="730" t="s">
        <v>328</v>
      </c>
      <c r="J167" s="730"/>
      <c r="K167" s="109" t="s">
        <v>316</v>
      </c>
      <c r="L167" s="115">
        <v>1.87</v>
      </c>
      <c r="M167" s="115">
        <f>F167</f>
        <v>89.44</v>
      </c>
      <c r="N167" s="117">
        <f>L167*M167</f>
        <v>167.25</v>
      </c>
    </row>
    <row r="168" ht="15.4" customHeight="1" spans="1:14">
      <c r="A168" s="106" t="s">
        <v>133</v>
      </c>
      <c r="B168" s="116" t="s">
        <v>294</v>
      </c>
      <c r="C168" s="116"/>
      <c r="D168" s="109"/>
      <c r="E168" s="717">
        <f>G160</f>
        <v>161.89</v>
      </c>
      <c r="F168" s="120">
        <f>费率!C4</f>
        <v>0.048</v>
      </c>
      <c r="G168" s="117">
        <f>E168*F168</f>
        <v>7.77</v>
      </c>
      <c r="H168" s="106" t="s">
        <v>133</v>
      </c>
      <c r="I168" s="116" t="s">
        <v>294</v>
      </c>
      <c r="J168" s="116"/>
      <c r="K168" s="109"/>
      <c r="L168" s="717">
        <f>N160</f>
        <v>200.48</v>
      </c>
      <c r="M168" s="120">
        <f>费率!J4</f>
        <v>0.048</v>
      </c>
      <c r="N168" s="117">
        <f>L168*M168</f>
        <v>9.62</v>
      </c>
    </row>
    <row r="169" ht="15.4" customHeight="1" spans="1:14">
      <c r="A169" s="106" t="s">
        <v>14</v>
      </c>
      <c r="B169" s="116" t="s">
        <v>295</v>
      </c>
      <c r="C169" s="116"/>
      <c r="D169" s="109"/>
      <c r="E169" s="115">
        <f>G159</f>
        <v>169.66</v>
      </c>
      <c r="F169" s="120">
        <f>费率!C5</f>
        <v>0.04</v>
      </c>
      <c r="G169" s="117">
        <f>E169*F169</f>
        <v>6.79</v>
      </c>
      <c r="H169" s="106" t="s">
        <v>14</v>
      </c>
      <c r="I169" s="116" t="s">
        <v>295</v>
      </c>
      <c r="J169" s="116"/>
      <c r="K169" s="109"/>
      <c r="L169" s="115">
        <f>N159</f>
        <v>210.1</v>
      </c>
      <c r="M169" s="120">
        <f>F169</f>
        <v>0.04</v>
      </c>
      <c r="N169" s="117">
        <f>L169*M169</f>
        <v>8.4</v>
      </c>
    </row>
    <row r="170" ht="15.4" customHeight="1" spans="1:14">
      <c r="A170" s="106" t="s">
        <v>16</v>
      </c>
      <c r="B170" s="116" t="s">
        <v>296</v>
      </c>
      <c r="C170" s="116"/>
      <c r="D170" s="109"/>
      <c r="E170" s="115">
        <f>G159+G169</f>
        <v>176.45</v>
      </c>
      <c r="F170" s="120">
        <f>费率!C6</f>
        <v>0.05</v>
      </c>
      <c r="G170" s="117">
        <f>E170*F170</f>
        <v>8.82</v>
      </c>
      <c r="H170" s="106" t="s">
        <v>16</v>
      </c>
      <c r="I170" s="116" t="s">
        <v>296</v>
      </c>
      <c r="J170" s="116"/>
      <c r="K170" s="109"/>
      <c r="L170" s="115">
        <f>N159+N169</f>
        <v>218.5</v>
      </c>
      <c r="M170" s="120">
        <f>费率!J6</f>
        <v>0.07</v>
      </c>
      <c r="N170" s="117">
        <f>L170*M170</f>
        <v>15.3</v>
      </c>
    </row>
    <row r="171" ht="15.4" customHeight="1" spans="1:14">
      <c r="A171" s="106" t="s">
        <v>18</v>
      </c>
      <c r="B171" s="116" t="s">
        <v>254</v>
      </c>
      <c r="C171" s="116"/>
      <c r="D171" s="109"/>
      <c r="E171" s="115"/>
      <c r="F171" s="120"/>
      <c r="G171" s="117">
        <f>G172</f>
        <v>66.12</v>
      </c>
      <c r="H171" s="106" t="s">
        <v>18</v>
      </c>
      <c r="I171" s="116" t="s">
        <v>254</v>
      </c>
      <c r="J171" s="116"/>
      <c r="K171" s="109"/>
      <c r="L171" s="115"/>
      <c r="M171" s="120"/>
      <c r="N171" s="117">
        <f>N172</f>
        <v>81.86</v>
      </c>
    </row>
    <row r="172" ht="15.4" customHeight="1" spans="1:14">
      <c r="A172" s="106" t="s">
        <v>39</v>
      </c>
      <c r="B172" s="116" t="s">
        <v>317</v>
      </c>
      <c r="C172" s="116"/>
      <c r="D172" s="109" t="s">
        <v>323</v>
      </c>
      <c r="E172" s="115">
        <f>E167*10.6</f>
        <v>16.01</v>
      </c>
      <c r="F172" s="115">
        <f>主材!N13</f>
        <v>4.13</v>
      </c>
      <c r="G172" s="117">
        <f>E172*F172</f>
        <v>66.12</v>
      </c>
      <c r="H172" s="106" t="s">
        <v>39</v>
      </c>
      <c r="I172" s="116" t="s">
        <v>317</v>
      </c>
      <c r="J172" s="116"/>
      <c r="K172" s="109" t="s">
        <v>323</v>
      </c>
      <c r="L172" s="115">
        <f>L167*10.6</f>
        <v>19.82</v>
      </c>
      <c r="M172" s="115">
        <f>F172</f>
        <v>4.13</v>
      </c>
      <c r="N172" s="117">
        <f>L172*M172</f>
        <v>81.86</v>
      </c>
    </row>
    <row r="173" ht="15.4" customHeight="1" spans="1:14">
      <c r="A173" s="106" t="s">
        <v>20</v>
      </c>
      <c r="B173" s="116" t="s">
        <v>297</v>
      </c>
      <c r="C173" s="116"/>
      <c r="D173" s="109"/>
      <c r="E173" s="115">
        <f>G159+G169+G170+G171</f>
        <v>251.39</v>
      </c>
      <c r="F173" s="122">
        <f>费率!C7</f>
        <v>0.09</v>
      </c>
      <c r="G173" s="117">
        <f>E173*F173</f>
        <v>22.63</v>
      </c>
      <c r="H173" s="106" t="s">
        <v>20</v>
      </c>
      <c r="I173" s="116" t="s">
        <v>297</v>
      </c>
      <c r="J173" s="116"/>
      <c r="K173" s="109"/>
      <c r="L173" s="115">
        <f>N159+N169+N170+N171</f>
        <v>315.66</v>
      </c>
      <c r="M173" s="122">
        <f>费率!J7</f>
        <v>0.09</v>
      </c>
      <c r="N173" s="117">
        <f>L173*M173</f>
        <v>28.41</v>
      </c>
    </row>
    <row r="174" ht="15.4" customHeight="1" spans="1:14">
      <c r="A174" s="106"/>
      <c r="B174" s="116" t="s">
        <v>298</v>
      </c>
      <c r="C174" s="116"/>
      <c r="D174" s="109"/>
      <c r="E174" s="115">
        <f>G159+G169+G170+G171+G173</f>
        <v>274.02</v>
      </c>
      <c r="F174" s="122">
        <v>0.03</v>
      </c>
      <c r="G174" s="117">
        <f>E174*F174</f>
        <v>8.22</v>
      </c>
      <c r="H174" s="106"/>
      <c r="I174" s="116" t="s">
        <v>298</v>
      </c>
      <c r="J174" s="116"/>
      <c r="K174" s="109"/>
      <c r="L174" s="115">
        <f>N159+N169+N170+N171+N173</f>
        <v>344.07</v>
      </c>
      <c r="M174" s="122">
        <v>0.03</v>
      </c>
      <c r="N174" s="117">
        <f>L174*M174</f>
        <v>10.32</v>
      </c>
    </row>
    <row r="175" ht="15.4" customHeight="1" spans="1:14">
      <c r="A175" s="123"/>
      <c r="B175" s="124" t="s">
        <v>121</v>
      </c>
      <c r="C175" s="124"/>
      <c r="D175" s="124"/>
      <c r="E175" s="125"/>
      <c r="F175" s="124"/>
      <c r="G175" s="126">
        <f>G159+G169+G170+G171+G173+G174</f>
        <v>282.24</v>
      </c>
      <c r="H175" s="123"/>
      <c r="I175" s="124" t="s">
        <v>121</v>
      </c>
      <c r="J175" s="124"/>
      <c r="K175" s="124"/>
      <c r="L175" s="125"/>
      <c r="M175" s="124"/>
      <c r="N175" s="126">
        <f>N159+N169+N170+N171+N173+N174</f>
        <v>354.39</v>
      </c>
    </row>
    <row r="176" ht="15.4" customHeight="1" spans="3:7">
      <c r="C176" s="727"/>
      <c r="D176" s="731"/>
      <c r="E176" s="732"/>
      <c r="F176" s="731"/>
      <c r="G176" s="732"/>
    </row>
    <row r="177" ht="15.4" customHeight="1" spans="1:7">
      <c r="A177" s="79" t="s">
        <v>274</v>
      </c>
      <c r="B177" s="79"/>
      <c r="C177" s="79"/>
      <c r="D177" s="79"/>
      <c r="E177" s="79"/>
      <c r="F177" s="79"/>
      <c r="G177" s="79"/>
    </row>
    <row r="178" ht="15.4" customHeight="1" spans="1:7">
      <c r="A178" s="102" t="s">
        <v>275</v>
      </c>
      <c r="B178" s="103"/>
      <c r="C178" s="103" t="s">
        <v>318</v>
      </c>
      <c r="D178" s="103" t="s">
        <v>276</v>
      </c>
      <c r="E178" s="104" t="s">
        <v>332</v>
      </c>
      <c r="F178" s="104"/>
      <c r="G178" s="105"/>
    </row>
    <row r="179" ht="15.4" customHeight="1" spans="1:7">
      <c r="A179" s="106" t="s">
        <v>278</v>
      </c>
      <c r="B179" s="107"/>
      <c r="C179" s="108" t="s">
        <v>333</v>
      </c>
      <c r="D179" s="108"/>
      <c r="E179" s="108"/>
      <c r="F179" s="109" t="s">
        <v>280</v>
      </c>
      <c r="G179" s="110" t="s">
        <v>281</v>
      </c>
    </row>
    <row r="180" ht="15.4" customHeight="1" spans="1:7">
      <c r="A180" s="111" t="s">
        <v>326</v>
      </c>
      <c r="B180" s="108"/>
      <c r="C180" s="108"/>
      <c r="D180" s="108"/>
      <c r="E180" s="108"/>
      <c r="F180" s="108"/>
      <c r="G180" s="112"/>
    </row>
    <row r="181" ht="15.4" customHeight="1" spans="1:7">
      <c r="A181" s="113" t="s">
        <v>327</v>
      </c>
      <c r="B181" s="114"/>
      <c r="C181" s="54"/>
      <c r="D181" s="54"/>
      <c r="E181" s="54"/>
      <c r="F181" s="54"/>
      <c r="G181" s="55"/>
    </row>
    <row r="182" ht="15.4" customHeight="1" spans="1:7">
      <c r="A182" s="106" t="s">
        <v>284</v>
      </c>
      <c r="B182" s="109" t="s">
        <v>233</v>
      </c>
      <c r="C182" s="109"/>
      <c r="D182" s="109" t="s">
        <v>88</v>
      </c>
      <c r="E182" s="115" t="s">
        <v>130</v>
      </c>
      <c r="F182" s="109" t="s">
        <v>285</v>
      </c>
      <c r="G182" s="110" t="s">
        <v>286</v>
      </c>
    </row>
    <row r="183" ht="15.4" customHeight="1" spans="1:7">
      <c r="A183" s="106" t="s">
        <v>9</v>
      </c>
      <c r="B183" s="116" t="s">
        <v>287</v>
      </c>
      <c r="C183" s="116"/>
      <c r="D183" s="109"/>
      <c r="E183" s="115"/>
      <c r="F183" s="115"/>
      <c r="G183" s="117">
        <f>G184+G192</f>
        <v>102.35</v>
      </c>
    </row>
    <row r="184" ht="15.4" customHeight="1" spans="1:7">
      <c r="A184" s="106" t="s">
        <v>132</v>
      </c>
      <c r="B184" s="116" t="s">
        <v>288</v>
      </c>
      <c r="C184" s="116"/>
      <c r="D184" s="109"/>
      <c r="E184" s="115"/>
      <c r="F184" s="115"/>
      <c r="G184" s="117">
        <f>G185+G188+G190</f>
        <v>97.66</v>
      </c>
    </row>
    <row r="185" ht="15.4" customHeight="1" spans="1:7">
      <c r="A185" s="106" t="s">
        <v>39</v>
      </c>
      <c r="B185" s="116" t="s">
        <v>247</v>
      </c>
      <c r="C185" s="116"/>
      <c r="D185" s="109"/>
      <c r="E185" s="115"/>
      <c r="F185" s="115"/>
      <c r="G185" s="117">
        <f>SUM(G186:G187)</f>
        <v>7.39</v>
      </c>
    </row>
    <row r="186" ht="15.4" customHeight="1" spans="1:7">
      <c r="A186" s="106"/>
      <c r="B186" s="116" t="s">
        <v>289</v>
      </c>
      <c r="C186" s="116"/>
      <c r="D186" s="109" t="s">
        <v>290</v>
      </c>
      <c r="E186" s="115"/>
      <c r="F186" s="115"/>
      <c r="G186" s="117">
        <f>E186*F186</f>
        <v>0</v>
      </c>
    </row>
    <row r="187" ht="15.4" customHeight="1" spans="1:7">
      <c r="A187" s="106"/>
      <c r="B187" s="116" t="s">
        <v>291</v>
      </c>
      <c r="C187" s="116"/>
      <c r="D187" s="109" t="s">
        <v>290</v>
      </c>
      <c r="E187" s="115">
        <f>1.6*0.8</f>
        <v>1.28</v>
      </c>
      <c r="F187" s="115">
        <f>F210</f>
        <v>5.77</v>
      </c>
      <c r="G187" s="117">
        <f>E187*F187</f>
        <v>7.39</v>
      </c>
    </row>
    <row r="188" ht="15.4" customHeight="1" spans="1:7">
      <c r="A188" s="106" t="s">
        <v>41</v>
      </c>
      <c r="B188" s="116" t="s">
        <v>248</v>
      </c>
      <c r="C188" s="116"/>
      <c r="D188" s="109"/>
      <c r="E188" s="115"/>
      <c r="F188" s="115"/>
      <c r="G188" s="117">
        <f>G189</f>
        <v>8.88</v>
      </c>
    </row>
    <row r="189" ht="15.4" customHeight="1" spans="1:7">
      <c r="A189" s="106"/>
      <c r="B189" s="116" t="s">
        <v>292</v>
      </c>
      <c r="C189" s="116"/>
      <c r="D189" s="109" t="s">
        <v>293</v>
      </c>
      <c r="E189" s="115">
        <f>G185+G190</f>
        <v>88.78</v>
      </c>
      <c r="F189" s="115">
        <f t="shared" ref="F189:F198" si="0">F212</f>
        <v>10</v>
      </c>
      <c r="G189" s="117">
        <f>E189*F189/100</f>
        <v>8.88</v>
      </c>
    </row>
    <row r="190" ht="15.4" customHeight="1" spans="1:7">
      <c r="A190" s="106" t="s">
        <v>46</v>
      </c>
      <c r="B190" s="116" t="s">
        <v>314</v>
      </c>
      <c r="C190" s="116"/>
      <c r="D190" s="116"/>
      <c r="E190" s="115"/>
      <c r="F190" s="115"/>
      <c r="G190" s="117">
        <f>G191</f>
        <v>81.39</v>
      </c>
    </row>
    <row r="191" ht="15.4" customHeight="1" spans="1:7">
      <c r="A191" s="106"/>
      <c r="B191" s="730" t="s">
        <v>328</v>
      </c>
      <c r="C191" s="730"/>
      <c r="D191" s="109" t="s">
        <v>316</v>
      </c>
      <c r="E191" s="115">
        <f>1.14*0.8</f>
        <v>0.91</v>
      </c>
      <c r="F191" s="115">
        <f t="shared" si="0"/>
        <v>89.44</v>
      </c>
      <c r="G191" s="117">
        <f>E191*F191</f>
        <v>81.39</v>
      </c>
    </row>
    <row r="192" ht="15.4" customHeight="1" spans="1:7">
      <c r="A192" s="106" t="s">
        <v>133</v>
      </c>
      <c r="B192" s="116" t="s">
        <v>294</v>
      </c>
      <c r="C192" s="116"/>
      <c r="D192" s="109"/>
      <c r="E192" s="717">
        <f>G184</f>
        <v>97.66</v>
      </c>
      <c r="F192" s="95">
        <f t="shared" si="0"/>
        <v>0.048</v>
      </c>
      <c r="G192" s="117">
        <f>E192*F192</f>
        <v>4.69</v>
      </c>
    </row>
    <row r="193" ht="15.4" customHeight="1" spans="1:7">
      <c r="A193" s="106" t="s">
        <v>14</v>
      </c>
      <c r="B193" s="116" t="s">
        <v>295</v>
      </c>
      <c r="C193" s="116"/>
      <c r="D193" s="109"/>
      <c r="E193" s="115">
        <f>G183</f>
        <v>102.35</v>
      </c>
      <c r="F193" s="95">
        <f t="shared" si="0"/>
        <v>0.04</v>
      </c>
      <c r="G193" s="117">
        <f>E193*F193</f>
        <v>4.09</v>
      </c>
    </row>
    <row r="194" ht="15.4" customHeight="1" spans="1:7">
      <c r="A194" s="106" t="s">
        <v>16</v>
      </c>
      <c r="B194" s="116" t="s">
        <v>296</v>
      </c>
      <c r="C194" s="116"/>
      <c r="D194" s="109"/>
      <c r="E194" s="115">
        <f>G183+G193</f>
        <v>106.44</v>
      </c>
      <c r="F194" s="95">
        <f t="shared" si="0"/>
        <v>0.05</v>
      </c>
      <c r="G194" s="117">
        <f>E194*F194</f>
        <v>5.32</v>
      </c>
    </row>
    <row r="195" ht="15.4" customHeight="1" spans="1:7">
      <c r="A195" s="106" t="s">
        <v>18</v>
      </c>
      <c r="B195" s="116" t="s">
        <v>254</v>
      </c>
      <c r="C195" s="116"/>
      <c r="D195" s="109"/>
      <c r="E195" s="115"/>
      <c r="F195" s="115"/>
      <c r="G195" s="117">
        <f>G196</f>
        <v>39.85</v>
      </c>
    </row>
    <row r="196" ht="15.4" customHeight="1" spans="1:7">
      <c r="A196" s="106" t="s">
        <v>39</v>
      </c>
      <c r="B196" s="116" t="s">
        <v>317</v>
      </c>
      <c r="C196" s="116"/>
      <c r="D196" s="109" t="s">
        <v>323</v>
      </c>
      <c r="E196" s="115">
        <f>E191*10.6</f>
        <v>9.65</v>
      </c>
      <c r="F196" s="115">
        <f t="shared" si="0"/>
        <v>4.13</v>
      </c>
      <c r="G196" s="117">
        <f>E196*F196</f>
        <v>39.85</v>
      </c>
    </row>
    <row r="197" ht="15.4" customHeight="1" spans="1:7">
      <c r="A197" s="106" t="s">
        <v>20</v>
      </c>
      <c r="B197" s="116" t="s">
        <v>297</v>
      </c>
      <c r="C197" s="116"/>
      <c r="D197" s="109"/>
      <c r="E197" s="115">
        <f>G183+G193+G194+G195</f>
        <v>151.61</v>
      </c>
      <c r="F197" s="95">
        <f t="shared" si="0"/>
        <v>0.09</v>
      </c>
      <c r="G197" s="117">
        <f>E197*F197</f>
        <v>13.64</v>
      </c>
    </row>
    <row r="198" ht="15.4" customHeight="1" spans="1:7">
      <c r="A198" s="106"/>
      <c r="B198" s="116" t="s">
        <v>298</v>
      </c>
      <c r="C198" s="116"/>
      <c r="D198" s="109"/>
      <c r="E198" s="115">
        <f>G183+G193+G194+G195+G197</f>
        <v>165.25</v>
      </c>
      <c r="F198" s="95">
        <f t="shared" si="0"/>
        <v>0.03</v>
      </c>
      <c r="G198" s="117">
        <f>E198*F198</f>
        <v>4.96</v>
      </c>
    </row>
    <row r="199" ht="15.4" customHeight="1" spans="1:7">
      <c r="A199" s="123"/>
      <c r="B199" s="124" t="s">
        <v>121</v>
      </c>
      <c r="C199" s="124"/>
      <c r="D199" s="124"/>
      <c r="E199" s="125"/>
      <c r="F199" s="124"/>
      <c r="G199" s="126">
        <f>G183+G193+G194+G195+G197+G198</f>
        <v>170.21</v>
      </c>
    </row>
    <row r="200" ht="19.9" customHeight="1" spans="1:7">
      <c r="A200" s="79" t="s">
        <v>274</v>
      </c>
      <c r="B200" s="79"/>
      <c r="C200" s="79"/>
      <c r="D200" s="79"/>
      <c r="E200" s="79"/>
      <c r="F200" s="79"/>
      <c r="G200" s="79"/>
    </row>
    <row r="201" ht="15.4" customHeight="1" spans="1:7">
      <c r="A201" s="102" t="s">
        <v>275</v>
      </c>
      <c r="B201" s="103"/>
      <c r="C201" s="103" t="s">
        <v>318</v>
      </c>
      <c r="D201" s="103" t="s">
        <v>276</v>
      </c>
      <c r="E201" s="104" t="s">
        <v>332</v>
      </c>
      <c r="F201" s="104"/>
      <c r="G201" s="105"/>
    </row>
    <row r="202" ht="15.4" customHeight="1" spans="1:7">
      <c r="A202" s="106" t="s">
        <v>278</v>
      </c>
      <c r="B202" s="107"/>
      <c r="C202" s="108" t="s">
        <v>333</v>
      </c>
      <c r="D202" s="108"/>
      <c r="E202" s="108"/>
      <c r="F202" s="109" t="s">
        <v>280</v>
      </c>
      <c r="G202" s="110" t="s">
        <v>281</v>
      </c>
    </row>
    <row r="203" ht="15.4" customHeight="1" spans="1:7">
      <c r="A203" s="111" t="s">
        <v>326</v>
      </c>
      <c r="B203" s="108"/>
      <c r="C203" s="108"/>
      <c r="D203" s="108"/>
      <c r="E203" s="108"/>
      <c r="F203" s="108"/>
      <c r="G203" s="112"/>
    </row>
    <row r="204" ht="15.4" customHeight="1" spans="1:7">
      <c r="A204" s="113" t="s">
        <v>327</v>
      </c>
      <c r="B204" s="114"/>
      <c r="C204" s="54"/>
      <c r="D204" s="54"/>
      <c r="E204" s="54"/>
      <c r="F204" s="54"/>
      <c r="G204" s="55"/>
    </row>
    <row r="205" ht="15.4" customHeight="1" spans="1:7">
      <c r="A205" s="106" t="s">
        <v>284</v>
      </c>
      <c r="B205" s="109" t="s">
        <v>233</v>
      </c>
      <c r="C205" s="109"/>
      <c r="D205" s="109" t="s">
        <v>88</v>
      </c>
      <c r="E205" s="115" t="s">
        <v>130</v>
      </c>
      <c r="F205" s="109" t="s">
        <v>285</v>
      </c>
      <c r="G205" s="110" t="s">
        <v>286</v>
      </c>
    </row>
    <row r="206" ht="15.4" customHeight="1" spans="1:7">
      <c r="A206" s="106" t="s">
        <v>9</v>
      </c>
      <c r="B206" s="116" t="s">
        <v>287</v>
      </c>
      <c r="C206" s="116"/>
      <c r="D206" s="109"/>
      <c r="E206" s="115"/>
      <c r="F206" s="115"/>
      <c r="G206" s="117">
        <f>G207+G215</f>
        <v>128.18</v>
      </c>
    </row>
    <row r="207" ht="15.4" customHeight="1" spans="1:7">
      <c r="A207" s="106" t="s">
        <v>132</v>
      </c>
      <c r="B207" s="116" t="s">
        <v>288</v>
      </c>
      <c r="C207" s="116"/>
      <c r="D207" s="109"/>
      <c r="E207" s="115"/>
      <c r="F207" s="115"/>
      <c r="G207" s="117">
        <f>G208+G211+G213</f>
        <v>122.31</v>
      </c>
    </row>
    <row r="208" ht="15.4" customHeight="1" spans="1:7">
      <c r="A208" s="106" t="s">
        <v>39</v>
      </c>
      <c r="B208" s="116" t="s">
        <v>247</v>
      </c>
      <c r="C208" s="116"/>
      <c r="D208" s="109"/>
      <c r="E208" s="115"/>
      <c r="F208" s="115"/>
      <c r="G208" s="117">
        <f>SUM(G209:G210)</f>
        <v>9.23</v>
      </c>
    </row>
    <row r="209" ht="15.4" customHeight="1" spans="1:7">
      <c r="A209" s="106"/>
      <c r="B209" s="116" t="s">
        <v>289</v>
      </c>
      <c r="C209" s="116"/>
      <c r="D209" s="109" t="s">
        <v>290</v>
      </c>
      <c r="E209" s="115"/>
      <c r="F209" s="115"/>
      <c r="G209" s="117">
        <f>E209*F209</f>
        <v>0</v>
      </c>
    </row>
    <row r="210" ht="15.4" customHeight="1" spans="1:7">
      <c r="A210" s="106"/>
      <c r="B210" s="116" t="s">
        <v>291</v>
      </c>
      <c r="C210" s="116"/>
      <c r="D210" s="109" t="s">
        <v>290</v>
      </c>
      <c r="E210" s="115">
        <v>1.6</v>
      </c>
      <c r="F210" s="115">
        <f>主材!D22</f>
        <v>5.77</v>
      </c>
      <c r="G210" s="117">
        <f>E210*F210</f>
        <v>9.23</v>
      </c>
    </row>
    <row r="211" ht="15.4" customHeight="1" spans="1:7">
      <c r="A211" s="106" t="s">
        <v>41</v>
      </c>
      <c r="B211" s="116" t="s">
        <v>248</v>
      </c>
      <c r="C211" s="116"/>
      <c r="D211" s="109"/>
      <c r="E211" s="115"/>
      <c r="F211" s="115"/>
      <c r="G211" s="117">
        <f>G212</f>
        <v>11.12</v>
      </c>
    </row>
    <row r="212" ht="15.4" customHeight="1" spans="1:7">
      <c r="A212" s="106"/>
      <c r="B212" s="116" t="s">
        <v>292</v>
      </c>
      <c r="C212" s="116"/>
      <c r="D212" s="109" t="s">
        <v>293</v>
      </c>
      <c r="E212" s="115">
        <f>G208+G213</f>
        <v>111.19</v>
      </c>
      <c r="F212" s="115">
        <v>10</v>
      </c>
      <c r="G212" s="117">
        <f>E212*F212/100</f>
        <v>11.12</v>
      </c>
    </row>
    <row r="213" ht="15.4" customHeight="1" spans="1:7">
      <c r="A213" s="106" t="s">
        <v>46</v>
      </c>
      <c r="B213" s="116" t="s">
        <v>314</v>
      </c>
      <c r="C213" s="116"/>
      <c r="D213" s="116"/>
      <c r="E213" s="115"/>
      <c r="F213" s="115"/>
      <c r="G213" s="117">
        <f>G214</f>
        <v>101.96</v>
      </c>
    </row>
    <row r="214" ht="15.4" customHeight="1" spans="1:7">
      <c r="A214" s="106"/>
      <c r="B214" s="730" t="s">
        <v>328</v>
      </c>
      <c r="C214" s="730"/>
      <c r="D214" s="109" t="s">
        <v>316</v>
      </c>
      <c r="E214" s="115">
        <v>1.14</v>
      </c>
      <c r="F214" s="115">
        <f>机械!E9</f>
        <v>89.44</v>
      </c>
      <c r="G214" s="117">
        <f>E214*F214</f>
        <v>101.96</v>
      </c>
    </row>
    <row r="215" ht="15.4" customHeight="1" spans="1:7">
      <c r="A215" s="106" t="s">
        <v>133</v>
      </c>
      <c r="B215" s="116" t="s">
        <v>294</v>
      </c>
      <c r="C215" s="116"/>
      <c r="D215" s="109"/>
      <c r="E215" s="717">
        <f>G207</f>
        <v>122.31</v>
      </c>
      <c r="F215" s="120">
        <f>费率!C4</f>
        <v>0.048</v>
      </c>
      <c r="G215" s="117">
        <f>E215*F215</f>
        <v>5.87</v>
      </c>
    </row>
    <row r="216" ht="15.4" customHeight="1" spans="1:7">
      <c r="A216" s="106" t="s">
        <v>14</v>
      </c>
      <c r="B216" s="116" t="s">
        <v>295</v>
      </c>
      <c r="C216" s="116"/>
      <c r="D216" s="109"/>
      <c r="E216" s="115">
        <f>G206</f>
        <v>128.18</v>
      </c>
      <c r="F216" s="120">
        <f>费率!C5</f>
        <v>0.04</v>
      </c>
      <c r="G216" s="117">
        <f>E216*F216</f>
        <v>5.13</v>
      </c>
    </row>
    <row r="217" ht="15.4" customHeight="1" spans="1:7">
      <c r="A217" s="106" t="s">
        <v>16</v>
      </c>
      <c r="B217" s="116" t="s">
        <v>296</v>
      </c>
      <c r="C217" s="116"/>
      <c r="D217" s="109"/>
      <c r="E217" s="115">
        <f>G206+G216</f>
        <v>133.31</v>
      </c>
      <c r="F217" s="120">
        <f>费率!C6</f>
        <v>0.05</v>
      </c>
      <c r="G217" s="117">
        <f>E217*F217</f>
        <v>6.67</v>
      </c>
    </row>
    <row r="218" ht="15.4" customHeight="1" spans="1:7">
      <c r="A218" s="106" t="s">
        <v>18</v>
      </c>
      <c r="B218" s="116" t="s">
        <v>254</v>
      </c>
      <c r="C218" s="116"/>
      <c r="D218" s="109"/>
      <c r="E218" s="115"/>
      <c r="F218" s="120"/>
      <c r="G218" s="117">
        <f>G219</f>
        <v>49.89</v>
      </c>
    </row>
    <row r="219" ht="15.4" customHeight="1" spans="1:7">
      <c r="A219" s="106" t="s">
        <v>39</v>
      </c>
      <c r="B219" s="116" t="s">
        <v>317</v>
      </c>
      <c r="C219" s="116"/>
      <c r="D219" s="109" t="s">
        <v>323</v>
      </c>
      <c r="E219" s="115">
        <f>E214*10.6</f>
        <v>12.08</v>
      </c>
      <c r="F219" s="115">
        <f>主材!N13</f>
        <v>4.13</v>
      </c>
      <c r="G219" s="117">
        <f>E219*F219</f>
        <v>49.89</v>
      </c>
    </row>
    <row r="220" ht="15.4" customHeight="1" spans="1:7">
      <c r="A220" s="106" t="s">
        <v>20</v>
      </c>
      <c r="B220" s="116" t="s">
        <v>297</v>
      </c>
      <c r="C220" s="116"/>
      <c r="D220" s="109"/>
      <c r="E220" s="115">
        <f>G206+G216+G217+G218</f>
        <v>189.87</v>
      </c>
      <c r="F220" s="122">
        <f>费率!C7</f>
        <v>0.09</v>
      </c>
      <c r="G220" s="117">
        <f>E220*F220</f>
        <v>17.09</v>
      </c>
    </row>
    <row r="221" ht="15.4" customHeight="1" spans="1:7">
      <c r="A221" s="106"/>
      <c r="B221" s="116" t="s">
        <v>298</v>
      </c>
      <c r="C221" s="116"/>
      <c r="D221" s="109"/>
      <c r="E221" s="115">
        <f>G206+G216+G217+G218+G220</f>
        <v>206.96</v>
      </c>
      <c r="F221" s="122">
        <v>0.03</v>
      </c>
      <c r="G221" s="117">
        <f>E221*F221</f>
        <v>6.21</v>
      </c>
    </row>
    <row r="222" ht="15.4" customHeight="1" spans="1:7">
      <c r="A222" s="123"/>
      <c r="B222" s="124" t="s">
        <v>121</v>
      </c>
      <c r="C222" s="124"/>
      <c r="D222" s="124"/>
      <c r="E222" s="125"/>
      <c r="F222" s="124"/>
      <c r="G222" s="126">
        <f>G206+G216+G217+G218+G220+G221</f>
        <v>213.17</v>
      </c>
    </row>
    <row r="223" ht="34.15" customHeight="1" spans="3:7">
      <c r="C223" s="727"/>
      <c r="D223" s="731"/>
      <c r="E223" s="732"/>
      <c r="F223" s="731"/>
      <c r="G223" s="732"/>
    </row>
    <row r="224" customHeight="1" spans="1:7">
      <c r="A224" s="79" t="s">
        <v>274</v>
      </c>
      <c r="B224" s="79"/>
      <c r="C224" s="79"/>
      <c r="D224" s="79"/>
      <c r="E224" s="79"/>
      <c r="F224" s="79"/>
      <c r="G224" s="79"/>
    </row>
    <row r="225" ht="13.9" customHeight="1" spans="1:7">
      <c r="A225" s="102" t="s">
        <v>275</v>
      </c>
      <c r="B225" s="103"/>
      <c r="C225" s="103" t="s">
        <v>334</v>
      </c>
      <c r="D225" s="103" t="s">
        <v>276</v>
      </c>
      <c r="E225" s="104" t="s">
        <v>335</v>
      </c>
      <c r="F225" s="104"/>
      <c r="G225" s="105"/>
    </row>
    <row r="226" ht="13.9" customHeight="1" spans="1:7">
      <c r="A226" s="106" t="s">
        <v>278</v>
      </c>
      <c r="B226" s="107"/>
      <c r="C226" s="108" t="s">
        <v>336</v>
      </c>
      <c r="D226" s="108"/>
      <c r="E226" s="108"/>
      <c r="F226" s="109" t="s">
        <v>280</v>
      </c>
      <c r="G226" s="110" t="s">
        <v>281</v>
      </c>
    </row>
    <row r="227" ht="13.9" customHeight="1" spans="1:7">
      <c r="A227" s="111" t="s">
        <v>337</v>
      </c>
      <c r="B227" s="108"/>
      <c r="C227" s="108"/>
      <c r="D227" s="108"/>
      <c r="E227" s="108"/>
      <c r="F227" s="108"/>
      <c r="G227" s="112"/>
    </row>
    <row r="228" ht="13.9" customHeight="1" spans="1:7">
      <c r="A228" s="113" t="s">
        <v>338</v>
      </c>
      <c r="B228" s="114"/>
      <c r="C228" s="54"/>
      <c r="D228" s="54"/>
      <c r="E228" s="54"/>
      <c r="F228" s="54"/>
      <c r="G228" s="55"/>
    </row>
    <row r="229" ht="13.9" customHeight="1" spans="1:7">
      <c r="A229" s="106" t="s">
        <v>284</v>
      </c>
      <c r="B229" s="109" t="s">
        <v>233</v>
      </c>
      <c r="C229" s="109"/>
      <c r="D229" s="109" t="s">
        <v>88</v>
      </c>
      <c r="E229" s="115" t="s">
        <v>130</v>
      </c>
      <c r="F229" s="109" t="s">
        <v>285</v>
      </c>
      <c r="G229" s="110" t="s">
        <v>286</v>
      </c>
    </row>
    <row r="230" ht="13.9" customHeight="1" spans="1:7">
      <c r="A230" s="106" t="s">
        <v>9</v>
      </c>
      <c r="B230" s="116" t="s">
        <v>287</v>
      </c>
      <c r="C230" s="116"/>
      <c r="D230" s="109"/>
      <c r="E230" s="115"/>
      <c r="F230" s="115"/>
      <c r="G230" s="117">
        <f>G231+G241</f>
        <v>677.12</v>
      </c>
    </row>
    <row r="231" ht="13.9" customHeight="1" spans="1:7">
      <c r="A231" s="106" t="s">
        <v>132</v>
      </c>
      <c r="B231" s="116" t="s">
        <v>288</v>
      </c>
      <c r="C231" s="116"/>
      <c r="D231" s="109"/>
      <c r="E231" s="115"/>
      <c r="F231" s="115"/>
      <c r="G231" s="117">
        <f>G232+G235+G237</f>
        <v>646.11</v>
      </c>
    </row>
    <row r="232" ht="13.9" customHeight="1" spans="1:7">
      <c r="A232" s="106" t="s">
        <v>39</v>
      </c>
      <c r="B232" s="116" t="s">
        <v>247</v>
      </c>
      <c r="C232" s="116"/>
      <c r="D232" s="109"/>
      <c r="E232" s="115"/>
      <c r="F232" s="115"/>
      <c r="G232" s="117">
        <f>SUM(G233:G234)</f>
        <v>27.29</v>
      </c>
    </row>
    <row r="233" ht="13.9" customHeight="1" spans="1:7">
      <c r="A233" s="106"/>
      <c r="B233" s="116" t="s">
        <v>289</v>
      </c>
      <c r="C233" s="116"/>
      <c r="D233" s="109" t="s">
        <v>290</v>
      </c>
      <c r="E233" s="115"/>
      <c r="F233" s="115"/>
      <c r="G233" s="117"/>
    </row>
    <row r="234" ht="13.9" customHeight="1" spans="1:7">
      <c r="A234" s="106"/>
      <c r="B234" s="116" t="s">
        <v>291</v>
      </c>
      <c r="C234" s="116"/>
      <c r="D234" s="109" t="s">
        <v>290</v>
      </c>
      <c r="E234" s="115">
        <f>5.2*0.91</f>
        <v>4.73</v>
      </c>
      <c r="F234" s="115">
        <f>主材!D22</f>
        <v>5.77</v>
      </c>
      <c r="G234" s="117">
        <f>E234*F234</f>
        <v>27.29</v>
      </c>
    </row>
    <row r="235" ht="13.9" customHeight="1" spans="1:7">
      <c r="A235" s="106" t="s">
        <v>41</v>
      </c>
      <c r="B235" s="116" t="s">
        <v>248</v>
      </c>
      <c r="C235" s="116"/>
      <c r="D235" s="109"/>
      <c r="E235" s="115"/>
      <c r="F235" s="115"/>
      <c r="G235" s="117">
        <f>G236</f>
        <v>30.77</v>
      </c>
    </row>
    <row r="236" ht="13.9" customHeight="1" spans="1:7">
      <c r="A236" s="106"/>
      <c r="B236" s="116" t="s">
        <v>292</v>
      </c>
      <c r="C236" s="116"/>
      <c r="D236" s="109" t="s">
        <v>293</v>
      </c>
      <c r="E236" s="115">
        <f>G232+G237</f>
        <v>615.34</v>
      </c>
      <c r="F236" s="115">
        <v>5</v>
      </c>
      <c r="G236" s="117">
        <f>E236*F236/100</f>
        <v>30.77</v>
      </c>
    </row>
    <row r="237" ht="13.9" customHeight="1" spans="1:7">
      <c r="A237" s="106" t="s">
        <v>46</v>
      </c>
      <c r="B237" s="116" t="s">
        <v>314</v>
      </c>
      <c r="C237" s="116"/>
      <c r="D237" s="116"/>
      <c r="E237" s="115"/>
      <c r="F237" s="115"/>
      <c r="G237" s="117">
        <f>SUM(G238:G240)</f>
        <v>588.05</v>
      </c>
    </row>
    <row r="238" ht="13.9" customHeight="1" spans="1:7">
      <c r="A238" s="106"/>
      <c r="B238" s="116" t="s">
        <v>339</v>
      </c>
      <c r="C238" s="116"/>
      <c r="D238" s="109" t="s">
        <v>316</v>
      </c>
      <c r="E238" s="115">
        <f>1.04*0.91</f>
        <v>0.95</v>
      </c>
      <c r="F238" s="115">
        <f>机械!E4</f>
        <v>122.94</v>
      </c>
      <c r="G238" s="117">
        <f t="shared" ref="G238:G243" si="1">E238*F238</f>
        <v>116.79</v>
      </c>
    </row>
    <row r="239" ht="13.9" customHeight="1" spans="1:7">
      <c r="A239" s="106"/>
      <c r="B239" s="116" t="s">
        <v>340</v>
      </c>
      <c r="C239" s="116"/>
      <c r="D239" s="109" t="s">
        <v>316</v>
      </c>
      <c r="E239" s="115">
        <f>0.52*0.91</f>
        <v>0.47</v>
      </c>
      <c r="F239" s="115">
        <f>机械!E8</f>
        <v>66.38</v>
      </c>
      <c r="G239" s="117">
        <f t="shared" si="1"/>
        <v>31.2</v>
      </c>
    </row>
    <row r="240" ht="13.9" customHeight="1" spans="1:7">
      <c r="A240" s="106"/>
      <c r="B240" s="116" t="s">
        <v>341</v>
      </c>
      <c r="C240" s="116"/>
      <c r="D240" s="109" t="s">
        <v>316</v>
      </c>
      <c r="E240" s="115">
        <f>6.62*0.91</f>
        <v>6.02</v>
      </c>
      <c r="F240" s="115">
        <f>机械!E26</f>
        <v>73.1</v>
      </c>
      <c r="G240" s="117">
        <f t="shared" si="1"/>
        <v>440.06</v>
      </c>
    </row>
    <row r="241" ht="13.9" customHeight="1" spans="1:7">
      <c r="A241" s="106" t="s">
        <v>133</v>
      </c>
      <c r="B241" s="116" t="s">
        <v>294</v>
      </c>
      <c r="C241" s="116"/>
      <c r="D241" s="109"/>
      <c r="E241" s="717">
        <f>G231</f>
        <v>646.11</v>
      </c>
      <c r="F241" s="120">
        <f>费率!C4</f>
        <v>0.048</v>
      </c>
      <c r="G241" s="117">
        <f t="shared" si="1"/>
        <v>31.01</v>
      </c>
    </row>
    <row r="242" ht="13.9" customHeight="1" spans="1:7">
      <c r="A242" s="106" t="s">
        <v>14</v>
      </c>
      <c r="B242" s="116" t="s">
        <v>295</v>
      </c>
      <c r="C242" s="116"/>
      <c r="D242" s="109"/>
      <c r="E242" s="115">
        <f>G230</f>
        <v>677.12</v>
      </c>
      <c r="F242" s="120">
        <f>费率!C5</f>
        <v>0.04</v>
      </c>
      <c r="G242" s="117">
        <f t="shared" si="1"/>
        <v>27.08</v>
      </c>
    </row>
    <row r="243" ht="13.9" customHeight="1" spans="1:7">
      <c r="A243" s="106" t="s">
        <v>16</v>
      </c>
      <c r="B243" s="116" t="s">
        <v>296</v>
      </c>
      <c r="C243" s="116"/>
      <c r="D243" s="109"/>
      <c r="E243" s="115">
        <f>G230+G242</f>
        <v>704.2</v>
      </c>
      <c r="F243" s="120">
        <f>费率!C6</f>
        <v>0.05</v>
      </c>
      <c r="G243" s="117">
        <f t="shared" si="1"/>
        <v>35.21</v>
      </c>
    </row>
    <row r="244" ht="13.9" customHeight="1" spans="1:7">
      <c r="A244" s="106" t="s">
        <v>18</v>
      </c>
      <c r="B244" s="116" t="s">
        <v>254</v>
      </c>
      <c r="C244" s="116"/>
      <c r="D244" s="109"/>
      <c r="E244" s="115"/>
      <c r="F244" s="120"/>
      <c r="G244" s="117">
        <f>G245</f>
        <v>328.38</v>
      </c>
    </row>
    <row r="245" ht="13.9" customHeight="1" spans="1:7">
      <c r="A245" s="106" t="s">
        <v>39</v>
      </c>
      <c r="B245" s="116" t="s">
        <v>317</v>
      </c>
      <c r="C245" s="116"/>
      <c r="D245" s="109" t="s">
        <v>323</v>
      </c>
      <c r="E245" s="115">
        <f>E238*14.9+E239*8.4+E240*10.2</f>
        <v>79.51</v>
      </c>
      <c r="F245" s="115">
        <f>主材!N13</f>
        <v>4.13</v>
      </c>
      <c r="G245" s="117">
        <f>E245*F245</f>
        <v>328.38</v>
      </c>
    </row>
    <row r="246" ht="13.9" customHeight="1" spans="1:7">
      <c r="A246" s="106" t="s">
        <v>20</v>
      </c>
      <c r="B246" s="116" t="s">
        <v>297</v>
      </c>
      <c r="C246" s="116"/>
      <c r="D246" s="109"/>
      <c r="E246" s="115">
        <f>G230+G242+G243+G244</f>
        <v>1067.79</v>
      </c>
      <c r="F246" s="122">
        <f>费率!C7</f>
        <v>0.09</v>
      </c>
      <c r="G246" s="117">
        <f>E246*F246</f>
        <v>96.1</v>
      </c>
    </row>
    <row r="247" ht="13.9" customHeight="1" spans="1:7">
      <c r="A247" s="106"/>
      <c r="B247" s="116" t="s">
        <v>298</v>
      </c>
      <c r="C247" s="116"/>
      <c r="D247" s="109"/>
      <c r="E247" s="115">
        <f>G230+G242+G243+G244+G246</f>
        <v>1163.89</v>
      </c>
      <c r="F247" s="122">
        <v>0.03</v>
      </c>
      <c r="G247" s="117">
        <f>E247*F247</f>
        <v>34.92</v>
      </c>
    </row>
    <row r="248" ht="13.9" customHeight="1" spans="1:7">
      <c r="A248" s="123"/>
      <c r="B248" s="124" t="s">
        <v>121</v>
      </c>
      <c r="C248" s="124"/>
      <c r="D248" s="124"/>
      <c r="E248" s="125"/>
      <c r="F248" s="124"/>
      <c r="G248" s="126">
        <f>G230+G242+G243+G244+G246+G247</f>
        <v>1198.81</v>
      </c>
    </row>
    <row r="249" customHeight="1" spans="3:7">
      <c r="C249" s="727"/>
      <c r="D249" s="731"/>
      <c r="E249" s="732"/>
      <c r="F249" s="731"/>
      <c r="G249" s="732"/>
    </row>
    <row r="250" customHeight="1" spans="3:7">
      <c r="C250" s="727"/>
      <c r="D250" s="731"/>
      <c r="E250" s="732"/>
      <c r="F250" s="731"/>
      <c r="G250" s="732"/>
    </row>
    <row r="251" customHeight="1" spans="1:7">
      <c r="A251" s="79" t="s">
        <v>274</v>
      </c>
      <c r="B251" s="79"/>
      <c r="C251" s="79"/>
      <c r="D251" s="79"/>
      <c r="E251" s="79"/>
      <c r="F251" s="79"/>
      <c r="G251" s="79"/>
    </row>
    <row r="252" customHeight="1" spans="1:7">
      <c r="A252" s="102" t="s">
        <v>275</v>
      </c>
      <c r="B252" s="103"/>
      <c r="C252" s="103" t="s">
        <v>342</v>
      </c>
      <c r="D252" s="103" t="s">
        <v>276</v>
      </c>
      <c r="E252" s="104" t="s">
        <v>343</v>
      </c>
      <c r="F252" s="104"/>
      <c r="G252" s="105"/>
    </row>
    <row r="253" customHeight="1" spans="1:7">
      <c r="A253" s="106" t="s">
        <v>278</v>
      </c>
      <c r="B253" s="107"/>
      <c r="C253" s="108" t="s">
        <v>344</v>
      </c>
      <c r="D253" s="108"/>
      <c r="E253" s="108"/>
      <c r="F253" s="109" t="s">
        <v>280</v>
      </c>
      <c r="G253" s="110" t="s">
        <v>281</v>
      </c>
    </row>
    <row r="254" customHeight="1" spans="1:7">
      <c r="A254" s="111" t="s">
        <v>337</v>
      </c>
      <c r="B254" s="108"/>
      <c r="C254" s="108"/>
      <c r="D254" s="108"/>
      <c r="E254" s="108"/>
      <c r="F254" s="108"/>
      <c r="G254" s="112"/>
    </row>
    <row r="255" customHeight="1" spans="1:7">
      <c r="A255" s="113" t="s">
        <v>338</v>
      </c>
      <c r="B255" s="114"/>
      <c r="C255" s="54"/>
      <c r="D255" s="54"/>
      <c r="E255" s="54"/>
      <c r="F255" s="54"/>
      <c r="G255" s="55"/>
    </row>
    <row r="256" customHeight="1" spans="1:7">
      <c r="A256" s="106" t="s">
        <v>284</v>
      </c>
      <c r="B256" s="109" t="s">
        <v>233</v>
      </c>
      <c r="C256" s="109"/>
      <c r="D256" s="109" t="s">
        <v>88</v>
      </c>
      <c r="E256" s="115" t="s">
        <v>130</v>
      </c>
      <c r="F256" s="109" t="s">
        <v>285</v>
      </c>
      <c r="G256" s="110" t="s">
        <v>286</v>
      </c>
    </row>
    <row r="257" customHeight="1" spans="1:7">
      <c r="A257" s="106" t="s">
        <v>9</v>
      </c>
      <c r="B257" s="116" t="s">
        <v>287</v>
      </c>
      <c r="C257" s="116"/>
      <c r="D257" s="109"/>
      <c r="E257" s="115"/>
      <c r="F257" s="115"/>
      <c r="G257" s="117">
        <f>G258+G268</f>
        <v>778.01</v>
      </c>
    </row>
    <row r="258" customHeight="1" spans="1:7">
      <c r="A258" s="106" t="s">
        <v>132</v>
      </c>
      <c r="B258" s="116" t="s">
        <v>288</v>
      </c>
      <c r="C258" s="116"/>
      <c r="D258" s="109"/>
      <c r="E258" s="115"/>
      <c r="F258" s="115"/>
      <c r="G258" s="117">
        <f>G259+G262+G264</f>
        <v>742.38</v>
      </c>
    </row>
    <row r="259" customHeight="1" spans="1:7">
      <c r="A259" s="106" t="s">
        <v>39</v>
      </c>
      <c r="B259" s="116" t="s">
        <v>247</v>
      </c>
      <c r="C259" s="116"/>
      <c r="D259" s="109"/>
      <c r="E259" s="115"/>
      <c r="F259" s="115"/>
      <c r="G259" s="117">
        <f>SUM(G260:G261)</f>
        <v>30</v>
      </c>
    </row>
    <row r="260" customHeight="1" spans="1:7">
      <c r="A260" s="106"/>
      <c r="B260" s="116" t="s">
        <v>289</v>
      </c>
      <c r="C260" s="116"/>
      <c r="D260" s="109" t="s">
        <v>290</v>
      </c>
      <c r="E260" s="115"/>
      <c r="F260" s="115"/>
      <c r="G260" s="117"/>
    </row>
    <row r="261" customHeight="1" spans="1:7">
      <c r="A261" s="106"/>
      <c r="B261" s="116" t="s">
        <v>291</v>
      </c>
      <c r="C261" s="116"/>
      <c r="D261" s="109" t="s">
        <v>290</v>
      </c>
      <c r="E261" s="115">
        <v>5.2</v>
      </c>
      <c r="F261" s="115">
        <f>主材!D22</f>
        <v>5.77</v>
      </c>
      <c r="G261" s="117">
        <f>E261*F261</f>
        <v>30</v>
      </c>
    </row>
    <row r="262" customHeight="1" spans="1:7">
      <c r="A262" s="106" t="s">
        <v>41</v>
      </c>
      <c r="B262" s="715" t="s">
        <v>248</v>
      </c>
      <c r="C262" s="716"/>
      <c r="D262" s="109"/>
      <c r="E262" s="115"/>
      <c r="F262" s="115"/>
      <c r="G262" s="117">
        <f>G263</f>
        <v>35.35</v>
      </c>
    </row>
    <row r="263" customHeight="1" spans="1:7">
      <c r="A263" s="106"/>
      <c r="B263" s="116" t="s">
        <v>292</v>
      </c>
      <c r="C263" s="116"/>
      <c r="D263" s="109" t="s">
        <v>293</v>
      </c>
      <c r="E263" s="115">
        <f>G259+G264</f>
        <v>707.03</v>
      </c>
      <c r="F263" s="115">
        <v>5</v>
      </c>
      <c r="G263" s="117">
        <f>E263*F263/100</f>
        <v>35.35</v>
      </c>
    </row>
    <row r="264" customHeight="1" spans="1:7">
      <c r="A264" s="106" t="s">
        <v>46</v>
      </c>
      <c r="B264" s="116" t="s">
        <v>314</v>
      </c>
      <c r="C264" s="116"/>
      <c r="D264" s="116"/>
      <c r="E264" s="115"/>
      <c r="F264" s="115"/>
      <c r="G264" s="117">
        <f>SUM(G265:G267)</f>
        <v>677.03</v>
      </c>
    </row>
    <row r="265" customHeight="1" spans="1:7">
      <c r="A265" s="106"/>
      <c r="B265" s="715" t="s">
        <v>339</v>
      </c>
      <c r="C265" s="716"/>
      <c r="D265" s="109" t="s">
        <v>316</v>
      </c>
      <c r="E265" s="115">
        <f>1.04*1.24</f>
        <v>1.29</v>
      </c>
      <c r="F265" s="115">
        <f>机械!E4</f>
        <v>122.94</v>
      </c>
      <c r="G265" s="117">
        <f t="shared" ref="G265:G270" si="2">E265*F265</f>
        <v>158.59</v>
      </c>
    </row>
    <row r="266" customHeight="1" spans="1:7">
      <c r="A266" s="106"/>
      <c r="B266" s="715" t="s">
        <v>340</v>
      </c>
      <c r="C266" s="716"/>
      <c r="D266" s="109" t="s">
        <v>316</v>
      </c>
      <c r="E266" s="115">
        <v>0.52</v>
      </c>
      <c r="F266" s="115">
        <f>机械!E8</f>
        <v>66.38</v>
      </c>
      <c r="G266" s="117">
        <f t="shared" si="2"/>
        <v>34.52</v>
      </c>
    </row>
    <row r="267" customHeight="1" spans="1:7">
      <c r="A267" s="106"/>
      <c r="B267" s="715" t="s">
        <v>341</v>
      </c>
      <c r="C267" s="716"/>
      <c r="D267" s="109" t="s">
        <v>316</v>
      </c>
      <c r="E267" s="115">
        <v>6.62</v>
      </c>
      <c r="F267" s="115">
        <f>机械!E26</f>
        <v>73.1</v>
      </c>
      <c r="G267" s="117">
        <f t="shared" si="2"/>
        <v>483.92</v>
      </c>
    </row>
    <row r="268" customHeight="1" spans="1:7">
      <c r="A268" s="106" t="s">
        <v>133</v>
      </c>
      <c r="B268" s="116" t="s">
        <v>294</v>
      </c>
      <c r="C268" s="116"/>
      <c r="D268" s="109"/>
      <c r="E268" s="717">
        <f>G258</f>
        <v>742.38</v>
      </c>
      <c r="F268" s="120">
        <f>费率!C4</f>
        <v>0.048</v>
      </c>
      <c r="G268" s="117">
        <f t="shared" si="2"/>
        <v>35.63</v>
      </c>
    </row>
    <row r="269" customHeight="1" spans="1:7">
      <c r="A269" s="106" t="s">
        <v>14</v>
      </c>
      <c r="B269" s="116" t="s">
        <v>295</v>
      </c>
      <c r="C269" s="116"/>
      <c r="D269" s="109"/>
      <c r="E269" s="115">
        <f>G257</f>
        <v>778.01</v>
      </c>
      <c r="F269" s="120">
        <f>费率!C5</f>
        <v>0.04</v>
      </c>
      <c r="G269" s="117">
        <f t="shared" si="2"/>
        <v>31.12</v>
      </c>
    </row>
    <row r="270" customHeight="1" spans="1:7">
      <c r="A270" s="106" t="s">
        <v>16</v>
      </c>
      <c r="B270" s="116" t="s">
        <v>296</v>
      </c>
      <c r="C270" s="116"/>
      <c r="D270" s="109"/>
      <c r="E270" s="115">
        <f>G257+G269</f>
        <v>809.13</v>
      </c>
      <c r="F270" s="120">
        <f>费率!C6</f>
        <v>0.05</v>
      </c>
      <c r="G270" s="117">
        <f t="shared" si="2"/>
        <v>40.46</v>
      </c>
    </row>
    <row r="271" customHeight="1" spans="1:7">
      <c r="A271" s="106" t="s">
        <v>18</v>
      </c>
      <c r="B271" s="715" t="s">
        <v>254</v>
      </c>
      <c r="C271" s="716"/>
      <c r="D271" s="109"/>
      <c r="E271" s="115"/>
      <c r="F271" s="120"/>
      <c r="G271" s="117">
        <f>G272</f>
        <v>376.28</v>
      </c>
    </row>
    <row r="272" customHeight="1" spans="1:7">
      <c r="A272" s="106" t="s">
        <v>39</v>
      </c>
      <c r="B272" s="715" t="s">
        <v>317</v>
      </c>
      <c r="C272" s="716"/>
      <c r="D272" s="109" t="s">
        <v>323</v>
      </c>
      <c r="E272" s="115">
        <f>E265*14.9+E266*8.4+E267*10.2</f>
        <v>91.11</v>
      </c>
      <c r="F272" s="115">
        <f>主材!N13</f>
        <v>4.13</v>
      </c>
      <c r="G272" s="117">
        <f>E272*F272</f>
        <v>376.28</v>
      </c>
    </row>
    <row r="273" customHeight="1" spans="1:7">
      <c r="A273" s="106" t="s">
        <v>20</v>
      </c>
      <c r="B273" s="116" t="s">
        <v>297</v>
      </c>
      <c r="C273" s="116"/>
      <c r="D273" s="109"/>
      <c r="E273" s="115">
        <f>G257+G269+G270+G271</f>
        <v>1225.87</v>
      </c>
      <c r="F273" s="122">
        <f>费率!C7</f>
        <v>0.09</v>
      </c>
      <c r="G273" s="117">
        <f>E273*F273</f>
        <v>110.33</v>
      </c>
    </row>
    <row r="274" customHeight="1" spans="1:7">
      <c r="A274" s="106"/>
      <c r="B274" s="116" t="s">
        <v>298</v>
      </c>
      <c r="C274" s="116"/>
      <c r="D274" s="109"/>
      <c r="E274" s="115">
        <f>G257+G269+G270+G271+G273</f>
        <v>1336.2</v>
      </c>
      <c r="F274" s="122">
        <v>0.03</v>
      </c>
      <c r="G274" s="117">
        <f>E274*F274</f>
        <v>40.09</v>
      </c>
    </row>
    <row r="275" customHeight="1" spans="1:7">
      <c r="A275" s="123"/>
      <c r="B275" s="124" t="s">
        <v>121</v>
      </c>
      <c r="C275" s="124"/>
      <c r="D275" s="124"/>
      <c r="E275" s="125"/>
      <c r="F275" s="124"/>
      <c r="G275" s="126">
        <f>G257+G269+G270+G271+G273+G274</f>
        <v>1376.29</v>
      </c>
    </row>
    <row r="277" customHeight="1" spans="1:7">
      <c r="A277" s="79" t="s">
        <v>274</v>
      </c>
      <c r="B277" s="79"/>
      <c r="C277" s="79"/>
      <c r="D277" s="79"/>
      <c r="E277" s="79"/>
      <c r="F277" s="79"/>
      <c r="G277" s="79"/>
    </row>
    <row r="278" customHeight="1" spans="1:7">
      <c r="A278" s="102" t="s">
        <v>275</v>
      </c>
      <c r="B278" s="103"/>
      <c r="C278" s="103" t="s">
        <v>345</v>
      </c>
      <c r="D278" s="103" t="s">
        <v>276</v>
      </c>
      <c r="E278" s="104" t="s">
        <v>346</v>
      </c>
      <c r="F278" s="104"/>
      <c r="G278" s="105"/>
    </row>
    <row r="279" customHeight="1" spans="1:7">
      <c r="A279" s="106" t="s">
        <v>278</v>
      </c>
      <c r="B279" s="107"/>
      <c r="C279" s="108" t="s">
        <v>347</v>
      </c>
      <c r="D279" s="108"/>
      <c r="E279" s="108"/>
      <c r="F279" s="109" t="s">
        <v>280</v>
      </c>
      <c r="G279" s="110" t="s">
        <v>281</v>
      </c>
    </row>
    <row r="280" customHeight="1" spans="1:7">
      <c r="A280" s="111" t="s">
        <v>337</v>
      </c>
      <c r="B280" s="108"/>
      <c r="C280" s="108"/>
      <c r="D280" s="108"/>
      <c r="E280" s="108"/>
      <c r="F280" s="108"/>
      <c r="G280" s="112"/>
    </row>
    <row r="281" customHeight="1" spans="1:7">
      <c r="A281" s="113" t="s">
        <v>338</v>
      </c>
      <c r="B281" s="114"/>
      <c r="C281" s="54"/>
      <c r="D281" s="54"/>
      <c r="E281" s="54"/>
      <c r="F281" s="54"/>
      <c r="G281" s="55"/>
    </row>
    <row r="282" customHeight="1" spans="1:7">
      <c r="A282" s="106" t="s">
        <v>284</v>
      </c>
      <c r="B282" s="109" t="s">
        <v>233</v>
      </c>
      <c r="C282" s="109"/>
      <c r="D282" s="109" t="s">
        <v>88</v>
      </c>
      <c r="E282" s="115" t="s">
        <v>130</v>
      </c>
      <c r="F282" s="109" t="s">
        <v>285</v>
      </c>
      <c r="G282" s="110" t="s">
        <v>286</v>
      </c>
    </row>
    <row r="283" customHeight="1" spans="1:7">
      <c r="A283" s="106" t="s">
        <v>9</v>
      </c>
      <c r="B283" s="116" t="s">
        <v>287</v>
      </c>
      <c r="C283" s="116"/>
      <c r="D283" s="109"/>
      <c r="E283" s="115"/>
      <c r="F283" s="115"/>
      <c r="G283" s="117">
        <f>G284+G294</f>
        <v>995.2</v>
      </c>
    </row>
    <row r="284" customHeight="1" spans="1:7">
      <c r="A284" s="106" t="s">
        <v>132</v>
      </c>
      <c r="B284" s="116" t="s">
        <v>288</v>
      </c>
      <c r="C284" s="116"/>
      <c r="D284" s="109"/>
      <c r="E284" s="115"/>
      <c r="F284" s="115"/>
      <c r="G284" s="117">
        <f>G285+G288+G290</f>
        <v>949.62</v>
      </c>
    </row>
    <row r="285" customHeight="1" spans="1:7">
      <c r="A285" s="106" t="s">
        <v>39</v>
      </c>
      <c r="B285" s="116" t="s">
        <v>247</v>
      </c>
      <c r="C285" s="116"/>
      <c r="D285" s="109"/>
      <c r="E285" s="115"/>
      <c r="F285" s="115"/>
      <c r="G285" s="117">
        <f>SUM(G286:G287)</f>
        <v>30</v>
      </c>
    </row>
    <row r="286" customHeight="1" spans="1:7">
      <c r="A286" s="106"/>
      <c r="B286" s="116" t="s">
        <v>289</v>
      </c>
      <c r="C286" s="116"/>
      <c r="D286" s="109" t="s">
        <v>290</v>
      </c>
      <c r="E286" s="115"/>
      <c r="F286" s="115"/>
      <c r="G286" s="117"/>
    </row>
    <row r="287" customHeight="1" spans="1:7">
      <c r="A287" s="106"/>
      <c r="B287" s="116" t="s">
        <v>291</v>
      </c>
      <c r="C287" s="116"/>
      <c r="D287" s="109" t="s">
        <v>290</v>
      </c>
      <c r="E287" s="115">
        <v>5.2</v>
      </c>
      <c r="F287" s="115">
        <f>主材!D22</f>
        <v>5.77</v>
      </c>
      <c r="G287" s="117">
        <f>E287*F287</f>
        <v>30</v>
      </c>
    </row>
    <row r="288" customHeight="1" spans="1:7">
      <c r="A288" s="106" t="s">
        <v>41</v>
      </c>
      <c r="B288" s="715" t="s">
        <v>248</v>
      </c>
      <c r="C288" s="716"/>
      <c r="D288" s="109"/>
      <c r="E288" s="115"/>
      <c r="F288" s="115"/>
      <c r="G288" s="117">
        <f>G289</f>
        <v>45.22</v>
      </c>
    </row>
    <row r="289" customHeight="1" spans="1:7">
      <c r="A289" s="106"/>
      <c r="B289" s="116" t="s">
        <v>292</v>
      </c>
      <c r="C289" s="116"/>
      <c r="D289" s="109" t="s">
        <v>293</v>
      </c>
      <c r="E289" s="115">
        <f>G285+G290</f>
        <v>904.4</v>
      </c>
      <c r="F289" s="115">
        <v>5</v>
      </c>
      <c r="G289" s="117">
        <f>E289*F289/100</f>
        <v>45.22</v>
      </c>
    </row>
    <row r="290" customHeight="1" spans="1:7">
      <c r="A290" s="106" t="s">
        <v>46</v>
      </c>
      <c r="B290" s="116" t="s">
        <v>314</v>
      </c>
      <c r="C290" s="116"/>
      <c r="D290" s="116"/>
      <c r="E290" s="115"/>
      <c r="F290" s="115"/>
      <c r="G290" s="117">
        <f>SUM(G291:G293)</f>
        <v>874.4</v>
      </c>
    </row>
    <row r="291" customHeight="1" spans="1:7">
      <c r="A291" s="106"/>
      <c r="B291" s="715" t="s">
        <v>339</v>
      </c>
      <c r="C291" s="716"/>
      <c r="D291" s="109" t="s">
        <v>316</v>
      </c>
      <c r="E291" s="115">
        <f>1.04*1.24</f>
        <v>1.29</v>
      </c>
      <c r="F291" s="115">
        <f>机械!E4</f>
        <v>122.94</v>
      </c>
      <c r="G291" s="117">
        <f t="shared" ref="G291:G296" si="3">E291*F291</f>
        <v>158.59</v>
      </c>
    </row>
    <row r="292" customHeight="1" spans="1:7">
      <c r="A292" s="106"/>
      <c r="B292" s="715" t="s">
        <v>340</v>
      </c>
      <c r="C292" s="716"/>
      <c r="D292" s="109" t="s">
        <v>316</v>
      </c>
      <c r="E292" s="115">
        <v>0.52</v>
      </c>
      <c r="F292" s="115">
        <f>机械!E8</f>
        <v>66.38</v>
      </c>
      <c r="G292" s="117">
        <f t="shared" si="3"/>
        <v>34.52</v>
      </c>
    </row>
    <row r="293" customHeight="1" spans="1:7">
      <c r="A293" s="106"/>
      <c r="B293" s="715" t="s">
        <v>341</v>
      </c>
      <c r="C293" s="716"/>
      <c r="D293" s="109" t="s">
        <v>316</v>
      </c>
      <c r="E293" s="115">
        <v>9.32</v>
      </c>
      <c r="F293" s="115">
        <f>机械!E26</f>
        <v>73.1</v>
      </c>
      <c r="G293" s="117">
        <f t="shared" si="3"/>
        <v>681.29</v>
      </c>
    </row>
    <row r="294" customHeight="1" spans="1:7">
      <c r="A294" s="106" t="s">
        <v>133</v>
      </c>
      <c r="B294" s="116" t="s">
        <v>294</v>
      </c>
      <c r="C294" s="116"/>
      <c r="D294" s="109"/>
      <c r="E294" s="717">
        <f>G284</f>
        <v>949.62</v>
      </c>
      <c r="F294" s="120">
        <f>费率!C4</f>
        <v>0.048</v>
      </c>
      <c r="G294" s="117">
        <f t="shared" si="3"/>
        <v>45.58</v>
      </c>
    </row>
    <row r="295" customHeight="1" spans="1:7">
      <c r="A295" s="106" t="s">
        <v>14</v>
      </c>
      <c r="B295" s="116" t="s">
        <v>295</v>
      </c>
      <c r="C295" s="116"/>
      <c r="D295" s="109"/>
      <c r="E295" s="115">
        <f>G283</f>
        <v>995.2</v>
      </c>
      <c r="F295" s="120">
        <f>费率!C5</f>
        <v>0.04</v>
      </c>
      <c r="G295" s="117">
        <f t="shared" si="3"/>
        <v>39.81</v>
      </c>
    </row>
    <row r="296" customHeight="1" spans="1:7">
      <c r="A296" s="106" t="s">
        <v>16</v>
      </c>
      <c r="B296" s="116" t="s">
        <v>296</v>
      </c>
      <c r="C296" s="116"/>
      <c r="D296" s="109"/>
      <c r="E296" s="115">
        <f>G283+G295</f>
        <v>1035.01</v>
      </c>
      <c r="F296" s="120">
        <f>费率!C6</f>
        <v>0.05</v>
      </c>
      <c r="G296" s="117">
        <f t="shared" si="3"/>
        <v>51.75</v>
      </c>
    </row>
    <row r="297" customHeight="1" spans="1:7">
      <c r="A297" s="106" t="s">
        <v>18</v>
      </c>
      <c r="B297" s="715" t="s">
        <v>254</v>
      </c>
      <c r="C297" s="716"/>
      <c r="D297" s="109"/>
      <c r="E297" s="115"/>
      <c r="F297" s="120"/>
      <c r="G297" s="117">
        <f>G298</f>
        <v>490.02</v>
      </c>
    </row>
    <row r="298" customHeight="1" spans="1:7">
      <c r="A298" s="106" t="s">
        <v>39</v>
      </c>
      <c r="B298" s="715" t="s">
        <v>317</v>
      </c>
      <c r="C298" s="716"/>
      <c r="D298" s="109" t="s">
        <v>323</v>
      </c>
      <c r="E298" s="115">
        <f>E291*14.9+E292*8.4+E293*10.2</f>
        <v>118.65</v>
      </c>
      <c r="F298" s="115">
        <f>主材!N13</f>
        <v>4.13</v>
      </c>
      <c r="G298" s="117">
        <f>E298*F298</f>
        <v>490.02</v>
      </c>
    </row>
    <row r="299" customHeight="1" spans="1:7">
      <c r="A299" s="106" t="s">
        <v>20</v>
      </c>
      <c r="B299" s="116" t="s">
        <v>297</v>
      </c>
      <c r="C299" s="116"/>
      <c r="D299" s="109"/>
      <c r="E299" s="115">
        <f>G283+G295+G296+G297</f>
        <v>1576.78</v>
      </c>
      <c r="F299" s="122">
        <f>费率!C7</f>
        <v>0.09</v>
      </c>
      <c r="G299" s="117">
        <f>E299*F299</f>
        <v>141.91</v>
      </c>
    </row>
    <row r="300" customHeight="1" spans="1:7">
      <c r="A300" s="106"/>
      <c r="B300" s="116" t="s">
        <v>298</v>
      </c>
      <c r="C300" s="116"/>
      <c r="D300" s="109"/>
      <c r="E300" s="115">
        <f>G283+G295+G296+G297+G299</f>
        <v>1718.69</v>
      </c>
      <c r="F300" s="122">
        <v>0.03</v>
      </c>
      <c r="G300" s="117">
        <f>E300*F300</f>
        <v>51.56</v>
      </c>
    </row>
    <row r="301" customHeight="1" spans="1:7">
      <c r="A301" s="123"/>
      <c r="B301" s="124" t="s">
        <v>121</v>
      </c>
      <c r="C301" s="124"/>
      <c r="D301" s="124"/>
      <c r="E301" s="125"/>
      <c r="F301" s="124"/>
      <c r="G301" s="126">
        <f>G283+G295+G296+G297+G299+G300</f>
        <v>1770.25</v>
      </c>
    </row>
    <row r="302" customHeight="1" spans="1:7">
      <c r="A302" s="138"/>
      <c r="B302" s="138"/>
      <c r="C302" s="138"/>
      <c r="D302" s="138"/>
      <c r="E302" s="139"/>
      <c r="F302" s="138"/>
      <c r="G302" s="139"/>
    </row>
    <row r="303" customHeight="1" spans="1:34">
      <c r="A303" s="79" t="s">
        <v>274</v>
      </c>
      <c r="B303" s="79"/>
      <c r="C303" s="79"/>
      <c r="D303" s="79"/>
      <c r="E303" s="79"/>
      <c r="F303" s="79"/>
      <c r="G303" s="79"/>
      <c r="H303" s="733"/>
      <c r="I303" s="733"/>
      <c r="J303" s="733"/>
      <c r="K303" s="733"/>
      <c r="L303" s="733"/>
      <c r="M303" s="733"/>
      <c r="N303" s="733"/>
      <c r="O303" s="733"/>
      <c r="S303" s="725"/>
      <c r="T303" s="725"/>
      <c r="U303" s="725"/>
      <c r="V303" s="725"/>
      <c r="W303" s="725"/>
      <c r="X303" s="725"/>
      <c r="Y303" s="725"/>
      <c r="Z303" s="725"/>
      <c r="AA303" s="725"/>
      <c r="AB303" s="725"/>
      <c r="AC303" s="725"/>
      <c r="AD303" s="725"/>
      <c r="AE303" s="725"/>
      <c r="AF303" s="725"/>
      <c r="AG303" s="725"/>
      <c r="AH303" s="725"/>
    </row>
    <row r="304" customHeight="1" spans="1:34">
      <c r="A304" s="102" t="s">
        <v>275</v>
      </c>
      <c r="B304" s="103"/>
      <c r="C304" s="103" t="s">
        <v>348</v>
      </c>
      <c r="D304" s="103" t="s">
        <v>276</v>
      </c>
      <c r="E304" s="104" t="s">
        <v>349</v>
      </c>
      <c r="F304" s="104"/>
      <c r="G304" s="105"/>
      <c r="H304" s="733"/>
      <c r="I304" s="733"/>
      <c r="J304" s="733"/>
      <c r="K304" s="733"/>
      <c r="L304" s="733"/>
      <c r="M304" s="733"/>
      <c r="N304" s="733"/>
      <c r="O304" s="733"/>
      <c r="S304" s="725"/>
      <c r="T304" s="725"/>
      <c r="U304" s="725"/>
      <c r="V304" s="725"/>
      <c r="W304" s="725"/>
      <c r="X304" s="725"/>
      <c r="Y304" s="725"/>
      <c r="Z304" s="725"/>
      <c r="AA304" s="725"/>
      <c r="AB304" s="725"/>
      <c r="AC304" s="725"/>
      <c r="AD304" s="725"/>
      <c r="AE304" s="725"/>
      <c r="AF304" s="725"/>
      <c r="AG304" s="725"/>
      <c r="AH304" s="725"/>
    </row>
    <row r="305" customHeight="1" spans="1:34">
      <c r="A305" s="106" t="s">
        <v>278</v>
      </c>
      <c r="B305" s="107"/>
      <c r="C305" s="108" t="s">
        <v>350</v>
      </c>
      <c r="D305" s="108"/>
      <c r="E305" s="108"/>
      <c r="F305" s="109" t="s">
        <v>280</v>
      </c>
      <c r="G305" s="110" t="s">
        <v>281</v>
      </c>
      <c r="H305" s="733"/>
      <c r="I305" s="733"/>
      <c r="J305" s="733"/>
      <c r="K305" s="733"/>
      <c r="L305" s="733"/>
      <c r="M305" s="733"/>
      <c r="N305" s="733"/>
      <c r="O305" s="733"/>
      <c r="S305" s="725"/>
      <c r="T305" s="725"/>
      <c r="U305" s="725"/>
      <c r="V305" s="725"/>
      <c r="W305" s="725"/>
      <c r="X305" s="725"/>
      <c r="Y305" s="725"/>
      <c r="Z305" s="725"/>
      <c r="AA305" s="725"/>
      <c r="AB305" s="725"/>
      <c r="AC305" s="725"/>
      <c r="AD305" s="725"/>
      <c r="AE305" s="725"/>
      <c r="AF305" s="725"/>
      <c r="AG305" s="725"/>
      <c r="AH305" s="725"/>
    </row>
    <row r="306" customHeight="1" spans="1:34">
      <c r="A306" s="111" t="s">
        <v>337</v>
      </c>
      <c r="B306" s="108"/>
      <c r="C306" s="108"/>
      <c r="D306" s="108"/>
      <c r="E306" s="108"/>
      <c r="F306" s="108"/>
      <c r="G306" s="112"/>
      <c r="H306" s="733"/>
      <c r="I306" s="733"/>
      <c r="J306" s="733"/>
      <c r="K306" s="733"/>
      <c r="L306" s="733"/>
      <c r="M306" s="733"/>
      <c r="N306" s="733"/>
      <c r="O306" s="733"/>
      <c r="S306" s="725"/>
      <c r="T306" s="725"/>
      <c r="U306" s="725"/>
      <c r="V306" s="725"/>
      <c r="W306" s="725"/>
      <c r="X306" s="725"/>
      <c r="Y306" s="725"/>
      <c r="Z306" s="725"/>
      <c r="AA306" s="725"/>
      <c r="AB306" s="725"/>
      <c r="AC306" s="725"/>
      <c r="AD306" s="725"/>
      <c r="AE306" s="725"/>
      <c r="AF306" s="725"/>
      <c r="AG306" s="725"/>
      <c r="AH306" s="725"/>
    </row>
    <row r="307" customHeight="1" spans="1:34">
      <c r="A307" s="113" t="s">
        <v>338</v>
      </c>
      <c r="B307" s="114"/>
      <c r="C307" s="54"/>
      <c r="D307" s="54"/>
      <c r="E307" s="54"/>
      <c r="F307" s="54"/>
      <c r="G307" s="55"/>
      <c r="H307" s="733"/>
      <c r="I307" s="733"/>
      <c r="J307" s="733"/>
      <c r="K307" s="733"/>
      <c r="L307" s="733"/>
      <c r="M307" s="733"/>
      <c r="N307" s="733"/>
      <c r="O307" s="733"/>
      <c r="S307" s="725"/>
      <c r="T307" s="725"/>
      <c r="U307" s="725"/>
      <c r="V307" s="725"/>
      <c r="W307" s="725"/>
      <c r="X307" s="725"/>
      <c r="Y307" s="725"/>
      <c r="Z307" s="725"/>
      <c r="AA307" s="725"/>
      <c r="AB307" s="725"/>
      <c r="AC307" s="725"/>
      <c r="AD307" s="725"/>
      <c r="AE307" s="725"/>
      <c r="AF307" s="725"/>
      <c r="AG307" s="725"/>
      <c r="AH307" s="725"/>
    </row>
    <row r="308" customHeight="1" spans="1:34">
      <c r="A308" s="106" t="s">
        <v>284</v>
      </c>
      <c r="B308" s="109" t="s">
        <v>233</v>
      </c>
      <c r="C308" s="109"/>
      <c r="D308" s="109" t="s">
        <v>88</v>
      </c>
      <c r="E308" s="115" t="s">
        <v>130</v>
      </c>
      <c r="F308" s="109" t="s">
        <v>285</v>
      </c>
      <c r="G308" s="110" t="s">
        <v>286</v>
      </c>
      <c r="H308" s="733"/>
      <c r="I308" s="733"/>
      <c r="J308" s="733"/>
      <c r="K308" s="733"/>
      <c r="L308" s="733"/>
      <c r="M308" s="733"/>
      <c r="N308" s="733"/>
      <c r="O308" s="733"/>
      <c r="S308" s="725"/>
      <c r="T308" s="725"/>
      <c r="U308" s="725"/>
      <c r="V308" s="725"/>
      <c r="W308" s="725"/>
      <c r="X308" s="725"/>
      <c r="Y308" s="725"/>
      <c r="Z308" s="725"/>
      <c r="AA308" s="725"/>
      <c r="AB308" s="725"/>
      <c r="AC308" s="725"/>
      <c r="AD308" s="725"/>
      <c r="AE308" s="725"/>
      <c r="AF308" s="725"/>
      <c r="AG308" s="725"/>
      <c r="AH308" s="725"/>
    </row>
    <row r="309" customHeight="1" spans="1:34">
      <c r="A309" s="106" t="s">
        <v>9</v>
      </c>
      <c r="B309" s="116" t="s">
        <v>287</v>
      </c>
      <c r="C309" s="116"/>
      <c r="D309" s="109"/>
      <c r="E309" s="115"/>
      <c r="F309" s="115"/>
      <c r="G309" s="117">
        <f>G310+G320</f>
        <v>1234.91</v>
      </c>
      <c r="H309" s="733"/>
      <c r="I309" s="733"/>
      <c r="J309" s="733"/>
      <c r="K309" s="733"/>
      <c r="L309" s="733"/>
      <c r="M309" s="733"/>
      <c r="N309" s="733"/>
      <c r="O309" s="733"/>
      <c r="S309" s="725"/>
      <c r="T309" s="725"/>
      <c r="U309" s="725"/>
      <c r="V309" s="725"/>
      <c r="W309" s="725"/>
      <c r="X309" s="725"/>
      <c r="Y309" s="725"/>
      <c r="Z309" s="725"/>
      <c r="AA309" s="725"/>
      <c r="AB309" s="725"/>
      <c r="AC309" s="725"/>
      <c r="AD309" s="725"/>
      <c r="AE309" s="725"/>
      <c r="AF309" s="725"/>
      <c r="AG309" s="725"/>
      <c r="AH309" s="725"/>
    </row>
    <row r="310" customHeight="1" spans="1:34">
      <c r="A310" s="106" t="s">
        <v>132</v>
      </c>
      <c r="B310" s="116" t="s">
        <v>288</v>
      </c>
      <c r="C310" s="116"/>
      <c r="D310" s="109"/>
      <c r="E310" s="115"/>
      <c r="F310" s="115"/>
      <c r="G310" s="117">
        <f>G311+G314+G316</f>
        <v>1178.35</v>
      </c>
      <c r="H310" s="733"/>
      <c r="I310" s="733"/>
      <c r="J310" s="733"/>
      <c r="K310" s="733"/>
      <c r="L310" s="733"/>
      <c r="M310" s="733"/>
      <c r="N310" s="733"/>
      <c r="O310" s="733"/>
      <c r="S310" s="725"/>
      <c r="T310" s="725"/>
      <c r="U310" s="725"/>
      <c r="V310" s="725"/>
      <c r="W310" s="725"/>
      <c r="X310" s="725"/>
      <c r="Y310" s="725"/>
      <c r="Z310" s="725"/>
      <c r="AA310" s="725"/>
      <c r="AB310" s="725"/>
      <c r="AC310" s="725"/>
      <c r="AD310" s="725"/>
      <c r="AE310" s="725"/>
      <c r="AF310" s="725"/>
      <c r="AG310" s="725"/>
      <c r="AH310" s="725"/>
    </row>
    <row r="311" customHeight="1" spans="1:34">
      <c r="A311" s="106" t="s">
        <v>39</v>
      </c>
      <c r="B311" s="116" t="s">
        <v>247</v>
      </c>
      <c r="C311" s="116"/>
      <c r="D311" s="109"/>
      <c r="E311" s="115"/>
      <c r="F311" s="115"/>
      <c r="G311" s="117">
        <f>SUM(G312:G313)</f>
        <v>30</v>
      </c>
      <c r="H311" s="733"/>
      <c r="I311" s="733"/>
      <c r="J311" s="733"/>
      <c r="K311" s="733"/>
      <c r="L311" s="733"/>
      <c r="M311" s="733"/>
      <c r="N311" s="733"/>
      <c r="O311" s="733"/>
      <c r="S311" s="725"/>
      <c r="T311" s="725"/>
      <c r="U311" s="725"/>
      <c r="V311" s="725"/>
      <c r="W311" s="725"/>
      <c r="X311" s="725"/>
      <c r="Y311" s="725"/>
      <c r="Z311" s="725"/>
      <c r="AA311" s="725"/>
      <c r="AB311" s="725"/>
      <c r="AC311" s="725"/>
      <c r="AD311" s="725"/>
      <c r="AE311" s="725"/>
      <c r="AF311" s="725"/>
      <c r="AG311" s="725"/>
      <c r="AH311" s="725"/>
    </row>
    <row r="312" customHeight="1" spans="1:34">
      <c r="A312" s="106"/>
      <c r="B312" s="116" t="s">
        <v>289</v>
      </c>
      <c r="C312" s="116"/>
      <c r="D312" s="109" t="s">
        <v>290</v>
      </c>
      <c r="E312" s="115"/>
      <c r="F312" s="115"/>
      <c r="G312" s="117"/>
      <c r="H312" s="733"/>
      <c r="I312" s="733"/>
      <c r="J312" s="733"/>
      <c r="K312" s="733"/>
      <c r="L312" s="733"/>
      <c r="M312" s="733"/>
      <c r="N312" s="733"/>
      <c r="O312" s="733"/>
      <c r="S312" s="725"/>
      <c r="T312" s="725"/>
      <c r="U312" s="725"/>
      <c r="V312" s="725"/>
      <c r="W312" s="725"/>
      <c r="X312" s="725"/>
      <c r="Y312" s="725"/>
      <c r="Z312" s="725"/>
      <c r="AA312" s="725"/>
      <c r="AB312" s="725"/>
      <c r="AC312" s="725"/>
      <c r="AD312" s="725"/>
      <c r="AE312" s="725"/>
      <c r="AF312" s="725"/>
      <c r="AG312" s="725"/>
      <c r="AH312" s="725"/>
    </row>
    <row r="313" customHeight="1" spans="1:34">
      <c r="A313" s="106"/>
      <c r="B313" s="116" t="s">
        <v>291</v>
      </c>
      <c r="C313" s="116"/>
      <c r="D313" s="109" t="s">
        <v>290</v>
      </c>
      <c r="E313" s="115">
        <v>5.2</v>
      </c>
      <c r="F313" s="115">
        <f>主材!D22</f>
        <v>5.77</v>
      </c>
      <c r="G313" s="117">
        <f>E313*F313</f>
        <v>30</v>
      </c>
      <c r="H313" s="733"/>
      <c r="I313" s="733"/>
      <c r="J313" s="733"/>
      <c r="K313" s="733"/>
      <c r="L313" s="733"/>
      <c r="M313" s="733"/>
      <c r="N313" s="733"/>
      <c r="O313" s="733"/>
      <c r="S313" s="725"/>
      <c r="T313" s="725"/>
      <c r="U313" s="725"/>
      <c r="V313" s="725"/>
      <c r="W313" s="725"/>
      <c r="X313" s="725"/>
      <c r="Y313" s="725"/>
      <c r="Z313" s="725"/>
      <c r="AA313" s="725"/>
      <c r="AB313" s="725"/>
      <c r="AC313" s="725"/>
      <c r="AD313" s="725"/>
      <c r="AE313" s="725"/>
      <c r="AF313" s="725"/>
      <c r="AG313" s="725"/>
      <c r="AH313" s="725"/>
    </row>
    <row r="314" customHeight="1" spans="1:34">
      <c r="A314" s="106" t="s">
        <v>41</v>
      </c>
      <c r="B314" s="715" t="s">
        <v>248</v>
      </c>
      <c r="C314" s="716"/>
      <c r="D314" s="109"/>
      <c r="E314" s="115"/>
      <c r="F314" s="115"/>
      <c r="G314" s="117">
        <f>G315</f>
        <v>56.11</v>
      </c>
      <c r="H314" s="733"/>
      <c r="I314" s="733"/>
      <c r="J314" s="733"/>
      <c r="K314" s="733"/>
      <c r="L314" s="733"/>
      <c r="M314" s="733"/>
      <c r="N314" s="733"/>
      <c r="O314" s="733"/>
      <c r="S314" s="725"/>
      <c r="T314" s="725"/>
      <c r="U314" s="725"/>
      <c r="V314" s="725"/>
      <c r="W314" s="725"/>
      <c r="X314" s="725"/>
      <c r="Y314" s="725"/>
      <c r="Z314" s="725"/>
      <c r="AA314" s="725"/>
      <c r="AB314" s="725"/>
      <c r="AC314" s="725"/>
      <c r="AD314" s="725"/>
      <c r="AE314" s="725"/>
      <c r="AF314" s="725"/>
      <c r="AG314" s="725"/>
      <c r="AH314" s="725"/>
    </row>
    <row r="315" customHeight="1" spans="1:34">
      <c r="A315" s="106"/>
      <c r="B315" s="116" t="s">
        <v>292</v>
      </c>
      <c r="C315" s="116"/>
      <c r="D315" s="109" t="s">
        <v>293</v>
      </c>
      <c r="E315" s="115">
        <f>G311+G316</f>
        <v>1122.24</v>
      </c>
      <c r="F315" s="115">
        <v>5</v>
      </c>
      <c r="G315" s="117">
        <f>E315*F315/100</f>
        <v>56.11</v>
      </c>
      <c r="H315" s="733"/>
      <c r="I315" s="733"/>
      <c r="J315" s="733"/>
      <c r="K315" s="733"/>
      <c r="L315" s="733"/>
      <c r="M315" s="733"/>
      <c r="N315" s="733"/>
      <c r="O315" s="733"/>
      <c r="S315" s="725"/>
      <c r="T315" s="725"/>
      <c r="U315" s="725"/>
      <c r="V315" s="725"/>
      <c r="W315" s="725"/>
      <c r="X315" s="725"/>
      <c r="Y315" s="725"/>
      <c r="Z315" s="725"/>
      <c r="AA315" s="725"/>
      <c r="AB315" s="725"/>
      <c r="AC315" s="725"/>
      <c r="AD315" s="725"/>
      <c r="AE315" s="725"/>
      <c r="AF315" s="725"/>
      <c r="AG315" s="725"/>
      <c r="AH315" s="725"/>
    </row>
    <row r="316" customHeight="1" spans="1:34">
      <c r="A316" s="106" t="s">
        <v>46</v>
      </c>
      <c r="B316" s="116" t="s">
        <v>314</v>
      </c>
      <c r="C316" s="116"/>
      <c r="D316" s="116"/>
      <c r="E316" s="115"/>
      <c r="F316" s="115"/>
      <c r="G316" s="117">
        <f>SUM(G317:G319)</f>
        <v>1092.24</v>
      </c>
      <c r="H316" s="733"/>
      <c r="I316" s="733"/>
      <c r="J316" s="733"/>
      <c r="K316" s="733"/>
      <c r="L316" s="733"/>
      <c r="M316" s="733"/>
      <c r="N316" s="733"/>
      <c r="O316" s="733"/>
      <c r="S316" s="725"/>
      <c r="T316" s="725"/>
      <c r="U316" s="725"/>
      <c r="V316" s="725"/>
      <c r="W316" s="725"/>
      <c r="X316" s="725"/>
      <c r="Y316" s="725"/>
      <c r="Z316" s="725"/>
      <c r="AA316" s="725"/>
      <c r="AB316" s="725"/>
      <c r="AC316" s="725"/>
      <c r="AD316" s="725"/>
      <c r="AE316" s="725"/>
      <c r="AF316" s="725"/>
      <c r="AG316" s="725"/>
      <c r="AH316" s="725"/>
    </row>
    <row r="317" customHeight="1" spans="1:34">
      <c r="A317" s="106"/>
      <c r="B317" s="715" t="s">
        <v>339</v>
      </c>
      <c r="C317" s="716"/>
      <c r="D317" s="109" t="s">
        <v>316</v>
      </c>
      <c r="E317" s="115">
        <f>1.04*1.24</f>
        <v>1.29</v>
      </c>
      <c r="F317" s="115">
        <f>机械!E4</f>
        <v>122.94</v>
      </c>
      <c r="G317" s="117">
        <f t="shared" ref="G317:G322" si="4">E317*F317</f>
        <v>158.59</v>
      </c>
      <c r="H317" s="733"/>
      <c r="I317" s="733"/>
      <c r="J317" s="733"/>
      <c r="K317" s="733"/>
      <c r="L317" s="733"/>
      <c r="M317" s="733"/>
      <c r="N317" s="733"/>
      <c r="O317" s="733"/>
      <c r="S317" s="725"/>
      <c r="T317" s="725"/>
      <c r="U317" s="725"/>
      <c r="V317" s="725"/>
      <c r="W317" s="725"/>
      <c r="X317" s="725"/>
      <c r="Y317" s="725"/>
      <c r="Z317" s="725"/>
      <c r="AA317" s="725"/>
      <c r="AB317" s="725"/>
      <c r="AC317" s="725"/>
      <c r="AD317" s="725"/>
      <c r="AE317" s="725"/>
      <c r="AF317" s="725"/>
      <c r="AG317" s="725"/>
      <c r="AH317" s="725"/>
    </row>
    <row r="318" customHeight="1" spans="1:34">
      <c r="A318" s="106"/>
      <c r="B318" s="715" t="s">
        <v>340</v>
      </c>
      <c r="C318" s="716"/>
      <c r="D318" s="109" t="s">
        <v>316</v>
      </c>
      <c r="E318" s="115">
        <v>0.52</v>
      </c>
      <c r="F318" s="115">
        <f>机械!E8</f>
        <v>66.38</v>
      </c>
      <c r="G318" s="117">
        <f t="shared" si="4"/>
        <v>34.52</v>
      </c>
      <c r="H318" s="733"/>
      <c r="I318" s="733"/>
      <c r="J318" s="733"/>
      <c r="K318" s="733"/>
      <c r="L318" s="733"/>
      <c r="M318" s="733"/>
      <c r="N318" s="733"/>
      <c r="O318" s="733"/>
      <c r="S318" s="725"/>
      <c r="T318" s="725"/>
      <c r="U318" s="725"/>
      <c r="V318" s="725"/>
      <c r="W318" s="725"/>
      <c r="X318" s="725"/>
      <c r="Y318" s="725"/>
      <c r="Z318" s="725"/>
      <c r="AA318" s="725"/>
      <c r="AB318" s="725"/>
      <c r="AC318" s="725"/>
      <c r="AD318" s="725"/>
      <c r="AE318" s="725"/>
      <c r="AF318" s="725"/>
      <c r="AG318" s="725"/>
      <c r="AH318" s="725"/>
    </row>
    <row r="319" customHeight="1" spans="1:34">
      <c r="A319" s="106"/>
      <c r="B319" s="715" t="s">
        <v>341</v>
      </c>
      <c r="C319" s="716"/>
      <c r="D319" s="109" t="s">
        <v>316</v>
      </c>
      <c r="E319" s="115">
        <v>12.3</v>
      </c>
      <c r="F319" s="115">
        <f>机械!E26</f>
        <v>73.1</v>
      </c>
      <c r="G319" s="117">
        <f t="shared" si="4"/>
        <v>899.13</v>
      </c>
      <c r="H319" s="733"/>
      <c r="I319" s="733"/>
      <c r="J319" s="733"/>
      <c r="K319" s="733"/>
      <c r="L319" s="733"/>
      <c r="M319" s="733"/>
      <c r="N319" s="733"/>
      <c r="O319" s="733"/>
      <c r="S319" s="725"/>
      <c r="T319" s="725"/>
      <c r="U319" s="725"/>
      <c r="V319" s="725"/>
      <c r="W319" s="725"/>
      <c r="X319" s="725"/>
      <c r="Y319" s="725"/>
      <c r="Z319" s="725"/>
      <c r="AA319" s="725"/>
      <c r="AB319" s="725"/>
      <c r="AC319" s="725"/>
      <c r="AD319" s="725"/>
      <c r="AE319" s="725"/>
      <c r="AF319" s="725"/>
      <c r="AG319" s="725"/>
      <c r="AH319" s="725"/>
    </row>
    <row r="320" customHeight="1" spans="1:34">
      <c r="A320" s="106" t="s">
        <v>133</v>
      </c>
      <c r="B320" s="116" t="s">
        <v>294</v>
      </c>
      <c r="C320" s="116"/>
      <c r="D320" s="109"/>
      <c r="E320" s="717">
        <f>G310</f>
        <v>1178.35</v>
      </c>
      <c r="F320" s="120">
        <f>费率!C4</f>
        <v>0.048</v>
      </c>
      <c r="G320" s="117">
        <f t="shared" si="4"/>
        <v>56.56</v>
      </c>
      <c r="H320" s="733"/>
      <c r="I320" s="733"/>
      <c r="J320" s="733"/>
      <c r="K320" s="733"/>
      <c r="L320" s="733"/>
      <c r="M320" s="733"/>
      <c r="N320" s="733"/>
      <c r="O320" s="733"/>
      <c r="S320" s="725"/>
      <c r="T320" s="725"/>
      <c r="U320" s="725"/>
      <c r="V320" s="725"/>
      <c r="W320" s="725"/>
      <c r="X320" s="725"/>
      <c r="Y320" s="725"/>
      <c r="Z320" s="725"/>
      <c r="AA320" s="725"/>
      <c r="AB320" s="725"/>
      <c r="AC320" s="725"/>
      <c r="AD320" s="725"/>
      <c r="AE320" s="725"/>
      <c r="AF320" s="725"/>
      <c r="AG320" s="725"/>
      <c r="AH320" s="725"/>
    </row>
    <row r="321" customHeight="1" spans="1:34">
      <c r="A321" s="106" t="s">
        <v>14</v>
      </c>
      <c r="B321" s="116" t="s">
        <v>295</v>
      </c>
      <c r="C321" s="116"/>
      <c r="D321" s="109"/>
      <c r="E321" s="115">
        <f>G309</f>
        <v>1234.91</v>
      </c>
      <c r="F321" s="120">
        <f>费率!C5</f>
        <v>0.04</v>
      </c>
      <c r="G321" s="117">
        <f t="shared" si="4"/>
        <v>49.4</v>
      </c>
      <c r="H321" s="733"/>
      <c r="I321" s="733"/>
      <c r="J321" s="733"/>
      <c r="K321" s="733"/>
      <c r="L321" s="733"/>
      <c r="M321" s="733"/>
      <c r="N321" s="733"/>
      <c r="O321" s="733"/>
      <c r="S321" s="725"/>
      <c r="T321" s="725"/>
      <c r="U321" s="725"/>
      <c r="V321" s="725"/>
      <c r="W321" s="725"/>
      <c r="X321" s="725"/>
      <c r="Y321" s="725"/>
      <c r="Z321" s="725"/>
      <c r="AA321" s="725"/>
      <c r="AB321" s="725"/>
      <c r="AC321" s="725"/>
      <c r="AD321" s="725"/>
      <c r="AE321" s="725"/>
      <c r="AF321" s="725"/>
      <c r="AG321" s="725"/>
      <c r="AH321" s="725"/>
    </row>
    <row r="322" customHeight="1" spans="1:34">
      <c r="A322" s="106" t="s">
        <v>16</v>
      </c>
      <c r="B322" s="116" t="s">
        <v>296</v>
      </c>
      <c r="C322" s="116"/>
      <c r="D322" s="109"/>
      <c r="E322" s="115">
        <f>G309+G321</f>
        <v>1284.31</v>
      </c>
      <c r="F322" s="120">
        <f>费率!C6</f>
        <v>0.05</v>
      </c>
      <c r="G322" s="117">
        <f t="shared" si="4"/>
        <v>64.22</v>
      </c>
      <c r="H322" s="733"/>
      <c r="I322" s="733"/>
      <c r="J322" s="733"/>
      <c r="K322" s="733"/>
      <c r="L322" s="733"/>
      <c r="M322" s="733"/>
      <c r="N322" s="733"/>
      <c r="O322" s="733"/>
      <c r="S322" s="725"/>
      <c r="T322" s="725"/>
      <c r="U322" s="725"/>
      <c r="V322" s="725"/>
      <c r="W322" s="725"/>
      <c r="X322" s="725"/>
      <c r="Y322" s="725"/>
      <c r="Z322" s="725"/>
      <c r="AA322" s="725"/>
      <c r="AB322" s="725"/>
      <c r="AC322" s="725"/>
      <c r="AD322" s="725"/>
      <c r="AE322" s="725"/>
      <c r="AF322" s="725"/>
      <c r="AG322" s="725"/>
      <c r="AH322" s="725"/>
    </row>
    <row r="323" customHeight="1" spans="1:34">
      <c r="A323" s="106" t="s">
        <v>18</v>
      </c>
      <c r="B323" s="715" t="s">
        <v>254</v>
      </c>
      <c r="C323" s="716"/>
      <c r="D323" s="109"/>
      <c r="E323" s="115"/>
      <c r="F323" s="120"/>
      <c r="G323" s="117">
        <f>G324</f>
        <v>615.58</v>
      </c>
      <c r="H323" s="733"/>
      <c r="I323" s="733"/>
      <c r="J323" s="733"/>
      <c r="K323" s="733"/>
      <c r="L323" s="733"/>
      <c r="M323" s="733"/>
      <c r="N323" s="733"/>
      <c r="O323" s="733"/>
      <c r="S323" s="725"/>
      <c r="T323" s="725"/>
      <c r="U323" s="725"/>
      <c r="V323" s="725"/>
      <c r="W323" s="725"/>
      <c r="X323" s="725"/>
      <c r="Y323" s="725"/>
      <c r="Z323" s="725"/>
      <c r="AA323" s="725"/>
      <c r="AB323" s="725"/>
      <c r="AC323" s="725"/>
      <c r="AD323" s="725"/>
      <c r="AE323" s="725"/>
      <c r="AF323" s="725"/>
      <c r="AG323" s="725"/>
      <c r="AH323" s="725"/>
    </row>
    <row r="324" customHeight="1" spans="1:34">
      <c r="A324" s="106" t="s">
        <v>39</v>
      </c>
      <c r="B324" s="715" t="s">
        <v>317</v>
      </c>
      <c r="C324" s="716"/>
      <c r="D324" s="109" t="s">
        <v>323</v>
      </c>
      <c r="E324" s="115">
        <f>E317*14.9+E318*8.4+E319*10.2</f>
        <v>149.05</v>
      </c>
      <c r="F324" s="115">
        <f>主材!N13</f>
        <v>4.13</v>
      </c>
      <c r="G324" s="117">
        <f>E324*F324</f>
        <v>615.58</v>
      </c>
      <c r="H324" s="733"/>
      <c r="I324" s="733"/>
      <c r="J324" s="733"/>
      <c r="K324" s="733"/>
      <c r="L324" s="733"/>
      <c r="M324" s="733"/>
      <c r="N324" s="733"/>
      <c r="O324" s="733"/>
      <c r="S324" s="725"/>
      <c r="T324" s="725"/>
      <c r="U324" s="725"/>
      <c r="V324" s="725"/>
      <c r="W324" s="725"/>
      <c r="X324" s="725"/>
      <c r="Y324" s="725"/>
      <c r="Z324" s="725"/>
      <c r="AA324" s="725"/>
      <c r="AB324" s="725"/>
      <c r="AC324" s="725"/>
      <c r="AD324" s="725"/>
      <c r="AE324" s="725"/>
      <c r="AF324" s="725"/>
      <c r="AG324" s="725"/>
      <c r="AH324" s="725"/>
    </row>
    <row r="325" customHeight="1" spans="1:34">
      <c r="A325" s="106" t="s">
        <v>20</v>
      </c>
      <c r="B325" s="116" t="s">
        <v>297</v>
      </c>
      <c r="C325" s="116"/>
      <c r="D325" s="109"/>
      <c r="E325" s="115">
        <f>G309+G321+G322+G323</f>
        <v>1964.11</v>
      </c>
      <c r="F325" s="122">
        <f>费率!C7</f>
        <v>0.09</v>
      </c>
      <c r="G325" s="117">
        <f>E325*F325</f>
        <v>176.77</v>
      </c>
      <c r="H325" s="733"/>
      <c r="I325" s="733"/>
      <c r="J325" s="733"/>
      <c r="K325" s="733"/>
      <c r="L325" s="733"/>
      <c r="M325" s="733"/>
      <c r="N325" s="733"/>
      <c r="O325" s="733"/>
      <c r="S325" s="725"/>
      <c r="T325" s="725"/>
      <c r="U325" s="725"/>
      <c r="V325" s="725"/>
      <c r="W325" s="725"/>
      <c r="X325" s="725"/>
      <c r="Y325" s="725"/>
      <c r="Z325" s="725"/>
      <c r="AA325" s="725"/>
      <c r="AB325" s="725"/>
      <c r="AC325" s="725"/>
      <c r="AD325" s="725"/>
      <c r="AE325" s="725"/>
      <c r="AF325" s="725"/>
      <c r="AG325" s="725"/>
      <c r="AH325" s="725"/>
    </row>
    <row r="326" customHeight="1" spans="1:34">
      <c r="A326" s="106"/>
      <c r="B326" s="116" t="s">
        <v>298</v>
      </c>
      <c r="C326" s="116"/>
      <c r="D326" s="109"/>
      <c r="E326" s="115">
        <f>G309+G321+G322+G323+G325</f>
        <v>2140.88</v>
      </c>
      <c r="F326" s="122">
        <v>0.03</v>
      </c>
      <c r="G326" s="117">
        <f>E326*F326</f>
        <v>64.23</v>
      </c>
      <c r="H326" s="733"/>
      <c r="I326" s="733"/>
      <c r="J326" s="733"/>
      <c r="K326" s="733"/>
      <c r="L326" s="733"/>
      <c r="M326" s="733"/>
      <c r="N326" s="733"/>
      <c r="O326" s="733"/>
      <c r="S326" s="725"/>
      <c r="T326" s="725"/>
      <c r="U326" s="725"/>
      <c r="V326" s="725"/>
      <c r="W326" s="725"/>
      <c r="X326" s="725"/>
      <c r="Y326" s="725"/>
      <c r="Z326" s="725"/>
      <c r="AA326" s="725"/>
      <c r="AB326" s="725"/>
      <c r="AC326" s="725"/>
      <c r="AD326" s="725"/>
      <c r="AE326" s="725"/>
      <c r="AF326" s="725"/>
      <c r="AG326" s="725"/>
      <c r="AH326" s="725"/>
    </row>
    <row r="327" customHeight="1" spans="1:34">
      <c r="A327" s="123"/>
      <c r="B327" s="124" t="s">
        <v>121</v>
      </c>
      <c r="C327" s="124"/>
      <c r="D327" s="124"/>
      <c r="E327" s="125"/>
      <c r="F327" s="124"/>
      <c r="G327" s="126">
        <f>G309+G321+G322+G323+G325+G326</f>
        <v>2205.11</v>
      </c>
      <c r="H327" s="733"/>
      <c r="I327" s="733"/>
      <c r="J327" s="733"/>
      <c r="K327" s="733"/>
      <c r="L327" s="733"/>
      <c r="M327" s="733"/>
      <c r="N327" s="733"/>
      <c r="O327" s="733"/>
      <c r="S327" s="725"/>
      <c r="T327" s="725"/>
      <c r="U327" s="725"/>
      <c r="V327" s="725"/>
      <c r="W327" s="725"/>
      <c r="X327" s="725"/>
      <c r="Y327" s="725"/>
      <c r="Z327" s="725"/>
      <c r="AA327" s="725"/>
      <c r="AB327" s="725"/>
      <c r="AC327" s="725"/>
      <c r="AD327" s="725"/>
      <c r="AE327" s="725"/>
      <c r="AF327" s="725"/>
      <c r="AG327" s="725"/>
      <c r="AH327" s="725"/>
    </row>
    <row r="328" customHeight="1" spans="1:34">
      <c r="A328" s="138"/>
      <c r="B328" s="138"/>
      <c r="C328" s="138"/>
      <c r="D328" s="138"/>
      <c r="E328" s="139"/>
      <c r="F328" s="138"/>
      <c r="G328" s="139"/>
      <c r="H328" s="733"/>
      <c r="I328" s="733"/>
      <c r="J328" s="733"/>
      <c r="K328" s="733"/>
      <c r="L328" s="733"/>
      <c r="M328" s="733"/>
      <c r="N328" s="733"/>
      <c r="O328" s="733"/>
      <c r="S328" s="725"/>
      <c r="T328" s="725"/>
      <c r="U328" s="725"/>
      <c r="V328" s="725"/>
      <c r="W328" s="725"/>
      <c r="X328" s="725"/>
      <c r="Y328" s="725"/>
      <c r="Z328" s="725"/>
      <c r="AA328" s="725"/>
      <c r="AB328" s="725"/>
      <c r="AC328" s="725"/>
      <c r="AD328" s="725"/>
      <c r="AE328" s="725"/>
      <c r="AF328" s="725"/>
      <c r="AG328" s="725"/>
      <c r="AH328" s="725"/>
    </row>
    <row r="329" customHeight="1" spans="1:34">
      <c r="A329" s="79" t="s">
        <v>274</v>
      </c>
      <c r="B329" s="79"/>
      <c r="C329" s="79"/>
      <c r="D329" s="79"/>
      <c r="E329" s="79"/>
      <c r="F329" s="79"/>
      <c r="G329" s="79"/>
      <c r="H329" s="733"/>
      <c r="I329" s="733"/>
      <c r="J329" s="733"/>
      <c r="K329" s="733"/>
      <c r="L329" s="733"/>
      <c r="M329" s="733"/>
      <c r="N329" s="733"/>
      <c r="O329" s="733"/>
      <c r="S329" s="725"/>
      <c r="T329" s="725"/>
      <c r="U329" s="725"/>
      <c r="V329" s="725"/>
      <c r="W329" s="725"/>
      <c r="X329" s="725"/>
      <c r="Y329" s="725"/>
      <c r="Z329" s="725"/>
      <c r="AA329" s="725"/>
      <c r="AB329" s="725"/>
      <c r="AC329" s="725"/>
      <c r="AD329" s="725"/>
      <c r="AE329" s="725"/>
      <c r="AF329" s="725"/>
      <c r="AG329" s="725"/>
      <c r="AH329" s="725"/>
    </row>
    <row r="330" customHeight="1" spans="1:34">
      <c r="A330" s="102" t="s">
        <v>275</v>
      </c>
      <c r="B330" s="103"/>
      <c r="C330" s="103" t="s">
        <v>351</v>
      </c>
      <c r="D330" s="103" t="s">
        <v>276</v>
      </c>
      <c r="E330" s="104" t="s">
        <v>352</v>
      </c>
      <c r="F330" s="104"/>
      <c r="G330" s="105"/>
      <c r="H330" s="733"/>
      <c r="I330" s="733"/>
      <c r="J330" s="733"/>
      <c r="K330" s="733"/>
      <c r="L330" s="733"/>
      <c r="M330" s="733"/>
      <c r="N330" s="733"/>
      <c r="O330" s="733"/>
      <c r="S330" s="725"/>
      <c r="T330" s="725"/>
      <c r="U330" s="725"/>
      <c r="V330" s="725"/>
      <c r="W330" s="725"/>
      <c r="X330" s="725"/>
      <c r="Y330" s="725"/>
      <c r="Z330" s="725"/>
      <c r="AA330" s="725"/>
      <c r="AB330" s="725"/>
      <c r="AC330" s="725"/>
      <c r="AD330" s="725"/>
      <c r="AE330" s="725"/>
      <c r="AF330" s="725"/>
      <c r="AG330" s="725"/>
      <c r="AH330" s="725"/>
    </row>
    <row r="331" customHeight="1" spans="1:34">
      <c r="A331" s="106" t="s">
        <v>278</v>
      </c>
      <c r="B331" s="107"/>
      <c r="C331" s="108" t="s">
        <v>353</v>
      </c>
      <c r="D331" s="108"/>
      <c r="E331" s="108"/>
      <c r="F331" s="109" t="s">
        <v>280</v>
      </c>
      <c r="G331" s="110" t="s">
        <v>281</v>
      </c>
      <c r="H331" s="733"/>
      <c r="I331" s="733"/>
      <c r="J331" s="733"/>
      <c r="K331" s="733"/>
      <c r="L331" s="733"/>
      <c r="M331" s="733"/>
      <c r="N331" s="733"/>
      <c r="O331" s="733"/>
      <c r="S331" s="725"/>
      <c r="T331" s="725"/>
      <c r="U331" s="725"/>
      <c r="V331" s="725"/>
      <c r="W331" s="725"/>
      <c r="X331" s="725"/>
      <c r="Y331" s="725"/>
      <c r="Z331" s="725"/>
      <c r="AA331" s="725"/>
      <c r="AB331" s="725"/>
      <c r="AC331" s="725"/>
      <c r="AD331" s="725"/>
      <c r="AE331" s="725"/>
      <c r="AF331" s="725"/>
      <c r="AG331" s="725"/>
      <c r="AH331" s="725"/>
    </row>
    <row r="332" customHeight="1" spans="1:34">
      <c r="A332" s="111" t="s">
        <v>337</v>
      </c>
      <c r="B332" s="108"/>
      <c r="C332" s="108"/>
      <c r="D332" s="108"/>
      <c r="E332" s="108"/>
      <c r="F332" s="108"/>
      <c r="G332" s="112"/>
      <c r="H332" s="733"/>
      <c r="I332" s="733"/>
      <c r="J332" s="733"/>
      <c r="K332" s="733"/>
      <c r="L332" s="733"/>
      <c r="M332" s="733"/>
      <c r="N332" s="733"/>
      <c r="O332" s="733"/>
      <c r="S332" s="725"/>
      <c r="T332" s="725"/>
      <c r="U332" s="725"/>
      <c r="V332" s="725"/>
      <c r="W332" s="725"/>
      <c r="X332" s="725"/>
      <c r="Y332" s="725"/>
      <c r="Z332" s="725"/>
      <c r="AA332" s="725"/>
      <c r="AB332" s="725"/>
      <c r="AC332" s="725"/>
      <c r="AD332" s="725"/>
      <c r="AE332" s="725"/>
      <c r="AF332" s="725"/>
      <c r="AG332" s="725"/>
      <c r="AH332" s="725"/>
    </row>
    <row r="333" customHeight="1" spans="1:34">
      <c r="A333" s="113" t="s">
        <v>338</v>
      </c>
      <c r="B333" s="114"/>
      <c r="C333" s="54"/>
      <c r="D333" s="54"/>
      <c r="E333" s="54"/>
      <c r="F333" s="54"/>
      <c r="G333" s="55"/>
      <c r="H333" s="733"/>
      <c r="I333" s="733"/>
      <c r="J333" s="733"/>
      <c r="K333" s="733"/>
      <c r="L333" s="733"/>
      <c r="M333" s="733"/>
      <c r="N333" s="733"/>
      <c r="O333" s="733"/>
      <c r="S333" s="725"/>
      <c r="T333" s="725"/>
      <c r="U333" s="725"/>
      <c r="V333" s="725"/>
      <c r="W333" s="725"/>
      <c r="X333" s="725"/>
      <c r="Y333" s="725"/>
      <c r="Z333" s="725"/>
      <c r="AA333" s="725"/>
      <c r="AB333" s="725"/>
      <c r="AC333" s="725"/>
      <c r="AD333" s="725"/>
      <c r="AE333" s="725"/>
      <c r="AF333" s="725"/>
      <c r="AG333" s="725"/>
      <c r="AH333" s="725"/>
    </row>
    <row r="334" customHeight="1" spans="1:34">
      <c r="A334" s="106" t="s">
        <v>284</v>
      </c>
      <c r="B334" s="109" t="s">
        <v>233</v>
      </c>
      <c r="C334" s="109"/>
      <c r="D334" s="109" t="s">
        <v>88</v>
      </c>
      <c r="E334" s="115" t="s">
        <v>130</v>
      </c>
      <c r="F334" s="109" t="s">
        <v>285</v>
      </c>
      <c r="G334" s="110" t="s">
        <v>286</v>
      </c>
      <c r="H334" s="733"/>
      <c r="I334" s="733"/>
      <c r="J334" s="733"/>
      <c r="K334" s="733"/>
      <c r="L334" s="733"/>
      <c r="M334" s="733"/>
      <c r="N334" s="733"/>
      <c r="O334" s="733"/>
      <c r="S334" s="725"/>
      <c r="T334" s="725"/>
      <c r="U334" s="725"/>
      <c r="V334" s="725"/>
      <c r="W334" s="725"/>
      <c r="X334" s="725"/>
      <c r="Y334" s="725"/>
      <c r="Z334" s="725"/>
      <c r="AA334" s="725"/>
      <c r="AB334" s="725"/>
      <c r="AC334" s="725"/>
      <c r="AD334" s="725"/>
      <c r="AE334" s="725"/>
      <c r="AF334" s="725"/>
      <c r="AG334" s="725"/>
      <c r="AH334" s="725"/>
    </row>
    <row r="335" customHeight="1" spans="1:34">
      <c r="A335" s="106" t="s">
        <v>9</v>
      </c>
      <c r="B335" s="116" t="s">
        <v>287</v>
      </c>
      <c r="C335" s="116"/>
      <c r="D335" s="109"/>
      <c r="E335" s="115"/>
      <c r="F335" s="115"/>
      <c r="G335" s="117">
        <f>G336+G346</f>
        <v>1575.16</v>
      </c>
      <c r="H335" s="733"/>
      <c r="I335" s="733"/>
      <c r="J335" s="733"/>
      <c r="K335" s="733"/>
      <c r="L335" s="733"/>
      <c r="M335" s="733"/>
      <c r="N335" s="733"/>
      <c r="O335" s="733"/>
      <c r="S335" s="725"/>
      <c r="T335" s="725"/>
      <c r="U335" s="725"/>
      <c r="V335" s="725"/>
      <c r="W335" s="725"/>
      <c r="X335" s="725"/>
      <c r="Y335" s="725"/>
      <c r="Z335" s="725"/>
      <c r="AA335" s="725"/>
      <c r="AB335" s="725"/>
      <c r="AC335" s="725"/>
      <c r="AD335" s="725"/>
      <c r="AE335" s="725"/>
      <c r="AF335" s="725"/>
      <c r="AG335" s="725"/>
      <c r="AH335" s="725"/>
    </row>
    <row r="336" customHeight="1" spans="1:34">
      <c r="A336" s="106" t="s">
        <v>132</v>
      </c>
      <c r="B336" s="116" t="s">
        <v>288</v>
      </c>
      <c r="C336" s="116"/>
      <c r="D336" s="109"/>
      <c r="E336" s="115"/>
      <c r="F336" s="115"/>
      <c r="G336" s="117">
        <f>G337+G340+G342</f>
        <v>1503.02</v>
      </c>
      <c r="H336" s="733"/>
      <c r="I336" s="733"/>
      <c r="J336" s="733"/>
      <c r="K336" s="733"/>
      <c r="L336" s="733"/>
      <c r="M336" s="733"/>
      <c r="N336" s="733"/>
      <c r="O336" s="733"/>
      <c r="S336" s="725"/>
      <c r="T336" s="725"/>
      <c r="U336" s="725"/>
      <c r="V336" s="725"/>
      <c r="W336" s="725"/>
      <c r="X336" s="725"/>
      <c r="Y336" s="725"/>
      <c r="Z336" s="725"/>
      <c r="AA336" s="725"/>
      <c r="AB336" s="725"/>
      <c r="AC336" s="725"/>
      <c r="AD336" s="725"/>
      <c r="AE336" s="725"/>
      <c r="AF336" s="725"/>
      <c r="AG336" s="725"/>
      <c r="AH336" s="725"/>
    </row>
    <row r="337" customHeight="1" spans="1:34">
      <c r="A337" s="106" t="s">
        <v>39</v>
      </c>
      <c r="B337" s="116" t="s">
        <v>247</v>
      </c>
      <c r="C337" s="116"/>
      <c r="D337" s="109"/>
      <c r="E337" s="115"/>
      <c r="F337" s="115"/>
      <c r="G337" s="117">
        <f>SUM(G338:G339)</f>
        <v>30</v>
      </c>
      <c r="H337" s="733"/>
      <c r="I337" s="733"/>
      <c r="J337" s="733"/>
      <c r="K337" s="733"/>
      <c r="L337" s="733"/>
      <c r="M337" s="733"/>
      <c r="N337" s="733"/>
      <c r="O337" s="733"/>
      <c r="S337" s="725"/>
      <c r="T337" s="725"/>
      <c r="U337" s="725"/>
      <c r="V337" s="725"/>
      <c r="W337" s="725"/>
      <c r="X337" s="725"/>
      <c r="Y337" s="725"/>
      <c r="Z337" s="725"/>
      <c r="AA337" s="725"/>
      <c r="AB337" s="725"/>
      <c r="AC337" s="725"/>
      <c r="AD337" s="725"/>
      <c r="AE337" s="725"/>
      <c r="AF337" s="725"/>
      <c r="AG337" s="725"/>
      <c r="AH337" s="725"/>
    </row>
    <row r="338" customHeight="1" spans="1:34">
      <c r="A338" s="106"/>
      <c r="B338" s="116" t="s">
        <v>289</v>
      </c>
      <c r="C338" s="116"/>
      <c r="D338" s="109" t="s">
        <v>290</v>
      </c>
      <c r="E338" s="115"/>
      <c r="F338" s="115"/>
      <c r="G338" s="117"/>
      <c r="H338" s="733"/>
      <c r="I338" s="733"/>
      <c r="J338" s="733"/>
      <c r="K338" s="733"/>
      <c r="L338" s="733"/>
      <c r="M338" s="733"/>
      <c r="N338" s="733"/>
      <c r="O338" s="733"/>
      <c r="S338" s="725"/>
      <c r="T338" s="725"/>
      <c r="U338" s="725"/>
      <c r="V338" s="725"/>
      <c r="W338" s="725"/>
      <c r="X338" s="725"/>
      <c r="Y338" s="725"/>
      <c r="Z338" s="725"/>
      <c r="AA338" s="725"/>
      <c r="AB338" s="725"/>
      <c r="AC338" s="725"/>
      <c r="AD338" s="725"/>
      <c r="AE338" s="725"/>
      <c r="AF338" s="725"/>
      <c r="AG338" s="725"/>
      <c r="AH338" s="725"/>
    </row>
    <row r="339" customHeight="1" spans="1:34">
      <c r="A339" s="106"/>
      <c r="B339" s="116" t="s">
        <v>291</v>
      </c>
      <c r="C339" s="116"/>
      <c r="D339" s="109" t="s">
        <v>290</v>
      </c>
      <c r="E339" s="115">
        <v>5.2</v>
      </c>
      <c r="F339" s="115">
        <f>主材!D22</f>
        <v>5.77</v>
      </c>
      <c r="G339" s="117">
        <f>E339*F339</f>
        <v>30</v>
      </c>
      <c r="H339" s="733"/>
      <c r="I339" s="733"/>
      <c r="J339" s="733"/>
      <c r="K339" s="733"/>
      <c r="L339" s="733"/>
      <c r="M339" s="733"/>
      <c r="N339" s="733"/>
      <c r="O339" s="733"/>
      <c r="S339" s="725"/>
      <c r="T339" s="725"/>
      <c r="U339" s="725"/>
      <c r="V339" s="725"/>
      <c r="W339" s="725"/>
      <c r="X339" s="725"/>
      <c r="Y339" s="725"/>
      <c r="Z339" s="725"/>
      <c r="AA339" s="725"/>
      <c r="AB339" s="725"/>
      <c r="AC339" s="725"/>
      <c r="AD339" s="725"/>
      <c r="AE339" s="725"/>
      <c r="AF339" s="725"/>
      <c r="AG339" s="725"/>
      <c r="AH339" s="725"/>
    </row>
    <row r="340" customHeight="1" spans="1:34">
      <c r="A340" s="106" t="s">
        <v>41</v>
      </c>
      <c r="B340" s="715" t="s">
        <v>248</v>
      </c>
      <c r="C340" s="716"/>
      <c r="D340" s="109"/>
      <c r="E340" s="115"/>
      <c r="F340" s="115"/>
      <c r="G340" s="117">
        <f>G341</f>
        <v>71.57</v>
      </c>
      <c r="H340" s="733"/>
      <c r="I340" s="733"/>
      <c r="J340" s="733"/>
      <c r="K340" s="733"/>
      <c r="L340" s="733"/>
      <c r="M340" s="733"/>
      <c r="N340" s="733"/>
      <c r="O340" s="733"/>
      <c r="S340" s="725"/>
      <c r="T340" s="725"/>
      <c r="U340" s="725"/>
      <c r="V340" s="725"/>
      <c r="W340" s="725"/>
      <c r="X340" s="725"/>
      <c r="Y340" s="725"/>
      <c r="Z340" s="725"/>
      <c r="AA340" s="725"/>
      <c r="AB340" s="725"/>
      <c r="AC340" s="725"/>
      <c r="AD340" s="725"/>
      <c r="AE340" s="725"/>
      <c r="AF340" s="725"/>
      <c r="AG340" s="725"/>
      <c r="AH340" s="725"/>
    </row>
    <row r="341" customHeight="1" spans="1:34">
      <c r="A341" s="106"/>
      <c r="B341" s="116" t="s">
        <v>292</v>
      </c>
      <c r="C341" s="116"/>
      <c r="D341" s="109" t="s">
        <v>293</v>
      </c>
      <c r="E341" s="115">
        <f>G337+G342</f>
        <v>1431.45</v>
      </c>
      <c r="F341" s="115">
        <v>5</v>
      </c>
      <c r="G341" s="117">
        <f>E341*F341/100</f>
        <v>71.57</v>
      </c>
      <c r="H341" s="733"/>
      <c r="I341" s="733"/>
      <c r="J341" s="733"/>
      <c r="K341" s="733"/>
      <c r="L341" s="733"/>
      <c r="M341" s="733"/>
      <c r="N341" s="733"/>
      <c r="O341" s="733"/>
      <c r="S341" s="725"/>
      <c r="T341" s="725"/>
      <c r="U341" s="725"/>
      <c r="V341" s="725"/>
      <c r="W341" s="725"/>
      <c r="X341" s="725"/>
      <c r="Y341" s="725"/>
      <c r="Z341" s="725"/>
      <c r="AA341" s="725"/>
      <c r="AB341" s="725"/>
      <c r="AC341" s="725"/>
      <c r="AD341" s="725"/>
      <c r="AE341" s="725"/>
      <c r="AF341" s="725"/>
      <c r="AG341" s="725"/>
      <c r="AH341" s="725"/>
    </row>
    <row r="342" customHeight="1" spans="1:34">
      <c r="A342" s="106" t="s">
        <v>46</v>
      </c>
      <c r="B342" s="116" t="s">
        <v>314</v>
      </c>
      <c r="C342" s="116"/>
      <c r="D342" s="116"/>
      <c r="E342" s="115"/>
      <c r="F342" s="115"/>
      <c r="G342" s="117">
        <f>SUM(G343:G345)</f>
        <v>1401.45</v>
      </c>
      <c r="H342" s="733"/>
      <c r="I342" s="733"/>
      <c r="J342" s="733"/>
      <c r="K342" s="733"/>
      <c r="L342" s="733"/>
      <c r="M342" s="733"/>
      <c r="N342" s="733"/>
      <c r="O342" s="733"/>
      <c r="S342" s="725"/>
      <c r="T342" s="725"/>
      <c r="U342" s="725"/>
      <c r="V342" s="725"/>
      <c r="W342" s="725"/>
      <c r="X342" s="725"/>
      <c r="Y342" s="725"/>
      <c r="Z342" s="725"/>
      <c r="AA342" s="725"/>
      <c r="AB342" s="725"/>
      <c r="AC342" s="725"/>
      <c r="AD342" s="725"/>
      <c r="AE342" s="725"/>
      <c r="AF342" s="725"/>
      <c r="AG342" s="725"/>
      <c r="AH342" s="725"/>
    </row>
    <row r="343" customHeight="1" spans="1:34">
      <c r="A343" s="106"/>
      <c r="B343" s="715" t="s">
        <v>339</v>
      </c>
      <c r="C343" s="716"/>
      <c r="D343" s="109" t="s">
        <v>316</v>
      </c>
      <c r="E343" s="115">
        <f>1.04*1.24</f>
        <v>1.29</v>
      </c>
      <c r="F343" s="115">
        <f>机械!E4</f>
        <v>122.94</v>
      </c>
      <c r="G343" s="117">
        <f t="shared" ref="G343:G348" si="5">E343*F343</f>
        <v>158.59</v>
      </c>
      <c r="H343" s="733"/>
      <c r="I343" s="733"/>
      <c r="J343" s="733"/>
      <c r="K343" s="733"/>
      <c r="L343" s="733"/>
      <c r="M343" s="733"/>
      <c r="N343" s="733"/>
      <c r="O343" s="733"/>
      <c r="S343" s="725"/>
      <c r="T343" s="725"/>
      <c r="U343" s="725"/>
      <c r="V343" s="725"/>
      <c r="W343" s="725"/>
      <c r="X343" s="725"/>
      <c r="Y343" s="725"/>
      <c r="Z343" s="725"/>
      <c r="AA343" s="725"/>
      <c r="AB343" s="725"/>
      <c r="AC343" s="725"/>
      <c r="AD343" s="725"/>
      <c r="AE343" s="725"/>
      <c r="AF343" s="725"/>
      <c r="AG343" s="725"/>
      <c r="AH343" s="725"/>
    </row>
    <row r="344" customHeight="1" spans="1:34">
      <c r="A344" s="106"/>
      <c r="B344" s="715" t="s">
        <v>340</v>
      </c>
      <c r="C344" s="716"/>
      <c r="D344" s="109" t="s">
        <v>316</v>
      </c>
      <c r="E344" s="115">
        <v>0.52</v>
      </c>
      <c r="F344" s="115">
        <f>机械!E8</f>
        <v>66.38</v>
      </c>
      <c r="G344" s="117">
        <f t="shared" si="5"/>
        <v>34.52</v>
      </c>
      <c r="H344" s="733"/>
      <c r="I344" s="733"/>
      <c r="J344" s="733"/>
      <c r="K344" s="733"/>
      <c r="L344" s="733"/>
      <c r="M344" s="733"/>
      <c r="N344" s="733"/>
      <c r="O344" s="733"/>
      <c r="S344" s="725"/>
      <c r="T344" s="725"/>
      <c r="U344" s="725"/>
      <c r="V344" s="725"/>
      <c r="W344" s="725"/>
      <c r="X344" s="725"/>
      <c r="Y344" s="725"/>
      <c r="Z344" s="725"/>
      <c r="AA344" s="725"/>
      <c r="AB344" s="725"/>
      <c r="AC344" s="725"/>
      <c r="AD344" s="725"/>
      <c r="AE344" s="725"/>
      <c r="AF344" s="725"/>
      <c r="AG344" s="725"/>
      <c r="AH344" s="725"/>
    </row>
    <row r="345" customHeight="1" spans="1:34">
      <c r="A345" s="106"/>
      <c r="B345" s="715" t="s">
        <v>341</v>
      </c>
      <c r="C345" s="716"/>
      <c r="D345" s="109" t="s">
        <v>316</v>
      </c>
      <c r="E345" s="115">
        <f>12.3+3*1.41</f>
        <v>16.53</v>
      </c>
      <c r="F345" s="115">
        <f>机械!E26</f>
        <v>73.1</v>
      </c>
      <c r="G345" s="117">
        <f t="shared" si="5"/>
        <v>1208.34</v>
      </c>
      <c r="H345" s="733"/>
      <c r="I345" s="733"/>
      <c r="J345" s="733"/>
      <c r="K345" s="733"/>
      <c r="L345" s="733"/>
      <c r="M345" s="733"/>
      <c r="N345" s="733"/>
      <c r="O345" s="733"/>
      <c r="S345" s="725"/>
      <c r="T345" s="725"/>
      <c r="U345" s="725"/>
      <c r="V345" s="725"/>
      <c r="W345" s="725"/>
      <c r="X345" s="725"/>
      <c r="Y345" s="725"/>
      <c r="Z345" s="725"/>
      <c r="AA345" s="725"/>
      <c r="AB345" s="725"/>
      <c r="AC345" s="725"/>
      <c r="AD345" s="725"/>
      <c r="AE345" s="725"/>
      <c r="AF345" s="725"/>
      <c r="AG345" s="725"/>
      <c r="AH345" s="725"/>
    </row>
    <row r="346" customHeight="1" spans="1:34">
      <c r="A346" s="106" t="s">
        <v>133</v>
      </c>
      <c r="B346" s="116" t="s">
        <v>294</v>
      </c>
      <c r="C346" s="116"/>
      <c r="D346" s="109"/>
      <c r="E346" s="717">
        <f>G336</f>
        <v>1503.02</v>
      </c>
      <c r="F346" s="120">
        <f>费率!C4</f>
        <v>0.048</v>
      </c>
      <c r="G346" s="117">
        <f t="shared" si="5"/>
        <v>72.14</v>
      </c>
      <c r="H346" s="733"/>
      <c r="I346" s="733"/>
      <c r="J346" s="733"/>
      <c r="K346" s="733"/>
      <c r="L346" s="733"/>
      <c r="M346" s="733"/>
      <c r="N346" s="733"/>
      <c r="O346" s="733"/>
      <c r="S346" s="725"/>
      <c r="T346" s="725"/>
      <c r="U346" s="725"/>
      <c r="V346" s="725"/>
      <c r="W346" s="725"/>
      <c r="X346" s="725"/>
      <c r="Y346" s="725"/>
      <c r="Z346" s="725"/>
      <c r="AA346" s="725"/>
      <c r="AB346" s="725"/>
      <c r="AC346" s="725"/>
      <c r="AD346" s="725"/>
      <c r="AE346" s="725"/>
      <c r="AF346" s="725"/>
      <c r="AG346" s="725"/>
      <c r="AH346" s="725"/>
    </row>
    <row r="347" customHeight="1" spans="1:34">
      <c r="A347" s="106" t="s">
        <v>14</v>
      </c>
      <c r="B347" s="116" t="s">
        <v>295</v>
      </c>
      <c r="C347" s="116"/>
      <c r="D347" s="109"/>
      <c r="E347" s="115">
        <f>G335</f>
        <v>1575.16</v>
      </c>
      <c r="F347" s="120">
        <f>费率!C5</f>
        <v>0.04</v>
      </c>
      <c r="G347" s="117">
        <f t="shared" si="5"/>
        <v>63.01</v>
      </c>
      <c r="H347" s="733"/>
      <c r="I347" s="733"/>
      <c r="J347" s="733"/>
      <c r="K347" s="733"/>
      <c r="L347" s="733"/>
      <c r="M347" s="733"/>
      <c r="N347" s="733"/>
      <c r="O347" s="733"/>
      <c r="S347" s="725"/>
      <c r="T347" s="725"/>
      <c r="U347" s="725"/>
      <c r="V347" s="725"/>
      <c r="W347" s="725"/>
      <c r="X347" s="725"/>
      <c r="Y347" s="725"/>
      <c r="Z347" s="725"/>
      <c r="AA347" s="725"/>
      <c r="AB347" s="725"/>
      <c r="AC347" s="725"/>
      <c r="AD347" s="725"/>
      <c r="AE347" s="725"/>
      <c r="AF347" s="725"/>
      <c r="AG347" s="725"/>
      <c r="AH347" s="725"/>
    </row>
    <row r="348" customHeight="1" spans="1:34">
      <c r="A348" s="106" t="s">
        <v>16</v>
      </c>
      <c r="B348" s="116" t="s">
        <v>296</v>
      </c>
      <c r="C348" s="116"/>
      <c r="D348" s="109"/>
      <c r="E348" s="115">
        <f>G335+G347</f>
        <v>1638.17</v>
      </c>
      <c r="F348" s="120">
        <f>费率!C6</f>
        <v>0.05</v>
      </c>
      <c r="G348" s="117">
        <f t="shared" si="5"/>
        <v>81.91</v>
      </c>
      <c r="H348" s="733"/>
      <c r="I348" s="733"/>
      <c r="J348" s="733"/>
      <c r="K348" s="733"/>
      <c r="L348" s="733"/>
      <c r="M348" s="733"/>
      <c r="N348" s="733"/>
      <c r="O348" s="733"/>
      <c r="S348" s="725"/>
      <c r="T348" s="725"/>
      <c r="U348" s="725"/>
      <c r="V348" s="725"/>
      <c r="W348" s="725"/>
      <c r="X348" s="725"/>
      <c r="Y348" s="725"/>
      <c r="Z348" s="725"/>
      <c r="AA348" s="725"/>
      <c r="AB348" s="725"/>
      <c r="AC348" s="725"/>
      <c r="AD348" s="725"/>
      <c r="AE348" s="725"/>
      <c r="AF348" s="725"/>
      <c r="AG348" s="725"/>
      <c r="AH348" s="725"/>
    </row>
    <row r="349" customHeight="1" spans="1:34">
      <c r="A349" s="106" t="s">
        <v>18</v>
      </c>
      <c r="B349" s="715" t="s">
        <v>254</v>
      </c>
      <c r="C349" s="716"/>
      <c r="D349" s="109"/>
      <c r="E349" s="115"/>
      <c r="F349" s="120"/>
      <c r="G349" s="117">
        <f>G350</f>
        <v>793.79</v>
      </c>
      <c r="H349" s="733"/>
      <c r="I349" s="733"/>
      <c r="J349" s="733"/>
      <c r="K349" s="733"/>
      <c r="L349" s="733"/>
      <c r="M349" s="733"/>
      <c r="N349" s="733"/>
      <c r="O349" s="733"/>
      <c r="S349" s="725"/>
      <c r="T349" s="725"/>
      <c r="U349" s="725"/>
      <c r="V349" s="725"/>
      <c r="W349" s="725"/>
      <c r="X349" s="725"/>
      <c r="Y349" s="725"/>
      <c r="Z349" s="725"/>
      <c r="AA349" s="725"/>
      <c r="AB349" s="725"/>
      <c r="AC349" s="725"/>
      <c r="AD349" s="725"/>
      <c r="AE349" s="725"/>
      <c r="AF349" s="725"/>
      <c r="AG349" s="725"/>
      <c r="AH349" s="725"/>
    </row>
    <row r="350" customHeight="1" spans="1:34">
      <c r="A350" s="106" t="s">
        <v>39</v>
      </c>
      <c r="B350" s="715" t="s">
        <v>317</v>
      </c>
      <c r="C350" s="716"/>
      <c r="D350" s="109" t="s">
        <v>323</v>
      </c>
      <c r="E350" s="115">
        <f>E343*14.9+E344*8.4+E345*10.2</f>
        <v>192.2</v>
      </c>
      <c r="F350" s="115">
        <f>主材!N13</f>
        <v>4.13</v>
      </c>
      <c r="G350" s="117">
        <f>E350*F350</f>
        <v>793.79</v>
      </c>
      <c r="H350" s="733"/>
      <c r="I350" s="733"/>
      <c r="J350" s="733"/>
      <c r="K350" s="733"/>
      <c r="L350" s="733"/>
      <c r="M350" s="733"/>
      <c r="N350" s="733"/>
      <c r="O350" s="733"/>
      <c r="S350" s="725"/>
      <c r="T350" s="725"/>
      <c r="U350" s="725"/>
      <c r="V350" s="725"/>
      <c r="W350" s="725"/>
      <c r="X350" s="725"/>
      <c r="Y350" s="725"/>
      <c r="Z350" s="725"/>
      <c r="AA350" s="725"/>
      <c r="AB350" s="725"/>
      <c r="AC350" s="725"/>
      <c r="AD350" s="725"/>
      <c r="AE350" s="725"/>
      <c r="AF350" s="725"/>
      <c r="AG350" s="725"/>
      <c r="AH350" s="725"/>
    </row>
    <row r="351" customHeight="1" spans="1:34">
      <c r="A351" s="106" t="s">
        <v>20</v>
      </c>
      <c r="B351" s="116" t="s">
        <v>297</v>
      </c>
      <c r="C351" s="116"/>
      <c r="D351" s="109"/>
      <c r="E351" s="115">
        <f>G335+G347+G348+G349</f>
        <v>2513.87</v>
      </c>
      <c r="F351" s="122">
        <f>费率!C7</f>
        <v>0.09</v>
      </c>
      <c r="G351" s="117">
        <f>E351*F351</f>
        <v>226.25</v>
      </c>
      <c r="H351" s="733"/>
      <c r="I351" s="733"/>
      <c r="J351" s="733"/>
      <c r="K351" s="733"/>
      <c r="L351" s="733"/>
      <c r="M351" s="733"/>
      <c r="N351" s="733"/>
      <c r="O351" s="733"/>
      <c r="S351" s="725"/>
      <c r="T351" s="725"/>
      <c r="U351" s="725"/>
      <c r="V351" s="725"/>
      <c r="W351" s="725"/>
      <c r="X351" s="725"/>
      <c r="Y351" s="725"/>
      <c r="Z351" s="725"/>
      <c r="AA351" s="725"/>
      <c r="AB351" s="725"/>
      <c r="AC351" s="725"/>
      <c r="AD351" s="725"/>
      <c r="AE351" s="725"/>
      <c r="AF351" s="725"/>
      <c r="AG351" s="725"/>
      <c r="AH351" s="725"/>
    </row>
    <row r="352" customHeight="1" spans="1:34">
      <c r="A352" s="106"/>
      <c r="B352" s="116" t="s">
        <v>298</v>
      </c>
      <c r="C352" s="116"/>
      <c r="D352" s="109"/>
      <c r="E352" s="115">
        <f>G335+G347+G348+G349+G351</f>
        <v>2740.12</v>
      </c>
      <c r="F352" s="122">
        <v>0.03</v>
      </c>
      <c r="G352" s="117">
        <f>E352*F352</f>
        <v>82.2</v>
      </c>
      <c r="H352" s="733"/>
      <c r="I352" s="733"/>
      <c r="J352" s="733"/>
      <c r="K352" s="733"/>
      <c r="L352" s="733"/>
      <c r="M352" s="733"/>
      <c r="N352" s="733"/>
      <c r="O352" s="733"/>
      <c r="S352" s="725"/>
      <c r="T352" s="725"/>
      <c r="U352" s="725"/>
      <c r="V352" s="725"/>
      <c r="W352" s="725"/>
      <c r="X352" s="725"/>
      <c r="Y352" s="725"/>
      <c r="Z352" s="725"/>
      <c r="AA352" s="725"/>
      <c r="AB352" s="725"/>
      <c r="AC352" s="725"/>
      <c r="AD352" s="725"/>
      <c r="AE352" s="725"/>
      <c r="AF352" s="725"/>
      <c r="AG352" s="725"/>
      <c r="AH352" s="725"/>
    </row>
    <row r="353" customHeight="1" spans="1:34">
      <c r="A353" s="123"/>
      <c r="B353" s="124" t="s">
        <v>121</v>
      </c>
      <c r="C353" s="124"/>
      <c r="D353" s="124"/>
      <c r="E353" s="125"/>
      <c r="F353" s="124"/>
      <c r="G353" s="126">
        <f>G335+G347+G348+G349+G351+G352</f>
        <v>2822.32</v>
      </c>
      <c r="H353" s="733"/>
      <c r="I353" s="733"/>
      <c r="J353" s="733"/>
      <c r="K353" s="733"/>
      <c r="L353" s="733"/>
      <c r="M353" s="733"/>
      <c r="N353" s="733"/>
      <c r="O353" s="733"/>
      <c r="S353" s="725"/>
      <c r="T353" s="725"/>
      <c r="U353" s="725"/>
      <c r="V353" s="725"/>
      <c r="W353" s="725"/>
      <c r="X353" s="725"/>
      <c r="Y353" s="725"/>
      <c r="Z353" s="725"/>
      <c r="AA353" s="725"/>
      <c r="AB353" s="725"/>
      <c r="AC353" s="725"/>
      <c r="AD353" s="725"/>
      <c r="AE353" s="725"/>
      <c r="AF353" s="725"/>
      <c r="AG353" s="725"/>
      <c r="AH353" s="725"/>
    </row>
    <row r="354" customHeight="1" spans="1:34">
      <c r="A354" s="138"/>
      <c r="B354" s="138"/>
      <c r="C354" s="138"/>
      <c r="D354" s="138"/>
      <c r="E354" s="139"/>
      <c r="F354" s="138"/>
      <c r="G354" s="139"/>
      <c r="H354" s="733"/>
      <c r="I354" s="733"/>
      <c r="J354" s="733"/>
      <c r="K354" s="733"/>
      <c r="L354" s="733"/>
      <c r="M354" s="733"/>
      <c r="N354" s="733"/>
      <c r="O354" s="733"/>
      <c r="S354" s="725"/>
      <c r="T354" s="725"/>
      <c r="U354" s="725"/>
      <c r="V354" s="725"/>
      <c r="W354" s="725"/>
      <c r="X354" s="725"/>
      <c r="Y354" s="725"/>
      <c r="Z354" s="725"/>
      <c r="AA354" s="725"/>
      <c r="AB354" s="725"/>
      <c r="AC354" s="725"/>
      <c r="AD354" s="725"/>
      <c r="AE354" s="725"/>
      <c r="AF354" s="725"/>
      <c r="AG354" s="725"/>
      <c r="AH354" s="725"/>
    </row>
    <row r="355" customHeight="1" spans="1:34">
      <c r="A355" s="79" t="s">
        <v>274</v>
      </c>
      <c r="B355" s="79"/>
      <c r="C355" s="79"/>
      <c r="D355" s="79"/>
      <c r="E355" s="79"/>
      <c r="F355" s="79"/>
      <c r="G355" s="79"/>
      <c r="H355" s="733"/>
      <c r="I355" s="733"/>
      <c r="J355" s="733"/>
      <c r="K355" s="733"/>
      <c r="L355" s="733"/>
      <c r="M355" s="733"/>
      <c r="N355" s="733"/>
      <c r="O355" s="733"/>
      <c r="S355" s="725"/>
      <c r="T355" s="725"/>
      <c r="U355" s="725"/>
      <c r="V355" s="725"/>
      <c r="W355" s="725"/>
      <c r="X355" s="725"/>
      <c r="Y355" s="725"/>
      <c r="Z355" s="725"/>
      <c r="AA355" s="725"/>
      <c r="AB355" s="725"/>
      <c r="AC355" s="725"/>
      <c r="AD355" s="725"/>
      <c r="AE355" s="725"/>
      <c r="AF355" s="725"/>
      <c r="AG355" s="725"/>
      <c r="AH355" s="725"/>
    </row>
    <row r="356" customHeight="1" spans="1:34">
      <c r="A356" s="102" t="s">
        <v>275</v>
      </c>
      <c r="B356" s="103"/>
      <c r="C356" s="103" t="s">
        <v>354</v>
      </c>
      <c r="D356" s="103" t="s">
        <v>276</v>
      </c>
      <c r="E356" s="104" t="s">
        <v>355</v>
      </c>
      <c r="F356" s="104"/>
      <c r="G356" s="105"/>
      <c r="H356" s="733"/>
      <c r="I356" s="733"/>
      <c r="J356" s="733"/>
      <c r="K356" s="733"/>
      <c r="L356" s="733"/>
      <c r="M356" s="733"/>
      <c r="N356" s="733"/>
      <c r="O356" s="733"/>
      <c r="S356" s="725"/>
      <c r="T356" s="725"/>
      <c r="U356" s="725"/>
      <c r="V356" s="725"/>
      <c r="W356" s="725"/>
      <c r="X356" s="725"/>
      <c r="Y356" s="725"/>
      <c r="Z356" s="725"/>
      <c r="AA356" s="725"/>
      <c r="AB356" s="725"/>
      <c r="AC356" s="725"/>
      <c r="AD356" s="725"/>
      <c r="AE356" s="725"/>
      <c r="AF356" s="725"/>
      <c r="AG356" s="725"/>
      <c r="AH356" s="725"/>
    </row>
    <row r="357" customHeight="1" spans="1:34">
      <c r="A357" s="106" t="s">
        <v>278</v>
      </c>
      <c r="B357" s="107"/>
      <c r="C357" s="108" t="s">
        <v>356</v>
      </c>
      <c r="D357" s="108"/>
      <c r="E357" s="108"/>
      <c r="F357" s="109" t="s">
        <v>280</v>
      </c>
      <c r="G357" s="110" t="s">
        <v>357</v>
      </c>
      <c r="H357" s="733"/>
      <c r="I357" s="733"/>
      <c r="J357" s="733"/>
      <c r="K357" s="733"/>
      <c r="L357" s="733"/>
      <c r="M357" s="733"/>
      <c r="N357" s="733"/>
      <c r="O357" s="733"/>
      <c r="S357" s="725"/>
      <c r="T357" s="725"/>
      <c r="U357" s="725"/>
      <c r="V357" s="725"/>
      <c r="W357" s="725"/>
      <c r="X357" s="725"/>
      <c r="Y357" s="725"/>
      <c r="Z357" s="725"/>
      <c r="AA357" s="725"/>
      <c r="AB357" s="725"/>
      <c r="AC357" s="725"/>
      <c r="AD357" s="725"/>
      <c r="AE357" s="725"/>
      <c r="AF357" s="725"/>
      <c r="AG357" s="725"/>
      <c r="AH357" s="725"/>
    </row>
    <row r="358" customHeight="1" spans="1:34">
      <c r="A358" s="111" t="s">
        <v>358</v>
      </c>
      <c r="B358" s="108"/>
      <c r="C358" s="108"/>
      <c r="D358" s="108"/>
      <c r="E358" s="108"/>
      <c r="F358" s="108"/>
      <c r="G358" s="112"/>
      <c r="H358" s="733"/>
      <c r="I358" s="733"/>
      <c r="J358" s="733"/>
      <c r="K358" s="733"/>
      <c r="L358" s="733"/>
      <c r="M358" s="733"/>
      <c r="N358" s="733"/>
      <c r="O358" s="733"/>
      <c r="S358" s="725"/>
      <c r="T358" s="725"/>
      <c r="U358" s="725"/>
      <c r="V358" s="725"/>
      <c r="W358" s="725"/>
      <c r="X358" s="725"/>
      <c r="Y358" s="725"/>
      <c r="Z358" s="725"/>
      <c r="AA358" s="725"/>
      <c r="AB358" s="725"/>
      <c r="AC358" s="725"/>
      <c r="AD358" s="725"/>
      <c r="AE358" s="725"/>
      <c r="AF358" s="725"/>
      <c r="AG358" s="725"/>
      <c r="AH358" s="725"/>
    </row>
    <row r="359" customHeight="1" spans="1:34">
      <c r="A359" s="113" t="s">
        <v>359</v>
      </c>
      <c r="B359" s="114"/>
      <c r="C359" s="54"/>
      <c r="D359" s="54"/>
      <c r="E359" s="54"/>
      <c r="F359" s="54"/>
      <c r="G359" s="55"/>
      <c r="H359" s="733"/>
      <c r="I359" s="733"/>
      <c r="J359" s="733"/>
      <c r="K359" s="733"/>
      <c r="L359" s="733"/>
      <c r="M359" s="733"/>
      <c r="N359" s="733"/>
      <c r="O359" s="733"/>
      <c r="S359" s="725"/>
      <c r="T359" s="725"/>
      <c r="U359" s="725"/>
      <c r="V359" s="725"/>
      <c r="W359" s="725"/>
      <c r="X359" s="725"/>
      <c r="Y359" s="725"/>
      <c r="Z359" s="725"/>
      <c r="AA359" s="725"/>
      <c r="AB359" s="725"/>
      <c r="AC359" s="725"/>
      <c r="AD359" s="725"/>
      <c r="AE359" s="725"/>
      <c r="AF359" s="725"/>
      <c r="AG359" s="725"/>
      <c r="AH359" s="725"/>
    </row>
    <row r="360" customHeight="1" spans="1:34">
      <c r="A360" s="106" t="s">
        <v>284</v>
      </c>
      <c r="B360" s="109" t="s">
        <v>233</v>
      </c>
      <c r="C360" s="109"/>
      <c r="D360" s="109" t="s">
        <v>88</v>
      </c>
      <c r="E360" s="115" t="s">
        <v>130</v>
      </c>
      <c r="F360" s="109" t="s">
        <v>285</v>
      </c>
      <c r="G360" s="110" t="s">
        <v>286</v>
      </c>
      <c r="H360" s="733"/>
      <c r="I360" s="733"/>
      <c r="J360" s="733"/>
      <c r="K360" s="733"/>
      <c r="L360" s="733"/>
      <c r="M360" s="733"/>
      <c r="N360" s="733"/>
      <c r="O360" s="733"/>
      <c r="S360" s="725"/>
      <c r="T360" s="725"/>
      <c r="U360" s="725"/>
      <c r="V360" s="725"/>
      <c r="W360" s="725"/>
      <c r="X360" s="725"/>
      <c r="Y360" s="725"/>
      <c r="Z360" s="725"/>
      <c r="AA360" s="725"/>
      <c r="AB360" s="725"/>
      <c r="AC360" s="725"/>
      <c r="AD360" s="725"/>
      <c r="AE360" s="725"/>
      <c r="AF360" s="725"/>
      <c r="AG360" s="725"/>
      <c r="AH360" s="725"/>
    </row>
    <row r="361" customHeight="1" spans="1:34">
      <c r="A361" s="106" t="s">
        <v>9</v>
      </c>
      <c r="B361" s="116" t="s">
        <v>287</v>
      </c>
      <c r="C361" s="116"/>
      <c r="D361" s="109"/>
      <c r="E361" s="115"/>
      <c r="F361" s="115"/>
      <c r="G361" s="117">
        <f>G362+G370</f>
        <v>36.93</v>
      </c>
      <c r="H361" s="733"/>
      <c r="I361" s="733"/>
      <c r="J361" s="733"/>
      <c r="K361" s="733"/>
      <c r="L361" s="733"/>
      <c r="M361" s="733"/>
      <c r="N361" s="733"/>
      <c r="O361" s="733"/>
      <c r="S361" s="725"/>
      <c r="T361" s="725"/>
      <c r="U361" s="725"/>
      <c r="V361" s="725"/>
      <c r="W361" s="725"/>
      <c r="X361" s="725"/>
      <c r="Y361" s="725"/>
      <c r="Z361" s="725"/>
      <c r="AA361" s="725"/>
      <c r="AB361" s="725"/>
      <c r="AC361" s="725"/>
      <c r="AD361" s="725"/>
      <c r="AE361" s="725"/>
      <c r="AF361" s="725"/>
      <c r="AG361" s="725"/>
      <c r="AH361" s="725"/>
    </row>
    <row r="362" customHeight="1" spans="1:34">
      <c r="A362" s="106" t="s">
        <v>132</v>
      </c>
      <c r="B362" s="116" t="s">
        <v>288</v>
      </c>
      <c r="C362" s="116"/>
      <c r="D362" s="109"/>
      <c r="E362" s="115"/>
      <c r="F362" s="115"/>
      <c r="G362" s="117">
        <f>G363+G366+G368</f>
        <v>35.24</v>
      </c>
      <c r="H362" s="733"/>
      <c r="I362" s="733"/>
      <c r="J362" s="733"/>
      <c r="K362" s="733"/>
      <c r="L362" s="733"/>
      <c r="M362" s="733"/>
      <c r="N362" s="733"/>
      <c r="O362" s="733"/>
      <c r="S362" s="725"/>
      <c r="T362" s="725"/>
      <c r="U362" s="725"/>
      <c r="V362" s="725"/>
      <c r="W362" s="725"/>
      <c r="X362" s="725"/>
      <c r="Y362" s="725"/>
      <c r="Z362" s="725"/>
      <c r="AA362" s="725"/>
      <c r="AB362" s="725"/>
      <c r="AC362" s="725"/>
      <c r="AD362" s="725"/>
      <c r="AE362" s="725"/>
      <c r="AF362" s="725"/>
      <c r="AG362" s="725"/>
      <c r="AH362" s="725"/>
    </row>
    <row r="363" customHeight="1" spans="1:34">
      <c r="A363" s="106" t="s">
        <v>39</v>
      </c>
      <c r="B363" s="116" t="s">
        <v>247</v>
      </c>
      <c r="C363" s="116"/>
      <c r="D363" s="109"/>
      <c r="E363" s="115"/>
      <c r="F363" s="115"/>
      <c r="G363" s="117">
        <f>SUM(G364:G365)</f>
        <v>4.04</v>
      </c>
      <c r="H363" s="733"/>
      <c r="I363" s="733"/>
      <c r="J363" s="733"/>
      <c r="K363" s="733"/>
      <c r="L363" s="733"/>
      <c r="M363" s="733"/>
      <c r="N363" s="733"/>
      <c r="O363" s="733"/>
      <c r="S363" s="725"/>
      <c r="T363" s="725"/>
      <c r="U363" s="725"/>
      <c r="V363" s="725"/>
      <c r="W363" s="725"/>
      <c r="X363" s="725"/>
      <c r="Y363" s="725"/>
      <c r="Z363" s="725"/>
      <c r="AA363" s="725"/>
      <c r="AB363" s="725"/>
      <c r="AC363" s="725"/>
      <c r="AD363" s="725"/>
      <c r="AE363" s="725"/>
      <c r="AF363" s="725"/>
      <c r="AG363" s="725"/>
      <c r="AH363" s="725"/>
    </row>
    <row r="364" customHeight="1" spans="1:34">
      <c r="A364" s="106"/>
      <c r="B364" s="116" t="s">
        <v>289</v>
      </c>
      <c r="C364" s="116"/>
      <c r="D364" s="109" t="s">
        <v>290</v>
      </c>
      <c r="E364" s="115"/>
      <c r="F364" s="115"/>
      <c r="G364" s="117"/>
      <c r="H364" s="733"/>
      <c r="I364" s="733"/>
      <c r="J364" s="733"/>
      <c r="K364" s="733"/>
      <c r="L364" s="733"/>
      <c r="M364" s="733"/>
      <c r="N364" s="733"/>
      <c r="O364" s="733"/>
      <c r="S364" s="725"/>
      <c r="T364" s="725"/>
      <c r="U364" s="725"/>
      <c r="V364" s="725"/>
      <c r="W364" s="725"/>
      <c r="X364" s="725"/>
      <c r="Y364" s="725"/>
      <c r="Z364" s="725"/>
      <c r="AA364" s="725"/>
      <c r="AB364" s="725"/>
      <c r="AC364" s="725"/>
      <c r="AD364" s="725"/>
      <c r="AE364" s="725"/>
      <c r="AF364" s="725"/>
      <c r="AG364" s="725"/>
      <c r="AH364" s="725"/>
    </row>
    <row r="365" customHeight="1" spans="1:34">
      <c r="A365" s="106"/>
      <c r="B365" s="116" t="s">
        <v>291</v>
      </c>
      <c r="C365" s="116"/>
      <c r="D365" s="109" t="s">
        <v>290</v>
      </c>
      <c r="E365" s="115">
        <v>0.7</v>
      </c>
      <c r="F365" s="115">
        <f>主材!D22</f>
        <v>5.77</v>
      </c>
      <c r="G365" s="117">
        <f>E365*F365</f>
        <v>4.04</v>
      </c>
      <c r="H365" s="733"/>
      <c r="I365" s="733"/>
      <c r="J365" s="733"/>
      <c r="K365" s="733"/>
      <c r="L365" s="733"/>
      <c r="M365" s="733"/>
      <c r="N365" s="733"/>
      <c r="O365" s="733"/>
      <c r="S365" s="725"/>
      <c r="T365" s="725"/>
      <c r="U365" s="725"/>
      <c r="V365" s="725"/>
      <c r="W365" s="725"/>
      <c r="X365" s="725"/>
      <c r="Y365" s="725"/>
      <c r="Z365" s="725"/>
      <c r="AA365" s="725"/>
      <c r="AB365" s="725"/>
      <c r="AC365" s="725"/>
      <c r="AD365" s="725"/>
      <c r="AE365" s="725"/>
      <c r="AF365" s="725"/>
      <c r="AG365" s="725"/>
      <c r="AH365" s="725"/>
    </row>
    <row r="366" customHeight="1" spans="1:34">
      <c r="A366" s="106" t="s">
        <v>41</v>
      </c>
      <c r="B366" s="715" t="s">
        <v>248</v>
      </c>
      <c r="C366" s="716"/>
      <c r="D366" s="109"/>
      <c r="E366" s="115"/>
      <c r="F366" s="115"/>
      <c r="G366" s="117">
        <f>G367</f>
        <v>1.68</v>
      </c>
      <c r="H366" s="733"/>
      <c r="I366" s="733"/>
      <c r="J366" s="733"/>
      <c r="K366" s="733"/>
      <c r="L366" s="733"/>
      <c r="M366" s="733"/>
      <c r="N366" s="733"/>
      <c r="O366" s="733"/>
      <c r="S366" s="725"/>
      <c r="T366" s="725"/>
      <c r="U366" s="725"/>
      <c r="V366" s="725"/>
      <c r="W366" s="725"/>
      <c r="X366" s="725"/>
      <c r="Y366" s="725"/>
      <c r="Z366" s="725"/>
      <c r="AA366" s="725"/>
      <c r="AB366" s="725"/>
      <c r="AC366" s="725"/>
      <c r="AD366" s="725"/>
      <c r="AE366" s="725"/>
      <c r="AF366" s="725"/>
      <c r="AG366" s="725"/>
      <c r="AH366" s="725"/>
    </row>
    <row r="367" customHeight="1" spans="1:34">
      <c r="A367" s="106"/>
      <c r="B367" s="116" t="s">
        <v>292</v>
      </c>
      <c r="C367" s="116"/>
      <c r="D367" s="109" t="s">
        <v>293</v>
      </c>
      <c r="E367" s="115">
        <f>G363+G368</f>
        <v>33.56</v>
      </c>
      <c r="F367" s="115">
        <v>5</v>
      </c>
      <c r="G367" s="117">
        <f>E367*F367/100</f>
        <v>1.68</v>
      </c>
      <c r="H367" s="733"/>
      <c r="I367" s="733"/>
      <c r="J367" s="733"/>
      <c r="K367" s="733"/>
      <c r="L367" s="733"/>
      <c r="M367" s="733"/>
      <c r="N367" s="733"/>
      <c r="O367" s="733"/>
      <c r="S367" s="725"/>
      <c r="T367" s="725"/>
      <c r="U367" s="725"/>
      <c r="V367" s="725"/>
      <c r="W367" s="725"/>
      <c r="X367" s="725"/>
      <c r="Y367" s="725"/>
      <c r="Z367" s="725"/>
      <c r="AA367" s="725"/>
      <c r="AB367" s="725"/>
      <c r="AC367" s="725"/>
      <c r="AD367" s="725"/>
      <c r="AE367" s="725"/>
      <c r="AF367" s="725"/>
      <c r="AG367" s="725"/>
      <c r="AH367" s="725"/>
    </row>
    <row r="368" customHeight="1" spans="1:34">
      <c r="A368" s="106" t="s">
        <v>46</v>
      </c>
      <c r="B368" s="116" t="s">
        <v>314</v>
      </c>
      <c r="C368" s="116"/>
      <c r="D368" s="116"/>
      <c r="E368" s="115"/>
      <c r="F368" s="115"/>
      <c r="G368" s="117">
        <f>SUM(G369:G369)</f>
        <v>29.52</v>
      </c>
      <c r="H368" s="733"/>
      <c r="I368" s="733"/>
      <c r="J368" s="733"/>
      <c r="K368" s="733"/>
      <c r="L368" s="733"/>
      <c r="M368" s="733"/>
      <c r="N368" s="733"/>
      <c r="O368" s="733"/>
      <c r="S368" s="725"/>
      <c r="T368" s="725"/>
      <c r="U368" s="725"/>
      <c r="V368" s="725"/>
      <c r="W368" s="725"/>
      <c r="X368" s="725"/>
      <c r="Y368" s="725"/>
      <c r="Z368" s="725"/>
      <c r="AA368" s="725"/>
      <c r="AB368" s="725"/>
      <c r="AC368" s="725"/>
      <c r="AD368" s="725"/>
      <c r="AE368" s="725"/>
      <c r="AF368" s="725"/>
      <c r="AG368" s="725"/>
      <c r="AH368" s="725"/>
    </row>
    <row r="369" customHeight="1" spans="1:34">
      <c r="A369" s="106"/>
      <c r="B369" s="715" t="s">
        <v>360</v>
      </c>
      <c r="C369" s="716"/>
      <c r="D369" s="109" t="s">
        <v>316</v>
      </c>
      <c r="E369" s="115">
        <v>0.33</v>
      </c>
      <c r="F369" s="115">
        <f>机械!E9</f>
        <v>89.44</v>
      </c>
      <c r="G369" s="117">
        <f>E369*F369</f>
        <v>29.52</v>
      </c>
      <c r="H369" s="733"/>
      <c r="I369" s="733"/>
      <c r="J369" s="733"/>
      <c r="K369" s="733"/>
      <c r="L369" s="733"/>
      <c r="M369" s="733"/>
      <c r="N369" s="733"/>
      <c r="O369" s="733"/>
      <c r="S369" s="725"/>
      <c r="T369" s="725"/>
      <c r="U369" s="725"/>
      <c r="V369" s="725"/>
      <c r="W369" s="725"/>
      <c r="X369" s="725"/>
      <c r="Y369" s="725"/>
      <c r="Z369" s="725"/>
      <c r="AA369" s="725"/>
      <c r="AB369" s="725"/>
      <c r="AC369" s="725"/>
      <c r="AD369" s="725"/>
      <c r="AE369" s="725"/>
      <c r="AF369" s="725"/>
      <c r="AG369" s="725"/>
      <c r="AH369" s="725"/>
    </row>
    <row r="370" customHeight="1" spans="1:34">
      <c r="A370" s="106" t="s">
        <v>133</v>
      </c>
      <c r="B370" s="116" t="s">
        <v>294</v>
      </c>
      <c r="C370" s="116"/>
      <c r="D370" s="109"/>
      <c r="E370" s="717">
        <f>G362</f>
        <v>35.24</v>
      </c>
      <c r="F370" s="120">
        <f>费率!C4</f>
        <v>0.048</v>
      </c>
      <c r="G370" s="117">
        <f>E370*F370</f>
        <v>1.69</v>
      </c>
      <c r="H370" s="733"/>
      <c r="I370" s="733"/>
      <c r="J370" s="733"/>
      <c r="K370" s="733"/>
      <c r="L370" s="733"/>
      <c r="M370" s="733"/>
      <c r="N370" s="733"/>
      <c r="O370" s="733"/>
      <c r="S370" s="725"/>
      <c r="T370" s="725"/>
      <c r="U370" s="725"/>
      <c r="V370" s="725"/>
      <c r="W370" s="725"/>
      <c r="X370" s="725"/>
      <c r="Y370" s="725"/>
      <c r="Z370" s="725"/>
      <c r="AA370" s="725"/>
      <c r="AB370" s="725"/>
      <c r="AC370" s="725"/>
      <c r="AD370" s="725"/>
      <c r="AE370" s="725"/>
      <c r="AF370" s="725"/>
      <c r="AG370" s="725"/>
      <c r="AH370" s="725"/>
    </row>
    <row r="371" customHeight="1" spans="1:34">
      <c r="A371" s="106" t="s">
        <v>14</v>
      </c>
      <c r="B371" s="116" t="s">
        <v>295</v>
      </c>
      <c r="C371" s="116"/>
      <c r="D371" s="109"/>
      <c r="E371" s="115">
        <f>G361</f>
        <v>36.93</v>
      </c>
      <c r="F371" s="120">
        <f>费率!C5</f>
        <v>0.04</v>
      </c>
      <c r="G371" s="117">
        <f>E371*F371</f>
        <v>1.48</v>
      </c>
      <c r="H371" s="733"/>
      <c r="I371" s="733"/>
      <c r="J371" s="733"/>
      <c r="K371" s="733"/>
      <c r="L371" s="733"/>
      <c r="M371" s="733"/>
      <c r="N371" s="733"/>
      <c r="O371" s="733"/>
      <c r="S371" s="725"/>
      <c r="T371" s="725"/>
      <c r="U371" s="725"/>
      <c r="V371" s="725"/>
      <c r="W371" s="725"/>
      <c r="X371" s="725"/>
      <c r="Y371" s="725"/>
      <c r="Z371" s="725"/>
      <c r="AA371" s="725"/>
      <c r="AB371" s="725"/>
      <c r="AC371" s="725"/>
      <c r="AD371" s="725"/>
      <c r="AE371" s="725"/>
      <c r="AF371" s="725"/>
      <c r="AG371" s="725"/>
      <c r="AH371" s="725"/>
    </row>
    <row r="372" customHeight="1" spans="1:34">
      <c r="A372" s="106" t="s">
        <v>16</v>
      </c>
      <c r="B372" s="116" t="s">
        <v>296</v>
      </c>
      <c r="C372" s="116"/>
      <c r="D372" s="109"/>
      <c r="E372" s="115">
        <f>G361+G371</f>
        <v>38.41</v>
      </c>
      <c r="F372" s="120">
        <f>费率!C6</f>
        <v>0.05</v>
      </c>
      <c r="G372" s="117">
        <f>E372*F372</f>
        <v>1.92</v>
      </c>
      <c r="H372" s="733"/>
      <c r="I372" s="733"/>
      <c r="J372" s="733"/>
      <c r="K372" s="733"/>
      <c r="L372" s="733"/>
      <c r="M372" s="733"/>
      <c r="N372" s="733"/>
      <c r="O372" s="733"/>
      <c r="S372" s="725"/>
      <c r="T372" s="725"/>
      <c r="U372" s="725"/>
      <c r="V372" s="725"/>
      <c r="W372" s="725"/>
      <c r="X372" s="725"/>
      <c r="Y372" s="725"/>
      <c r="Z372" s="725"/>
      <c r="AA372" s="725"/>
      <c r="AB372" s="725"/>
      <c r="AC372" s="725"/>
      <c r="AD372" s="725"/>
      <c r="AE372" s="725"/>
      <c r="AF372" s="725"/>
      <c r="AG372" s="725"/>
      <c r="AH372" s="725"/>
    </row>
    <row r="373" customHeight="1" spans="1:34">
      <c r="A373" s="106" t="s">
        <v>18</v>
      </c>
      <c r="B373" s="715" t="s">
        <v>254</v>
      </c>
      <c r="C373" s="716"/>
      <c r="D373" s="109"/>
      <c r="E373" s="115"/>
      <c r="F373" s="120"/>
      <c r="G373" s="117">
        <f>G374</f>
        <v>14.46</v>
      </c>
      <c r="H373" s="733"/>
      <c r="I373" s="733"/>
      <c r="J373" s="733"/>
      <c r="K373" s="733"/>
      <c r="L373" s="733"/>
      <c r="M373" s="733"/>
      <c r="N373" s="733"/>
      <c r="O373" s="733"/>
      <c r="S373" s="725"/>
      <c r="T373" s="725"/>
      <c r="U373" s="725"/>
      <c r="V373" s="725"/>
      <c r="W373" s="725"/>
      <c r="X373" s="725"/>
      <c r="Y373" s="725"/>
      <c r="Z373" s="725"/>
      <c r="AA373" s="725"/>
      <c r="AB373" s="725"/>
      <c r="AC373" s="725"/>
      <c r="AD373" s="725"/>
      <c r="AE373" s="725"/>
      <c r="AF373" s="725"/>
      <c r="AG373" s="725"/>
      <c r="AH373" s="725"/>
    </row>
    <row r="374" customHeight="1" spans="1:34">
      <c r="A374" s="106" t="s">
        <v>39</v>
      </c>
      <c r="B374" s="715" t="s">
        <v>317</v>
      </c>
      <c r="C374" s="716"/>
      <c r="D374" s="109" t="s">
        <v>323</v>
      </c>
      <c r="E374" s="115">
        <f>E369*10.6</f>
        <v>3.5</v>
      </c>
      <c r="F374" s="115">
        <f>主材!N13</f>
        <v>4.13</v>
      </c>
      <c r="G374" s="117">
        <f>E374*F374</f>
        <v>14.46</v>
      </c>
      <c r="H374" s="733"/>
      <c r="I374" s="733"/>
      <c r="J374" s="733"/>
      <c r="K374" s="733"/>
      <c r="L374" s="733"/>
      <c r="M374" s="733"/>
      <c r="N374" s="733"/>
      <c r="O374" s="733"/>
      <c r="S374" s="725"/>
      <c r="T374" s="725"/>
      <c r="U374" s="725"/>
      <c r="V374" s="725"/>
      <c r="W374" s="725"/>
      <c r="X374" s="725"/>
      <c r="Y374" s="725"/>
      <c r="Z374" s="725"/>
      <c r="AA374" s="725"/>
      <c r="AB374" s="725"/>
      <c r="AC374" s="725"/>
      <c r="AD374" s="725"/>
      <c r="AE374" s="725"/>
      <c r="AF374" s="725"/>
      <c r="AG374" s="725"/>
      <c r="AH374" s="725"/>
    </row>
    <row r="375" customHeight="1" spans="1:34">
      <c r="A375" s="106" t="s">
        <v>20</v>
      </c>
      <c r="B375" s="116" t="s">
        <v>297</v>
      </c>
      <c r="C375" s="116"/>
      <c r="D375" s="109"/>
      <c r="E375" s="115">
        <f>G361+G371+G372+G373</f>
        <v>54.79</v>
      </c>
      <c r="F375" s="122">
        <f>费率!C7</f>
        <v>0.09</v>
      </c>
      <c r="G375" s="117">
        <f>E375*F375</f>
        <v>4.93</v>
      </c>
      <c r="H375" s="733"/>
      <c r="I375" s="733"/>
      <c r="J375" s="733"/>
      <c r="K375" s="733"/>
      <c r="L375" s="733"/>
      <c r="M375" s="733"/>
      <c r="N375" s="733"/>
      <c r="O375" s="733"/>
      <c r="S375" s="725"/>
      <c r="T375" s="725"/>
      <c r="U375" s="725"/>
      <c r="V375" s="725"/>
      <c r="W375" s="725"/>
      <c r="X375" s="725"/>
      <c r="Y375" s="725"/>
      <c r="Z375" s="725"/>
      <c r="AA375" s="725"/>
      <c r="AB375" s="725"/>
      <c r="AC375" s="725"/>
      <c r="AD375" s="725"/>
      <c r="AE375" s="725"/>
      <c r="AF375" s="725"/>
      <c r="AG375" s="725"/>
      <c r="AH375" s="725"/>
    </row>
    <row r="376" customHeight="1" spans="1:34">
      <c r="A376" s="106"/>
      <c r="B376" s="116" t="s">
        <v>298</v>
      </c>
      <c r="C376" s="116"/>
      <c r="D376" s="109"/>
      <c r="E376" s="115">
        <f>G361+G371+G372+G373+G375</f>
        <v>59.72</v>
      </c>
      <c r="F376" s="122">
        <v>0.03</v>
      </c>
      <c r="G376" s="117">
        <f>E376*F376</f>
        <v>1.79</v>
      </c>
      <c r="H376" s="733"/>
      <c r="I376" s="733"/>
      <c r="J376" s="733"/>
      <c r="K376" s="733"/>
      <c r="L376" s="733"/>
      <c r="M376" s="733"/>
      <c r="N376" s="733"/>
      <c r="O376" s="733"/>
      <c r="S376" s="725"/>
      <c r="T376" s="725"/>
      <c r="U376" s="725"/>
      <c r="V376" s="725"/>
      <c r="W376" s="725"/>
      <c r="X376" s="725"/>
      <c r="Y376" s="725"/>
      <c r="Z376" s="725"/>
      <c r="AA376" s="725"/>
      <c r="AB376" s="725"/>
      <c r="AC376" s="725"/>
      <c r="AD376" s="725"/>
      <c r="AE376" s="725"/>
      <c r="AF376" s="725"/>
      <c r="AG376" s="725"/>
      <c r="AH376" s="725"/>
    </row>
    <row r="377" customHeight="1" spans="1:34">
      <c r="A377" s="123"/>
      <c r="B377" s="124" t="s">
        <v>121</v>
      </c>
      <c r="C377" s="124"/>
      <c r="D377" s="124"/>
      <c r="E377" s="125"/>
      <c r="F377" s="124"/>
      <c r="G377" s="126">
        <f>G361+G371+G372+G373+G375+G376</f>
        <v>61.51</v>
      </c>
      <c r="H377" s="733"/>
      <c r="I377" s="733"/>
      <c r="J377" s="733"/>
      <c r="K377" s="733"/>
      <c r="L377" s="733"/>
      <c r="M377" s="733"/>
      <c r="N377" s="733"/>
      <c r="O377" s="733"/>
      <c r="S377" s="725"/>
      <c r="T377" s="725"/>
      <c r="U377" s="725"/>
      <c r="V377" s="725"/>
      <c r="W377" s="725"/>
      <c r="X377" s="725"/>
      <c r="Y377" s="725"/>
      <c r="Z377" s="725"/>
      <c r="AA377" s="725"/>
      <c r="AB377" s="725"/>
      <c r="AC377" s="725"/>
      <c r="AD377" s="725"/>
      <c r="AE377" s="725"/>
      <c r="AF377" s="725"/>
      <c r="AG377" s="725"/>
      <c r="AH377" s="725"/>
    </row>
    <row r="378" ht="10.15" customHeight="1" spans="1:34">
      <c r="A378" s="138"/>
      <c r="B378" s="138"/>
      <c r="C378" s="138"/>
      <c r="D378" s="138"/>
      <c r="E378" s="139"/>
      <c r="F378" s="138"/>
      <c r="G378" s="139"/>
      <c r="H378" s="733"/>
      <c r="I378" s="733"/>
      <c r="J378" s="733"/>
      <c r="K378" s="733"/>
      <c r="L378" s="733"/>
      <c r="M378" s="733"/>
      <c r="N378" s="733"/>
      <c r="O378" s="733"/>
      <c r="S378" s="725"/>
      <c r="T378" s="725"/>
      <c r="U378" s="725"/>
      <c r="V378" s="725"/>
      <c r="W378" s="725"/>
      <c r="X378" s="725"/>
      <c r="Y378" s="725"/>
      <c r="Z378" s="725"/>
      <c r="AA378" s="725"/>
      <c r="AB378" s="725"/>
      <c r="AC378" s="725"/>
      <c r="AD378" s="725"/>
      <c r="AE378" s="725"/>
      <c r="AF378" s="725"/>
      <c r="AG378" s="725"/>
      <c r="AH378" s="725"/>
    </row>
    <row r="379" customHeight="1" spans="1:34">
      <c r="A379" s="79" t="s">
        <v>274</v>
      </c>
      <c r="B379" s="79"/>
      <c r="C379" s="79"/>
      <c r="D379" s="79"/>
      <c r="E379" s="79"/>
      <c r="F379" s="79"/>
      <c r="G379" s="79"/>
      <c r="H379" s="733"/>
      <c r="I379" s="733"/>
      <c r="J379" s="733"/>
      <c r="K379" s="733"/>
      <c r="L379" s="733"/>
      <c r="M379" s="733"/>
      <c r="N379" s="733"/>
      <c r="O379" s="733"/>
      <c r="S379" s="725"/>
      <c r="T379" s="725"/>
      <c r="U379" s="725"/>
      <c r="V379" s="725"/>
      <c r="W379" s="725"/>
      <c r="X379" s="725"/>
      <c r="Y379" s="725"/>
      <c r="Z379" s="725"/>
      <c r="AA379" s="725"/>
      <c r="AB379" s="725"/>
      <c r="AC379" s="725"/>
      <c r="AD379" s="725"/>
      <c r="AE379" s="725"/>
      <c r="AF379" s="725"/>
      <c r="AG379" s="725"/>
      <c r="AH379" s="725"/>
    </row>
    <row r="380" ht="13.9" customHeight="1" spans="1:34">
      <c r="A380" s="102" t="s">
        <v>275</v>
      </c>
      <c r="B380" s="103"/>
      <c r="C380" s="103" t="s">
        <v>361</v>
      </c>
      <c r="D380" s="103" t="s">
        <v>276</v>
      </c>
      <c r="E380" s="104" t="s">
        <v>362</v>
      </c>
      <c r="F380" s="104"/>
      <c r="G380" s="105"/>
      <c r="H380" s="733"/>
      <c r="I380" s="733"/>
      <c r="J380" s="733"/>
      <c r="K380" s="733"/>
      <c r="L380" s="733"/>
      <c r="M380" s="733"/>
      <c r="N380" s="733"/>
      <c r="O380" s="733"/>
      <c r="S380" s="725"/>
      <c r="T380" s="725"/>
      <c r="U380" s="725"/>
      <c r="V380" s="725"/>
      <c r="W380" s="725"/>
      <c r="X380" s="725"/>
      <c r="Y380" s="725"/>
      <c r="Z380" s="725"/>
      <c r="AA380" s="725"/>
      <c r="AB380" s="725"/>
      <c r="AC380" s="725"/>
      <c r="AD380" s="725"/>
      <c r="AE380" s="725"/>
      <c r="AF380" s="725"/>
      <c r="AG380" s="725"/>
      <c r="AH380" s="725"/>
    </row>
    <row r="381" ht="13.9" customHeight="1" spans="1:34">
      <c r="A381" s="106" t="s">
        <v>278</v>
      </c>
      <c r="B381" s="107"/>
      <c r="C381" s="108" t="s">
        <v>363</v>
      </c>
      <c r="D381" s="108"/>
      <c r="E381" s="108"/>
      <c r="F381" s="109" t="s">
        <v>280</v>
      </c>
      <c r="G381" s="110" t="s">
        <v>364</v>
      </c>
      <c r="H381" s="728"/>
      <c r="I381" s="728"/>
      <c r="J381" s="728"/>
      <c r="K381" s="728"/>
      <c r="L381" s="728"/>
      <c r="M381" s="728"/>
      <c r="N381" s="728"/>
      <c r="O381" s="728"/>
      <c r="S381" s="734"/>
      <c r="T381" s="734"/>
      <c r="U381" s="734"/>
      <c r="V381" s="734"/>
      <c r="W381" s="734"/>
      <c r="X381" s="734"/>
      <c r="Y381" s="734"/>
      <c r="Z381" s="734"/>
      <c r="AA381" s="734"/>
      <c r="AB381" s="734"/>
      <c r="AC381" s="734"/>
      <c r="AD381" s="734"/>
      <c r="AE381" s="727"/>
      <c r="AF381" s="727"/>
      <c r="AG381" s="727"/>
      <c r="AH381" s="727"/>
    </row>
    <row r="382" ht="13.9" customHeight="1" spans="1:34">
      <c r="A382" s="111" t="s">
        <v>365</v>
      </c>
      <c r="B382" s="108"/>
      <c r="C382" s="108"/>
      <c r="D382" s="108"/>
      <c r="E382" s="108"/>
      <c r="F382" s="108"/>
      <c r="G382" s="112"/>
      <c r="H382" s="728"/>
      <c r="I382" s="728"/>
      <c r="J382" s="728"/>
      <c r="K382" s="728"/>
      <c r="L382" s="728"/>
      <c r="M382" s="728"/>
      <c r="N382" s="728"/>
      <c r="O382" s="728"/>
      <c r="S382" s="734"/>
      <c r="T382" s="734"/>
      <c r="U382" s="734"/>
      <c r="V382" s="734"/>
      <c r="W382" s="734"/>
      <c r="X382" s="734"/>
      <c r="Y382" s="734"/>
      <c r="Z382" s="734"/>
      <c r="AA382" s="734"/>
      <c r="AB382" s="734"/>
      <c r="AC382" s="734"/>
      <c r="AD382" s="734"/>
      <c r="AE382" s="727"/>
      <c r="AF382" s="727"/>
      <c r="AG382" s="727"/>
      <c r="AH382" s="727"/>
    </row>
    <row r="383" ht="13.9" customHeight="1" spans="1:34">
      <c r="A383" s="113" t="s">
        <v>366</v>
      </c>
      <c r="B383" s="114"/>
      <c r="C383" s="54"/>
      <c r="D383" s="54"/>
      <c r="E383" s="54"/>
      <c r="F383" s="54"/>
      <c r="G383" s="55"/>
      <c r="H383" s="728"/>
      <c r="I383" s="728"/>
      <c r="J383" s="728"/>
      <c r="K383" s="728"/>
      <c r="L383" s="728"/>
      <c r="M383" s="728"/>
      <c r="N383" s="728"/>
      <c r="O383" s="728"/>
      <c r="S383" s="734"/>
      <c r="T383" s="734"/>
      <c r="U383" s="734"/>
      <c r="V383" s="734"/>
      <c r="W383" s="734"/>
      <c r="X383" s="734"/>
      <c r="Y383" s="734"/>
      <c r="Z383" s="734"/>
      <c r="AA383" s="734"/>
      <c r="AB383" s="734"/>
      <c r="AC383" s="734"/>
      <c r="AD383" s="734"/>
      <c r="AE383" s="727"/>
      <c r="AF383" s="727"/>
      <c r="AG383" s="727"/>
      <c r="AH383" s="727"/>
    </row>
    <row r="384" ht="13.9" customHeight="1" spans="1:34">
      <c r="A384" s="106" t="s">
        <v>284</v>
      </c>
      <c r="B384" s="109" t="s">
        <v>233</v>
      </c>
      <c r="C384" s="109"/>
      <c r="D384" s="109" t="s">
        <v>88</v>
      </c>
      <c r="E384" s="115" t="s">
        <v>130</v>
      </c>
      <c r="F384" s="109" t="s">
        <v>285</v>
      </c>
      <c r="G384" s="110" t="s">
        <v>286</v>
      </c>
      <c r="H384" s="728"/>
      <c r="I384" s="728"/>
      <c r="J384" s="728"/>
      <c r="K384" s="728"/>
      <c r="L384" s="728"/>
      <c r="M384" s="728"/>
      <c r="N384" s="728"/>
      <c r="O384" s="728"/>
      <c r="S384" s="734"/>
      <c r="T384" s="734"/>
      <c r="U384" s="734"/>
      <c r="V384" s="734"/>
      <c r="W384" s="734"/>
      <c r="X384" s="734"/>
      <c r="Y384" s="734"/>
      <c r="Z384" s="734"/>
      <c r="AA384" s="734"/>
      <c r="AB384" s="734"/>
      <c r="AC384" s="734"/>
      <c r="AD384" s="734"/>
      <c r="AE384" s="727"/>
      <c r="AF384" s="727"/>
      <c r="AG384" s="727"/>
      <c r="AH384" s="727"/>
    </row>
    <row r="385" ht="13.9" customHeight="1" spans="1:34">
      <c r="A385" s="106" t="s">
        <v>9</v>
      </c>
      <c r="B385" s="116" t="s">
        <v>287</v>
      </c>
      <c r="C385" s="116"/>
      <c r="D385" s="109"/>
      <c r="E385" s="115"/>
      <c r="F385" s="115"/>
      <c r="G385" s="117">
        <f>G386+G398</f>
        <v>391.71</v>
      </c>
      <c r="H385" s="728"/>
      <c r="I385" s="728"/>
      <c r="J385" s="728"/>
      <c r="K385" s="728"/>
      <c r="L385" s="728"/>
      <c r="M385" s="728"/>
      <c r="N385" s="728"/>
      <c r="O385" s="728"/>
      <c r="S385" s="734"/>
      <c r="T385" s="734"/>
      <c r="U385" s="734"/>
      <c r="V385" s="734"/>
      <c r="W385" s="734"/>
      <c r="X385" s="734"/>
      <c r="Y385" s="734"/>
      <c r="Z385" s="734"/>
      <c r="AA385" s="734"/>
      <c r="AB385" s="734"/>
      <c r="AC385" s="734"/>
      <c r="AD385" s="734"/>
      <c r="AE385" s="727"/>
      <c r="AF385" s="727"/>
      <c r="AG385" s="727"/>
      <c r="AH385" s="727"/>
    </row>
    <row r="386" ht="13.9" customHeight="1" spans="1:34">
      <c r="A386" s="106" t="s">
        <v>132</v>
      </c>
      <c r="B386" s="116" t="s">
        <v>288</v>
      </c>
      <c r="C386" s="116"/>
      <c r="D386" s="109"/>
      <c r="E386" s="115"/>
      <c r="F386" s="115"/>
      <c r="G386" s="117">
        <f>G387+G390+G392</f>
        <v>373.77</v>
      </c>
      <c r="H386" s="728"/>
      <c r="I386" s="728"/>
      <c r="J386" s="728"/>
      <c r="K386" s="728"/>
      <c r="L386" s="728"/>
      <c r="M386" s="728"/>
      <c r="N386" s="728"/>
      <c r="O386" s="728"/>
      <c r="S386" s="734"/>
      <c r="T386" s="734"/>
      <c r="U386" s="734"/>
      <c r="V386" s="734"/>
      <c r="W386" s="734"/>
      <c r="X386" s="734"/>
      <c r="Y386" s="734"/>
      <c r="Z386" s="734"/>
      <c r="AA386" s="734"/>
      <c r="AB386" s="734"/>
      <c r="AC386" s="734"/>
      <c r="AD386" s="734"/>
      <c r="AE386" s="727"/>
      <c r="AF386" s="727"/>
      <c r="AG386" s="727"/>
      <c r="AH386" s="727"/>
    </row>
    <row r="387" ht="13.9" customHeight="1" spans="1:34">
      <c r="A387" s="106" t="s">
        <v>39</v>
      </c>
      <c r="B387" s="116" t="s">
        <v>247</v>
      </c>
      <c r="C387" s="116"/>
      <c r="D387" s="109"/>
      <c r="E387" s="115"/>
      <c r="F387" s="115"/>
      <c r="G387" s="117">
        <f>SUM(G388:G389)</f>
        <v>115.4</v>
      </c>
      <c r="H387" s="728"/>
      <c r="I387" s="728"/>
      <c r="J387" s="728"/>
      <c r="K387" s="728"/>
      <c r="L387" s="728"/>
      <c r="M387" s="728"/>
      <c r="N387" s="728"/>
      <c r="O387" s="728"/>
      <c r="S387" s="734"/>
      <c r="T387" s="734"/>
      <c r="U387" s="734"/>
      <c r="V387" s="734"/>
      <c r="W387" s="734"/>
      <c r="X387" s="734"/>
      <c r="Y387" s="734"/>
      <c r="Z387" s="734"/>
      <c r="AA387" s="734"/>
      <c r="AB387" s="734"/>
      <c r="AC387" s="734"/>
      <c r="AD387" s="734"/>
      <c r="AE387" s="727"/>
      <c r="AF387" s="727"/>
      <c r="AG387" s="727"/>
      <c r="AH387" s="727"/>
    </row>
    <row r="388" ht="13.9" customHeight="1" spans="1:34">
      <c r="A388" s="106"/>
      <c r="B388" s="116" t="s">
        <v>289</v>
      </c>
      <c r="C388" s="116"/>
      <c r="D388" s="109" t="s">
        <v>290</v>
      </c>
      <c r="E388" s="115"/>
      <c r="F388" s="115"/>
      <c r="G388" s="117"/>
      <c r="H388" s="728"/>
      <c r="I388" s="728"/>
      <c r="J388" s="728"/>
      <c r="K388" s="728"/>
      <c r="L388" s="728"/>
      <c r="M388" s="728"/>
      <c r="N388" s="728"/>
      <c r="O388" s="728"/>
      <c r="S388" s="734"/>
      <c r="T388" s="734"/>
      <c r="U388" s="734"/>
      <c r="V388" s="734"/>
      <c r="W388" s="734"/>
      <c r="X388" s="734"/>
      <c r="Y388" s="734"/>
      <c r="Z388" s="734"/>
      <c r="AA388" s="734"/>
      <c r="AB388" s="734"/>
      <c r="AC388" s="734"/>
      <c r="AD388" s="734"/>
      <c r="AE388" s="727"/>
      <c r="AF388" s="727"/>
      <c r="AG388" s="727"/>
      <c r="AH388" s="727"/>
    </row>
    <row r="389" ht="13.9" customHeight="1" spans="1:34">
      <c r="A389" s="106"/>
      <c r="B389" s="116" t="s">
        <v>291</v>
      </c>
      <c r="C389" s="116"/>
      <c r="D389" s="109" t="s">
        <v>290</v>
      </c>
      <c r="E389" s="115">
        <v>20</v>
      </c>
      <c r="F389" s="115">
        <f>主材!D22</f>
        <v>5.77</v>
      </c>
      <c r="G389" s="117">
        <f>E389*F389</f>
        <v>115.4</v>
      </c>
      <c r="H389" s="728"/>
      <c r="I389" s="728"/>
      <c r="J389" s="728"/>
      <c r="K389" s="728"/>
      <c r="L389" s="728"/>
      <c r="M389" s="728"/>
      <c r="N389" s="728"/>
      <c r="O389" s="728"/>
      <c r="S389" s="734"/>
      <c r="T389" s="734"/>
      <c r="U389" s="734"/>
      <c r="V389" s="734"/>
      <c r="W389" s="734"/>
      <c r="X389" s="734"/>
      <c r="Y389" s="734"/>
      <c r="Z389" s="734"/>
      <c r="AA389" s="734"/>
      <c r="AB389" s="734"/>
      <c r="AC389" s="734"/>
      <c r="AD389" s="734"/>
      <c r="AE389" s="727"/>
      <c r="AF389" s="727"/>
      <c r="AG389" s="727"/>
      <c r="AH389" s="727"/>
    </row>
    <row r="390" ht="13.9" customHeight="1" spans="1:34">
      <c r="A390" s="106" t="s">
        <v>41</v>
      </c>
      <c r="B390" s="116" t="s">
        <v>248</v>
      </c>
      <c r="C390" s="116"/>
      <c r="D390" s="109"/>
      <c r="E390" s="115"/>
      <c r="F390" s="115"/>
      <c r="G390" s="117">
        <f>G391</f>
        <v>33.98</v>
      </c>
      <c r="H390" s="728"/>
      <c r="I390" s="728"/>
      <c r="J390" s="728"/>
      <c r="K390" s="728"/>
      <c r="L390" s="728"/>
      <c r="M390" s="728"/>
      <c r="N390" s="728"/>
      <c r="O390" s="728"/>
      <c r="S390" s="734"/>
      <c r="T390" s="734"/>
      <c r="U390" s="734"/>
      <c r="V390" s="734"/>
      <c r="W390" s="734"/>
      <c r="X390" s="734"/>
      <c r="Y390" s="734"/>
      <c r="Z390" s="734"/>
      <c r="AA390" s="734"/>
      <c r="AB390" s="734"/>
      <c r="AC390" s="734"/>
      <c r="AD390" s="734"/>
      <c r="AE390" s="727"/>
      <c r="AF390" s="727"/>
      <c r="AG390" s="727"/>
      <c r="AH390" s="727"/>
    </row>
    <row r="391" ht="13.9" customHeight="1" spans="1:34">
      <c r="A391" s="106"/>
      <c r="B391" s="116" t="s">
        <v>292</v>
      </c>
      <c r="C391" s="116"/>
      <c r="D391" s="109" t="s">
        <v>293</v>
      </c>
      <c r="E391" s="115">
        <f>G387+G392</f>
        <v>339.79</v>
      </c>
      <c r="F391" s="115">
        <v>10</v>
      </c>
      <c r="G391" s="117">
        <f>E391*F391/100</f>
        <v>33.98</v>
      </c>
      <c r="H391" s="728"/>
      <c r="I391" s="728"/>
      <c r="J391" s="728"/>
      <c r="K391" s="728"/>
      <c r="L391" s="728"/>
      <c r="M391" s="728"/>
      <c r="N391" s="728"/>
      <c r="O391" s="728"/>
      <c r="S391" s="734"/>
      <c r="T391" s="734"/>
      <c r="U391" s="734"/>
      <c r="V391" s="734"/>
      <c r="W391" s="734"/>
      <c r="X391" s="734"/>
      <c r="Y391" s="734"/>
      <c r="Z391" s="734"/>
      <c r="AA391" s="734"/>
      <c r="AB391" s="734"/>
      <c r="AC391" s="734"/>
      <c r="AD391" s="734"/>
      <c r="AE391" s="727"/>
      <c r="AF391" s="727"/>
      <c r="AG391" s="727"/>
      <c r="AH391" s="727"/>
    </row>
    <row r="392" ht="13.9" customHeight="1" spans="1:34">
      <c r="A392" s="106" t="s">
        <v>46</v>
      </c>
      <c r="B392" s="116" t="s">
        <v>314</v>
      </c>
      <c r="C392" s="116"/>
      <c r="D392" s="116"/>
      <c r="E392" s="115"/>
      <c r="F392" s="115"/>
      <c r="G392" s="117">
        <f>SUM(G393:G397)</f>
        <v>224.39</v>
      </c>
      <c r="H392" s="728"/>
      <c r="I392" s="728"/>
      <c r="J392" s="728"/>
      <c r="K392" s="728"/>
      <c r="L392" s="728"/>
      <c r="M392" s="728"/>
      <c r="N392" s="728"/>
      <c r="O392" s="728"/>
      <c r="S392" s="734"/>
      <c r="T392" s="734"/>
      <c r="U392" s="734"/>
      <c r="V392" s="734"/>
      <c r="W392" s="734"/>
      <c r="X392" s="734"/>
      <c r="Y392" s="734"/>
      <c r="Z392" s="734"/>
      <c r="AA392" s="734"/>
      <c r="AB392" s="734"/>
      <c r="AC392" s="734"/>
      <c r="AD392" s="734"/>
      <c r="AE392" s="727"/>
      <c r="AF392" s="727"/>
      <c r="AG392" s="727"/>
      <c r="AH392" s="727"/>
    </row>
    <row r="393" ht="13.9" customHeight="1" spans="1:34">
      <c r="A393" s="106"/>
      <c r="B393" s="116" t="s">
        <v>367</v>
      </c>
      <c r="C393" s="116"/>
      <c r="D393" s="109" t="s">
        <v>316</v>
      </c>
      <c r="E393" s="115">
        <v>1.89</v>
      </c>
      <c r="F393" s="115">
        <f>机械!E6</f>
        <v>68.41</v>
      </c>
      <c r="G393" s="117">
        <f>E393*F393</f>
        <v>129.29</v>
      </c>
      <c r="H393" s="728"/>
      <c r="I393" s="728"/>
      <c r="J393" s="728"/>
      <c r="K393" s="728"/>
      <c r="L393" s="728"/>
      <c r="M393" s="728"/>
      <c r="N393" s="728"/>
      <c r="O393" s="728"/>
      <c r="S393" s="734"/>
      <c r="T393" s="734"/>
      <c r="U393" s="734"/>
      <c r="V393" s="734"/>
      <c r="W393" s="734"/>
      <c r="X393" s="734"/>
      <c r="Y393" s="734"/>
      <c r="Z393" s="734"/>
      <c r="AA393" s="734"/>
      <c r="AB393" s="734"/>
      <c r="AC393" s="734"/>
      <c r="AD393" s="734"/>
      <c r="AE393" s="727"/>
      <c r="AF393" s="727"/>
      <c r="AG393" s="727"/>
      <c r="AH393" s="727"/>
    </row>
    <row r="394" ht="13.9" customHeight="1" spans="1:34">
      <c r="A394" s="106"/>
      <c r="B394" s="116" t="s">
        <v>328</v>
      </c>
      <c r="C394" s="116"/>
      <c r="D394" s="109" t="s">
        <v>316</v>
      </c>
      <c r="E394" s="115">
        <v>0.5</v>
      </c>
      <c r="F394" s="115">
        <f>机械!E9</f>
        <v>89.44</v>
      </c>
      <c r="G394" s="117">
        <f>E394*F394</f>
        <v>44.72</v>
      </c>
      <c r="H394" s="728"/>
      <c r="I394" s="728"/>
      <c r="J394" s="728"/>
      <c r="K394" s="728"/>
      <c r="L394" s="728"/>
      <c r="M394" s="728"/>
      <c r="N394" s="728"/>
      <c r="O394" s="728"/>
      <c r="S394" s="734"/>
      <c r="T394" s="734"/>
      <c r="U394" s="734"/>
      <c r="V394" s="734"/>
      <c r="W394" s="734"/>
      <c r="X394" s="734"/>
      <c r="Y394" s="734"/>
      <c r="Z394" s="734"/>
      <c r="AA394" s="734"/>
      <c r="AB394" s="734"/>
      <c r="AC394" s="734"/>
      <c r="AD394" s="734"/>
      <c r="AE394" s="727"/>
      <c r="AF394" s="727"/>
      <c r="AG394" s="727"/>
      <c r="AH394" s="727"/>
    </row>
    <row r="395" ht="13.9" customHeight="1" spans="1:34">
      <c r="A395" s="106"/>
      <c r="B395" s="116" t="s">
        <v>368</v>
      </c>
      <c r="C395" s="116"/>
      <c r="D395" s="109" t="s">
        <v>316</v>
      </c>
      <c r="E395" s="115">
        <v>1</v>
      </c>
      <c r="F395" s="115">
        <f>机械!E13</f>
        <v>18.56</v>
      </c>
      <c r="G395" s="117">
        <f>E395*F395</f>
        <v>18.56</v>
      </c>
      <c r="H395" s="728"/>
      <c r="I395" s="728"/>
      <c r="J395" s="728"/>
      <c r="K395" s="728"/>
      <c r="L395" s="728"/>
      <c r="M395" s="728"/>
      <c r="N395" s="728"/>
      <c r="O395" s="728"/>
      <c r="S395" s="734"/>
      <c r="T395" s="734"/>
      <c r="U395" s="734"/>
      <c r="V395" s="734"/>
      <c r="W395" s="734"/>
      <c r="X395" s="734"/>
      <c r="Y395" s="734"/>
      <c r="Z395" s="734"/>
      <c r="AA395" s="734"/>
      <c r="AB395" s="734"/>
      <c r="AC395" s="734"/>
      <c r="AD395" s="734"/>
      <c r="AE395" s="727"/>
      <c r="AF395" s="727"/>
      <c r="AG395" s="727"/>
      <c r="AH395" s="727"/>
    </row>
    <row r="396" ht="13.9" customHeight="1" spans="1:34">
      <c r="A396" s="106"/>
      <c r="B396" s="116" t="s">
        <v>369</v>
      </c>
      <c r="C396" s="116"/>
      <c r="D396" s="109" t="s">
        <v>316</v>
      </c>
      <c r="E396" s="115">
        <v>0.5</v>
      </c>
      <c r="F396" s="115">
        <f>8.36/1.15+10.87/1.09+0.39+2.4*8.1+7.4*2.99</f>
        <v>59.2</v>
      </c>
      <c r="G396" s="117">
        <f>E396*F396</f>
        <v>29.6</v>
      </c>
      <c r="H396" s="728"/>
      <c r="I396" s="728"/>
      <c r="J396" s="728"/>
      <c r="K396" s="728"/>
      <c r="L396" s="728"/>
      <c r="M396" s="728"/>
      <c r="N396" s="728"/>
      <c r="O396" s="728"/>
      <c r="S396" s="734"/>
      <c r="T396" s="734"/>
      <c r="U396" s="734"/>
      <c r="V396" s="734"/>
      <c r="W396" s="734"/>
      <c r="X396" s="734"/>
      <c r="Y396" s="734"/>
      <c r="Z396" s="734"/>
      <c r="AA396" s="734"/>
      <c r="AB396" s="734"/>
      <c r="AC396" s="734"/>
      <c r="AD396" s="734"/>
      <c r="AE396" s="727"/>
      <c r="AF396" s="727"/>
      <c r="AG396" s="727"/>
      <c r="AH396" s="727"/>
    </row>
    <row r="397" ht="13.9" customHeight="1" spans="1:34">
      <c r="A397" s="106"/>
      <c r="B397" s="116" t="s">
        <v>370</v>
      </c>
      <c r="C397" s="116"/>
      <c r="D397" s="109" t="s">
        <v>293</v>
      </c>
      <c r="E397" s="115">
        <f>SUM(G393:G396)</f>
        <v>222.17</v>
      </c>
      <c r="F397" s="115">
        <v>1</v>
      </c>
      <c r="G397" s="117">
        <f>E397*F397/100</f>
        <v>2.22</v>
      </c>
      <c r="H397" s="728"/>
      <c r="I397" s="728"/>
      <c r="J397" s="728"/>
      <c r="K397" s="728"/>
      <c r="L397" s="728"/>
      <c r="M397" s="728"/>
      <c r="N397" s="728"/>
      <c r="O397" s="728"/>
      <c r="S397" s="734"/>
      <c r="T397" s="734"/>
      <c r="U397" s="734"/>
      <c r="V397" s="734"/>
      <c r="W397" s="734"/>
      <c r="X397" s="734"/>
      <c r="Y397" s="734"/>
      <c r="Z397" s="734"/>
      <c r="AA397" s="734"/>
      <c r="AB397" s="734"/>
      <c r="AC397" s="734"/>
      <c r="AD397" s="734"/>
      <c r="AE397" s="727"/>
      <c r="AF397" s="727"/>
      <c r="AG397" s="727"/>
      <c r="AH397" s="727"/>
    </row>
    <row r="398" ht="13.9" customHeight="1" spans="1:34">
      <c r="A398" s="106" t="s">
        <v>133</v>
      </c>
      <c r="B398" s="116" t="s">
        <v>294</v>
      </c>
      <c r="C398" s="116"/>
      <c r="D398" s="109"/>
      <c r="E398" s="717">
        <f>G386</f>
        <v>373.77</v>
      </c>
      <c r="F398" s="120">
        <f>费率!C4</f>
        <v>0.048</v>
      </c>
      <c r="G398" s="117">
        <f>E398*F398</f>
        <v>17.94</v>
      </c>
      <c r="H398" s="728"/>
      <c r="I398" s="728"/>
      <c r="J398" s="728"/>
      <c r="K398" s="728"/>
      <c r="L398" s="728"/>
      <c r="M398" s="728"/>
      <c r="N398" s="728"/>
      <c r="O398" s="728"/>
      <c r="S398" s="734"/>
      <c r="T398" s="734"/>
      <c r="U398" s="734"/>
      <c r="V398" s="734"/>
      <c r="W398" s="734"/>
      <c r="X398" s="734"/>
      <c r="Y398" s="734"/>
      <c r="Z398" s="734"/>
      <c r="AA398" s="734"/>
      <c r="AB398" s="734"/>
      <c r="AC398" s="734"/>
      <c r="AD398" s="734"/>
      <c r="AE398" s="727"/>
      <c r="AF398" s="727"/>
      <c r="AG398" s="727"/>
      <c r="AH398" s="727"/>
    </row>
    <row r="399" ht="13.9" customHeight="1" spans="1:34">
      <c r="A399" s="106" t="s">
        <v>14</v>
      </c>
      <c r="B399" s="116" t="s">
        <v>295</v>
      </c>
      <c r="C399" s="116"/>
      <c r="D399" s="109"/>
      <c r="E399" s="115">
        <f>G385</f>
        <v>391.71</v>
      </c>
      <c r="F399" s="120">
        <f>费率!C5</f>
        <v>0.04</v>
      </c>
      <c r="G399" s="117">
        <f>E399*F399</f>
        <v>15.67</v>
      </c>
      <c r="H399" s="728"/>
      <c r="I399" s="728"/>
      <c r="J399" s="728"/>
      <c r="K399" s="728"/>
      <c r="L399" s="728"/>
      <c r="M399" s="728"/>
      <c r="N399" s="728"/>
      <c r="O399" s="728"/>
      <c r="S399" s="734"/>
      <c r="T399" s="734"/>
      <c r="U399" s="734"/>
      <c r="V399" s="734"/>
      <c r="W399" s="734"/>
      <c r="X399" s="734"/>
      <c r="Y399" s="734"/>
      <c r="Z399" s="734"/>
      <c r="AA399" s="734"/>
      <c r="AB399" s="734"/>
      <c r="AC399" s="734"/>
      <c r="AD399" s="734"/>
      <c r="AE399" s="727"/>
      <c r="AF399" s="727"/>
      <c r="AG399" s="727"/>
      <c r="AH399" s="727"/>
    </row>
    <row r="400" ht="13.9" customHeight="1" spans="1:34">
      <c r="A400" s="106" t="s">
        <v>16</v>
      </c>
      <c r="B400" s="116" t="s">
        <v>296</v>
      </c>
      <c r="C400" s="116"/>
      <c r="D400" s="109"/>
      <c r="E400" s="115">
        <f>G385+G399</f>
        <v>407.38</v>
      </c>
      <c r="F400" s="120">
        <f>费率!C6</f>
        <v>0.05</v>
      </c>
      <c r="G400" s="117">
        <f>E400*F400</f>
        <v>20.37</v>
      </c>
      <c r="H400" s="728"/>
      <c r="I400" s="728"/>
      <c r="J400" s="728"/>
      <c r="K400" s="728"/>
      <c r="L400" s="728"/>
      <c r="M400" s="728"/>
      <c r="N400" s="728"/>
      <c r="O400" s="728"/>
      <c r="S400" s="734"/>
      <c r="T400" s="734"/>
      <c r="U400" s="734"/>
      <c r="V400" s="734"/>
      <c r="W400" s="734"/>
      <c r="X400" s="734"/>
      <c r="Y400" s="734"/>
      <c r="Z400" s="734"/>
      <c r="AA400" s="734"/>
      <c r="AB400" s="734"/>
      <c r="AC400" s="734"/>
      <c r="AD400" s="734"/>
      <c r="AE400" s="727"/>
      <c r="AF400" s="727"/>
      <c r="AG400" s="727"/>
      <c r="AH400" s="727"/>
    </row>
    <row r="401" ht="13.9" customHeight="1" spans="1:34">
      <c r="A401" s="106" t="s">
        <v>18</v>
      </c>
      <c r="B401" s="116" t="s">
        <v>254</v>
      </c>
      <c r="C401" s="116"/>
      <c r="D401" s="109"/>
      <c r="E401" s="115"/>
      <c r="F401" s="120"/>
      <c r="G401" s="117">
        <f>G402</f>
        <v>114.44</v>
      </c>
      <c r="H401" s="728"/>
      <c r="I401" s="728"/>
      <c r="J401" s="728"/>
      <c r="K401" s="728"/>
      <c r="L401" s="728"/>
      <c r="M401" s="728"/>
      <c r="N401" s="728"/>
      <c r="O401" s="728"/>
      <c r="S401" s="734"/>
      <c r="T401" s="734"/>
      <c r="U401" s="734"/>
      <c r="V401" s="734"/>
      <c r="W401" s="734"/>
      <c r="X401" s="734"/>
      <c r="Y401" s="734"/>
      <c r="Z401" s="734"/>
      <c r="AA401" s="734"/>
      <c r="AB401" s="734"/>
      <c r="AC401" s="734"/>
      <c r="AD401" s="734"/>
      <c r="AE401" s="727"/>
      <c r="AF401" s="727"/>
      <c r="AG401" s="727"/>
      <c r="AH401" s="727"/>
    </row>
    <row r="402" ht="13.9" customHeight="1" spans="1:34">
      <c r="A402" s="106" t="s">
        <v>39</v>
      </c>
      <c r="B402" s="116" t="s">
        <v>317</v>
      </c>
      <c r="C402" s="116"/>
      <c r="D402" s="109" t="s">
        <v>323</v>
      </c>
      <c r="E402" s="115">
        <f>E393*9.9+E394*10.6+E396*7.4</f>
        <v>27.71</v>
      </c>
      <c r="F402" s="115">
        <f>主材!N13</f>
        <v>4.13</v>
      </c>
      <c r="G402" s="117">
        <f>E402*F402</f>
        <v>114.44</v>
      </c>
      <c r="H402" s="728"/>
      <c r="I402" s="728"/>
      <c r="J402" s="728"/>
      <c r="K402" s="728"/>
      <c r="L402" s="728"/>
      <c r="M402" s="728"/>
      <c r="N402" s="728"/>
      <c r="O402" s="728"/>
      <c r="S402" s="734"/>
      <c r="T402" s="734"/>
      <c r="U402" s="734"/>
      <c r="V402" s="734"/>
      <c r="W402" s="734"/>
      <c r="X402" s="734"/>
      <c r="Y402" s="734"/>
      <c r="Z402" s="734"/>
      <c r="AA402" s="734"/>
      <c r="AB402" s="734"/>
      <c r="AC402" s="734"/>
      <c r="AD402" s="734"/>
      <c r="AE402" s="727"/>
      <c r="AF402" s="727"/>
      <c r="AG402" s="727"/>
      <c r="AH402" s="727"/>
    </row>
    <row r="403" ht="13.9" customHeight="1" spans="1:34">
      <c r="A403" s="106" t="s">
        <v>20</v>
      </c>
      <c r="B403" s="116" t="s">
        <v>297</v>
      </c>
      <c r="C403" s="116"/>
      <c r="D403" s="109"/>
      <c r="E403" s="115">
        <f>G385+G399+G400+G401</f>
        <v>542.19</v>
      </c>
      <c r="F403" s="122">
        <f>费率!C7</f>
        <v>0.09</v>
      </c>
      <c r="G403" s="117">
        <f>E403*F403</f>
        <v>48.8</v>
      </c>
      <c r="H403" s="728"/>
      <c r="I403" s="728"/>
      <c r="J403" s="728"/>
      <c r="K403" s="728"/>
      <c r="L403" s="728"/>
      <c r="M403" s="728"/>
      <c r="N403" s="728"/>
      <c r="O403" s="728"/>
      <c r="S403" s="734"/>
      <c r="T403" s="734"/>
      <c r="U403" s="734"/>
      <c r="V403" s="734"/>
      <c r="W403" s="734"/>
      <c r="X403" s="734"/>
      <c r="Y403" s="734"/>
      <c r="Z403" s="734"/>
      <c r="AA403" s="734"/>
      <c r="AB403" s="734"/>
      <c r="AC403" s="734"/>
      <c r="AD403" s="734"/>
      <c r="AE403" s="727"/>
      <c r="AF403" s="727"/>
      <c r="AG403" s="727"/>
      <c r="AH403" s="727"/>
    </row>
    <row r="404" ht="13.9" customHeight="1" spans="1:34">
      <c r="A404" s="106"/>
      <c r="B404" s="116" t="s">
        <v>298</v>
      </c>
      <c r="C404" s="116"/>
      <c r="D404" s="109"/>
      <c r="E404" s="115">
        <f>G385+G399+G400+G401+G403</f>
        <v>590.99</v>
      </c>
      <c r="F404" s="122">
        <v>0.03</v>
      </c>
      <c r="G404" s="117">
        <f>E404*F404</f>
        <v>17.73</v>
      </c>
      <c r="H404" s="728"/>
      <c r="I404" s="728"/>
      <c r="J404" s="728"/>
      <c r="K404" s="728"/>
      <c r="L404" s="728"/>
      <c r="M404" s="728"/>
      <c r="N404" s="728"/>
      <c r="O404" s="728"/>
      <c r="S404" s="734"/>
      <c r="T404" s="734"/>
      <c r="U404" s="734"/>
      <c r="V404" s="734"/>
      <c r="W404" s="734"/>
      <c r="X404" s="734"/>
      <c r="Y404" s="734"/>
      <c r="Z404" s="734"/>
      <c r="AA404" s="734"/>
      <c r="AB404" s="734"/>
      <c r="AC404" s="734"/>
      <c r="AD404" s="734"/>
      <c r="AE404" s="727"/>
      <c r="AF404" s="727"/>
      <c r="AG404" s="727"/>
      <c r="AH404" s="727"/>
    </row>
    <row r="405" ht="13.9" customHeight="1" spans="1:34">
      <c r="A405" s="123"/>
      <c r="B405" s="124" t="s">
        <v>121</v>
      </c>
      <c r="C405" s="124"/>
      <c r="D405" s="124"/>
      <c r="E405" s="125"/>
      <c r="F405" s="124"/>
      <c r="G405" s="126">
        <f>G385+G399+G400+G401+G403+G404</f>
        <v>608.72</v>
      </c>
      <c r="H405" s="728"/>
      <c r="I405" s="728"/>
      <c r="J405" s="728"/>
      <c r="K405" s="728"/>
      <c r="L405" s="728"/>
      <c r="M405" s="728"/>
      <c r="N405" s="728"/>
      <c r="O405" s="728"/>
      <c r="S405" s="734"/>
      <c r="T405" s="734"/>
      <c r="U405" s="734"/>
      <c r="V405" s="734"/>
      <c r="W405" s="734"/>
      <c r="X405" s="734"/>
      <c r="Y405" s="734"/>
      <c r="Z405" s="734"/>
      <c r="AA405" s="734"/>
      <c r="AB405" s="734"/>
      <c r="AC405" s="734"/>
      <c r="AD405" s="734"/>
      <c r="AE405" s="727"/>
      <c r="AF405" s="727"/>
      <c r="AG405" s="727"/>
      <c r="AH405" s="727"/>
    </row>
    <row r="406" ht="15.6" customHeight="1" spans="8:34">
      <c r="H406" s="728"/>
      <c r="I406" s="728"/>
      <c r="J406" s="728"/>
      <c r="K406" s="728"/>
      <c r="L406" s="728"/>
      <c r="M406" s="728"/>
      <c r="N406" s="728"/>
      <c r="O406" s="728"/>
      <c r="S406" s="734"/>
      <c r="T406" s="734"/>
      <c r="U406" s="734"/>
      <c r="V406" s="734"/>
      <c r="W406" s="734"/>
      <c r="X406" s="734"/>
      <c r="Y406" s="734"/>
      <c r="Z406" s="734"/>
      <c r="AA406" s="734"/>
      <c r="AB406" s="734"/>
      <c r="AC406" s="734"/>
      <c r="AD406" s="734"/>
      <c r="AE406" s="727"/>
      <c r="AF406" s="727"/>
      <c r="AG406" s="727"/>
      <c r="AH406" s="727"/>
    </row>
    <row r="407" customHeight="1" spans="1:34">
      <c r="A407" s="725" t="s">
        <v>274</v>
      </c>
      <c r="B407" s="725"/>
      <c r="C407" s="725"/>
      <c r="D407" s="725"/>
      <c r="E407" s="725"/>
      <c r="F407" s="725"/>
      <c r="G407" s="725"/>
      <c r="H407" s="728"/>
      <c r="I407" s="728"/>
      <c r="J407" s="728"/>
      <c r="K407" s="728"/>
      <c r="L407" s="728"/>
      <c r="M407" s="728"/>
      <c r="N407" s="728"/>
      <c r="O407" s="728"/>
      <c r="S407" s="734"/>
      <c r="T407" s="734"/>
      <c r="U407" s="734"/>
      <c r="V407" s="734"/>
      <c r="W407" s="734"/>
      <c r="X407" s="734"/>
      <c r="Y407" s="734"/>
      <c r="Z407" s="734"/>
      <c r="AA407" s="734"/>
      <c r="AB407" s="734"/>
      <c r="AC407" s="734"/>
      <c r="AD407" s="734"/>
      <c r="AE407" s="727"/>
      <c r="AF407" s="727"/>
      <c r="AG407" s="727"/>
      <c r="AH407" s="727"/>
    </row>
    <row r="408" customHeight="1" spans="1:34">
      <c r="A408" s="102" t="s">
        <v>275</v>
      </c>
      <c r="B408" s="103"/>
      <c r="C408" s="103" t="s">
        <v>371</v>
      </c>
      <c r="D408" s="103" t="s">
        <v>276</v>
      </c>
      <c r="E408" s="104" t="s">
        <v>372</v>
      </c>
      <c r="F408" s="104"/>
      <c r="G408" s="105"/>
      <c r="H408" s="728"/>
      <c r="I408" s="728"/>
      <c r="J408" s="728"/>
      <c r="K408" s="728"/>
      <c r="L408" s="728"/>
      <c r="M408" s="728"/>
      <c r="N408" s="728"/>
      <c r="O408" s="728"/>
      <c r="S408" s="734"/>
      <c r="T408" s="734"/>
      <c r="U408" s="734"/>
      <c r="V408" s="734"/>
      <c r="W408" s="734"/>
      <c r="X408" s="734"/>
      <c r="Y408" s="734"/>
      <c r="Z408" s="734"/>
      <c r="AA408" s="734"/>
      <c r="AB408" s="734"/>
      <c r="AC408" s="734"/>
      <c r="AD408" s="734"/>
      <c r="AE408" s="727"/>
      <c r="AF408" s="727"/>
      <c r="AG408" s="727"/>
      <c r="AH408" s="727"/>
    </row>
    <row r="409" customHeight="1" spans="1:34">
      <c r="A409" s="106" t="s">
        <v>278</v>
      </c>
      <c r="B409" s="107"/>
      <c r="C409" s="108" t="s">
        <v>373</v>
      </c>
      <c r="D409" s="108"/>
      <c r="E409" s="108"/>
      <c r="F409" s="109" t="s">
        <v>280</v>
      </c>
      <c r="G409" s="110" t="s">
        <v>357</v>
      </c>
      <c r="H409" s="728"/>
      <c r="I409" s="728"/>
      <c r="J409" s="728"/>
      <c r="K409" s="728"/>
      <c r="L409" s="728"/>
      <c r="M409" s="728"/>
      <c r="N409" s="728"/>
      <c r="O409" s="728"/>
      <c r="S409" s="734"/>
      <c r="T409" s="734"/>
      <c r="U409" s="734"/>
      <c r="V409" s="734"/>
      <c r="W409" s="734"/>
      <c r="X409" s="734"/>
      <c r="Y409" s="734"/>
      <c r="Z409" s="734"/>
      <c r="AA409" s="734"/>
      <c r="AB409" s="734"/>
      <c r="AC409" s="734"/>
      <c r="AD409" s="734"/>
      <c r="AE409" s="727"/>
      <c r="AF409" s="727"/>
      <c r="AG409" s="727"/>
      <c r="AH409" s="727"/>
    </row>
    <row r="410" customHeight="1" spans="1:34">
      <c r="A410" s="111" t="s">
        <v>374</v>
      </c>
      <c r="B410" s="108"/>
      <c r="C410" s="108"/>
      <c r="D410" s="108"/>
      <c r="E410" s="108"/>
      <c r="F410" s="108"/>
      <c r="G410" s="112"/>
      <c r="H410" s="728"/>
      <c r="I410" s="728"/>
      <c r="J410" s="728"/>
      <c r="K410" s="728"/>
      <c r="L410" s="728"/>
      <c r="M410" s="728"/>
      <c r="N410" s="728"/>
      <c r="O410" s="728"/>
      <c r="S410" s="734"/>
      <c r="T410" s="734"/>
      <c r="U410" s="734"/>
      <c r="V410" s="734"/>
      <c r="W410" s="734"/>
      <c r="X410" s="734"/>
      <c r="Y410" s="734"/>
      <c r="Z410" s="734"/>
      <c r="AA410" s="734"/>
      <c r="AB410" s="734"/>
      <c r="AC410" s="734"/>
      <c r="AD410" s="734"/>
      <c r="AE410" s="727"/>
      <c r="AF410" s="727"/>
      <c r="AG410" s="727"/>
      <c r="AH410" s="727"/>
    </row>
    <row r="411" customHeight="1" spans="1:34">
      <c r="A411" s="113" t="s">
        <v>375</v>
      </c>
      <c r="B411" s="114"/>
      <c r="C411" s="54"/>
      <c r="D411" s="54"/>
      <c r="E411" s="54"/>
      <c r="F411" s="54"/>
      <c r="G411" s="55"/>
      <c r="H411" s="728"/>
      <c r="I411" s="728"/>
      <c r="J411" s="728"/>
      <c r="K411" s="728"/>
      <c r="L411" s="728"/>
      <c r="M411" s="728"/>
      <c r="N411" s="728"/>
      <c r="O411" s="728"/>
      <c r="S411" s="734"/>
      <c r="T411" s="734"/>
      <c r="U411" s="734"/>
      <c r="V411" s="734"/>
      <c r="W411" s="734"/>
      <c r="X411" s="734"/>
      <c r="Y411" s="734"/>
      <c r="Z411" s="734"/>
      <c r="AA411" s="734"/>
      <c r="AB411" s="734"/>
      <c r="AC411" s="734"/>
      <c r="AD411" s="734"/>
      <c r="AE411" s="727"/>
      <c r="AF411" s="727"/>
      <c r="AG411" s="727"/>
      <c r="AH411" s="727"/>
    </row>
    <row r="412" customHeight="1" spans="1:34">
      <c r="A412" s="106" t="s">
        <v>284</v>
      </c>
      <c r="B412" s="109" t="s">
        <v>233</v>
      </c>
      <c r="C412" s="109"/>
      <c r="D412" s="109" t="s">
        <v>88</v>
      </c>
      <c r="E412" s="115" t="s">
        <v>130</v>
      </c>
      <c r="F412" s="109" t="s">
        <v>285</v>
      </c>
      <c r="G412" s="110" t="s">
        <v>286</v>
      </c>
      <c r="H412" s="728"/>
      <c r="I412" s="728"/>
      <c r="J412" s="728"/>
      <c r="K412" s="728"/>
      <c r="L412" s="728"/>
      <c r="M412" s="728"/>
      <c r="N412" s="728"/>
      <c r="O412" s="728"/>
      <c r="S412" s="734"/>
      <c r="T412" s="734"/>
      <c r="U412" s="734"/>
      <c r="V412" s="734"/>
      <c r="W412" s="734"/>
      <c r="X412" s="734"/>
      <c r="Y412" s="734"/>
      <c r="Z412" s="734"/>
      <c r="AA412" s="734"/>
      <c r="AB412" s="734"/>
      <c r="AC412" s="734"/>
      <c r="AD412" s="734"/>
      <c r="AE412" s="727"/>
      <c r="AF412" s="727"/>
      <c r="AG412" s="727"/>
      <c r="AH412" s="727"/>
    </row>
    <row r="413" customHeight="1" spans="1:34">
      <c r="A413" s="106" t="s">
        <v>9</v>
      </c>
      <c r="B413" s="116" t="s">
        <v>287</v>
      </c>
      <c r="C413" s="116"/>
      <c r="D413" s="109"/>
      <c r="E413" s="115"/>
      <c r="F413" s="115"/>
      <c r="G413" s="117">
        <f>G414+G420</f>
        <v>57.15</v>
      </c>
      <c r="H413" s="728"/>
      <c r="I413" s="728"/>
      <c r="J413" s="728"/>
      <c r="K413" s="728"/>
      <c r="L413" s="728"/>
      <c r="M413" s="728"/>
      <c r="N413" s="728"/>
      <c r="O413" s="728"/>
      <c r="S413" s="734"/>
      <c r="T413" s="734"/>
      <c r="U413" s="734"/>
      <c r="V413" s="734"/>
      <c r="W413" s="734"/>
      <c r="X413" s="734"/>
      <c r="Y413" s="734"/>
      <c r="Z413" s="734"/>
      <c r="AA413" s="734"/>
      <c r="AB413" s="734"/>
      <c r="AC413" s="734"/>
      <c r="AD413" s="734"/>
      <c r="AE413" s="727"/>
      <c r="AF413" s="727"/>
      <c r="AG413" s="727"/>
      <c r="AH413" s="727"/>
    </row>
    <row r="414" customHeight="1" spans="1:34">
      <c r="A414" s="106" t="s">
        <v>132</v>
      </c>
      <c r="B414" s="116" t="s">
        <v>288</v>
      </c>
      <c r="C414" s="116"/>
      <c r="D414" s="109"/>
      <c r="E414" s="115"/>
      <c r="F414" s="115"/>
      <c r="G414" s="117">
        <f>G415+G418</f>
        <v>54.53</v>
      </c>
      <c r="H414" s="728"/>
      <c r="I414" s="728"/>
      <c r="J414" s="728"/>
      <c r="K414" s="728"/>
      <c r="L414" s="728"/>
      <c r="M414" s="728"/>
      <c r="N414" s="728"/>
      <c r="O414" s="728"/>
      <c r="S414" s="734"/>
      <c r="T414" s="734"/>
      <c r="U414" s="734"/>
      <c r="V414" s="734"/>
      <c r="W414" s="734"/>
      <c r="X414" s="734"/>
      <c r="Y414" s="734"/>
      <c r="Z414" s="734"/>
      <c r="AA414" s="734"/>
      <c r="AB414" s="734"/>
      <c r="AC414" s="734"/>
      <c r="AD414" s="734"/>
      <c r="AE414" s="727"/>
      <c r="AF414" s="727"/>
      <c r="AG414" s="727"/>
      <c r="AH414" s="727"/>
    </row>
    <row r="415" customHeight="1" spans="1:34">
      <c r="A415" s="106" t="s">
        <v>39</v>
      </c>
      <c r="B415" s="116" t="s">
        <v>247</v>
      </c>
      <c r="C415" s="116"/>
      <c r="D415" s="109"/>
      <c r="E415" s="115"/>
      <c r="F415" s="115"/>
      <c r="G415" s="117">
        <f>SUM(G416:G417)</f>
        <v>51.93</v>
      </c>
      <c r="H415" s="728"/>
      <c r="I415" s="728"/>
      <c r="J415" s="728"/>
      <c r="K415" s="728"/>
      <c r="L415" s="728"/>
      <c r="M415" s="728"/>
      <c r="N415" s="728"/>
      <c r="O415" s="728"/>
      <c r="S415" s="734"/>
      <c r="T415" s="734"/>
      <c r="U415" s="734"/>
      <c r="V415" s="734"/>
      <c r="W415" s="734"/>
      <c r="X415" s="734"/>
      <c r="Y415" s="734"/>
      <c r="Z415" s="734"/>
      <c r="AA415" s="734"/>
      <c r="AB415" s="734"/>
      <c r="AC415" s="734"/>
      <c r="AD415" s="734"/>
      <c r="AE415" s="727"/>
      <c r="AF415" s="727"/>
      <c r="AG415" s="727"/>
      <c r="AH415" s="727"/>
    </row>
    <row r="416" customHeight="1" spans="1:34">
      <c r="A416" s="106"/>
      <c r="B416" s="116" t="s">
        <v>289</v>
      </c>
      <c r="C416" s="116"/>
      <c r="D416" s="109" t="s">
        <v>290</v>
      </c>
      <c r="E416" s="115"/>
      <c r="F416" s="115"/>
      <c r="G416" s="117"/>
      <c r="H416" s="728"/>
      <c r="I416" s="728"/>
      <c r="J416" s="728"/>
      <c r="K416" s="728"/>
      <c r="L416" s="728"/>
      <c r="M416" s="728"/>
      <c r="N416" s="728"/>
      <c r="O416" s="728"/>
      <c r="S416" s="734"/>
      <c r="T416" s="734"/>
      <c r="U416" s="734"/>
      <c r="V416" s="734"/>
      <c r="W416" s="734"/>
      <c r="X416" s="734"/>
      <c r="Y416" s="734"/>
      <c r="Z416" s="734"/>
      <c r="AA416" s="734"/>
      <c r="AB416" s="734"/>
      <c r="AC416" s="734"/>
      <c r="AD416" s="734"/>
      <c r="AE416" s="727"/>
      <c r="AF416" s="727"/>
      <c r="AG416" s="727"/>
      <c r="AH416" s="727"/>
    </row>
    <row r="417" customHeight="1" spans="1:34">
      <c r="A417" s="106"/>
      <c r="B417" s="116" t="s">
        <v>291</v>
      </c>
      <c r="C417" s="116"/>
      <c r="D417" s="109" t="s">
        <v>290</v>
      </c>
      <c r="E417" s="115">
        <v>9</v>
      </c>
      <c r="F417" s="115">
        <f>主材!D22</f>
        <v>5.77</v>
      </c>
      <c r="G417" s="117">
        <f>E417*F417</f>
        <v>51.93</v>
      </c>
      <c r="H417" s="728"/>
      <c r="I417" s="728"/>
      <c r="J417" s="728"/>
      <c r="K417" s="728"/>
      <c r="L417" s="728"/>
      <c r="M417" s="728"/>
      <c r="N417" s="728"/>
      <c r="O417" s="728"/>
      <c r="S417" s="734"/>
      <c r="T417" s="734"/>
      <c r="U417" s="734"/>
      <c r="V417" s="734"/>
      <c r="W417" s="734"/>
      <c r="X417" s="734"/>
      <c r="Y417" s="734"/>
      <c r="Z417" s="734"/>
      <c r="AA417" s="734"/>
      <c r="AB417" s="734"/>
      <c r="AC417" s="734"/>
      <c r="AD417" s="734"/>
      <c r="AE417" s="727"/>
      <c r="AF417" s="727"/>
      <c r="AG417" s="727"/>
      <c r="AH417" s="727"/>
    </row>
    <row r="418" customHeight="1" spans="1:34">
      <c r="A418" s="106" t="s">
        <v>41</v>
      </c>
      <c r="B418" s="116" t="s">
        <v>248</v>
      </c>
      <c r="C418" s="116"/>
      <c r="D418" s="109"/>
      <c r="E418" s="115"/>
      <c r="F418" s="115"/>
      <c r="G418" s="117">
        <f>G419</f>
        <v>2.6</v>
      </c>
      <c r="H418" s="728"/>
      <c r="I418" s="728"/>
      <c r="J418" s="728"/>
      <c r="K418" s="728"/>
      <c r="L418" s="728"/>
      <c r="M418" s="728"/>
      <c r="N418" s="728"/>
      <c r="O418" s="728"/>
      <c r="S418" s="734"/>
      <c r="T418" s="734"/>
      <c r="U418" s="734"/>
      <c r="V418" s="734"/>
      <c r="W418" s="734"/>
      <c r="X418" s="734"/>
      <c r="Y418" s="734"/>
      <c r="Z418" s="734"/>
      <c r="AA418" s="734"/>
      <c r="AB418" s="734"/>
      <c r="AC418" s="734"/>
      <c r="AD418" s="734"/>
      <c r="AE418" s="727"/>
      <c r="AF418" s="727"/>
      <c r="AG418" s="727"/>
      <c r="AH418" s="727"/>
    </row>
    <row r="419" customHeight="1" spans="1:34">
      <c r="A419" s="106"/>
      <c r="B419" s="116" t="s">
        <v>292</v>
      </c>
      <c r="C419" s="116"/>
      <c r="D419" s="109" t="s">
        <v>293</v>
      </c>
      <c r="E419" s="115">
        <f>G415</f>
        <v>51.93</v>
      </c>
      <c r="F419" s="115">
        <v>5</v>
      </c>
      <c r="G419" s="117">
        <f>E419*F419/100</f>
        <v>2.6</v>
      </c>
      <c r="H419" s="728"/>
      <c r="I419" s="728"/>
      <c r="J419" s="728"/>
      <c r="K419" s="728"/>
      <c r="L419" s="728"/>
      <c r="M419" s="728"/>
      <c r="N419" s="728"/>
      <c r="O419" s="728"/>
      <c r="S419" s="734"/>
      <c r="T419" s="734"/>
      <c r="U419" s="734"/>
      <c r="V419" s="734"/>
      <c r="W419" s="734"/>
      <c r="X419" s="734"/>
      <c r="Y419" s="734"/>
      <c r="Z419" s="734"/>
      <c r="AA419" s="734"/>
      <c r="AB419" s="734"/>
      <c r="AC419" s="734"/>
      <c r="AD419" s="734"/>
      <c r="AE419" s="727"/>
      <c r="AF419" s="727"/>
      <c r="AG419" s="727"/>
      <c r="AH419" s="727"/>
    </row>
    <row r="420" customHeight="1" spans="1:34">
      <c r="A420" s="106" t="s">
        <v>133</v>
      </c>
      <c r="B420" s="116" t="s">
        <v>294</v>
      </c>
      <c r="C420" s="116"/>
      <c r="D420" s="109"/>
      <c r="E420" s="717">
        <f>G414</f>
        <v>54.53</v>
      </c>
      <c r="F420" s="120">
        <f>费率!C4</f>
        <v>0.048</v>
      </c>
      <c r="G420" s="117">
        <f>E420*F420</f>
        <v>2.62</v>
      </c>
      <c r="H420" s="728"/>
      <c r="I420" s="728"/>
      <c r="J420" s="728"/>
      <c r="K420" s="728"/>
      <c r="L420" s="728"/>
      <c r="M420" s="728"/>
      <c r="N420" s="728"/>
      <c r="O420" s="728"/>
      <c r="S420" s="734"/>
      <c r="T420" s="734"/>
      <c r="U420" s="734"/>
      <c r="V420" s="734"/>
      <c r="W420" s="734"/>
      <c r="X420" s="734"/>
      <c r="Y420" s="734"/>
      <c r="Z420" s="734"/>
      <c r="AA420" s="734"/>
      <c r="AB420" s="734"/>
      <c r="AC420" s="734"/>
      <c r="AD420" s="734"/>
      <c r="AE420" s="727"/>
      <c r="AF420" s="727"/>
      <c r="AG420" s="727"/>
      <c r="AH420" s="727"/>
    </row>
    <row r="421" customHeight="1" spans="1:34">
      <c r="A421" s="106" t="s">
        <v>14</v>
      </c>
      <c r="B421" s="116" t="s">
        <v>295</v>
      </c>
      <c r="C421" s="116"/>
      <c r="D421" s="109"/>
      <c r="E421" s="115">
        <f>G413</f>
        <v>57.15</v>
      </c>
      <c r="F421" s="120">
        <f>费率!C5</f>
        <v>0.04</v>
      </c>
      <c r="G421" s="117">
        <f>E421*F421</f>
        <v>2.29</v>
      </c>
      <c r="H421" s="728"/>
      <c r="I421" s="728"/>
      <c r="J421" s="728"/>
      <c r="K421" s="728"/>
      <c r="L421" s="728"/>
      <c r="M421" s="728"/>
      <c r="N421" s="728"/>
      <c r="O421" s="728"/>
      <c r="S421" s="734"/>
      <c r="T421" s="734"/>
      <c r="U421" s="734"/>
      <c r="V421" s="734"/>
      <c r="W421" s="734"/>
      <c r="X421" s="734"/>
      <c r="Y421" s="734"/>
      <c r="Z421" s="734"/>
      <c r="AA421" s="734"/>
      <c r="AB421" s="734"/>
      <c r="AC421" s="734"/>
      <c r="AD421" s="734"/>
      <c r="AE421" s="727"/>
      <c r="AF421" s="727"/>
      <c r="AG421" s="727"/>
      <c r="AH421" s="727"/>
    </row>
    <row r="422" customHeight="1" spans="1:34">
      <c r="A422" s="106" t="s">
        <v>16</v>
      </c>
      <c r="B422" s="116" t="s">
        <v>296</v>
      </c>
      <c r="C422" s="116"/>
      <c r="D422" s="109"/>
      <c r="E422" s="115">
        <f>G413+G421</f>
        <v>59.44</v>
      </c>
      <c r="F422" s="120">
        <f>费率!C6</f>
        <v>0.05</v>
      </c>
      <c r="G422" s="117">
        <f>E422*F422</f>
        <v>2.97</v>
      </c>
      <c r="H422" s="728"/>
      <c r="I422" s="728"/>
      <c r="J422" s="728"/>
      <c r="K422" s="728"/>
      <c r="L422" s="728"/>
      <c r="M422" s="728"/>
      <c r="N422" s="728"/>
      <c r="O422" s="728"/>
      <c r="S422" s="734"/>
      <c r="T422" s="734"/>
      <c r="U422" s="734"/>
      <c r="V422" s="734"/>
      <c r="W422" s="734"/>
      <c r="X422" s="734"/>
      <c r="Y422" s="734"/>
      <c r="Z422" s="734"/>
      <c r="AA422" s="734"/>
      <c r="AB422" s="734"/>
      <c r="AC422" s="734"/>
      <c r="AD422" s="734"/>
      <c r="AE422" s="727"/>
      <c r="AF422" s="727"/>
      <c r="AG422" s="727"/>
      <c r="AH422" s="727"/>
    </row>
    <row r="423" customHeight="1" spans="1:34">
      <c r="A423" s="106" t="s">
        <v>18</v>
      </c>
      <c r="B423" s="116" t="s">
        <v>297</v>
      </c>
      <c r="C423" s="116"/>
      <c r="D423" s="109"/>
      <c r="E423" s="115">
        <f>G413+G421++G422</f>
        <v>62.41</v>
      </c>
      <c r="F423" s="122">
        <f>费率!C7</f>
        <v>0.09</v>
      </c>
      <c r="G423" s="117">
        <f>E423*F423</f>
        <v>5.62</v>
      </c>
      <c r="H423" s="728"/>
      <c r="I423" s="728"/>
      <c r="J423" s="728"/>
      <c r="K423" s="728"/>
      <c r="L423" s="728"/>
      <c r="M423" s="728"/>
      <c r="N423" s="728"/>
      <c r="O423" s="728"/>
      <c r="S423" s="734"/>
      <c r="T423" s="734"/>
      <c r="U423" s="734"/>
      <c r="V423" s="734"/>
      <c r="W423" s="734"/>
      <c r="X423" s="734"/>
      <c r="Y423" s="734"/>
      <c r="Z423" s="734"/>
      <c r="AA423" s="734"/>
      <c r="AB423" s="734"/>
      <c r="AC423" s="734"/>
      <c r="AD423" s="734"/>
      <c r="AE423" s="727"/>
      <c r="AF423" s="727"/>
      <c r="AG423" s="727"/>
      <c r="AH423" s="727"/>
    </row>
    <row r="424" customHeight="1" spans="1:34">
      <c r="A424" s="106"/>
      <c r="B424" s="116" t="s">
        <v>298</v>
      </c>
      <c r="C424" s="116"/>
      <c r="D424" s="109"/>
      <c r="E424" s="115">
        <f>G413+G421+G422+G423</f>
        <v>68.03</v>
      </c>
      <c r="F424" s="122">
        <v>0.03</v>
      </c>
      <c r="G424" s="117">
        <f>E424*F424</f>
        <v>2.04</v>
      </c>
      <c r="H424" s="728"/>
      <c r="I424" s="728"/>
      <c r="J424" s="728"/>
      <c r="K424" s="728"/>
      <c r="L424" s="728"/>
      <c r="M424" s="728"/>
      <c r="N424" s="728"/>
      <c r="O424" s="728"/>
      <c r="S424" s="734"/>
      <c r="T424" s="734"/>
      <c r="U424" s="734"/>
      <c r="V424" s="734"/>
      <c r="W424" s="734"/>
      <c r="X424" s="734"/>
      <c r="Y424" s="734"/>
      <c r="Z424" s="734"/>
      <c r="AA424" s="734"/>
      <c r="AB424" s="734"/>
      <c r="AC424" s="734"/>
      <c r="AD424" s="734"/>
      <c r="AE424" s="727"/>
      <c r="AF424" s="727"/>
      <c r="AG424" s="727"/>
      <c r="AH424" s="727"/>
    </row>
    <row r="425" customHeight="1" spans="1:34">
      <c r="A425" s="123"/>
      <c r="B425" s="124" t="s">
        <v>121</v>
      </c>
      <c r="C425" s="124"/>
      <c r="D425" s="124"/>
      <c r="E425" s="125"/>
      <c r="F425" s="124"/>
      <c r="G425" s="126">
        <f>G413+G421+G422+G423+G424</f>
        <v>70.07</v>
      </c>
      <c r="H425" s="728"/>
      <c r="I425" s="728"/>
      <c r="J425" s="728"/>
      <c r="K425" s="728"/>
      <c r="L425" s="728"/>
      <c r="M425" s="728"/>
      <c r="N425" s="728"/>
      <c r="O425" s="728"/>
      <c r="S425" s="734"/>
      <c r="T425" s="734"/>
      <c r="U425" s="734"/>
      <c r="V425" s="734"/>
      <c r="W425" s="734"/>
      <c r="X425" s="734"/>
      <c r="Y425" s="734"/>
      <c r="Z425" s="734"/>
      <c r="AA425" s="734"/>
      <c r="AB425" s="734"/>
      <c r="AC425" s="734"/>
      <c r="AD425" s="734"/>
      <c r="AE425" s="727"/>
      <c r="AF425" s="727"/>
      <c r="AG425" s="727"/>
      <c r="AH425" s="727"/>
    </row>
    <row r="426" hidden="1" customHeight="1" spans="8:34">
      <c r="H426" s="728"/>
      <c r="I426" s="728"/>
      <c r="J426" s="728"/>
      <c r="K426" s="728"/>
      <c r="L426" s="728"/>
      <c r="M426" s="728"/>
      <c r="N426" s="728"/>
      <c r="O426" s="728"/>
      <c r="S426" s="734"/>
      <c r="T426" s="734"/>
      <c r="U426" s="734"/>
      <c r="V426" s="734"/>
      <c r="W426" s="734"/>
      <c r="X426" s="734"/>
      <c r="Y426" s="734"/>
      <c r="Z426" s="734"/>
      <c r="AA426" s="734"/>
      <c r="AB426" s="734"/>
      <c r="AC426" s="734"/>
      <c r="AD426" s="734"/>
      <c r="AE426" s="727"/>
      <c r="AF426" s="727"/>
      <c r="AG426" s="727"/>
      <c r="AH426" s="727"/>
    </row>
    <row r="427" hidden="1" customHeight="1" spans="1:34">
      <c r="A427" s="725" t="s">
        <v>274</v>
      </c>
      <c r="B427" s="725"/>
      <c r="C427" s="725"/>
      <c r="D427" s="725"/>
      <c r="E427" s="725"/>
      <c r="F427" s="725"/>
      <c r="G427" s="725"/>
      <c r="H427" s="728"/>
      <c r="I427" s="728"/>
      <c r="J427" s="728"/>
      <c r="K427" s="728"/>
      <c r="L427" s="728"/>
      <c r="M427" s="728"/>
      <c r="N427" s="728"/>
      <c r="O427" s="728"/>
      <c r="S427" s="734"/>
      <c r="T427" s="734"/>
      <c r="U427" s="734"/>
      <c r="V427" s="734"/>
      <c r="W427" s="734"/>
      <c r="X427" s="734"/>
      <c r="Y427" s="734"/>
      <c r="Z427" s="734"/>
      <c r="AA427" s="734"/>
      <c r="AB427" s="734"/>
      <c r="AC427" s="734"/>
      <c r="AD427" s="734"/>
      <c r="AE427" s="727"/>
      <c r="AF427" s="727"/>
      <c r="AG427" s="727"/>
      <c r="AH427" s="727"/>
    </row>
    <row r="428" ht="18" hidden="1" customHeight="1" spans="1:34">
      <c r="A428" s="102" t="s">
        <v>275</v>
      </c>
      <c r="B428" s="103"/>
      <c r="C428" s="103" t="s">
        <v>376</v>
      </c>
      <c r="D428" s="103" t="s">
        <v>276</v>
      </c>
      <c r="E428" s="709" t="s">
        <v>377</v>
      </c>
      <c r="F428" s="710"/>
      <c r="G428" s="711"/>
      <c r="H428" s="728"/>
      <c r="I428" s="728"/>
      <c r="J428" s="728"/>
      <c r="K428" s="728"/>
      <c r="L428" s="728"/>
      <c r="M428" s="728"/>
      <c r="N428" s="728"/>
      <c r="O428" s="728"/>
      <c r="S428" s="734"/>
      <c r="T428" s="734"/>
      <c r="U428" s="734"/>
      <c r="V428" s="734"/>
      <c r="W428" s="734"/>
      <c r="X428" s="734"/>
      <c r="Y428" s="734"/>
      <c r="Z428" s="734"/>
      <c r="AA428" s="734"/>
      <c r="AB428" s="734"/>
      <c r="AC428" s="734"/>
      <c r="AD428" s="734"/>
      <c r="AE428" s="727"/>
      <c r="AF428" s="727"/>
      <c r="AG428" s="727"/>
      <c r="AH428" s="727"/>
    </row>
    <row r="429" ht="18" hidden="1" customHeight="1" spans="1:34">
      <c r="A429" s="106" t="s">
        <v>278</v>
      </c>
      <c r="B429" s="107"/>
      <c r="C429" s="108" t="s">
        <v>373</v>
      </c>
      <c r="D429" s="108"/>
      <c r="E429" s="108"/>
      <c r="F429" s="109" t="s">
        <v>280</v>
      </c>
      <c r="G429" s="110" t="s">
        <v>281</v>
      </c>
      <c r="H429" s="728"/>
      <c r="I429" s="728"/>
      <c r="J429" s="728"/>
      <c r="K429" s="728"/>
      <c r="L429" s="728"/>
      <c r="M429" s="728"/>
      <c r="N429" s="728"/>
      <c r="O429" s="728"/>
      <c r="S429" s="734"/>
      <c r="T429" s="734"/>
      <c r="U429" s="734"/>
      <c r="V429" s="734"/>
      <c r="W429" s="734"/>
      <c r="X429" s="734"/>
      <c r="Y429" s="734"/>
      <c r="Z429" s="734"/>
      <c r="AA429" s="734"/>
      <c r="AB429" s="734"/>
      <c r="AC429" s="734"/>
      <c r="AD429" s="734"/>
      <c r="AE429" s="727"/>
      <c r="AF429" s="727"/>
      <c r="AG429" s="727"/>
      <c r="AH429" s="727"/>
    </row>
    <row r="430" ht="18" hidden="1" customHeight="1" spans="1:34">
      <c r="A430" s="712" t="s">
        <v>378</v>
      </c>
      <c r="B430" s="713"/>
      <c r="C430" s="713"/>
      <c r="D430" s="713"/>
      <c r="E430" s="713"/>
      <c r="F430" s="713"/>
      <c r="G430" s="714"/>
      <c r="H430" s="728"/>
      <c r="I430" s="728"/>
      <c r="J430" s="728"/>
      <c r="K430" s="728"/>
      <c r="L430" s="728"/>
      <c r="M430" s="728"/>
      <c r="N430" s="728"/>
      <c r="O430" s="728"/>
      <c r="S430" s="734"/>
      <c r="T430" s="734"/>
      <c r="U430" s="734"/>
      <c r="V430" s="734"/>
      <c r="W430" s="734"/>
      <c r="X430" s="734"/>
      <c r="Y430" s="734"/>
      <c r="Z430" s="734"/>
      <c r="AA430" s="734"/>
      <c r="AB430" s="734"/>
      <c r="AC430" s="734"/>
      <c r="AD430" s="734"/>
      <c r="AE430" s="727"/>
      <c r="AF430" s="727"/>
      <c r="AG430" s="727"/>
      <c r="AH430" s="727"/>
    </row>
    <row r="431" ht="18" hidden="1" customHeight="1" spans="1:34">
      <c r="A431" s="113" t="s">
        <v>375</v>
      </c>
      <c r="B431" s="114"/>
      <c r="C431" s="54"/>
      <c r="D431" s="54"/>
      <c r="E431" s="54"/>
      <c r="F431" s="54"/>
      <c r="G431" s="55"/>
      <c r="H431" s="728"/>
      <c r="I431" s="728"/>
      <c r="J431" s="728"/>
      <c r="K431" s="728"/>
      <c r="L431" s="728"/>
      <c r="M431" s="728"/>
      <c r="N431" s="728"/>
      <c r="O431" s="728"/>
      <c r="S431" s="734"/>
      <c r="T431" s="734"/>
      <c r="U431" s="734"/>
      <c r="V431" s="734"/>
      <c r="W431" s="734"/>
      <c r="X431" s="734"/>
      <c r="Y431" s="734"/>
      <c r="Z431" s="734"/>
      <c r="AA431" s="734"/>
      <c r="AB431" s="734"/>
      <c r="AC431" s="734"/>
      <c r="AD431" s="734"/>
      <c r="AE431" s="727"/>
      <c r="AF431" s="727"/>
      <c r="AG431" s="727"/>
      <c r="AH431" s="727"/>
    </row>
    <row r="432" ht="18" hidden="1" customHeight="1" spans="1:34">
      <c r="A432" s="106" t="s">
        <v>284</v>
      </c>
      <c r="B432" s="109" t="s">
        <v>233</v>
      </c>
      <c r="C432" s="109"/>
      <c r="D432" s="109" t="s">
        <v>88</v>
      </c>
      <c r="E432" s="115" t="s">
        <v>130</v>
      </c>
      <c r="F432" s="109" t="s">
        <v>285</v>
      </c>
      <c r="G432" s="110" t="s">
        <v>286</v>
      </c>
      <c r="H432" s="728"/>
      <c r="I432" s="728"/>
      <c r="J432" s="728"/>
      <c r="K432" s="728"/>
      <c r="L432" s="728"/>
      <c r="M432" s="728"/>
      <c r="N432" s="728"/>
      <c r="O432" s="728"/>
      <c r="S432" s="734"/>
      <c r="T432" s="734"/>
      <c r="U432" s="734"/>
      <c r="V432" s="734"/>
      <c r="W432" s="734"/>
      <c r="X432" s="734"/>
      <c r="Y432" s="734"/>
      <c r="Z432" s="734"/>
      <c r="AA432" s="734"/>
      <c r="AB432" s="734"/>
      <c r="AC432" s="734"/>
      <c r="AD432" s="734"/>
      <c r="AE432" s="727"/>
      <c r="AF432" s="727"/>
      <c r="AG432" s="727"/>
      <c r="AH432" s="727"/>
    </row>
    <row r="433" ht="18" hidden="1" customHeight="1" spans="1:34">
      <c r="A433" s="106" t="s">
        <v>9</v>
      </c>
      <c r="B433" s="715" t="s">
        <v>287</v>
      </c>
      <c r="C433" s="716"/>
      <c r="D433" s="109"/>
      <c r="E433" s="115"/>
      <c r="F433" s="115"/>
      <c r="G433" s="117">
        <f>G434+G440</f>
        <v>106.04</v>
      </c>
      <c r="H433" s="728"/>
      <c r="I433" s="728"/>
      <c r="J433" s="728"/>
      <c r="K433" s="728"/>
      <c r="L433" s="728"/>
      <c r="M433" s="728"/>
      <c r="N433" s="728"/>
      <c r="O433" s="728"/>
      <c r="S433" s="734"/>
      <c r="T433" s="734"/>
      <c r="U433" s="734"/>
      <c r="V433" s="734"/>
      <c r="W433" s="734"/>
      <c r="X433" s="734"/>
      <c r="Y433" s="734"/>
      <c r="Z433" s="734"/>
      <c r="AA433" s="734"/>
      <c r="AB433" s="734"/>
      <c r="AC433" s="734"/>
      <c r="AD433" s="734"/>
      <c r="AE433" s="727"/>
      <c r="AF433" s="727"/>
      <c r="AG433" s="727"/>
      <c r="AH433" s="727"/>
    </row>
    <row r="434" ht="18" hidden="1" customHeight="1" spans="1:34">
      <c r="A434" s="106" t="s">
        <v>132</v>
      </c>
      <c r="B434" s="715" t="s">
        <v>288</v>
      </c>
      <c r="C434" s="716"/>
      <c r="D434" s="109"/>
      <c r="E434" s="115"/>
      <c r="F434" s="115"/>
      <c r="G434" s="117">
        <f>G435+G438</f>
        <v>101.18</v>
      </c>
      <c r="H434" s="728"/>
      <c r="I434" s="728"/>
      <c r="J434" s="728"/>
      <c r="K434" s="728"/>
      <c r="L434" s="728"/>
      <c r="M434" s="728"/>
      <c r="N434" s="728"/>
      <c r="O434" s="728"/>
      <c r="S434" s="734"/>
      <c r="T434" s="734"/>
      <c r="U434" s="734"/>
      <c r="V434" s="734"/>
      <c r="W434" s="734"/>
      <c r="X434" s="734"/>
      <c r="Y434" s="734"/>
      <c r="Z434" s="734"/>
      <c r="AA434" s="734"/>
      <c r="AB434" s="734"/>
      <c r="AC434" s="734"/>
      <c r="AD434" s="734"/>
      <c r="AE434" s="727"/>
      <c r="AF434" s="727"/>
      <c r="AG434" s="727"/>
      <c r="AH434" s="727"/>
    </row>
    <row r="435" ht="18" hidden="1" customHeight="1" spans="1:34">
      <c r="A435" s="106" t="s">
        <v>39</v>
      </c>
      <c r="B435" s="715" t="s">
        <v>247</v>
      </c>
      <c r="C435" s="716"/>
      <c r="D435" s="109"/>
      <c r="E435" s="115"/>
      <c r="F435" s="115"/>
      <c r="G435" s="117">
        <f>SUM(G436:G437)</f>
        <v>96.36</v>
      </c>
      <c r="H435" s="728"/>
      <c r="I435" s="728"/>
      <c r="J435" s="728"/>
      <c r="K435" s="728"/>
      <c r="L435" s="728"/>
      <c r="M435" s="728"/>
      <c r="N435" s="728"/>
      <c r="O435" s="728"/>
      <c r="S435" s="734"/>
      <c r="T435" s="734"/>
      <c r="U435" s="734"/>
      <c r="V435" s="734"/>
      <c r="W435" s="734"/>
      <c r="X435" s="734"/>
      <c r="Y435" s="734"/>
      <c r="Z435" s="734"/>
      <c r="AA435" s="734"/>
      <c r="AB435" s="734"/>
      <c r="AC435" s="734"/>
      <c r="AD435" s="734"/>
      <c r="AE435" s="727"/>
      <c r="AF435" s="727"/>
      <c r="AG435" s="727"/>
      <c r="AH435" s="727"/>
    </row>
    <row r="436" ht="18" hidden="1" customHeight="1" spans="1:34">
      <c r="A436" s="106"/>
      <c r="B436" s="715" t="s">
        <v>289</v>
      </c>
      <c r="C436" s="716"/>
      <c r="D436" s="109" t="s">
        <v>290</v>
      </c>
      <c r="E436" s="115"/>
      <c r="F436" s="115"/>
      <c r="G436" s="117"/>
      <c r="H436" s="728"/>
      <c r="I436" s="728"/>
      <c r="J436" s="728"/>
      <c r="K436" s="728"/>
      <c r="L436" s="728"/>
      <c r="M436" s="728"/>
      <c r="N436" s="728"/>
      <c r="O436" s="728"/>
      <c r="S436" s="734"/>
      <c r="T436" s="734"/>
      <c r="U436" s="734"/>
      <c r="V436" s="734"/>
      <c r="W436" s="734"/>
      <c r="X436" s="734"/>
      <c r="Y436" s="734"/>
      <c r="Z436" s="734"/>
      <c r="AA436" s="734"/>
      <c r="AB436" s="734"/>
      <c r="AC436" s="734"/>
      <c r="AD436" s="734"/>
      <c r="AE436" s="727"/>
      <c r="AF436" s="727"/>
      <c r="AG436" s="727"/>
      <c r="AH436" s="727"/>
    </row>
    <row r="437" ht="18" hidden="1" customHeight="1" spans="1:34">
      <c r="A437" s="106"/>
      <c r="B437" s="715" t="s">
        <v>291</v>
      </c>
      <c r="C437" s="716"/>
      <c r="D437" s="109" t="s">
        <v>290</v>
      </c>
      <c r="E437" s="115">
        <v>16.7</v>
      </c>
      <c r="F437" s="115">
        <f>主材!D22</f>
        <v>5.77</v>
      </c>
      <c r="G437" s="117">
        <f>E437*F437</f>
        <v>96.36</v>
      </c>
      <c r="H437" s="728"/>
      <c r="I437" s="728"/>
      <c r="J437" s="728"/>
      <c r="K437" s="728"/>
      <c r="L437" s="728"/>
      <c r="M437" s="728"/>
      <c r="N437" s="728"/>
      <c r="O437" s="728"/>
      <c r="S437" s="734"/>
      <c r="T437" s="734"/>
      <c r="U437" s="734"/>
      <c r="V437" s="734"/>
      <c r="W437" s="734"/>
      <c r="X437" s="734"/>
      <c r="Y437" s="734"/>
      <c r="Z437" s="734"/>
      <c r="AA437" s="734"/>
      <c r="AB437" s="734"/>
      <c r="AC437" s="734"/>
      <c r="AD437" s="734"/>
      <c r="AE437" s="727"/>
      <c r="AF437" s="727"/>
      <c r="AG437" s="727"/>
      <c r="AH437" s="727"/>
    </row>
    <row r="438" ht="18" hidden="1" customHeight="1" spans="1:34">
      <c r="A438" s="106" t="s">
        <v>41</v>
      </c>
      <c r="B438" s="715" t="s">
        <v>248</v>
      </c>
      <c r="C438" s="716"/>
      <c r="D438" s="109"/>
      <c r="E438" s="115"/>
      <c r="F438" s="115"/>
      <c r="G438" s="117">
        <f>G439</f>
        <v>4.82</v>
      </c>
      <c r="H438" s="728"/>
      <c r="I438" s="728"/>
      <c r="J438" s="728"/>
      <c r="K438" s="728"/>
      <c r="L438" s="728"/>
      <c r="M438" s="728"/>
      <c r="N438" s="728"/>
      <c r="O438" s="728"/>
      <c r="S438" s="734"/>
      <c r="T438" s="734"/>
      <c r="U438" s="734"/>
      <c r="V438" s="734"/>
      <c r="W438" s="734"/>
      <c r="X438" s="734"/>
      <c r="Y438" s="734"/>
      <c r="Z438" s="734"/>
      <c r="AA438" s="734"/>
      <c r="AB438" s="734"/>
      <c r="AC438" s="734"/>
      <c r="AD438" s="734"/>
      <c r="AE438" s="727"/>
      <c r="AF438" s="727"/>
      <c r="AG438" s="727"/>
      <c r="AH438" s="727"/>
    </row>
    <row r="439" ht="18" hidden="1" customHeight="1" spans="1:34">
      <c r="A439" s="106"/>
      <c r="B439" s="715" t="s">
        <v>292</v>
      </c>
      <c r="C439" s="716"/>
      <c r="D439" s="109" t="s">
        <v>293</v>
      </c>
      <c r="E439" s="115">
        <f>G435</f>
        <v>96.36</v>
      </c>
      <c r="F439" s="115">
        <v>5</v>
      </c>
      <c r="G439" s="117">
        <f>E439*F439/100</f>
        <v>4.82</v>
      </c>
      <c r="H439" s="728"/>
      <c r="I439" s="728"/>
      <c r="J439" s="728"/>
      <c r="K439" s="728"/>
      <c r="L439" s="728"/>
      <c r="M439" s="728"/>
      <c r="N439" s="728"/>
      <c r="O439" s="728"/>
      <c r="S439" s="734"/>
      <c r="T439" s="734"/>
      <c r="U439" s="734"/>
      <c r="V439" s="734"/>
      <c r="W439" s="734"/>
      <c r="X439" s="734"/>
      <c r="Y439" s="734"/>
      <c r="Z439" s="734"/>
      <c r="AA439" s="734"/>
      <c r="AB439" s="734"/>
      <c r="AC439" s="734"/>
      <c r="AD439" s="734"/>
      <c r="AE439" s="727"/>
      <c r="AF439" s="727"/>
      <c r="AG439" s="727"/>
      <c r="AH439" s="727"/>
    </row>
    <row r="440" ht="18" hidden="1" customHeight="1" spans="1:34">
      <c r="A440" s="106" t="s">
        <v>133</v>
      </c>
      <c r="B440" s="715" t="s">
        <v>294</v>
      </c>
      <c r="C440" s="716"/>
      <c r="D440" s="109"/>
      <c r="E440" s="717">
        <f>G434</f>
        <v>101.18</v>
      </c>
      <c r="F440" s="120">
        <f>费率!C4</f>
        <v>0.048</v>
      </c>
      <c r="G440" s="117">
        <f>E440*F440</f>
        <v>4.86</v>
      </c>
      <c r="H440" s="728"/>
      <c r="I440" s="728"/>
      <c r="J440" s="728"/>
      <c r="K440" s="728"/>
      <c r="L440" s="728"/>
      <c r="M440" s="728"/>
      <c r="N440" s="728"/>
      <c r="O440" s="728"/>
      <c r="S440" s="734"/>
      <c r="T440" s="734"/>
      <c r="U440" s="734"/>
      <c r="V440" s="734"/>
      <c r="W440" s="734"/>
      <c r="X440" s="734"/>
      <c r="Y440" s="734"/>
      <c r="Z440" s="734"/>
      <c r="AA440" s="734"/>
      <c r="AB440" s="734"/>
      <c r="AC440" s="734"/>
      <c r="AD440" s="734"/>
      <c r="AE440" s="727"/>
      <c r="AF440" s="727"/>
      <c r="AG440" s="727"/>
      <c r="AH440" s="727"/>
    </row>
    <row r="441" ht="18" hidden="1" customHeight="1" spans="1:34">
      <c r="A441" s="106" t="s">
        <v>14</v>
      </c>
      <c r="B441" s="715" t="s">
        <v>295</v>
      </c>
      <c r="C441" s="716"/>
      <c r="D441" s="109"/>
      <c r="E441" s="115">
        <f>G433</f>
        <v>106.04</v>
      </c>
      <c r="F441" s="122">
        <f>费率!C5</f>
        <v>0.04</v>
      </c>
      <c r="G441" s="117">
        <f>E441*F441</f>
        <v>4.24</v>
      </c>
      <c r="H441" s="728"/>
      <c r="I441" s="728"/>
      <c r="J441" s="728"/>
      <c r="K441" s="728"/>
      <c r="L441" s="728"/>
      <c r="M441" s="728"/>
      <c r="N441" s="728"/>
      <c r="O441" s="728"/>
      <c r="S441" s="734"/>
      <c r="T441" s="734"/>
      <c r="U441" s="734"/>
      <c r="V441" s="734"/>
      <c r="W441" s="734"/>
      <c r="X441" s="734"/>
      <c r="Y441" s="734"/>
      <c r="Z441" s="734"/>
      <c r="AA441" s="734"/>
      <c r="AB441" s="734"/>
      <c r="AC441" s="734"/>
      <c r="AD441" s="734"/>
      <c r="AE441" s="727"/>
      <c r="AF441" s="727"/>
      <c r="AG441" s="727"/>
      <c r="AH441" s="727"/>
    </row>
    <row r="442" ht="18" hidden="1" customHeight="1" spans="1:34">
      <c r="A442" s="106" t="s">
        <v>16</v>
      </c>
      <c r="B442" s="715" t="s">
        <v>296</v>
      </c>
      <c r="C442" s="716"/>
      <c r="D442" s="109"/>
      <c r="E442" s="115">
        <f>G433+G441</f>
        <v>110.28</v>
      </c>
      <c r="F442" s="122">
        <f>费率!C6</f>
        <v>0.05</v>
      </c>
      <c r="G442" s="117">
        <f>E442*F442</f>
        <v>5.51</v>
      </c>
      <c r="H442" s="728"/>
      <c r="I442" s="728"/>
      <c r="J442" s="728"/>
      <c r="K442" s="728"/>
      <c r="L442" s="728"/>
      <c r="M442" s="728"/>
      <c r="N442" s="728"/>
      <c r="O442" s="728"/>
      <c r="S442" s="734"/>
      <c r="T442" s="734"/>
      <c r="U442" s="734"/>
      <c r="V442" s="734"/>
      <c r="W442" s="734"/>
      <c r="X442" s="734"/>
      <c r="Y442" s="734"/>
      <c r="Z442" s="734"/>
      <c r="AA442" s="734"/>
      <c r="AB442" s="734"/>
      <c r="AC442" s="734"/>
      <c r="AD442" s="734"/>
      <c r="AE442" s="727"/>
      <c r="AF442" s="727"/>
      <c r="AG442" s="727"/>
      <c r="AH442" s="727"/>
    </row>
    <row r="443" ht="18" hidden="1" customHeight="1" spans="1:34">
      <c r="A443" s="106" t="s">
        <v>18</v>
      </c>
      <c r="B443" s="715" t="s">
        <v>297</v>
      </c>
      <c r="C443" s="716"/>
      <c r="D443" s="109"/>
      <c r="E443" s="115">
        <f>G433+G441++G442</f>
        <v>115.79</v>
      </c>
      <c r="F443" s="122">
        <f>费率!C7</f>
        <v>0.09</v>
      </c>
      <c r="G443" s="117">
        <f>E443*F443</f>
        <v>10.42</v>
      </c>
      <c r="H443" s="728"/>
      <c r="I443" s="728"/>
      <c r="J443" s="728"/>
      <c r="K443" s="728"/>
      <c r="L443" s="728"/>
      <c r="M443" s="728"/>
      <c r="N443" s="728"/>
      <c r="O443" s="728"/>
      <c r="S443" s="734"/>
      <c r="T443" s="734"/>
      <c r="U443" s="734"/>
      <c r="V443" s="734"/>
      <c r="W443" s="734"/>
      <c r="X443" s="734"/>
      <c r="Y443" s="734"/>
      <c r="Z443" s="734"/>
      <c r="AA443" s="734"/>
      <c r="AB443" s="734"/>
      <c r="AC443" s="734"/>
      <c r="AD443" s="734"/>
      <c r="AE443" s="727"/>
      <c r="AF443" s="727"/>
      <c r="AG443" s="727"/>
      <c r="AH443" s="727"/>
    </row>
    <row r="444" ht="18" hidden="1" customHeight="1" spans="1:34">
      <c r="A444" s="106"/>
      <c r="B444" s="715" t="s">
        <v>298</v>
      </c>
      <c r="C444" s="716"/>
      <c r="D444" s="109"/>
      <c r="E444" s="115">
        <f>G433+G441+G442+G443</f>
        <v>126.21</v>
      </c>
      <c r="F444" s="122">
        <v>0.03</v>
      </c>
      <c r="G444" s="117">
        <f>E444*F444</f>
        <v>3.79</v>
      </c>
      <c r="H444" s="728"/>
      <c r="I444" s="728"/>
      <c r="J444" s="728"/>
      <c r="K444" s="728"/>
      <c r="L444" s="728"/>
      <c r="M444" s="728"/>
      <c r="N444" s="728"/>
      <c r="O444" s="728"/>
      <c r="S444" s="734"/>
      <c r="T444" s="734"/>
      <c r="U444" s="734"/>
      <c r="V444" s="734"/>
      <c r="W444" s="734"/>
      <c r="X444" s="734"/>
      <c r="Y444" s="734"/>
      <c r="Z444" s="734"/>
      <c r="AA444" s="734"/>
      <c r="AB444" s="734"/>
      <c r="AC444" s="734"/>
      <c r="AD444" s="734"/>
      <c r="AE444" s="727"/>
      <c r="AF444" s="727"/>
      <c r="AG444" s="727"/>
      <c r="AH444" s="727"/>
    </row>
    <row r="445" ht="18" hidden="1" customHeight="1" spans="1:34">
      <c r="A445" s="123"/>
      <c r="B445" s="718" t="s">
        <v>121</v>
      </c>
      <c r="C445" s="719"/>
      <c r="D445" s="124"/>
      <c r="E445" s="125"/>
      <c r="F445" s="124"/>
      <c r="G445" s="126">
        <f>G433+G441+G442+G443+G444</f>
        <v>130</v>
      </c>
      <c r="H445" s="728"/>
      <c r="I445" s="728"/>
      <c r="J445" s="728"/>
      <c r="K445" s="728"/>
      <c r="L445" s="728"/>
      <c r="M445" s="728"/>
      <c r="N445" s="728"/>
      <c r="O445" s="728"/>
      <c r="S445" s="734"/>
      <c r="T445" s="734"/>
      <c r="U445" s="734"/>
      <c r="V445" s="734"/>
      <c r="W445" s="734"/>
      <c r="X445" s="734"/>
      <c r="Y445" s="734"/>
      <c r="Z445" s="734"/>
      <c r="AA445" s="734"/>
      <c r="AB445" s="734"/>
      <c r="AC445" s="734"/>
      <c r="AD445" s="734"/>
      <c r="AE445" s="727"/>
      <c r="AF445" s="727"/>
      <c r="AG445" s="727"/>
      <c r="AH445" s="727"/>
    </row>
    <row r="446" ht="4.5" customHeight="1" spans="8:34">
      <c r="H446" s="728"/>
      <c r="I446" s="728"/>
      <c r="J446" s="728"/>
      <c r="K446" s="728"/>
      <c r="L446" s="728"/>
      <c r="M446" s="728"/>
      <c r="N446" s="728"/>
      <c r="O446" s="728"/>
      <c r="S446" s="734"/>
      <c r="T446" s="734"/>
      <c r="U446" s="734"/>
      <c r="V446" s="734"/>
      <c r="W446" s="734"/>
      <c r="X446" s="734"/>
      <c r="Y446" s="734"/>
      <c r="Z446" s="734"/>
      <c r="AA446" s="734"/>
      <c r="AB446" s="734"/>
      <c r="AC446" s="734"/>
      <c r="AD446" s="734"/>
      <c r="AE446" s="727"/>
      <c r="AF446" s="727"/>
      <c r="AG446" s="727"/>
      <c r="AH446" s="727"/>
    </row>
    <row r="447" customHeight="1" spans="1:34">
      <c r="A447" s="79" t="s">
        <v>274</v>
      </c>
      <c r="B447" s="79"/>
      <c r="C447" s="79"/>
      <c r="D447" s="79"/>
      <c r="E447" s="79"/>
      <c r="F447" s="79"/>
      <c r="G447" s="79"/>
      <c r="H447" s="728"/>
      <c r="I447" s="728"/>
      <c r="J447" s="728"/>
      <c r="K447" s="728"/>
      <c r="L447" s="728"/>
      <c r="M447" s="728"/>
      <c r="N447" s="728"/>
      <c r="O447" s="728"/>
      <c r="S447" s="734"/>
      <c r="T447" s="734"/>
      <c r="U447" s="734"/>
      <c r="V447" s="734"/>
      <c r="W447" s="734"/>
      <c r="X447" s="734"/>
      <c r="Y447" s="734"/>
      <c r="Z447" s="734"/>
      <c r="AA447" s="734"/>
      <c r="AB447" s="734"/>
      <c r="AC447" s="734"/>
      <c r="AD447" s="734"/>
      <c r="AE447" s="727"/>
      <c r="AF447" s="727"/>
      <c r="AG447" s="727"/>
      <c r="AH447" s="727"/>
    </row>
    <row r="448" ht="18" customHeight="1" spans="1:34">
      <c r="A448" s="102" t="s">
        <v>275</v>
      </c>
      <c r="B448" s="103"/>
      <c r="C448" s="103" t="s">
        <v>379</v>
      </c>
      <c r="D448" s="103" t="s">
        <v>276</v>
      </c>
      <c r="E448" s="104" t="s">
        <v>380</v>
      </c>
      <c r="F448" s="104"/>
      <c r="G448" s="105"/>
      <c r="H448" s="728"/>
      <c r="I448" s="728"/>
      <c r="J448" s="728"/>
      <c r="K448" s="728"/>
      <c r="L448" s="728"/>
      <c r="M448" s="728"/>
      <c r="N448" s="728"/>
      <c r="O448" s="728"/>
      <c r="S448" s="734"/>
      <c r="T448" s="734"/>
      <c r="U448" s="734"/>
      <c r="V448" s="734"/>
      <c r="W448" s="734"/>
      <c r="X448" s="734"/>
      <c r="Y448" s="734"/>
      <c r="Z448" s="734"/>
      <c r="AA448" s="734"/>
      <c r="AB448" s="734"/>
      <c r="AC448" s="734"/>
      <c r="AD448" s="734"/>
      <c r="AE448" s="727"/>
      <c r="AF448" s="727"/>
      <c r="AG448" s="727"/>
      <c r="AH448" s="727"/>
    </row>
    <row r="449" ht="18" customHeight="1" spans="1:34">
      <c r="A449" s="106" t="s">
        <v>278</v>
      </c>
      <c r="B449" s="107"/>
      <c r="C449" s="108" t="s">
        <v>381</v>
      </c>
      <c r="D449" s="108"/>
      <c r="E449" s="108"/>
      <c r="F449" s="109" t="s">
        <v>280</v>
      </c>
      <c r="G449" s="110" t="s">
        <v>281</v>
      </c>
      <c r="H449" s="728"/>
      <c r="I449" s="728"/>
      <c r="J449" s="728"/>
      <c r="K449" s="728"/>
      <c r="L449" s="728"/>
      <c r="M449" s="728"/>
      <c r="N449" s="728"/>
      <c r="O449" s="728"/>
      <c r="S449" s="734"/>
      <c r="T449" s="734"/>
      <c r="U449" s="734"/>
      <c r="V449" s="734"/>
      <c r="W449" s="734"/>
      <c r="X449" s="734"/>
      <c r="Y449" s="734"/>
      <c r="Z449" s="734"/>
      <c r="AA449" s="734"/>
      <c r="AB449" s="734"/>
      <c r="AC449" s="734"/>
      <c r="AD449" s="734"/>
      <c r="AE449" s="727"/>
      <c r="AF449" s="727"/>
      <c r="AG449" s="727"/>
      <c r="AH449" s="727"/>
    </row>
    <row r="450" ht="18" customHeight="1" spans="1:34">
      <c r="A450" s="111" t="s">
        <v>358</v>
      </c>
      <c r="B450" s="108"/>
      <c r="C450" s="108"/>
      <c r="D450" s="108"/>
      <c r="E450" s="108"/>
      <c r="F450" s="108"/>
      <c r="G450" s="112"/>
      <c r="H450" s="728"/>
      <c r="I450" s="728"/>
      <c r="J450" s="728"/>
      <c r="K450" s="728"/>
      <c r="L450" s="728"/>
      <c r="M450" s="728"/>
      <c r="N450" s="728"/>
      <c r="O450" s="728"/>
      <c r="S450" s="734"/>
      <c r="T450" s="734"/>
      <c r="U450" s="734"/>
      <c r="V450" s="734"/>
      <c r="W450" s="734"/>
      <c r="X450" s="734"/>
      <c r="Y450" s="734"/>
      <c r="Z450" s="734"/>
      <c r="AA450" s="734"/>
      <c r="AB450" s="734"/>
      <c r="AC450" s="734"/>
      <c r="AD450" s="734"/>
      <c r="AE450" s="727"/>
      <c r="AF450" s="727"/>
      <c r="AG450" s="727"/>
      <c r="AH450" s="727"/>
    </row>
    <row r="451" ht="18" customHeight="1" spans="1:34">
      <c r="A451" s="113" t="s">
        <v>382</v>
      </c>
      <c r="B451" s="114"/>
      <c r="C451" s="54"/>
      <c r="D451" s="54"/>
      <c r="E451" s="54"/>
      <c r="F451" s="54"/>
      <c r="G451" s="55"/>
      <c r="H451" s="728"/>
      <c r="I451" s="728"/>
      <c r="J451" s="728"/>
      <c r="K451" s="728"/>
      <c r="L451" s="728"/>
      <c r="M451" s="728"/>
      <c r="N451" s="728"/>
      <c r="O451" s="728"/>
      <c r="S451" s="734"/>
      <c r="T451" s="734"/>
      <c r="U451" s="734"/>
      <c r="V451" s="734"/>
      <c r="W451" s="734"/>
      <c r="X451" s="734"/>
      <c r="Y451" s="734"/>
      <c r="Z451" s="734"/>
      <c r="AA451" s="734"/>
      <c r="AB451" s="734"/>
      <c r="AC451" s="734"/>
      <c r="AD451" s="734"/>
      <c r="AE451" s="727"/>
      <c r="AF451" s="727"/>
      <c r="AG451" s="727"/>
      <c r="AH451" s="727"/>
    </row>
    <row r="452" ht="18" customHeight="1" spans="1:34">
      <c r="A452" s="106" t="s">
        <v>284</v>
      </c>
      <c r="B452" s="109" t="s">
        <v>233</v>
      </c>
      <c r="C452" s="109"/>
      <c r="D452" s="109" t="s">
        <v>88</v>
      </c>
      <c r="E452" s="115" t="s">
        <v>130</v>
      </c>
      <c r="F452" s="109" t="s">
        <v>285</v>
      </c>
      <c r="G452" s="110" t="s">
        <v>286</v>
      </c>
      <c r="H452" s="728"/>
      <c r="I452" s="728"/>
      <c r="J452" s="728"/>
      <c r="K452" s="728"/>
      <c r="L452" s="728"/>
      <c r="M452" s="728"/>
      <c r="N452" s="728"/>
      <c r="O452" s="728"/>
      <c r="S452" s="734"/>
      <c r="T452" s="734"/>
      <c r="U452" s="734"/>
      <c r="V452" s="734"/>
      <c r="W452" s="734"/>
      <c r="X452" s="734"/>
      <c r="Y452" s="734"/>
      <c r="Z452" s="734"/>
      <c r="AA452" s="734"/>
      <c r="AB452" s="734"/>
      <c r="AC452" s="734"/>
      <c r="AD452" s="734"/>
      <c r="AE452" s="727"/>
      <c r="AF452" s="727"/>
      <c r="AG452" s="727"/>
      <c r="AH452" s="727"/>
    </row>
    <row r="453" ht="18" customHeight="1" spans="1:34">
      <c r="A453" s="106" t="s">
        <v>9</v>
      </c>
      <c r="B453" s="116" t="s">
        <v>287</v>
      </c>
      <c r="C453" s="116"/>
      <c r="D453" s="109"/>
      <c r="E453" s="115"/>
      <c r="F453" s="115"/>
      <c r="G453" s="117">
        <f>G454+G460</f>
        <v>510.77</v>
      </c>
      <c r="H453" s="728"/>
      <c r="I453" s="728"/>
      <c r="J453" s="728"/>
      <c r="K453" s="728"/>
      <c r="L453" s="728"/>
      <c r="M453" s="728"/>
      <c r="N453" s="728"/>
      <c r="O453" s="728"/>
      <c r="S453" s="734"/>
      <c r="T453" s="734"/>
      <c r="U453" s="734"/>
      <c r="V453" s="734"/>
      <c r="W453" s="734"/>
      <c r="X453" s="734"/>
      <c r="Y453" s="734"/>
      <c r="Z453" s="734"/>
      <c r="AA453" s="734"/>
      <c r="AB453" s="734"/>
      <c r="AC453" s="734"/>
      <c r="AD453" s="734"/>
      <c r="AE453" s="727"/>
      <c r="AF453" s="727"/>
      <c r="AG453" s="727"/>
      <c r="AH453" s="727"/>
    </row>
    <row r="454" ht="18" customHeight="1" spans="1:34">
      <c r="A454" s="106" t="s">
        <v>132</v>
      </c>
      <c r="B454" s="116" t="s">
        <v>288</v>
      </c>
      <c r="C454" s="116"/>
      <c r="D454" s="109"/>
      <c r="E454" s="115"/>
      <c r="F454" s="115"/>
      <c r="G454" s="117">
        <f>G455+G458</f>
        <v>487.38</v>
      </c>
      <c r="H454" s="728"/>
      <c r="I454" s="728"/>
      <c r="J454" s="728"/>
      <c r="K454" s="728"/>
      <c r="L454" s="728"/>
      <c r="M454" s="728"/>
      <c r="N454" s="728"/>
      <c r="O454" s="728"/>
      <c r="S454" s="734"/>
      <c r="T454" s="734"/>
      <c r="U454" s="734"/>
      <c r="V454" s="734"/>
      <c r="W454" s="734"/>
      <c r="X454" s="734"/>
      <c r="Y454" s="734"/>
      <c r="Z454" s="734"/>
      <c r="AA454" s="734"/>
      <c r="AB454" s="734"/>
      <c r="AC454" s="734"/>
      <c r="AD454" s="734"/>
      <c r="AE454" s="727"/>
      <c r="AF454" s="727"/>
      <c r="AG454" s="727"/>
      <c r="AH454" s="727"/>
    </row>
    <row r="455" ht="18" customHeight="1" spans="1:34">
      <c r="A455" s="106" t="s">
        <v>39</v>
      </c>
      <c r="B455" s="116" t="s">
        <v>247</v>
      </c>
      <c r="C455" s="116"/>
      <c r="D455" s="109"/>
      <c r="E455" s="115"/>
      <c r="F455" s="115"/>
      <c r="G455" s="117">
        <f>SUM(G456:G457)</f>
        <v>464.17</v>
      </c>
      <c r="H455" s="728"/>
      <c r="I455" s="728"/>
      <c r="J455" s="728"/>
      <c r="K455" s="728"/>
      <c r="L455" s="728"/>
      <c r="M455" s="728"/>
      <c r="N455" s="728"/>
      <c r="O455" s="728"/>
      <c r="S455" s="734"/>
      <c r="T455" s="734"/>
      <c r="U455" s="734"/>
      <c r="V455" s="734"/>
      <c r="W455" s="734"/>
      <c r="X455" s="734"/>
      <c r="Y455" s="734"/>
      <c r="Z455" s="734"/>
      <c r="AA455" s="734"/>
      <c r="AB455" s="734"/>
      <c r="AC455" s="734"/>
      <c r="AD455" s="734"/>
      <c r="AE455" s="727"/>
      <c r="AF455" s="727"/>
      <c r="AG455" s="727"/>
      <c r="AH455" s="727"/>
    </row>
    <row r="456" ht="18" customHeight="1" spans="1:34">
      <c r="A456" s="106"/>
      <c r="B456" s="116" t="s">
        <v>289</v>
      </c>
      <c r="C456" s="116"/>
      <c r="D456" s="109" t="s">
        <v>290</v>
      </c>
      <c r="E456" s="115">
        <v>1.6</v>
      </c>
      <c r="F456" s="115">
        <f>主材!D21</f>
        <v>8.1</v>
      </c>
      <c r="G456" s="117">
        <f>E456*F456</f>
        <v>12.96</v>
      </c>
      <c r="H456" s="728"/>
      <c r="I456" s="728"/>
      <c r="J456" s="728"/>
      <c r="K456" s="728"/>
      <c r="L456" s="728"/>
      <c r="M456" s="728"/>
      <c r="N456" s="728"/>
      <c r="O456" s="728"/>
      <c r="S456" s="734"/>
      <c r="T456" s="734"/>
      <c r="U456" s="734"/>
      <c r="V456" s="734"/>
      <c r="W456" s="734"/>
      <c r="X456" s="734"/>
      <c r="Y456" s="734"/>
      <c r="Z456" s="734"/>
      <c r="AA456" s="734"/>
      <c r="AB456" s="734"/>
      <c r="AC456" s="734"/>
      <c r="AD456" s="734"/>
      <c r="AE456" s="727"/>
      <c r="AF456" s="727"/>
      <c r="AG456" s="727"/>
      <c r="AH456" s="727"/>
    </row>
    <row r="457" ht="18" customHeight="1" spans="1:34">
      <c r="A457" s="106"/>
      <c r="B457" s="116" t="s">
        <v>291</v>
      </c>
      <c r="C457" s="116"/>
      <c r="D457" s="109" t="s">
        <v>290</v>
      </c>
      <c r="E457" s="115">
        <v>78.2</v>
      </c>
      <c r="F457" s="115">
        <f>主材!D22</f>
        <v>5.77</v>
      </c>
      <c r="G457" s="117">
        <f>E457*F457</f>
        <v>451.21</v>
      </c>
      <c r="H457" s="728"/>
      <c r="I457" s="728"/>
      <c r="J457" s="728"/>
      <c r="K457" s="728"/>
      <c r="L457" s="728"/>
      <c r="M457" s="728"/>
      <c r="N457" s="728"/>
      <c r="O457" s="728"/>
      <c r="S457" s="734"/>
      <c r="T457" s="734"/>
      <c r="U457" s="734"/>
      <c r="V457" s="734"/>
      <c r="W457" s="734"/>
      <c r="X457" s="734"/>
      <c r="Y457" s="734"/>
      <c r="Z457" s="734"/>
      <c r="AA457" s="734"/>
      <c r="AB457" s="734"/>
      <c r="AC457" s="734"/>
      <c r="AD457" s="734"/>
      <c r="AE457" s="727"/>
      <c r="AF457" s="727"/>
      <c r="AG457" s="727"/>
      <c r="AH457" s="727"/>
    </row>
    <row r="458" ht="18" customHeight="1" spans="1:34">
      <c r="A458" s="106" t="s">
        <v>41</v>
      </c>
      <c r="B458" s="116" t="s">
        <v>248</v>
      </c>
      <c r="C458" s="116"/>
      <c r="D458" s="109"/>
      <c r="E458" s="115"/>
      <c r="F458" s="115"/>
      <c r="G458" s="117">
        <f>G459</f>
        <v>23.21</v>
      </c>
      <c r="H458" s="728"/>
      <c r="I458" s="728"/>
      <c r="J458" s="728"/>
      <c r="K458" s="728"/>
      <c r="L458" s="728"/>
      <c r="M458" s="728"/>
      <c r="N458" s="728"/>
      <c r="O458" s="728"/>
      <c r="S458" s="734"/>
      <c r="T458" s="734"/>
      <c r="U458" s="734"/>
      <c r="V458" s="734"/>
      <c r="W458" s="734"/>
      <c r="X458" s="734"/>
      <c r="Y458" s="734"/>
      <c r="Z458" s="734"/>
      <c r="AA458" s="734"/>
      <c r="AB458" s="734"/>
      <c r="AC458" s="734"/>
      <c r="AD458" s="734"/>
      <c r="AE458" s="727"/>
      <c r="AF458" s="727"/>
      <c r="AG458" s="727"/>
      <c r="AH458" s="727"/>
    </row>
    <row r="459" ht="18" customHeight="1" spans="1:34">
      <c r="A459" s="106"/>
      <c r="B459" s="116" t="s">
        <v>292</v>
      </c>
      <c r="C459" s="116"/>
      <c r="D459" s="109" t="s">
        <v>293</v>
      </c>
      <c r="E459" s="115">
        <f>G455</f>
        <v>464.17</v>
      </c>
      <c r="F459" s="115">
        <v>5</v>
      </c>
      <c r="G459" s="117">
        <f>E459*F459/100</f>
        <v>23.21</v>
      </c>
      <c r="H459" s="728"/>
      <c r="I459" s="728"/>
      <c r="J459" s="728"/>
      <c r="K459" s="728"/>
      <c r="L459" s="728"/>
      <c r="M459" s="728"/>
      <c r="N459" s="728"/>
      <c r="O459" s="728"/>
      <c r="S459" s="734"/>
      <c r="T459" s="734"/>
      <c r="U459" s="734"/>
      <c r="V459" s="734"/>
      <c r="W459" s="734"/>
      <c r="X459" s="734"/>
      <c r="Y459" s="734"/>
      <c r="Z459" s="734"/>
      <c r="AA459" s="734"/>
      <c r="AB459" s="734"/>
      <c r="AC459" s="734"/>
      <c r="AD459" s="734"/>
      <c r="AE459" s="727"/>
      <c r="AF459" s="727"/>
      <c r="AG459" s="727"/>
      <c r="AH459" s="727"/>
    </row>
    <row r="460" ht="18" customHeight="1" spans="1:34">
      <c r="A460" s="106" t="s">
        <v>133</v>
      </c>
      <c r="B460" s="116" t="s">
        <v>294</v>
      </c>
      <c r="C460" s="116"/>
      <c r="D460" s="109"/>
      <c r="E460" s="717">
        <f>G454</f>
        <v>487.38</v>
      </c>
      <c r="F460" s="120">
        <f>费率!C4</f>
        <v>0.048</v>
      </c>
      <c r="G460" s="117">
        <f>E460*F460</f>
        <v>23.39</v>
      </c>
      <c r="H460" s="728"/>
      <c r="I460" s="728"/>
      <c r="J460" s="728"/>
      <c r="K460" s="728"/>
      <c r="L460" s="728"/>
      <c r="M460" s="728"/>
      <c r="N460" s="728"/>
      <c r="O460" s="728"/>
      <c r="S460" s="734"/>
      <c r="T460" s="734"/>
      <c r="U460" s="734"/>
      <c r="V460" s="734"/>
      <c r="W460" s="734"/>
      <c r="X460" s="734"/>
      <c r="Y460" s="734"/>
      <c r="Z460" s="734"/>
      <c r="AA460" s="734"/>
      <c r="AB460" s="734"/>
      <c r="AC460" s="734"/>
      <c r="AD460" s="734"/>
      <c r="AE460" s="727"/>
      <c r="AF460" s="727"/>
      <c r="AG460" s="727"/>
      <c r="AH460" s="727"/>
    </row>
    <row r="461" ht="18" customHeight="1" spans="1:34">
      <c r="A461" s="106" t="s">
        <v>14</v>
      </c>
      <c r="B461" s="116" t="s">
        <v>295</v>
      </c>
      <c r="C461" s="116"/>
      <c r="D461" s="109"/>
      <c r="E461" s="115">
        <f>G453</f>
        <v>510.77</v>
      </c>
      <c r="F461" s="122">
        <f>费率!C5</f>
        <v>0.04</v>
      </c>
      <c r="G461" s="117">
        <f>E461*F461</f>
        <v>20.43</v>
      </c>
      <c r="H461" s="728"/>
      <c r="I461" s="728"/>
      <c r="J461" s="728"/>
      <c r="K461" s="728"/>
      <c r="L461" s="728"/>
      <c r="M461" s="728"/>
      <c r="N461" s="728"/>
      <c r="O461" s="728"/>
      <c r="S461" s="734"/>
      <c r="T461" s="734"/>
      <c r="U461" s="734"/>
      <c r="V461" s="734"/>
      <c r="W461" s="734"/>
      <c r="X461" s="734"/>
      <c r="Y461" s="734"/>
      <c r="Z461" s="734"/>
      <c r="AA461" s="734"/>
      <c r="AB461" s="734"/>
      <c r="AC461" s="734"/>
      <c r="AD461" s="734"/>
      <c r="AE461" s="727"/>
      <c r="AF461" s="727"/>
      <c r="AG461" s="727"/>
      <c r="AH461" s="727"/>
    </row>
    <row r="462" ht="18" customHeight="1" spans="1:34">
      <c r="A462" s="106" t="s">
        <v>16</v>
      </c>
      <c r="B462" s="116" t="s">
        <v>296</v>
      </c>
      <c r="C462" s="116"/>
      <c r="D462" s="109"/>
      <c r="E462" s="115">
        <f>G453+G461</f>
        <v>531.2</v>
      </c>
      <c r="F462" s="122">
        <f>费率!C6</f>
        <v>0.05</v>
      </c>
      <c r="G462" s="117">
        <f>E462*F462</f>
        <v>26.56</v>
      </c>
      <c r="H462" s="728"/>
      <c r="I462" s="728"/>
      <c r="J462" s="728"/>
      <c r="K462" s="728"/>
      <c r="L462" s="728"/>
      <c r="M462" s="728"/>
      <c r="N462" s="728"/>
      <c r="O462" s="728"/>
      <c r="S462" s="734"/>
      <c r="T462" s="734"/>
      <c r="U462" s="734"/>
      <c r="V462" s="734"/>
      <c r="W462" s="734"/>
      <c r="X462" s="734"/>
      <c r="Y462" s="734"/>
      <c r="Z462" s="734"/>
      <c r="AA462" s="734"/>
      <c r="AB462" s="734"/>
      <c r="AC462" s="734"/>
      <c r="AD462" s="734"/>
      <c r="AE462" s="727"/>
      <c r="AF462" s="727"/>
      <c r="AG462" s="727"/>
      <c r="AH462" s="727"/>
    </row>
    <row r="463" ht="18" customHeight="1" spans="1:34">
      <c r="A463" s="106" t="s">
        <v>18</v>
      </c>
      <c r="B463" s="116" t="s">
        <v>297</v>
      </c>
      <c r="C463" s="116"/>
      <c r="D463" s="109"/>
      <c r="E463" s="115">
        <f>G453+G461++G462</f>
        <v>557.76</v>
      </c>
      <c r="F463" s="122">
        <f>费率!C7</f>
        <v>0.09</v>
      </c>
      <c r="G463" s="117">
        <f>E463*F463</f>
        <v>50.2</v>
      </c>
      <c r="H463" s="728"/>
      <c r="I463" s="728"/>
      <c r="J463" s="728"/>
      <c r="K463" s="728"/>
      <c r="L463" s="728"/>
      <c r="M463" s="728"/>
      <c r="N463" s="728"/>
      <c r="O463" s="728"/>
      <c r="S463" s="734"/>
      <c r="T463" s="734"/>
      <c r="U463" s="734"/>
      <c r="V463" s="734"/>
      <c r="W463" s="734"/>
      <c r="X463" s="734"/>
      <c r="Y463" s="734"/>
      <c r="Z463" s="734"/>
      <c r="AA463" s="734"/>
      <c r="AB463" s="734"/>
      <c r="AC463" s="734"/>
      <c r="AD463" s="734"/>
      <c r="AE463" s="727"/>
      <c r="AF463" s="727"/>
      <c r="AG463" s="727"/>
      <c r="AH463" s="727"/>
    </row>
    <row r="464" ht="18" customHeight="1" spans="1:34">
      <c r="A464" s="106"/>
      <c r="B464" s="116" t="s">
        <v>298</v>
      </c>
      <c r="C464" s="116"/>
      <c r="D464" s="109"/>
      <c r="E464" s="115">
        <f>G453+G461+G462+G463</f>
        <v>607.96</v>
      </c>
      <c r="F464" s="122">
        <v>0.03</v>
      </c>
      <c r="G464" s="117">
        <f>E464*F464</f>
        <v>18.24</v>
      </c>
      <c r="H464" s="728"/>
      <c r="I464" s="728"/>
      <c r="J464" s="728"/>
      <c r="K464" s="728"/>
      <c r="L464" s="728"/>
      <c r="M464" s="728"/>
      <c r="N464" s="728"/>
      <c r="O464" s="728"/>
      <c r="S464" s="734"/>
      <c r="T464" s="734"/>
      <c r="U464" s="734"/>
      <c r="V464" s="734"/>
      <c r="W464" s="734"/>
      <c r="X464" s="734"/>
      <c r="Y464" s="734"/>
      <c r="Z464" s="734"/>
      <c r="AA464" s="734"/>
      <c r="AB464" s="734"/>
      <c r="AC464" s="734"/>
      <c r="AD464" s="734"/>
      <c r="AE464" s="727"/>
      <c r="AF464" s="727"/>
      <c r="AG464" s="727"/>
      <c r="AH464" s="727"/>
    </row>
    <row r="465" ht="18" customHeight="1" spans="1:34">
      <c r="A465" s="123"/>
      <c r="B465" s="124" t="s">
        <v>121</v>
      </c>
      <c r="C465" s="124"/>
      <c r="D465" s="124"/>
      <c r="E465" s="125"/>
      <c r="F465" s="124"/>
      <c r="G465" s="126">
        <f>G453+G461+G462+G463+G464</f>
        <v>626.2</v>
      </c>
      <c r="H465" s="728"/>
      <c r="N465" s="728"/>
      <c r="O465" s="728"/>
      <c r="S465" s="734"/>
      <c r="T465" s="734"/>
      <c r="U465" s="734"/>
      <c r="V465" s="734"/>
      <c r="W465" s="734"/>
      <c r="X465" s="734"/>
      <c r="Y465" s="734"/>
      <c r="Z465" s="734"/>
      <c r="AA465" s="734"/>
      <c r="AB465" s="734"/>
      <c r="AC465" s="734"/>
      <c r="AD465" s="734"/>
      <c r="AE465" s="727"/>
      <c r="AF465" s="727"/>
      <c r="AG465" s="727"/>
      <c r="AH465" s="727"/>
    </row>
    <row r="466" ht="31.15" customHeight="1" spans="8:34">
      <c r="H466" s="728"/>
      <c r="N466" s="728"/>
      <c r="O466" s="728"/>
      <c r="S466" s="734"/>
      <c r="T466" s="734"/>
      <c r="U466" s="734"/>
      <c r="V466" s="734"/>
      <c r="W466" s="734"/>
      <c r="X466" s="734"/>
      <c r="Y466" s="734"/>
      <c r="Z466" s="734"/>
      <c r="AA466" s="734"/>
      <c r="AB466" s="734"/>
      <c r="AC466" s="734"/>
      <c r="AD466" s="734"/>
      <c r="AE466" s="727"/>
      <c r="AF466" s="727"/>
      <c r="AG466" s="727"/>
      <c r="AH466" s="727"/>
    </row>
    <row r="467" customHeight="1" spans="1:34">
      <c r="A467" s="725" t="s">
        <v>274</v>
      </c>
      <c r="B467" s="725"/>
      <c r="C467" s="725"/>
      <c r="D467" s="725"/>
      <c r="E467" s="725"/>
      <c r="F467" s="725"/>
      <c r="G467" s="725"/>
      <c r="H467" s="728"/>
      <c r="N467" s="728"/>
      <c r="O467" s="728"/>
      <c r="S467" s="734"/>
      <c r="T467" s="734"/>
      <c r="U467" s="734"/>
      <c r="V467" s="734"/>
      <c r="W467" s="734"/>
      <c r="X467" s="734"/>
      <c r="Y467" s="734"/>
      <c r="Z467" s="734"/>
      <c r="AA467" s="734"/>
      <c r="AB467" s="734"/>
      <c r="AC467" s="734"/>
      <c r="AD467" s="734"/>
      <c r="AE467" s="727"/>
      <c r="AF467" s="727"/>
      <c r="AG467" s="727"/>
      <c r="AH467" s="727"/>
    </row>
    <row r="468" ht="15" customHeight="1" spans="1:34">
      <c r="A468" s="102" t="s">
        <v>275</v>
      </c>
      <c r="B468" s="103"/>
      <c r="C468" s="103" t="s">
        <v>342</v>
      </c>
      <c r="D468" s="103" t="s">
        <v>276</v>
      </c>
      <c r="E468" s="104" t="s">
        <v>383</v>
      </c>
      <c r="F468" s="104"/>
      <c r="G468" s="105"/>
      <c r="H468" s="728"/>
      <c r="N468" s="728"/>
      <c r="O468" s="728"/>
      <c r="S468" s="734"/>
      <c r="T468" s="734"/>
      <c r="U468" s="734"/>
      <c r="V468" s="734"/>
      <c r="W468" s="734"/>
      <c r="X468" s="734"/>
      <c r="Y468" s="734"/>
      <c r="Z468" s="734"/>
      <c r="AA468" s="734"/>
      <c r="AB468" s="734"/>
      <c r="AC468" s="734"/>
      <c r="AD468" s="734"/>
      <c r="AE468" s="727"/>
      <c r="AF468" s="727"/>
      <c r="AG468" s="727"/>
      <c r="AH468" s="727"/>
    </row>
    <row r="469" ht="15" customHeight="1" spans="1:34">
      <c r="A469" s="106" t="s">
        <v>278</v>
      </c>
      <c r="B469" s="107"/>
      <c r="C469" s="108" t="s">
        <v>384</v>
      </c>
      <c r="D469" s="108"/>
      <c r="E469" s="108"/>
      <c r="F469" s="109" t="s">
        <v>280</v>
      </c>
      <c r="G469" s="110" t="s">
        <v>281</v>
      </c>
      <c r="H469" s="728"/>
      <c r="N469" s="728"/>
      <c r="O469" s="728"/>
      <c r="S469" s="734"/>
      <c r="T469" s="734"/>
      <c r="U469" s="734"/>
      <c r="V469" s="734"/>
      <c r="W469" s="734"/>
      <c r="X469" s="734"/>
      <c r="Y469" s="734"/>
      <c r="Z469" s="734"/>
      <c r="AA469" s="734"/>
      <c r="AB469" s="734"/>
      <c r="AC469" s="734"/>
      <c r="AD469" s="734"/>
      <c r="AE469" s="727"/>
      <c r="AF469" s="727"/>
      <c r="AG469" s="727"/>
      <c r="AH469" s="727"/>
    </row>
    <row r="470" ht="15" customHeight="1" spans="1:34">
      <c r="A470" s="111" t="s">
        <v>358</v>
      </c>
      <c r="B470" s="108"/>
      <c r="C470" s="108"/>
      <c r="D470" s="108"/>
      <c r="E470" s="108"/>
      <c r="F470" s="108"/>
      <c r="G470" s="112"/>
      <c r="H470" s="728"/>
      <c r="N470" s="728"/>
      <c r="O470" s="728"/>
      <c r="S470" s="734"/>
      <c r="T470" s="734"/>
      <c r="U470" s="734"/>
      <c r="V470" s="734"/>
      <c r="W470" s="734"/>
      <c r="X470" s="734"/>
      <c r="Y470" s="734"/>
      <c r="Z470" s="734"/>
      <c r="AA470" s="734"/>
      <c r="AB470" s="734"/>
      <c r="AC470" s="734"/>
      <c r="AD470" s="734"/>
      <c r="AE470" s="727"/>
      <c r="AF470" s="727"/>
      <c r="AG470" s="727"/>
      <c r="AH470" s="727"/>
    </row>
    <row r="471" ht="15" customHeight="1" spans="1:34">
      <c r="A471" s="113" t="s">
        <v>385</v>
      </c>
      <c r="B471" s="114"/>
      <c r="C471" s="54"/>
      <c r="D471" s="54"/>
      <c r="E471" s="54"/>
      <c r="F471" s="54"/>
      <c r="G471" s="55"/>
      <c r="H471" s="728"/>
      <c r="N471" s="728"/>
      <c r="O471" s="728"/>
      <c r="S471" s="734"/>
      <c r="T471" s="734"/>
      <c r="U471" s="734"/>
      <c r="V471" s="734"/>
      <c r="W471" s="734"/>
      <c r="X471" s="734"/>
      <c r="Y471" s="734"/>
      <c r="Z471" s="734"/>
      <c r="AA471" s="734"/>
      <c r="AB471" s="734"/>
      <c r="AC471" s="734"/>
      <c r="AD471" s="734"/>
      <c r="AE471" s="727"/>
      <c r="AF471" s="727"/>
      <c r="AG471" s="727"/>
      <c r="AH471" s="727"/>
    </row>
    <row r="472" ht="15" customHeight="1" spans="1:34">
      <c r="A472" s="106" t="s">
        <v>284</v>
      </c>
      <c r="B472" s="109" t="s">
        <v>233</v>
      </c>
      <c r="C472" s="109"/>
      <c r="D472" s="109" t="s">
        <v>88</v>
      </c>
      <c r="E472" s="115" t="s">
        <v>130</v>
      </c>
      <c r="F472" s="109" t="s">
        <v>285</v>
      </c>
      <c r="G472" s="110" t="s">
        <v>286</v>
      </c>
      <c r="H472" s="728"/>
      <c r="N472" s="728"/>
      <c r="O472" s="728"/>
      <c r="S472" s="734"/>
      <c r="T472" s="734"/>
      <c r="U472" s="734"/>
      <c r="V472" s="734"/>
      <c r="W472" s="734"/>
      <c r="X472" s="734"/>
      <c r="Y472" s="734"/>
      <c r="Z472" s="734"/>
      <c r="AA472" s="734"/>
      <c r="AB472" s="734"/>
      <c r="AC472" s="734"/>
      <c r="AD472" s="734"/>
      <c r="AE472" s="727"/>
      <c r="AF472" s="727"/>
      <c r="AG472" s="727"/>
      <c r="AH472" s="727"/>
    </row>
    <row r="473" ht="15" customHeight="1" spans="1:34">
      <c r="A473" s="106" t="s">
        <v>9</v>
      </c>
      <c r="B473" s="116" t="s">
        <v>287</v>
      </c>
      <c r="C473" s="116"/>
      <c r="D473" s="109"/>
      <c r="E473" s="115"/>
      <c r="F473" s="115"/>
      <c r="G473" s="117">
        <f>G474+G482</f>
        <v>1772.58</v>
      </c>
      <c r="H473" s="728"/>
      <c r="N473" s="728"/>
      <c r="O473" s="728"/>
      <c r="S473" s="734"/>
      <c r="T473" s="734"/>
      <c r="U473" s="734"/>
      <c r="V473" s="734"/>
      <c r="W473" s="734"/>
      <c r="X473" s="734"/>
      <c r="Y473" s="734"/>
      <c r="Z473" s="734"/>
      <c r="AA473" s="734"/>
      <c r="AB473" s="734"/>
      <c r="AC473" s="734"/>
      <c r="AD473" s="734"/>
      <c r="AE473" s="727"/>
      <c r="AF473" s="727"/>
      <c r="AG473" s="727"/>
      <c r="AH473" s="727"/>
    </row>
    <row r="474" ht="15" customHeight="1" spans="1:34">
      <c r="A474" s="106" t="s">
        <v>132</v>
      </c>
      <c r="B474" s="116" t="s">
        <v>288</v>
      </c>
      <c r="C474" s="116"/>
      <c r="D474" s="109"/>
      <c r="E474" s="115"/>
      <c r="F474" s="115"/>
      <c r="G474" s="117">
        <f>G475+G478+G480</f>
        <v>1691.39</v>
      </c>
      <c r="H474" s="728"/>
      <c r="N474" s="728"/>
      <c r="O474" s="728"/>
      <c r="S474" s="734"/>
      <c r="T474" s="734"/>
      <c r="U474" s="734"/>
      <c r="V474" s="734"/>
      <c r="W474" s="734"/>
      <c r="X474" s="734"/>
      <c r="Y474" s="734"/>
      <c r="Z474" s="734"/>
      <c r="AA474" s="734"/>
      <c r="AB474" s="734"/>
      <c r="AC474" s="734"/>
      <c r="AD474" s="734"/>
      <c r="AE474" s="727"/>
      <c r="AF474" s="727"/>
      <c r="AG474" s="727"/>
      <c r="AH474" s="727"/>
    </row>
    <row r="475" ht="15" customHeight="1" spans="1:34">
      <c r="A475" s="106" t="s">
        <v>39</v>
      </c>
      <c r="B475" s="116" t="s">
        <v>247</v>
      </c>
      <c r="C475" s="116"/>
      <c r="D475" s="109"/>
      <c r="E475" s="115"/>
      <c r="F475" s="115"/>
      <c r="G475" s="117">
        <f>SUM(G476:G477)</f>
        <v>1343.59</v>
      </c>
      <c r="H475" s="728"/>
      <c r="N475" s="728"/>
      <c r="O475" s="728"/>
      <c r="S475" s="734"/>
      <c r="T475" s="734"/>
      <c r="U475" s="734"/>
      <c r="V475" s="734"/>
      <c r="W475" s="734"/>
      <c r="X475" s="734"/>
      <c r="Y475" s="734"/>
      <c r="Z475" s="734"/>
      <c r="AA475" s="734"/>
      <c r="AB475" s="734"/>
      <c r="AC475" s="734"/>
      <c r="AD475" s="734"/>
      <c r="AE475" s="727"/>
      <c r="AF475" s="727"/>
      <c r="AG475" s="727"/>
      <c r="AH475" s="727"/>
    </row>
    <row r="476" ht="15" customHeight="1" spans="1:34">
      <c r="A476" s="106"/>
      <c r="B476" s="116" t="s">
        <v>289</v>
      </c>
      <c r="C476" s="116"/>
      <c r="D476" s="109" t="s">
        <v>290</v>
      </c>
      <c r="E476" s="115">
        <v>4.6</v>
      </c>
      <c r="F476" s="115">
        <f>主材!D21</f>
        <v>8.1</v>
      </c>
      <c r="G476" s="117">
        <f>E476*F476</f>
        <v>37.26</v>
      </c>
      <c r="H476" s="728"/>
      <c r="N476" s="728"/>
      <c r="O476" s="728"/>
      <c r="S476" s="734"/>
      <c r="T476" s="734"/>
      <c r="U476" s="734"/>
      <c r="V476" s="734"/>
      <c r="W476" s="734"/>
      <c r="X476" s="734"/>
      <c r="Y476" s="734"/>
      <c r="Z476" s="734"/>
      <c r="AA476" s="734"/>
      <c r="AB476" s="734"/>
      <c r="AC476" s="734"/>
      <c r="AD476" s="734"/>
      <c r="AE476" s="727"/>
      <c r="AF476" s="727"/>
      <c r="AG476" s="727"/>
      <c r="AH476" s="727"/>
    </row>
    <row r="477" ht="15" customHeight="1" spans="1:34">
      <c r="A477" s="106"/>
      <c r="B477" s="116" t="s">
        <v>291</v>
      </c>
      <c r="C477" s="116"/>
      <c r="D477" s="109" t="s">
        <v>290</v>
      </c>
      <c r="E477" s="115">
        <v>226.4</v>
      </c>
      <c r="F477" s="115">
        <f>主材!D22</f>
        <v>5.77</v>
      </c>
      <c r="G477" s="117">
        <f>E477*F477</f>
        <v>1306.33</v>
      </c>
      <c r="H477" s="728"/>
      <c r="N477" s="728"/>
      <c r="O477" s="728"/>
      <c r="S477" s="734"/>
      <c r="T477" s="734"/>
      <c r="U477" s="734"/>
      <c r="V477" s="734"/>
      <c r="W477" s="734"/>
      <c r="X477" s="734"/>
      <c r="Y477" s="734"/>
      <c r="Z477" s="734"/>
      <c r="AA477" s="734"/>
      <c r="AB477" s="734"/>
      <c r="AC477" s="734"/>
      <c r="AD477" s="734"/>
      <c r="AE477" s="727"/>
      <c r="AF477" s="727"/>
      <c r="AG477" s="727"/>
      <c r="AH477" s="727"/>
    </row>
    <row r="478" ht="15" customHeight="1" spans="1:34">
      <c r="A478" s="106" t="s">
        <v>41</v>
      </c>
      <c r="B478" s="116" t="s">
        <v>248</v>
      </c>
      <c r="C478" s="116"/>
      <c r="D478" s="109"/>
      <c r="E478" s="115"/>
      <c r="F478" s="115"/>
      <c r="G478" s="117">
        <f>G479</f>
        <v>80.54</v>
      </c>
      <c r="H478" s="728"/>
      <c r="N478" s="728"/>
      <c r="O478" s="728"/>
      <c r="S478" s="734"/>
      <c r="T478" s="734"/>
      <c r="U478" s="734"/>
      <c r="V478" s="734"/>
      <c r="W478" s="734"/>
      <c r="X478" s="734"/>
      <c r="Y478" s="734"/>
      <c r="Z478" s="734"/>
      <c r="AA478" s="734"/>
      <c r="AB478" s="734"/>
      <c r="AC478" s="734"/>
      <c r="AD478" s="734"/>
      <c r="AE478" s="727"/>
      <c r="AF478" s="727"/>
      <c r="AG478" s="727"/>
      <c r="AH478" s="727"/>
    </row>
    <row r="479" ht="15" customHeight="1" spans="1:34">
      <c r="A479" s="106"/>
      <c r="B479" s="116" t="s">
        <v>292</v>
      </c>
      <c r="C479" s="116"/>
      <c r="D479" s="109" t="s">
        <v>293</v>
      </c>
      <c r="E479" s="115">
        <f>G475+G480</f>
        <v>1610.85</v>
      </c>
      <c r="F479" s="115">
        <v>5</v>
      </c>
      <c r="G479" s="117">
        <f>E479*F479/100</f>
        <v>80.54</v>
      </c>
      <c r="H479" s="728"/>
      <c r="N479" s="728"/>
      <c r="O479" s="728"/>
      <c r="S479" s="734"/>
      <c r="T479" s="734"/>
      <c r="U479" s="734"/>
      <c r="V479" s="734"/>
      <c r="W479" s="734"/>
      <c r="X479" s="734"/>
      <c r="Y479" s="734"/>
      <c r="Z479" s="734"/>
      <c r="AA479" s="734"/>
      <c r="AB479" s="734"/>
      <c r="AC479" s="734"/>
      <c r="AD479" s="734"/>
      <c r="AE479" s="727"/>
      <c r="AF479" s="727"/>
      <c r="AG479" s="727"/>
      <c r="AH479" s="727"/>
    </row>
    <row r="480" ht="15" customHeight="1" spans="1:34">
      <c r="A480" s="106" t="s">
        <v>46</v>
      </c>
      <c r="B480" s="116" t="s">
        <v>314</v>
      </c>
      <c r="C480" s="116"/>
      <c r="D480" s="109"/>
      <c r="E480" s="115"/>
      <c r="F480" s="115"/>
      <c r="G480" s="117">
        <f>G481</f>
        <v>267.26</v>
      </c>
      <c r="H480" s="728"/>
      <c r="N480" s="728"/>
      <c r="O480" s="728"/>
      <c r="S480" s="734"/>
      <c r="T480" s="734"/>
      <c r="U480" s="734"/>
      <c r="V480" s="734"/>
      <c r="W480" s="734"/>
      <c r="X480" s="734"/>
      <c r="Y480" s="734"/>
      <c r="Z480" s="734"/>
      <c r="AA480" s="734"/>
      <c r="AB480" s="734"/>
      <c r="AC480" s="734"/>
      <c r="AD480" s="734"/>
      <c r="AE480" s="727"/>
      <c r="AF480" s="727"/>
      <c r="AG480" s="727"/>
      <c r="AH480" s="727"/>
    </row>
    <row r="481" ht="15" customHeight="1" spans="1:34">
      <c r="A481" s="106"/>
      <c r="B481" s="116" t="s">
        <v>368</v>
      </c>
      <c r="C481" s="116"/>
      <c r="D481" s="109" t="s">
        <v>316</v>
      </c>
      <c r="E481" s="115">
        <v>14.4</v>
      </c>
      <c r="F481" s="115">
        <f>机械!E13</f>
        <v>18.56</v>
      </c>
      <c r="G481" s="117">
        <f t="shared" ref="G481:G486" si="6">E481*F481</f>
        <v>267.26</v>
      </c>
      <c r="H481" s="728"/>
      <c r="N481" s="728"/>
      <c r="O481" s="728"/>
      <c r="S481" s="734"/>
      <c r="T481" s="734"/>
      <c r="U481" s="734"/>
      <c r="V481" s="734"/>
      <c r="W481" s="734"/>
      <c r="X481" s="734"/>
      <c r="Y481" s="734"/>
      <c r="Z481" s="734"/>
      <c r="AA481" s="734"/>
      <c r="AB481" s="734"/>
      <c r="AC481" s="734"/>
      <c r="AD481" s="734"/>
      <c r="AE481" s="727"/>
      <c r="AF481" s="727"/>
      <c r="AG481" s="727"/>
      <c r="AH481" s="727"/>
    </row>
    <row r="482" ht="15" customHeight="1" spans="1:34">
      <c r="A482" s="106" t="s">
        <v>133</v>
      </c>
      <c r="B482" s="116" t="s">
        <v>294</v>
      </c>
      <c r="C482" s="116"/>
      <c r="D482" s="109"/>
      <c r="E482" s="717">
        <f>G474</f>
        <v>1691.39</v>
      </c>
      <c r="F482" s="120">
        <f>费率!C4</f>
        <v>0.048</v>
      </c>
      <c r="G482" s="117">
        <f t="shared" si="6"/>
        <v>81.19</v>
      </c>
      <c r="H482" s="728"/>
      <c r="N482" s="728"/>
      <c r="O482" s="728"/>
      <c r="S482" s="734"/>
      <c r="T482" s="734"/>
      <c r="U482" s="734"/>
      <c r="V482" s="734"/>
      <c r="W482" s="734"/>
      <c r="X482" s="734"/>
      <c r="Y482" s="734"/>
      <c r="Z482" s="734"/>
      <c r="AA482" s="734"/>
      <c r="AB482" s="734"/>
      <c r="AC482" s="734"/>
      <c r="AD482" s="734"/>
      <c r="AE482" s="727"/>
      <c r="AF482" s="727"/>
      <c r="AG482" s="727"/>
      <c r="AH482" s="727"/>
    </row>
    <row r="483" ht="15" customHeight="1" spans="1:34">
      <c r="A483" s="106" t="s">
        <v>14</v>
      </c>
      <c r="B483" s="116" t="s">
        <v>295</v>
      </c>
      <c r="C483" s="116"/>
      <c r="D483" s="109"/>
      <c r="E483" s="115">
        <f>G473</f>
        <v>1772.58</v>
      </c>
      <c r="F483" s="122">
        <f>费率!C5</f>
        <v>0.04</v>
      </c>
      <c r="G483" s="117">
        <f t="shared" si="6"/>
        <v>70.9</v>
      </c>
      <c r="H483" s="728"/>
      <c r="N483" s="728"/>
      <c r="O483" s="728"/>
      <c r="S483" s="734"/>
      <c r="T483" s="734"/>
      <c r="U483" s="734"/>
      <c r="V483" s="734"/>
      <c r="W483" s="734"/>
      <c r="X483" s="734"/>
      <c r="Y483" s="734"/>
      <c r="Z483" s="734"/>
      <c r="AA483" s="734"/>
      <c r="AB483" s="734"/>
      <c r="AC483" s="734"/>
      <c r="AD483" s="734"/>
      <c r="AE483" s="727"/>
      <c r="AF483" s="727"/>
      <c r="AG483" s="727"/>
      <c r="AH483" s="727"/>
    </row>
    <row r="484" ht="15" customHeight="1" spans="1:34">
      <c r="A484" s="106" t="s">
        <v>16</v>
      </c>
      <c r="B484" s="116" t="s">
        <v>296</v>
      </c>
      <c r="C484" s="116"/>
      <c r="D484" s="109"/>
      <c r="E484" s="115">
        <f>G473+G483</f>
        <v>1843.48</v>
      </c>
      <c r="F484" s="122">
        <f>费率!C6</f>
        <v>0.05</v>
      </c>
      <c r="G484" s="117">
        <f t="shared" si="6"/>
        <v>92.17</v>
      </c>
      <c r="H484" s="728"/>
      <c r="N484" s="728"/>
      <c r="O484" s="728"/>
      <c r="S484" s="734"/>
      <c r="T484" s="734"/>
      <c r="U484" s="734"/>
      <c r="V484" s="734"/>
      <c r="W484" s="734"/>
      <c r="X484" s="734"/>
      <c r="Y484" s="734"/>
      <c r="Z484" s="734"/>
      <c r="AA484" s="734"/>
      <c r="AB484" s="734"/>
      <c r="AC484" s="734"/>
      <c r="AD484" s="734"/>
      <c r="AE484" s="727"/>
      <c r="AF484" s="727"/>
      <c r="AG484" s="727"/>
      <c r="AH484" s="727"/>
    </row>
    <row r="485" ht="15" customHeight="1" spans="1:34">
      <c r="A485" s="106" t="s">
        <v>18</v>
      </c>
      <c r="B485" s="116" t="s">
        <v>297</v>
      </c>
      <c r="C485" s="116"/>
      <c r="D485" s="109"/>
      <c r="E485" s="115">
        <f>G473+G483++G484</f>
        <v>1935.65</v>
      </c>
      <c r="F485" s="122">
        <f>费率!C7</f>
        <v>0.09</v>
      </c>
      <c r="G485" s="117">
        <f t="shared" si="6"/>
        <v>174.21</v>
      </c>
      <c r="H485" s="728"/>
      <c r="N485" s="728"/>
      <c r="O485" s="728"/>
      <c r="S485" s="734"/>
      <c r="T485" s="734"/>
      <c r="U485" s="734"/>
      <c r="V485" s="734"/>
      <c r="W485" s="734"/>
      <c r="X485" s="734"/>
      <c r="Y485" s="734"/>
      <c r="Z485" s="734"/>
      <c r="AA485" s="734"/>
      <c r="AB485" s="734"/>
      <c r="AC485" s="734"/>
      <c r="AD485" s="734"/>
      <c r="AE485" s="727"/>
      <c r="AF485" s="727"/>
      <c r="AG485" s="727"/>
      <c r="AH485" s="727"/>
    </row>
    <row r="486" ht="15" customHeight="1" spans="1:34">
      <c r="A486" s="106"/>
      <c r="B486" s="116" t="s">
        <v>298</v>
      </c>
      <c r="C486" s="116"/>
      <c r="D486" s="109"/>
      <c r="E486" s="115">
        <f>G473+G483+G484+G485</f>
        <v>2109.86</v>
      </c>
      <c r="F486" s="122">
        <v>0.03</v>
      </c>
      <c r="G486" s="117">
        <f t="shared" si="6"/>
        <v>63.3</v>
      </c>
      <c r="H486" s="728"/>
      <c r="N486" s="728"/>
      <c r="O486" s="728"/>
      <c r="S486" s="734"/>
      <c r="T486" s="734"/>
      <c r="U486" s="734"/>
      <c r="V486" s="734"/>
      <c r="W486" s="734"/>
      <c r="X486" s="734"/>
      <c r="Y486" s="734"/>
      <c r="Z486" s="734"/>
      <c r="AA486" s="734"/>
      <c r="AB486" s="734"/>
      <c r="AC486" s="734"/>
      <c r="AD486" s="734"/>
      <c r="AE486" s="727"/>
      <c r="AF486" s="727"/>
      <c r="AG486" s="727"/>
      <c r="AH486" s="727"/>
    </row>
    <row r="487" ht="15" customHeight="1" spans="1:34">
      <c r="A487" s="123"/>
      <c r="B487" s="124" t="s">
        <v>121</v>
      </c>
      <c r="C487" s="124"/>
      <c r="D487" s="124"/>
      <c r="E487" s="125"/>
      <c r="F487" s="124"/>
      <c r="G487" s="126">
        <f>G473+G483+G484+G485+G486</f>
        <v>2173.16</v>
      </c>
      <c r="H487" s="728"/>
      <c r="N487" s="728"/>
      <c r="O487" s="728"/>
      <c r="S487" s="734"/>
      <c r="T487" s="734"/>
      <c r="U487" s="734"/>
      <c r="V487" s="734"/>
      <c r="W487" s="734"/>
      <c r="X487" s="734"/>
      <c r="Y487" s="734"/>
      <c r="Z487" s="734"/>
      <c r="AA487" s="734"/>
      <c r="AB487" s="734"/>
      <c r="AC487" s="734"/>
      <c r="AD487" s="734"/>
      <c r="AE487" s="727"/>
      <c r="AF487" s="727"/>
      <c r="AG487" s="727"/>
      <c r="AH487" s="727"/>
    </row>
    <row r="488" customHeight="1" spans="8:34">
      <c r="H488" s="728"/>
      <c r="N488" s="728"/>
      <c r="O488" s="728"/>
      <c r="S488" s="734"/>
      <c r="T488" s="734"/>
      <c r="U488" s="734"/>
      <c r="V488" s="734"/>
      <c r="W488" s="734"/>
      <c r="X488" s="734"/>
      <c r="Y488" s="734"/>
      <c r="Z488" s="734"/>
      <c r="AA488" s="734"/>
      <c r="AB488" s="734"/>
      <c r="AC488" s="734"/>
      <c r="AD488" s="734"/>
      <c r="AE488" s="727"/>
      <c r="AF488" s="727"/>
      <c r="AG488" s="727"/>
      <c r="AH488" s="727"/>
    </row>
    <row r="489" customHeight="1" spans="1:34">
      <c r="A489" s="79" t="s">
        <v>274</v>
      </c>
      <c r="B489" s="79"/>
      <c r="C489" s="79"/>
      <c r="D489" s="79"/>
      <c r="E489" s="79"/>
      <c r="F489" s="79"/>
      <c r="G489" s="79"/>
      <c r="H489" s="728"/>
      <c r="N489" s="728"/>
      <c r="O489" s="728"/>
      <c r="S489" s="734"/>
      <c r="T489" s="734"/>
      <c r="U489" s="734"/>
      <c r="V489" s="734"/>
      <c r="W489" s="734"/>
      <c r="X489" s="734"/>
      <c r="Y489" s="734"/>
      <c r="Z489" s="734"/>
      <c r="AA489" s="734"/>
      <c r="AB489" s="734"/>
      <c r="AC489" s="734"/>
      <c r="AD489" s="734"/>
      <c r="AE489" s="727"/>
      <c r="AF489" s="727"/>
      <c r="AG489" s="727"/>
      <c r="AH489" s="727"/>
    </row>
    <row r="490" ht="15" customHeight="1" spans="1:34">
      <c r="A490" s="102" t="s">
        <v>275</v>
      </c>
      <c r="B490" s="103"/>
      <c r="C490" s="103" t="s">
        <v>345</v>
      </c>
      <c r="D490" s="103" t="s">
        <v>276</v>
      </c>
      <c r="E490" s="104" t="s">
        <v>355</v>
      </c>
      <c r="F490" s="104"/>
      <c r="G490" s="105"/>
      <c r="H490" s="728"/>
      <c r="N490" s="728"/>
      <c r="O490" s="728"/>
      <c r="S490" s="734"/>
      <c r="T490" s="734"/>
      <c r="U490" s="734"/>
      <c r="V490" s="734"/>
      <c r="W490" s="734"/>
      <c r="X490" s="734"/>
      <c r="Y490" s="734"/>
      <c r="Z490" s="734"/>
      <c r="AA490" s="734"/>
      <c r="AB490" s="734"/>
      <c r="AC490" s="734"/>
      <c r="AD490" s="734"/>
      <c r="AE490" s="727"/>
      <c r="AF490" s="727"/>
      <c r="AG490" s="727"/>
      <c r="AH490" s="727"/>
    </row>
    <row r="491" ht="15" customHeight="1" spans="1:34">
      <c r="A491" s="106" t="s">
        <v>278</v>
      </c>
      <c r="B491" s="107"/>
      <c r="C491" s="108" t="s">
        <v>356</v>
      </c>
      <c r="D491" s="108"/>
      <c r="E491" s="108"/>
      <c r="F491" s="109" t="s">
        <v>280</v>
      </c>
      <c r="G491" s="110" t="s">
        <v>357</v>
      </c>
      <c r="H491" s="728"/>
      <c r="N491" s="728"/>
      <c r="O491" s="728"/>
      <c r="S491" s="734"/>
      <c r="T491" s="734"/>
      <c r="U491" s="734"/>
      <c r="V491" s="734"/>
      <c r="W491" s="734"/>
      <c r="X491" s="734"/>
      <c r="Y491" s="734"/>
      <c r="Z491" s="734"/>
      <c r="AA491" s="734"/>
      <c r="AB491" s="734"/>
      <c r="AC491" s="734"/>
      <c r="AD491" s="734"/>
      <c r="AE491" s="727"/>
      <c r="AF491" s="727"/>
      <c r="AG491" s="727"/>
      <c r="AH491" s="727"/>
    </row>
    <row r="492" ht="15" customHeight="1" spans="1:34">
      <c r="A492" s="111" t="s">
        <v>358</v>
      </c>
      <c r="B492" s="108"/>
      <c r="C492" s="108"/>
      <c r="D492" s="108"/>
      <c r="E492" s="108"/>
      <c r="F492" s="108"/>
      <c r="G492" s="112"/>
      <c r="H492" s="728"/>
      <c r="N492" s="728"/>
      <c r="O492" s="728"/>
      <c r="S492" s="734"/>
      <c r="T492" s="734"/>
      <c r="U492" s="734"/>
      <c r="V492" s="734"/>
      <c r="W492" s="734"/>
      <c r="X492" s="734"/>
      <c r="Y492" s="734"/>
      <c r="Z492" s="734"/>
      <c r="AA492" s="734"/>
      <c r="AB492" s="734"/>
      <c r="AC492" s="734"/>
      <c r="AD492" s="734"/>
      <c r="AE492" s="727"/>
      <c r="AF492" s="727"/>
      <c r="AG492" s="727"/>
      <c r="AH492" s="727"/>
    </row>
    <row r="493" ht="15" customHeight="1" spans="1:34">
      <c r="A493" s="113" t="s">
        <v>359</v>
      </c>
      <c r="B493" s="114"/>
      <c r="C493" s="54"/>
      <c r="D493" s="54"/>
      <c r="E493" s="54"/>
      <c r="F493" s="54"/>
      <c r="G493" s="55"/>
      <c r="H493" s="728"/>
      <c r="N493" s="728"/>
      <c r="O493" s="728"/>
      <c r="S493" s="734"/>
      <c r="T493" s="734"/>
      <c r="U493" s="734"/>
      <c r="V493" s="734"/>
      <c r="W493" s="734"/>
      <c r="X493" s="734"/>
      <c r="Y493" s="734"/>
      <c r="Z493" s="734"/>
      <c r="AA493" s="734"/>
      <c r="AB493" s="734"/>
      <c r="AC493" s="734"/>
      <c r="AD493" s="734"/>
      <c r="AE493" s="727"/>
      <c r="AF493" s="727"/>
      <c r="AG493" s="727"/>
      <c r="AH493" s="727"/>
    </row>
    <row r="494" ht="15" customHeight="1" spans="1:34">
      <c r="A494" s="106" t="s">
        <v>284</v>
      </c>
      <c r="B494" s="109" t="s">
        <v>233</v>
      </c>
      <c r="C494" s="109"/>
      <c r="D494" s="109" t="s">
        <v>88</v>
      </c>
      <c r="E494" s="115" t="s">
        <v>130</v>
      </c>
      <c r="F494" s="109" t="s">
        <v>285</v>
      </c>
      <c r="G494" s="110" t="s">
        <v>286</v>
      </c>
      <c r="H494" s="728"/>
      <c r="N494" s="728"/>
      <c r="O494" s="728"/>
      <c r="S494" s="734"/>
      <c r="T494" s="734"/>
      <c r="U494" s="734"/>
      <c r="V494" s="734"/>
      <c r="W494" s="734"/>
      <c r="X494" s="734"/>
      <c r="Y494" s="734"/>
      <c r="Z494" s="734"/>
      <c r="AA494" s="734"/>
      <c r="AB494" s="734"/>
      <c r="AC494" s="734"/>
      <c r="AD494" s="734"/>
      <c r="AE494" s="727"/>
      <c r="AF494" s="727"/>
      <c r="AG494" s="727"/>
      <c r="AH494" s="727"/>
    </row>
    <row r="495" ht="15" customHeight="1" spans="1:34">
      <c r="A495" s="106" t="s">
        <v>9</v>
      </c>
      <c r="B495" s="116" t="s">
        <v>287</v>
      </c>
      <c r="C495" s="116"/>
      <c r="D495" s="109"/>
      <c r="E495" s="115"/>
      <c r="F495" s="115"/>
      <c r="G495" s="117">
        <f>G496+G504</f>
        <v>36.93</v>
      </c>
      <c r="H495" s="728"/>
      <c r="N495" s="728"/>
      <c r="O495" s="728"/>
      <c r="S495" s="734"/>
      <c r="T495" s="734"/>
      <c r="U495" s="734"/>
      <c r="V495" s="734"/>
      <c r="W495" s="734"/>
      <c r="X495" s="734"/>
      <c r="Y495" s="734"/>
      <c r="Z495" s="734"/>
      <c r="AA495" s="734"/>
      <c r="AB495" s="734"/>
      <c r="AC495" s="734"/>
      <c r="AD495" s="734"/>
      <c r="AE495" s="727"/>
      <c r="AF495" s="727"/>
      <c r="AG495" s="727"/>
      <c r="AH495" s="727"/>
    </row>
    <row r="496" ht="15" customHeight="1" spans="1:34">
      <c r="A496" s="106" t="s">
        <v>132</v>
      </c>
      <c r="B496" s="116" t="s">
        <v>288</v>
      </c>
      <c r="C496" s="116"/>
      <c r="D496" s="109"/>
      <c r="E496" s="115"/>
      <c r="F496" s="115"/>
      <c r="G496" s="117">
        <f>G497+G500+G502</f>
        <v>35.24</v>
      </c>
      <c r="H496" s="728"/>
      <c r="N496" s="728"/>
      <c r="O496" s="728"/>
      <c r="S496" s="734"/>
      <c r="T496" s="734"/>
      <c r="U496" s="734"/>
      <c r="V496" s="734"/>
      <c r="W496" s="734"/>
      <c r="X496" s="734"/>
      <c r="Y496" s="734"/>
      <c r="Z496" s="734"/>
      <c r="AA496" s="734"/>
      <c r="AB496" s="734"/>
      <c r="AC496" s="734"/>
      <c r="AD496" s="734"/>
      <c r="AE496" s="727"/>
      <c r="AF496" s="727"/>
      <c r="AG496" s="727"/>
      <c r="AH496" s="727"/>
    </row>
    <row r="497" ht="15" customHeight="1" spans="1:34">
      <c r="A497" s="106" t="s">
        <v>39</v>
      </c>
      <c r="B497" s="116" t="s">
        <v>247</v>
      </c>
      <c r="C497" s="116"/>
      <c r="D497" s="109"/>
      <c r="E497" s="115"/>
      <c r="F497" s="115"/>
      <c r="G497" s="117">
        <f>SUM(G498:G499)</f>
        <v>4.04</v>
      </c>
      <c r="H497" s="728"/>
      <c r="I497" s="728"/>
      <c r="J497" s="728"/>
      <c r="K497" s="728"/>
      <c r="L497" s="728"/>
      <c r="M497" s="728"/>
      <c r="N497" s="728"/>
      <c r="O497" s="728"/>
      <c r="S497" s="734"/>
      <c r="T497" s="734"/>
      <c r="U497" s="734"/>
      <c r="V497" s="734"/>
      <c r="W497" s="734"/>
      <c r="X497" s="734"/>
      <c r="Y497" s="734"/>
      <c r="Z497" s="734"/>
      <c r="AA497" s="734"/>
      <c r="AB497" s="734"/>
      <c r="AC497" s="734"/>
      <c r="AD497" s="734"/>
      <c r="AE497" s="727"/>
      <c r="AF497" s="727"/>
      <c r="AG497" s="727"/>
      <c r="AH497" s="727"/>
    </row>
    <row r="498" ht="15" customHeight="1" spans="1:34">
      <c r="A498" s="106"/>
      <c r="B498" s="116" t="s">
        <v>289</v>
      </c>
      <c r="C498" s="116"/>
      <c r="D498" s="109" t="s">
        <v>290</v>
      </c>
      <c r="E498" s="115"/>
      <c r="F498" s="115"/>
      <c r="G498" s="117"/>
      <c r="H498" s="728"/>
      <c r="I498" s="728"/>
      <c r="J498" s="728"/>
      <c r="K498" s="728"/>
      <c r="L498" s="728"/>
      <c r="M498" s="728"/>
      <c r="N498" s="728"/>
      <c r="O498" s="728"/>
      <c r="S498" s="734"/>
      <c r="T498" s="734"/>
      <c r="U498" s="734"/>
      <c r="V498" s="734"/>
      <c r="W498" s="734"/>
      <c r="X498" s="734"/>
      <c r="Y498" s="734"/>
      <c r="Z498" s="734"/>
      <c r="AA498" s="734"/>
      <c r="AB498" s="734"/>
      <c r="AC498" s="734"/>
      <c r="AD498" s="734"/>
      <c r="AE498" s="727"/>
      <c r="AF498" s="727"/>
      <c r="AG498" s="727"/>
      <c r="AH498" s="727"/>
    </row>
    <row r="499" ht="15" customHeight="1" spans="1:34">
      <c r="A499" s="106"/>
      <c r="B499" s="116" t="s">
        <v>291</v>
      </c>
      <c r="C499" s="116"/>
      <c r="D499" s="109" t="s">
        <v>290</v>
      </c>
      <c r="E499" s="115">
        <v>0.7</v>
      </c>
      <c r="F499" s="115">
        <f>人工!D5</f>
        <v>5.77</v>
      </c>
      <c r="G499" s="117">
        <f>E499*F499</f>
        <v>4.04</v>
      </c>
      <c r="H499" s="728"/>
      <c r="I499" s="728"/>
      <c r="J499" s="728"/>
      <c r="K499" s="728"/>
      <c r="L499" s="728"/>
      <c r="M499" s="728"/>
      <c r="N499" s="728"/>
      <c r="O499" s="728"/>
      <c r="S499" s="734"/>
      <c r="T499" s="734"/>
      <c r="U499" s="734"/>
      <c r="V499" s="734"/>
      <c r="W499" s="734"/>
      <c r="X499" s="734"/>
      <c r="Y499" s="734"/>
      <c r="Z499" s="734"/>
      <c r="AA499" s="734"/>
      <c r="AB499" s="734"/>
      <c r="AC499" s="734"/>
      <c r="AD499" s="734"/>
      <c r="AE499" s="727"/>
      <c r="AF499" s="727"/>
      <c r="AG499" s="727"/>
      <c r="AH499" s="727"/>
    </row>
    <row r="500" ht="15" customHeight="1" spans="1:34">
      <c r="A500" s="106" t="s">
        <v>41</v>
      </c>
      <c r="B500" s="116" t="s">
        <v>248</v>
      </c>
      <c r="C500" s="116"/>
      <c r="D500" s="109"/>
      <c r="E500" s="115"/>
      <c r="F500" s="115"/>
      <c r="G500" s="117">
        <f>G501</f>
        <v>1.68</v>
      </c>
      <c r="H500" s="728"/>
      <c r="I500" s="728"/>
      <c r="J500" s="728"/>
      <c r="K500" s="728"/>
      <c r="L500" s="728"/>
      <c r="M500" s="728"/>
      <c r="N500" s="728"/>
      <c r="O500" s="728"/>
      <c r="S500" s="734"/>
      <c r="T500" s="734"/>
      <c r="U500" s="734"/>
      <c r="V500" s="734"/>
      <c r="W500" s="734"/>
      <c r="X500" s="734"/>
      <c r="Y500" s="734"/>
      <c r="Z500" s="734"/>
      <c r="AA500" s="734"/>
      <c r="AB500" s="734"/>
      <c r="AC500" s="734"/>
      <c r="AD500" s="734"/>
      <c r="AE500" s="727"/>
      <c r="AF500" s="727"/>
      <c r="AG500" s="727"/>
      <c r="AH500" s="727"/>
    </row>
    <row r="501" ht="15" customHeight="1" spans="1:34">
      <c r="A501" s="106"/>
      <c r="B501" s="116" t="s">
        <v>292</v>
      </c>
      <c r="C501" s="116"/>
      <c r="D501" s="109" t="s">
        <v>293</v>
      </c>
      <c r="E501" s="115">
        <f>G497+G502</f>
        <v>33.56</v>
      </c>
      <c r="F501" s="115">
        <v>5</v>
      </c>
      <c r="G501" s="117">
        <f>E501*F501/100</f>
        <v>1.68</v>
      </c>
      <c r="H501" s="728"/>
      <c r="I501" s="728"/>
      <c r="J501" s="728"/>
      <c r="K501" s="728"/>
      <c r="L501" s="728"/>
      <c r="M501" s="728"/>
      <c r="N501" s="728"/>
      <c r="O501" s="728"/>
      <c r="S501" s="734"/>
      <c r="T501" s="734"/>
      <c r="U501" s="734"/>
      <c r="V501" s="734"/>
      <c r="W501" s="734"/>
      <c r="X501" s="734"/>
      <c r="Y501" s="734"/>
      <c r="Z501" s="734"/>
      <c r="AA501" s="734"/>
      <c r="AB501" s="734"/>
      <c r="AC501" s="734"/>
      <c r="AD501" s="734"/>
      <c r="AE501" s="727"/>
      <c r="AF501" s="727"/>
      <c r="AG501" s="727"/>
      <c r="AH501" s="727"/>
    </row>
    <row r="502" ht="15" customHeight="1" spans="1:34">
      <c r="A502" s="106" t="s">
        <v>46</v>
      </c>
      <c r="B502" s="116" t="s">
        <v>314</v>
      </c>
      <c r="C502" s="116"/>
      <c r="D502" s="116"/>
      <c r="E502" s="115"/>
      <c r="F502" s="115"/>
      <c r="G502" s="117">
        <f>SUM(G503:G503)</f>
        <v>29.52</v>
      </c>
      <c r="H502" s="728"/>
      <c r="I502" s="728"/>
      <c r="J502" s="728"/>
      <c r="K502" s="728"/>
      <c r="L502" s="728"/>
      <c r="M502" s="728"/>
      <c r="N502" s="728"/>
      <c r="O502" s="728"/>
      <c r="S502" s="734"/>
      <c r="T502" s="734"/>
      <c r="U502" s="734"/>
      <c r="V502" s="734"/>
      <c r="W502" s="734"/>
      <c r="X502" s="734"/>
      <c r="Y502" s="734"/>
      <c r="Z502" s="734"/>
      <c r="AA502" s="734"/>
      <c r="AB502" s="734"/>
      <c r="AC502" s="734"/>
      <c r="AD502" s="734"/>
      <c r="AE502" s="727"/>
      <c r="AF502" s="727"/>
      <c r="AG502" s="727"/>
      <c r="AH502" s="727"/>
    </row>
    <row r="503" ht="15" customHeight="1" spans="1:34">
      <c r="A503" s="106"/>
      <c r="B503" s="116" t="s">
        <v>360</v>
      </c>
      <c r="C503" s="116"/>
      <c r="D503" s="109" t="s">
        <v>316</v>
      </c>
      <c r="E503" s="115">
        <v>0.33</v>
      </c>
      <c r="F503" s="115">
        <f>机械!E9</f>
        <v>89.44</v>
      </c>
      <c r="G503" s="117">
        <f>E503*F503</f>
        <v>29.52</v>
      </c>
      <c r="H503" s="728"/>
      <c r="I503" s="728"/>
      <c r="J503" s="728"/>
      <c r="K503" s="728"/>
      <c r="L503" s="728"/>
      <c r="M503" s="728"/>
      <c r="N503" s="728"/>
      <c r="O503" s="728"/>
      <c r="S503" s="734"/>
      <c r="T503" s="734"/>
      <c r="U503" s="734"/>
      <c r="V503" s="734"/>
      <c r="W503" s="734"/>
      <c r="X503" s="734"/>
      <c r="Y503" s="734"/>
      <c r="Z503" s="734"/>
      <c r="AA503" s="734"/>
      <c r="AB503" s="734"/>
      <c r="AC503" s="734"/>
      <c r="AD503" s="734"/>
      <c r="AE503" s="727"/>
      <c r="AF503" s="727"/>
      <c r="AG503" s="727"/>
      <c r="AH503" s="727"/>
    </row>
    <row r="504" ht="15" customHeight="1" spans="1:34">
      <c r="A504" s="106" t="s">
        <v>133</v>
      </c>
      <c r="B504" s="116" t="s">
        <v>294</v>
      </c>
      <c r="C504" s="116"/>
      <c r="D504" s="109"/>
      <c r="E504" s="717">
        <f>G496</f>
        <v>35.24</v>
      </c>
      <c r="F504" s="120">
        <f>费率!C4</f>
        <v>0.048</v>
      </c>
      <c r="G504" s="117">
        <f>E504*F504</f>
        <v>1.69</v>
      </c>
      <c r="H504" s="728"/>
      <c r="I504" s="728"/>
      <c r="J504" s="728"/>
      <c r="K504" s="728"/>
      <c r="L504" s="728"/>
      <c r="M504" s="728"/>
      <c r="N504" s="728"/>
      <c r="O504" s="728"/>
      <c r="S504" s="734"/>
      <c r="T504" s="734"/>
      <c r="U504" s="734"/>
      <c r="V504" s="734"/>
      <c r="W504" s="734"/>
      <c r="X504" s="734"/>
      <c r="Y504" s="734"/>
      <c r="Z504" s="734"/>
      <c r="AA504" s="734"/>
      <c r="AB504" s="734"/>
      <c r="AC504" s="734"/>
      <c r="AD504" s="734"/>
      <c r="AE504" s="727"/>
      <c r="AF504" s="727"/>
      <c r="AG504" s="727"/>
      <c r="AH504" s="727"/>
    </row>
    <row r="505" ht="15" customHeight="1" spans="1:34">
      <c r="A505" s="106" t="s">
        <v>14</v>
      </c>
      <c r="B505" s="116" t="s">
        <v>295</v>
      </c>
      <c r="C505" s="116"/>
      <c r="D505" s="109"/>
      <c r="E505" s="115">
        <f>G495</f>
        <v>36.93</v>
      </c>
      <c r="F505" s="120">
        <f>费率!C5</f>
        <v>0.04</v>
      </c>
      <c r="G505" s="117">
        <f>E505*F505</f>
        <v>1.48</v>
      </c>
      <c r="H505" s="728"/>
      <c r="I505" s="728"/>
      <c r="J505" s="728"/>
      <c r="K505" s="728"/>
      <c r="L505" s="728"/>
      <c r="M505" s="728"/>
      <c r="N505" s="728"/>
      <c r="O505" s="728"/>
      <c r="S505" s="734"/>
      <c r="T505" s="734"/>
      <c r="U505" s="734"/>
      <c r="V505" s="734"/>
      <c r="W505" s="734"/>
      <c r="X505" s="734"/>
      <c r="Y505" s="734"/>
      <c r="Z505" s="734"/>
      <c r="AA505" s="734"/>
      <c r="AB505" s="734"/>
      <c r="AC505" s="734"/>
      <c r="AD505" s="734"/>
      <c r="AE505" s="727"/>
      <c r="AF505" s="727"/>
      <c r="AG505" s="727"/>
      <c r="AH505" s="727"/>
    </row>
    <row r="506" ht="15" customHeight="1" spans="1:34">
      <c r="A506" s="106" t="s">
        <v>16</v>
      </c>
      <c r="B506" s="116" t="s">
        <v>296</v>
      </c>
      <c r="C506" s="116"/>
      <c r="D506" s="109"/>
      <c r="E506" s="115">
        <f>G495+G505</f>
        <v>38.41</v>
      </c>
      <c r="F506" s="120">
        <f>费率!C6</f>
        <v>0.05</v>
      </c>
      <c r="G506" s="117">
        <f>E506*F506</f>
        <v>1.92</v>
      </c>
      <c r="H506" s="728"/>
      <c r="I506" s="728"/>
      <c r="J506" s="728"/>
      <c r="K506" s="728"/>
      <c r="L506" s="728"/>
      <c r="M506" s="728"/>
      <c r="N506" s="728"/>
      <c r="O506" s="728"/>
      <c r="S506" s="734"/>
      <c r="T506" s="734"/>
      <c r="U506" s="734"/>
      <c r="V506" s="734"/>
      <c r="W506" s="734"/>
      <c r="X506" s="734"/>
      <c r="Y506" s="734"/>
      <c r="Z506" s="734"/>
      <c r="AA506" s="734"/>
      <c r="AB506" s="734"/>
      <c r="AC506" s="734"/>
      <c r="AD506" s="734"/>
      <c r="AE506" s="727"/>
      <c r="AF506" s="727"/>
      <c r="AG506" s="727"/>
      <c r="AH506" s="727"/>
    </row>
    <row r="507" ht="15" customHeight="1" spans="1:34">
      <c r="A507" s="106" t="s">
        <v>18</v>
      </c>
      <c r="B507" s="116" t="s">
        <v>254</v>
      </c>
      <c r="C507" s="116"/>
      <c r="D507" s="109"/>
      <c r="E507" s="115"/>
      <c r="F507" s="120"/>
      <c r="G507" s="117">
        <f>G508</f>
        <v>14.46</v>
      </c>
      <c r="H507" s="728"/>
      <c r="I507" s="728"/>
      <c r="J507" s="728"/>
      <c r="K507" s="728"/>
      <c r="L507" s="728"/>
      <c r="M507" s="728"/>
      <c r="N507" s="728"/>
      <c r="O507" s="728"/>
      <c r="S507" s="734"/>
      <c r="T507" s="734"/>
      <c r="U507" s="734"/>
      <c r="V507" s="734"/>
      <c r="W507" s="734"/>
      <c r="X507" s="734"/>
      <c r="Y507" s="734"/>
      <c r="Z507" s="734"/>
      <c r="AA507" s="734"/>
      <c r="AB507" s="734"/>
      <c r="AC507" s="734"/>
      <c r="AD507" s="734"/>
      <c r="AE507" s="727"/>
      <c r="AF507" s="727"/>
      <c r="AG507" s="727"/>
      <c r="AH507" s="727"/>
    </row>
    <row r="508" ht="15" customHeight="1" spans="1:34">
      <c r="A508" s="106" t="s">
        <v>39</v>
      </c>
      <c r="B508" s="116" t="s">
        <v>317</v>
      </c>
      <c r="C508" s="116"/>
      <c r="D508" s="109" t="s">
        <v>323</v>
      </c>
      <c r="E508" s="115">
        <f>E503*10.6</f>
        <v>3.5</v>
      </c>
      <c r="F508" s="115">
        <f>主材!N13</f>
        <v>4.13</v>
      </c>
      <c r="G508" s="117">
        <f>E508*F508</f>
        <v>14.46</v>
      </c>
      <c r="H508" s="728"/>
      <c r="I508" s="728"/>
      <c r="J508" s="728"/>
      <c r="K508" s="728"/>
      <c r="L508" s="728"/>
      <c r="M508" s="728"/>
      <c r="N508" s="728"/>
      <c r="O508" s="728"/>
      <c r="S508" s="734"/>
      <c r="T508" s="734"/>
      <c r="U508" s="734"/>
      <c r="V508" s="734"/>
      <c r="W508" s="734"/>
      <c r="X508" s="734"/>
      <c r="Y508" s="734"/>
      <c r="Z508" s="734"/>
      <c r="AA508" s="734"/>
      <c r="AB508" s="734"/>
      <c r="AC508" s="734"/>
      <c r="AD508" s="734"/>
      <c r="AE508" s="727"/>
      <c r="AF508" s="727"/>
      <c r="AG508" s="727"/>
      <c r="AH508" s="727"/>
    </row>
    <row r="509" ht="15" customHeight="1" spans="1:34">
      <c r="A509" s="106" t="s">
        <v>20</v>
      </c>
      <c r="B509" s="116" t="s">
        <v>297</v>
      </c>
      <c r="C509" s="116"/>
      <c r="D509" s="109"/>
      <c r="E509" s="115">
        <f>G495+G505+G506+G507</f>
        <v>54.79</v>
      </c>
      <c r="F509" s="122">
        <f>费率!C7</f>
        <v>0.09</v>
      </c>
      <c r="G509" s="117">
        <f>E509*F509</f>
        <v>4.93</v>
      </c>
      <c r="H509" s="728"/>
      <c r="I509" s="728"/>
      <c r="J509" s="728"/>
      <c r="K509" s="728"/>
      <c r="L509" s="728"/>
      <c r="M509" s="728"/>
      <c r="N509" s="728"/>
      <c r="O509" s="728"/>
      <c r="S509" s="734"/>
      <c r="T509" s="734"/>
      <c r="U509" s="734"/>
      <c r="V509" s="734"/>
      <c r="W509" s="734"/>
      <c r="X509" s="734"/>
      <c r="Y509" s="734"/>
      <c r="Z509" s="734"/>
      <c r="AA509" s="734"/>
      <c r="AB509" s="734"/>
      <c r="AC509" s="734"/>
      <c r="AD509" s="734"/>
      <c r="AE509" s="727"/>
      <c r="AF509" s="727"/>
      <c r="AG509" s="727"/>
      <c r="AH509" s="727"/>
    </row>
    <row r="510" ht="15" customHeight="1" spans="1:34">
      <c r="A510" s="106"/>
      <c r="B510" s="116" t="s">
        <v>298</v>
      </c>
      <c r="C510" s="116"/>
      <c r="D510" s="109"/>
      <c r="E510" s="115">
        <f>G495+G505+G506+G507+G509</f>
        <v>59.72</v>
      </c>
      <c r="F510" s="122">
        <f>费率!C8</f>
        <v>0.03</v>
      </c>
      <c r="G510" s="117">
        <f>E510*F510</f>
        <v>1.79</v>
      </c>
      <c r="H510" s="728"/>
      <c r="I510" s="728"/>
      <c r="J510" s="728"/>
      <c r="K510" s="728"/>
      <c r="L510" s="728"/>
      <c r="M510" s="728"/>
      <c r="N510" s="728"/>
      <c r="O510" s="728"/>
      <c r="S510" s="734"/>
      <c r="T510" s="734"/>
      <c r="U510" s="734"/>
      <c r="V510" s="734"/>
      <c r="W510" s="734"/>
      <c r="X510" s="734"/>
      <c r="Y510" s="734"/>
      <c r="Z510" s="734"/>
      <c r="AA510" s="734"/>
      <c r="AB510" s="734"/>
      <c r="AC510" s="734"/>
      <c r="AD510" s="734"/>
      <c r="AE510" s="727"/>
      <c r="AF510" s="727"/>
      <c r="AG510" s="727"/>
      <c r="AH510" s="727"/>
    </row>
    <row r="511" ht="15" customHeight="1" spans="1:34">
      <c r="A511" s="123"/>
      <c r="B511" s="124" t="s">
        <v>121</v>
      </c>
      <c r="C511" s="124"/>
      <c r="D511" s="124"/>
      <c r="E511" s="125"/>
      <c r="F511" s="124"/>
      <c r="G511" s="126">
        <f>G495+G505+G506+G507+G509+G510</f>
        <v>61.51</v>
      </c>
      <c r="H511" s="728"/>
      <c r="I511" s="728"/>
      <c r="J511" s="728"/>
      <c r="K511" s="728"/>
      <c r="L511" s="728"/>
      <c r="M511" s="728"/>
      <c r="N511" s="728"/>
      <c r="O511" s="728"/>
      <c r="S511" s="734"/>
      <c r="T511" s="734"/>
      <c r="U511" s="734"/>
      <c r="V511" s="734"/>
      <c r="W511" s="734"/>
      <c r="X511" s="734"/>
      <c r="Y511" s="734"/>
      <c r="Z511" s="734"/>
      <c r="AA511" s="734"/>
      <c r="AB511" s="734"/>
      <c r="AC511" s="734"/>
      <c r="AD511" s="734"/>
      <c r="AE511" s="727"/>
      <c r="AF511" s="727"/>
      <c r="AG511" s="727"/>
      <c r="AH511" s="727"/>
    </row>
    <row r="512" customHeight="1" spans="8:34">
      <c r="H512" s="728"/>
      <c r="I512" s="728"/>
      <c r="J512" s="728"/>
      <c r="K512" s="728"/>
      <c r="L512" s="728"/>
      <c r="M512" s="728"/>
      <c r="N512" s="728"/>
      <c r="O512" s="728"/>
      <c r="S512" s="734"/>
      <c r="T512" s="734"/>
      <c r="U512" s="734"/>
      <c r="V512" s="734"/>
      <c r="W512" s="734"/>
      <c r="X512" s="734"/>
      <c r="Y512" s="734"/>
      <c r="Z512" s="734"/>
      <c r="AA512" s="734"/>
      <c r="AB512" s="734"/>
      <c r="AC512" s="734"/>
      <c r="AD512" s="734"/>
      <c r="AE512" s="727"/>
      <c r="AF512" s="727"/>
      <c r="AG512" s="727"/>
      <c r="AH512" s="727"/>
    </row>
    <row r="513" customHeight="1" spans="1:34">
      <c r="A513" s="79" t="s">
        <v>274</v>
      </c>
      <c r="B513" s="79"/>
      <c r="C513" s="79"/>
      <c r="D513" s="79"/>
      <c r="E513" s="79"/>
      <c r="F513" s="79"/>
      <c r="G513" s="79"/>
      <c r="H513" s="728"/>
      <c r="I513" s="728"/>
      <c r="J513" s="728"/>
      <c r="K513" s="728"/>
      <c r="L513" s="728"/>
      <c r="M513" s="728"/>
      <c r="N513" s="728"/>
      <c r="O513" s="728"/>
      <c r="S513" s="734"/>
      <c r="T513" s="734"/>
      <c r="U513" s="734"/>
      <c r="V513" s="734"/>
      <c r="W513" s="734"/>
      <c r="X513" s="734"/>
      <c r="Y513" s="734"/>
      <c r="Z513" s="734"/>
      <c r="AA513" s="734"/>
      <c r="AB513" s="734"/>
      <c r="AC513" s="734"/>
      <c r="AD513" s="734"/>
      <c r="AE513" s="727"/>
      <c r="AF513" s="727"/>
      <c r="AG513" s="727"/>
      <c r="AH513" s="727"/>
    </row>
    <row r="514" customHeight="1" spans="1:34">
      <c r="A514" s="102" t="s">
        <v>275</v>
      </c>
      <c r="B514" s="103"/>
      <c r="C514" s="103" t="s">
        <v>348</v>
      </c>
      <c r="D514" s="103" t="s">
        <v>276</v>
      </c>
      <c r="E514" s="104" t="s">
        <v>386</v>
      </c>
      <c r="F514" s="104"/>
      <c r="G514" s="105"/>
      <c r="H514" s="728"/>
      <c r="I514" s="728"/>
      <c r="J514" s="728"/>
      <c r="K514" s="728"/>
      <c r="L514" s="728"/>
      <c r="M514" s="728"/>
      <c r="N514" s="728"/>
      <c r="O514" s="728"/>
      <c r="S514" s="734"/>
      <c r="T514" s="734"/>
      <c r="U514" s="734"/>
      <c r="V514" s="734"/>
      <c r="W514" s="734"/>
      <c r="X514" s="734"/>
      <c r="Y514" s="734"/>
      <c r="Z514" s="734"/>
      <c r="AA514" s="734"/>
      <c r="AB514" s="734"/>
      <c r="AC514" s="734"/>
      <c r="AD514" s="734"/>
      <c r="AE514" s="727"/>
      <c r="AF514" s="727"/>
      <c r="AG514" s="727"/>
      <c r="AH514" s="727"/>
    </row>
    <row r="515" customHeight="1" spans="1:34">
      <c r="A515" s="106" t="s">
        <v>278</v>
      </c>
      <c r="B515" s="107"/>
      <c r="C515" s="108" t="s">
        <v>387</v>
      </c>
      <c r="D515" s="108"/>
      <c r="E515" s="108"/>
      <c r="F515" s="109" t="s">
        <v>280</v>
      </c>
      <c r="G515" s="110" t="s">
        <v>357</v>
      </c>
      <c r="H515" s="728"/>
      <c r="I515" s="728"/>
      <c r="J515" s="728"/>
      <c r="K515" s="728"/>
      <c r="L515" s="728"/>
      <c r="M515" s="728"/>
      <c r="N515" s="728"/>
      <c r="O515" s="728"/>
      <c r="S515" s="734"/>
      <c r="T515" s="734"/>
      <c r="U515" s="734"/>
      <c r="V515" s="734"/>
      <c r="W515" s="734"/>
      <c r="X515" s="734"/>
      <c r="Y515" s="734"/>
      <c r="Z515" s="734"/>
      <c r="AA515" s="734"/>
      <c r="AB515" s="734"/>
      <c r="AC515" s="734"/>
      <c r="AD515" s="734"/>
      <c r="AE515" s="727"/>
      <c r="AF515" s="727"/>
      <c r="AG515" s="727"/>
      <c r="AH515" s="727"/>
    </row>
    <row r="516" customHeight="1" spans="1:34">
      <c r="A516" s="111" t="s">
        <v>358</v>
      </c>
      <c r="B516" s="108"/>
      <c r="C516" s="108"/>
      <c r="D516" s="108"/>
      <c r="E516" s="108"/>
      <c r="F516" s="108"/>
      <c r="G516" s="112"/>
      <c r="H516" s="728"/>
      <c r="I516" s="728"/>
      <c r="J516" s="728"/>
      <c r="K516" s="728"/>
      <c r="L516" s="728"/>
      <c r="M516" s="728"/>
      <c r="N516" s="728"/>
      <c r="O516" s="728"/>
      <c r="S516" s="734"/>
      <c r="T516" s="734"/>
      <c r="U516" s="734"/>
      <c r="V516" s="734"/>
      <c r="W516" s="734"/>
      <c r="X516" s="734"/>
      <c r="Y516" s="734"/>
      <c r="Z516" s="734"/>
      <c r="AA516" s="734"/>
      <c r="AB516" s="734"/>
      <c r="AC516" s="734"/>
      <c r="AD516" s="734"/>
      <c r="AE516" s="727"/>
      <c r="AF516" s="727"/>
      <c r="AG516" s="727"/>
      <c r="AH516" s="727"/>
    </row>
    <row r="517" customHeight="1" spans="1:34">
      <c r="A517" s="113" t="s">
        <v>388</v>
      </c>
      <c r="B517" s="114"/>
      <c r="C517" s="54"/>
      <c r="D517" s="54"/>
      <c r="E517" s="54"/>
      <c r="F517" s="54"/>
      <c r="G517" s="55"/>
      <c r="H517" s="728"/>
      <c r="I517" s="728"/>
      <c r="J517" s="728"/>
      <c r="K517" s="728"/>
      <c r="L517" s="728"/>
      <c r="M517" s="728"/>
      <c r="N517" s="728"/>
      <c r="O517" s="728"/>
      <c r="S517" s="734"/>
      <c r="T517" s="734"/>
      <c r="U517" s="734"/>
      <c r="V517" s="734"/>
      <c r="W517" s="734"/>
      <c r="X517" s="734"/>
      <c r="Y517" s="734"/>
      <c r="Z517" s="734"/>
      <c r="AA517" s="734"/>
      <c r="AB517" s="734"/>
      <c r="AC517" s="734"/>
      <c r="AD517" s="734"/>
      <c r="AE517" s="727"/>
      <c r="AF517" s="727"/>
      <c r="AG517" s="727"/>
      <c r="AH517" s="727"/>
    </row>
    <row r="518" customHeight="1" spans="1:34">
      <c r="A518" s="106" t="s">
        <v>284</v>
      </c>
      <c r="B518" s="109" t="s">
        <v>233</v>
      </c>
      <c r="C518" s="109"/>
      <c r="D518" s="109" t="s">
        <v>88</v>
      </c>
      <c r="E518" s="115" t="s">
        <v>130</v>
      </c>
      <c r="F518" s="109" t="s">
        <v>285</v>
      </c>
      <c r="G518" s="110" t="s">
        <v>286</v>
      </c>
      <c r="H518" s="728"/>
      <c r="I518" s="728"/>
      <c r="J518" s="728"/>
      <c r="K518" s="728"/>
      <c r="L518" s="728"/>
      <c r="M518" s="728"/>
      <c r="N518" s="728"/>
      <c r="O518" s="728"/>
      <c r="S518" s="734"/>
      <c r="T518" s="734"/>
      <c r="U518" s="734"/>
      <c r="V518" s="734"/>
      <c r="W518" s="734"/>
      <c r="X518" s="734"/>
      <c r="Y518" s="734"/>
      <c r="Z518" s="734"/>
      <c r="AA518" s="734"/>
      <c r="AB518" s="734"/>
      <c r="AC518" s="734"/>
      <c r="AD518" s="734"/>
      <c r="AE518" s="727"/>
      <c r="AF518" s="727"/>
      <c r="AG518" s="727"/>
      <c r="AH518" s="727"/>
    </row>
    <row r="519" customHeight="1" spans="1:34">
      <c r="A519" s="106" t="s">
        <v>9</v>
      </c>
      <c r="B519" s="116" t="s">
        <v>287</v>
      </c>
      <c r="C519" s="116"/>
      <c r="D519" s="109"/>
      <c r="E519" s="115"/>
      <c r="F519" s="115"/>
      <c r="G519" s="117">
        <f>G520+G528</f>
        <v>80.08</v>
      </c>
      <c r="H519" s="728"/>
      <c r="I519" s="728"/>
      <c r="J519" s="728"/>
      <c r="K519" s="728"/>
      <c r="L519" s="728"/>
      <c r="M519" s="728"/>
      <c r="N519" s="728"/>
      <c r="O519" s="728"/>
      <c r="S519" s="734"/>
      <c r="T519" s="734"/>
      <c r="U519" s="734"/>
      <c r="V519" s="734"/>
      <c r="W519" s="734"/>
      <c r="X519" s="734"/>
      <c r="Y519" s="734"/>
      <c r="Z519" s="734"/>
      <c r="AA519" s="734"/>
      <c r="AB519" s="734"/>
      <c r="AC519" s="734"/>
      <c r="AD519" s="734"/>
      <c r="AE519" s="727"/>
      <c r="AF519" s="727"/>
      <c r="AG519" s="727"/>
      <c r="AH519" s="727"/>
    </row>
    <row r="520" customHeight="1" spans="1:34">
      <c r="A520" s="106" t="s">
        <v>132</v>
      </c>
      <c r="B520" s="116" t="s">
        <v>288</v>
      </c>
      <c r="C520" s="116"/>
      <c r="D520" s="109"/>
      <c r="E520" s="115"/>
      <c r="F520" s="115"/>
      <c r="G520" s="117">
        <f>G521+G524+G526</f>
        <v>76.41</v>
      </c>
      <c r="H520" s="728"/>
      <c r="I520" s="728"/>
      <c r="J520" s="728"/>
      <c r="K520" s="728"/>
      <c r="L520" s="728"/>
      <c r="M520" s="728"/>
      <c r="N520" s="728"/>
      <c r="O520" s="728"/>
      <c r="S520" s="734"/>
      <c r="T520" s="734"/>
      <c r="U520" s="734"/>
      <c r="V520" s="734"/>
      <c r="W520" s="734"/>
      <c r="X520" s="734"/>
      <c r="Y520" s="734"/>
      <c r="Z520" s="734"/>
      <c r="AA520" s="734"/>
      <c r="AB520" s="734"/>
      <c r="AC520" s="734"/>
      <c r="AD520" s="734"/>
      <c r="AE520" s="727"/>
      <c r="AF520" s="727"/>
      <c r="AG520" s="727"/>
      <c r="AH520" s="727"/>
    </row>
    <row r="521" customHeight="1" spans="1:34">
      <c r="A521" s="106" t="s">
        <v>39</v>
      </c>
      <c r="B521" s="116" t="s">
        <v>247</v>
      </c>
      <c r="C521" s="116"/>
      <c r="D521" s="109"/>
      <c r="E521" s="115"/>
      <c r="F521" s="115"/>
      <c r="G521" s="117">
        <f>SUM(G522:G523)</f>
        <v>16.16</v>
      </c>
      <c r="H521" s="728"/>
      <c r="I521" s="728"/>
      <c r="J521" s="728"/>
      <c r="K521" s="728"/>
      <c r="L521" s="728"/>
      <c r="M521" s="728"/>
      <c r="N521" s="728"/>
      <c r="O521" s="728"/>
      <c r="S521" s="734"/>
      <c r="T521" s="734"/>
      <c r="U521" s="734"/>
      <c r="V521" s="734"/>
      <c r="W521" s="734"/>
      <c r="X521" s="734"/>
      <c r="Y521" s="734"/>
      <c r="Z521" s="734"/>
      <c r="AA521" s="734"/>
      <c r="AB521" s="734"/>
      <c r="AC521" s="734"/>
      <c r="AD521" s="734"/>
      <c r="AE521" s="727"/>
      <c r="AF521" s="727"/>
      <c r="AG521" s="727"/>
      <c r="AH521" s="727"/>
    </row>
    <row r="522" customHeight="1" spans="1:34">
      <c r="A522" s="106"/>
      <c r="B522" s="116" t="s">
        <v>289</v>
      </c>
      <c r="C522" s="116"/>
      <c r="D522" s="109" t="s">
        <v>290</v>
      </c>
      <c r="E522" s="115"/>
      <c r="F522" s="115"/>
      <c r="G522" s="117">
        <v>0</v>
      </c>
      <c r="H522" s="728"/>
      <c r="I522" s="728"/>
      <c r="J522" s="728"/>
      <c r="K522" s="728"/>
      <c r="L522" s="728"/>
      <c r="M522" s="728"/>
      <c r="N522" s="728"/>
      <c r="O522" s="728"/>
      <c r="S522" s="734"/>
      <c r="T522" s="734"/>
      <c r="U522" s="734"/>
      <c r="V522" s="734"/>
      <c r="W522" s="734"/>
      <c r="X522" s="734"/>
      <c r="Y522" s="734"/>
      <c r="Z522" s="734"/>
      <c r="AA522" s="734"/>
      <c r="AB522" s="734"/>
      <c r="AC522" s="734"/>
      <c r="AD522" s="734"/>
      <c r="AE522" s="727"/>
      <c r="AF522" s="727"/>
      <c r="AG522" s="727"/>
      <c r="AH522" s="727"/>
    </row>
    <row r="523" customHeight="1" spans="1:34">
      <c r="A523" s="106"/>
      <c r="B523" s="116" t="s">
        <v>291</v>
      </c>
      <c r="C523" s="116"/>
      <c r="D523" s="109" t="s">
        <v>290</v>
      </c>
      <c r="E523" s="115">
        <v>2.8</v>
      </c>
      <c r="F523" s="115">
        <f>人工!D5</f>
        <v>5.77</v>
      </c>
      <c r="G523" s="117">
        <f>E523*F523</f>
        <v>16.16</v>
      </c>
      <c r="H523" s="728"/>
      <c r="I523" s="728"/>
      <c r="J523" s="728"/>
      <c r="K523" s="728"/>
      <c r="L523" s="728"/>
      <c r="M523" s="728"/>
      <c r="N523" s="728"/>
      <c r="O523" s="728"/>
      <c r="S523" s="734"/>
      <c r="T523" s="734"/>
      <c r="U523" s="734"/>
      <c r="V523" s="734"/>
      <c r="W523" s="734"/>
      <c r="X523" s="734"/>
      <c r="Y523" s="734"/>
      <c r="Z523" s="734"/>
      <c r="AA523" s="734"/>
      <c r="AB523" s="734"/>
      <c r="AC523" s="734"/>
      <c r="AD523" s="734"/>
      <c r="AE523" s="727"/>
      <c r="AF523" s="727"/>
      <c r="AG523" s="727"/>
      <c r="AH523" s="727"/>
    </row>
    <row r="524" customHeight="1" spans="1:34">
      <c r="A524" s="106" t="s">
        <v>41</v>
      </c>
      <c r="B524" s="116" t="s">
        <v>248</v>
      </c>
      <c r="C524" s="116"/>
      <c r="D524" s="109"/>
      <c r="E524" s="115"/>
      <c r="F524" s="115"/>
      <c r="G524" s="117">
        <f>G525</f>
        <v>3.64</v>
      </c>
      <c r="H524" s="728"/>
      <c r="I524" s="728"/>
      <c r="J524" s="728"/>
      <c r="K524" s="728"/>
      <c r="L524" s="728"/>
      <c r="M524" s="728"/>
      <c r="N524" s="728"/>
      <c r="O524" s="728"/>
      <c r="S524" s="734"/>
      <c r="T524" s="734"/>
      <c r="U524" s="734"/>
      <c r="V524" s="734"/>
      <c r="W524" s="734"/>
      <c r="X524" s="734"/>
      <c r="Y524" s="734"/>
      <c r="Z524" s="734"/>
      <c r="AA524" s="734"/>
      <c r="AB524" s="734"/>
      <c r="AC524" s="734"/>
      <c r="AD524" s="734"/>
      <c r="AE524" s="727"/>
      <c r="AF524" s="727"/>
      <c r="AG524" s="727"/>
      <c r="AH524" s="727"/>
    </row>
    <row r="525" customHeight="1" spans="1:34">
      <c r="A525" s="106"/>
      <c r="B525" s="116" t="s">
        <v>292</v>
      </c>
      <c r="C525" s="116"/>
      <c r="D525" s="109" t="s">
        <v>293</v>
      </c>
      <c r="E525" s="115">
        <v>5</v>
      </c>
      <c r="F525" s="115">
        <f>G521+G526</f>
        <v>72.77</v>
      </c>
      <c r="G525" s="117">
        <f>E525*F525/100</f>
        <v>3.64</v>
      </c>
      <c r="H525" s="728"/>
      <c r="I525" s="728"/>
      <c r="J525" s="728"/>
      <c r="K525" s="728"/>
      <c r="L525" s="728"/>
      <c r="M525" s="728"/>
      <c r="N525" s="728"/>
      <c r="O525" s="728"/>
      <c r="S525" s="734"/>
      <c r="T525" s="734"/>
      <c r="U525" s="734"/>
      <c r="V525" s="734"/>
      <c r="W525" s="734"/>
      <c r="X525" s="734"/>
      <c r="Y525" s="734"/>
      <c r="Z525" s="734"/>
      <c r="AA525" s="734"/>
      <c r="AB525" s="734"/>
      <c r="AC525" s="734"/>
      <c r="AD525" s="734"/>
      <c r="AE525" s="727"/>
      <c r="AF525" s="727"/>
      <c r="AG525" s="727"/>
      <c r="AH525" s="727"/>
    </row>
    <row r="526" customHeight="1" spans="1:34">
      <c r="A526" s="106" t="s">
        <v>46</v>
      </c>
      <c r="B526" s="116" t="s">
        <v>314</v>
      </c>
      <c r="C526" s="116"/>
      <c r="D526" s="116"/>
      <c r="E526" s="115"/>
      <c r="F526" s="115"/>
      <c r="G526" s="117">
        <f>SUM(G527:G527)</f>
        <v>56.61</v>
      </c>
      <c r="H526" s="728"/>
      <c r="I526" s="728"/>
      <c r="J526" s="728"/>
      <c r="K526" s="728"/>
      <c r="L526" s="728"/>
      <c r="M526" s="728"/>
      <c r="N526" s="728"/>
      <c r="O526" s="728"/>
      <c r="S526" s="734"/>
      <c r="T526" s="734"/>
      <c r="U526" s="734"/>
      <c r="V526" s="734"/>
      <c r="W526" s="734"/>
      <c r="X526" s="734"/>
      <c r="Y526" s="734"/>
      <c r="Z526" s="734"/>
      <c r="AA526" s="734"/>
      <c r="AB526" s="734"/>
      <c r="AC526" s="734"/>
      <c r="AD526" s="734"/>
      <c r="AE526" s="727"/>
      <c r="AF526" s="727"/>
      <c r="AG526" s="727"/>
      <c r="AH526" s="727"/>
    </row>
    <row r="527" customHeight="1" spans="1:34">
      <c r="A527" s="106"/>
      <c r="B527" s="116" t="s">
        <v>368</v>
      </c>
      <c r="C527" s="116"/>
      <c r="D527" s="109" t="s">
        <v>316</v>
      </c>
      <c r="E527" s="115">
        <v>3.05</v>
      </c>
      <c r="F527" s="115">
        <f>机械!E13</f>
        <v>18.56</v>
      </c>
      <c r="G527" s="117">
        <f>E527*F527</f>
        <v>56.61</v>
      </c>
      <c r="H527" s="728"/>
      <c r="I527" s="728"/>
      <c r="J527" s="728"/>
      <c r="K527" s="728"/>
      <c r="L527" s="728"/>
      <c r="M527" s="728"/>
      <c r="N527" s="728"/>
      <c r="O527" s="728"/>
      <c r="S527" s="734"/>
      <c r="T527" s="734"/>
      <c r="U527" s="734"/>
      <c r="V527" s="734"/>
      <c r="W527" s="734"/>
      <c r="X527" s="734"/>
      <c r="Y527" s="734"/>
      <c r="Z527" s="734"/>
      <c r="AA527" s="734"/>
      <c r="AB527" s="734"/>
      <c r="AC527" s="734"/>
      <c r="AD527" s="734"/>
      <c r="AE527" s="727"/>
      <c r="AF527" s="727"/>
      <c r="AG527" s="727"/>
      <c r="AH527" s="727"/>
    </row>
    <row r="528" customHeight="1" spans="1:34">
      <c r="A528" s="106" t="s">
        <v>133</v>
      </c>
      <c r="B528" s="116" t="s">
        <v>294</v>
      </c>
      <c r="C528" s="116"/>
      <c r="D528" s="109"/>
      <c r="E528" s="717">
        <f>G520</f>
        <v>76.41</v>
      </c>
      <c r="F528" s="120">
        <f>费率!C4</f>
        <v>0.048</v>
      </c>
      <c r="G528" s="117">
        <f>E528*F528</f>
        <v>3.67</v>
      </c>
      <c r="H528" s="728"/>
      <c r="I528" s="728"/>
      <c r="J528" s="728"/>
      <c r="K528" s="728"/>
      <c r="L528" s="728"/>
      <c r="M528" s="728"/>
      <c r="N528" s="728"/>
      <c r="O528" s="728"/>
      <c r="S528" s="734"/>
      <c r="T528" s="734"/>
      <c r="U528" s="734"/>
      <c r="V528" s="734"/>
      <c r="W528" s="734"/>
      <c r="X528" s="734"/>
      <c r="Y528" s="734"/>
      <c r="Z528" s="734"/>
      <c r="AA528" s="734"/>
      <c r="AB528" s="734"/>
      <c r="AC528" s="734"/>
      <c r="AD528" s="734"/>
      <c r="AE528" s="727"/>
      <c r="AF528" s="727"/>
      <c r="AG528" s="727"/>
      <c r="AH528" s="727"/>
    </row>
    <row r="529" customHeight="1" spans="1:34">
      <c r="A529" s="106" t="s">
        <v>14</v>
      </c>
      <c r="B529" s="116" t="s">
        <v>295</v>
      </c>
      <c r="C529" s="116"/>
      <c r="D529" s="109"/>
      <c r="E529" s="115">
        <f>G519</f>
        <v>80.08</v>
      </c>
      <c r="F529" s="120">
        <f>费率!C5</f>
        <v>0.04</v>
      </c>
      <c r="G529" s="117">
        <f>E529*F529</f>
        <v>3.2</v>
      </c>
      <c r="H529" s="728"/>
      <c r="I529" s="728"/>
      <c r="J529" s="728"/>
      <c r="K529" s="728"/>
      <c r="L529" s="728"/>
      <c r="M529" s="728"/>
      <c r="N529" s="728"/>
      <c r="O529" s="728"/>
      <c r="S529" s="734"/>
      <c r="T529" s="734"/>
      <c r="U529" s="734"/>
      <c r="V529" s="734"/>
      <c r="W529" s="734"/>
      <c r="X529" s="734"/>
      <c r="Y529" s="734"/>
      <c r="Z529" s="734"/>
      <c r="AA529" s="734"/>
      <c r="AB529" s="734"/>
      <c r="AC529" s="734"/>
      <c r="AD529" s="734"/>
      <c r="AE529" s="727"/>
      <c r="AF529" s="727"/>
      <c r="AG529" s="727"/>
      <c r="AH529" s="727"/>
    </row>
    <row r="530" customHeight="1" spans="1:34">
      <c r="A530" s="106" t="s">
        <v>16</v>
      </c>
      <c r="B530" s="116" t="s">
        <v>296</v>
      </c>
      <c r="C530" s="116"/>
      <c r="D530" s="109"/>
      <c r="E530" s="115">
        <f>G519+G529</f>
        <v>83.28</v>
      </c>
      <c r="F530" s="120">
        <f>费率!C6</f>
        <v>0.05</v>
      </c>
      <c r="G530" s="117">
        <f>E530*F530</f>
        <v>4.16</v>
      </c>
      <c r="H530" s="728"/>
      <c r="I530" s="728"/>
      <c r="J530" s="728"/>
      <c r="K530" s="728"/>
      <c r="L530" s="728"/>
      <c r="M530" s="728"/>
      <c r="N530" s="728"/>
      <c r="O530" s="728"/>
      <c r="S530" s="734"/>
      <c r="T530" s="734"/>
      <c r="U530" s="734"/>
      <c r="V530" s="734"/>
      <c r="W530" s="734"/>
      <c r="X530" s="734"/>
      <c r="Y530" s="734"/>
      <c r="Z530" s="734"/>
      <c r="AA530" s="734"/>
      <c r="AB530" s="734"/>
      <c r="AC530" s="734"/>
      <c r="AD530" s="734"/>
      <c r="AE530" s="727"/>
      <c r="AF530" s="727"/>
      <c r="AG530" s="727"/>
      <c r="AH530" s="727"/>
    </row>
    <row r="531" customHeight="1" spans="1:34">
      <c r="A531" s="106" t="s">
        <v>18</v>
      </c>
      <c r="B531" s="116" t="s">
        <v>254</v>
      </c>
      <c r="C531" s="116"/>
      <c r="D531" s="109"/>
      <c r="E531" s="115"/>
      <c r="F531" s="120"/>
      <c r="G531" s="117">
        <v>0</v>
      </c>
      <c r="H531" s="728"/>
      <c r="I531" s="728"/>
      <c r="J531" s="728"/>
      <c r="K531" s="728"/>
      <c r="L531" s="728"/>
      <c r="M531" s="728"/>
      <c r="N531" s="728"/>
      <c r="O531" s="728"/>
      <c r="S531" s="734"/>
      <c r="T531" s="734"/>
      <c r="U531" s="734"/>
      <c r="V531" s="734"/>
      <c r="W531" s="734"/>
      <c r="X531" s="734"/>
      <c r="Y531" s="734"/>
      <c r="Z531" s="734"/>
      <c r="AA531" s="734"/>
      <c r="AB531" s="734"/>
      <c r="AC531" s="734"/>
      <c r="AD531" s="734"/>
      <c r="AE531" s="727"/>
      <c r="AF531" s="727"/>
      <c r="AG531" s="727"/>
      <c r="AH531" s="727"/>
    </row>
    <row r="532" customHeight="1" spans="1:34">
      <c r="A532" s="106" t="s">
        <v>20</v>
      </c>
      <c r="B532" s="116" t="s">
        <v>297</v>
      </c>
      <c r="C532" s="116"/>
      <c r="D532" s="109"/>
      <c r="E532" s="115">
        <f>G519+G529+G530+G531</f>
        <v>87.44</v>
      </c>
      <c r="F532" s="122">
        <f>费率!C7</f>
        <v>0.09</v>
      </c>
      <c r="G532" s="117">
        <f>E532*F532</f>
        <v>7.87</v>
      </c>
      <c r="H532" s="728"/>
      <c r="I532" s="728"/>
      <c r="J532" s="728"/>
      <c r="K532" s="728"/>
      <c r="L532" s="728"/>
      <c r="M532" s="728"/>
      <c r="N532" s="728"/>
      <c r="O532" s="728"/>
      <c r="S532" s="734"/>
      <c r="T532" s="734"/>
      <c r="U532" s="734"/>
      <c r="V532" s="734"/>
      <c r="W532" s="734"/>
      <c r="X532" s="734"/>
      <c r="Y532" s="734"/>
      <c r="Z532" s="734"/>
      <c r="AA532" s="734"/>
      <c r="AB532" s="734"/>
      <c r="AC532" s="734"/>
      <c r="AD532" s="734"/>
      <c r="AE532" s="727"/>
      <c r="AF532" s="727"/>
      <c r="AG532" s="727"/>
      <c r="AH532" s="727"/>
    </row>
    <row r="533" customHeight="1" spans="1:34">
      <c r="A533" s="106"/>
      <c r="B533" s="116" t="s">
        <v>298</v>
      </c>
      <c r="C533" s="116"/>
      <c r="D533" s="109"/>
      <c r="E533" s="115">
        <f>G519+G529+G530+G531+G532</f>
        <v>95.31</v>
      </c>
      <c r="F533" s="122">
        <f>费率!C8</f>
        <v>0.03</v>
      </c>
      <c r="G533" s="117">
        <f>E533*F533</f>
        <v>2.86</v>
      </c>
      <c r="H533" s="728"/>
      <c r="I533" s="728"/>
      <c r="J533" s="728"/>
      <c r="K533" s="728"/>
      <c r="L533" s="728"/>
      <c r="M533" s="728"/>
      <c r="N533" s="728"/>
      <c r="O533" s="728"/>
      <c r="S533" s="734"/>
      <c r="T533" s="734"/>
      <c r="U533" s="734"/>
      <c r="V533" s="734"/>
      <c r="W533" s="734"/>
      <c r="X533" s="734"/>
      <c r="Y533" s="734"/>
      <c r="Z533" s="734"/>
      <c r="AA533" s="734"/>
      <c r="AB533" s="734"/>
      <c r="AC533" s="734"/>
      <c r="AD533" s="734"/>
      <c r="AE533" s="727"/>
      <c r="AF533" s="727"/>
      <c r="AG533" s="727"/>
      <c r="AH533" s="727"/>
    </row>
    <row r="534" customHeight="1" spans="1:34">
      <c r="A534" s="123"/>
      <c r="B534" s="124" t="s">
        <v>121</v>
      </c>
      <c r="C534" s="124"/>
      <c r="D534" s="124"/>
      <c r="E534" s="125"/>
      <c r="F534" s="124"/>
      <c r="G534" s="126">
        <f>G519+G529+G530+G531+G532+G533</f>
        <v>98.17</v>
      </c>
      <c r="H534" s="728"/>
      <c r="I534" s="728"/>
      <c r="J534" s="728"/>
      <c r="K534" s="728"/>
      <c r="L534" s="728"/>
      <c r="M534" s="728"/>
      <c r="N534" s="728"/>
      <c r="O534" s="728"/>
      <c r="S534" s="734"/>
      <c r="T534" s="734"/>
      <c r="U534" s="734"/>
      <c r="V534" s="734"/>
      <c r="W534" s="734"/>
      <c r="X534" s="734"/>
      <c r="Y534" s="734"/>
      <c r="Z534" s="734"/>
      <c r="AA534" s="734"/>
      <c r="AB534" s="734"/>
      <c r="AC534" s="734"/>
      <c r="AD534" s="734"/>
      <c r="AE534" s="727"/>
      <c r="AF534" s="727"/>
      <c r="AG534" s="727"/>
      <c r="AH534" s="727"/>
    </row>
    <row r="535" customHeight="1" spans="8:34">
      <c r="H535" s="728"/>
      <c r="I535" s="728"/>
      <c r="J535" s="728"/>
      <c r="K535" s="728"/>
      <c r="L535" s="728"/>
      <c r="M535" s="728"/>
      <c r="N535" s="728"/>
      <c r="O535" s="728"/>
      <c r="S535" s="734"/>
      <c r="T535" s="734"/>
      <c r="U535" s="734"/>
      <c r="V535" s="734"/>
      <c r="W535" s="734"/>
      <c r="X535" s="734"/>
      <c r="Y535" s="734"/>
      <c r="Z535" s="734"/>
      <c r="AA535" s="734"/>
      <c r="AB535" s="734"/>
      <c r="AC535" s="734"/>
      <c r="AD535" s="734"/>
      <c r="AE535" s="727"/>
      <c r="AF535" s="727"/>
      <c r="AG535" s="727"/>
      <c r="AH535" s="727"/>
    </row>
    <row r="536" customHeight="1" spans="1:34">
      <c r="A536" s="79" t="s">
        <v>274</v>
      </c>
      <c r="B536" s="79"/>
      <c r="C536" s="79"/>
      <c r="D536" s="79"/>
      <c r="E536" s="79"/>
      <c r="F536" s="79"/>
      <c r="G536" s="79"/>
      <c r="H536" s="728"/>
      <c r="I536" s="728"/>
      <c r="J536" s="728"/>
      <c r="K536" s="728"/>
      <c r="L536" s="728"/>
      <c r="M536" s="728"/>
      <c r="N536" s="728"/>
      <c r="O536" s="728"/>
      <c r="S536" s="734"/>
      <c r="T536" s="734"/>
      <c r="U536" s="734"/>
      <c r="V536" s="734"/>
      <c r="W536" s="734"/>
      <c r="X536" s="734"/>
      <c r="Y536" s="734"/>
      <c r="Z536" s="734"/>
      <c r="AA536" s="734"/>
      <c r="AB536" s="734"/>
      <c r="AC536" s="734"/>
      <c r="AD536" s="734"/>
      <c r="AE536" s="727"/>
      <c r="AF536" s="727"/>
      <c r="AG536" s="727"/>
      <c r="AH536" s="727"/>
    </row>
    <row r="537" customHeight="1" spans="1:34">
      <c r="A537" s="102" t="s">
        <v>275</v>
      </c>
      <c r="B537" s="103"/>
      <c r="C537" s="103" t="s">
        <v>334</v>
      </c>
      <c r="D537" s="103" t="s">
        <v>276</v>
      </c>
      <c r="E537" s="104" t="s">
        <v>389</v>
      </c>
      <c r="F537" s="104"/>
      <c r="G537" s="105"/>
      <c r="H537" s="728"/>
      <c r="I537" s="728"/>
      <c r="J537" s="728"/>
      <c r="K537" s="728"/>
      <c r="L537" s="728"/>
      <c r="M537" s="728"/>
      <c r="N537" s="728"/>
      <c r="O537" s="728"/>
      <c r="S537" s="734"/>
      <c r="T537" s="734"/>
      <c r="U537" s="734"/>
      <c r="V537" s="734"/>
      <c r="W537" s="734"/>
      <c r="X537" s="734"/>
      <c r="Y537" s="734"/>
      <c r="Z537" s="734"/>
      <c r="AA537" s="734"/>
      <c r="AB537" s="734"/>
      <c r="AC537" s="734"/>
      <c r="AD537" s="734"/>
      <c r="AE537" s="727"/>
      <c r="AF537" s="727"/>
      <c r="AG537" s="727"/>
      <c r="AH537" s="727"/>
    </row>
    <row r="538" customHeight="1" spans="1:34">
      <c r="A538" s="106" t="s">
        <v>278</v>
      </c>
      <c r="B538" s="107"/>
      <c r="C538" s="108" t="s">
        <v>390</v>
      </c>
      <c r="D538" s="108"/>
      <c r="E538" s="108"/>
      <c r="F538" s="109" t="s">
        <v>280</v>
      </c>
      <c r="G538" s="110" t="s">
        <v>281</v>
      </c>
      <c r="H538" s="728"/>
      <c r="I538" s="728"/>
      <c r="J538" s="728"/>
      <c r="K538" s="728"/>
      <c r="L538" s="728"/>
      <c r="M538" s="728"/>
      <c r="N538" s="728"/>
      <c r="O538" s="728"/>
      <c r="S538" s="734"/>
      <c r="T538" s="734"/>
      <c r="U538" s="734"/>
      <c r="V538" s="734"/>
      <c r="W538" s="734"/>
      <c r="X538" s="734"/>
      <c r="Y538" s="734"/>
      <c r="Z538" s="734"/>
      <c r="AA538" s="734"/>
      <c r="AB538" s="734"/>
      <c r="AC538" s="734"/>
      <c r="AD538" s="734"/>
      <c r="AE538" s="727"/>
      <c r="AF538" s="727"/>
      <c r="AG538" s="727"/>
      <c r="AH538" s="727"/>
    </row>
    <row r="539" customHeight="1" spans="1:34">
      <c r="A539" s="111" t="s">
        <v>337</v>
      </c>
      <c r="B539" s="108"/>
      <c r="C539" s="108"/>
      <c r="D539" s="108"/>
      <c r="E539" s="108"/>
      <c r="F539" s="108"/>
      <c r="G539" s="112"/>
      <c r="H539" s="728"/>
      <c r="I539" s="728"/>
      <c r="J539" s="728"/>
      <c r="K539" s="728"/>
      <c r="L539" s="728"/>
      <c r="M539" s="728"/>
      <c r="N539" s="728"/>
      <c r="O539" s="728"/>
      <c r="S539" s="734"/>
      <c r="T539" s="734"/>
      <c r="U539" s="734"/>
      <c r="V539" s="734"/>
      <c r="W539" s="734"/>
      <c r="X539" s="734"/>
      <c r="Y539" s="734"/>
      <c r="Z539" s="734"/>
      <c r="AA539" s="734"/>
      <c r="AB539" s="734"/>
      <c r="AC539" s="734"/>
      <c r="AD539" s="734"/>
      <c r="AE539" s="727"/>
      <c r="AF539" s="727"/>
      <c r="AG539" s="727"/>
      <c r="AH539" s="727"/>
    </row>
    <row r="540" customHeight="1" spans="1:34">
      <c r="A540" s="113" t="s">
        <v>338</v>
      </c>
      <c r="B540" s="114"/>
      <c r="C540" s="54"/>
      <c r="D540" s="54"/>
      <c r="E540" s="54"/>
      <c r="F540" s="54"/>
      <c r="G540" s="55"/>
      <c r="H540" s="728"/>
      <c r="I540" s="728"/>
      <c r="J540" s="728"/>
      <c r="K540" s="728"/>
      <c r="L540" s="728"/>
      <c r="M540" s="728"/>
      <c r="N540" s="728"/>
      <c r="O540" s="728"/>
      <c r="S540" s="734"/>
      <c r="T540" s="734"/>
      <c r="U540" s="734"/>
      <c r="V540" s="734"/>
      <c r="W540" s="734"/>
      <c r="X540" s="734"/>
      <c r="Y540" s="734"/>
      <c r="Z540" s="734"/>
      <c r="AA540" s="734"/>
      <c r="AB540" s="734"/>
      <c r="AC540" s="734"/>
      <c r="AD540" s="734"/>
      <c r="AE540" s="727"/>
      <c r="AF540" s="727"/>
      <c r="AG540" s="727"/>
      <c r="AH540" s="727"/>
    </row>
    <row r="541" customHeight="1" spans="1:34">
      <c r="A541" s="106" t="s">
        <v>284</v>
      </c>
      <c r="B541" s="109" t="s">
        <v>233</v>
      </c>
      <c r="C541" s="109"/>
      <c r="D541" s="109" t="s">
        <v>88</v>
      </c>
      <c r="E541" s="115" t="s">
        <v>130</v>
      </c>
      <c r="F541" s="109" t="s">
        <v>285</v>
      </c>
      <c r="G541" s="110" t="s">
        <v>286</v>
      </c>
      <c r="H541" s="728"/>
      <c r="I541" s="728"/>
      <c r="J541" s="728"/>
      <c r="K541" s="728"/>
      <c r="L541" s="728"/>
      <c r="M541" s="728"/>
      <c r="N541" s="728"/>
      <c r="O541" s="728"/>
      <c r="S541" s="734"/>
      <c r="T541" s="734"/>
      <c r="U541" s="734"/>
      <c r="V541" s="734"/>
      <c r="W541" s="734"/>
      <c r="X541" s="734"/>
      <c r="Y541" s="734"/>
      <c r="Z541" s="734"/>
      <c r="AA541" s="734"/>
      <c r="AB541" s="734"/>
      <c r="AC541" s="734"/>
      <c r="AD541" s="734"/>
      <c r="AE541" s="727"/>
      <c r="AF541" s="727"/>
      <c r="AG541" s="727"/>
      <c r="AH541" s="727"/>
    </row>
    <row r="542" customHeight="1" spans="1:34">
      <c r="A542" s="106" t="s">
        <v>9</v>
      </c>
      <c r="B542" s="116" t="s">
        <v>287</v>
      </c>
      <c r="C542" s="116"/>
      <c r="D542" s="109"/>
      <c r="E542" s="115"/>
      <c r="F542" s="115"/>
      <c r="G542" s="117">
        <f>G543+G553</f>
        <v>511.42</v>
      </c>
      <c r="H542" s="728"/>
      <c r="I542" s="728"/>
      <c r="J542" s="728"/>
      <c r="K542" s="728"/>
      <c r="L542" s="728"/>
      <c r="M542" s="728"/>
      <c r="N542" s="728"/>
      <c r="O542" s="728"/>
      <c r="S542" s="734"/>
      <c r="T542" s="734"/>
      <c r="U542" s="734"/>
      <c r="V542" s="734"/>
      <c r="W542" s="734"/>
      <c r="X542" s="734"/>
      <c r="Y542" s="734"/>
      <c r="Z542" s="734"/>
      <c r="AA542" s="734"/>
      <c r="AB542" s="734"/>
      <c r="AC542" s="734"/>
      <c r="AD542" s="734"/>
      <c r="AE542" s="727"/>
      <c r="AF542" s="727"/>
      <c r="AG542" s="727"/>
      <c r="AH542" s="727"/>
    </row>
    <row r="543" customHeight="1" spans="1:34">
      <c r="A543" s="106" t="s">
        <v>132</v>
      </c>
      <c r="B543" s="116" t="s">
        <v>288</v>
      </c>
      <c r="C543" s="116"/>
      <c r="D543" s="109"/>
      <c r="E543" s="115"/>
      <c r="F543" s="115"/>
      <c r="G543" s="117">
        <f>G544+G547+G549</f>
        <v>488</v>
      </c>
      <c r="H543" s="728"/>
      <c r="I543" s="728"/>
      <c r="J543" s="728"/>
      <c r="K543" s="728"/>
      <c r="L543" s="728"/>
      <c r="M543" s="728"/>
      <c r="N543" s="728"/>
      <c r="O543" s="728"/>
      <c r="S543" s="734"/>
      <c r="T543" s="734"/>
      <c r="U543" s="734"/>
      <c r="V543" s="734"/>
      <c r="W543" s="734"/>
      <c r="X543" s="734"/>
      <c r="Y543" s="734"/>
      <c r="Z543" s="734"/>
      <c r="AA543" s="734"/>
      <c r="AB543" s="734"/>
      <c r="AC543" s="734"/>
      <c r="AD543" s="734"/>
      <c r="AE543" s="727"/>
      <c r="AF543" s="727"/>
      <c r="AG543" s="727"/>
      <c r="AH543" s="727"/>
    </row>
    <row r="544" customHeight="1" spans="1:34">
      <c r="A544" s="106" t="s">
        <v>39</v>
      </c>
      <c r="B544" s="116" t="s">
        <v>247</v>
      </c>
      <c r="C544" s="116"/>
      <c r="D544" s="109"/>
      <c r="E544" s="115"/>
      <c r="F544" s="115"/>
      <c r="G544" s="117">
        <f>SUM(G545:G546)</f>
        <v>27.29</v>
      </c>
      <c r="H544" s="728"/>
      <c r="I544" s="728"/>
      <c r="J544" s="728"/>
      <c r="K544" s="728"/>
      <c r="L544" s="728"/>
      <c r="M544" s="728"/>
      <c r="N544" s="728"/>
      <c r="O544" s="728"/>
      <c r="S544" s="734"/>
      <c r="T544" s="734"/>
      <c r="U544" s="734"/>
      <c r="V544" s="734"/>
      <c r="W544" s="734"/>
      <c r="X544" s="734"/>
      <c r="Y544" s="734"/>
      <c r="Z544" s="734"/>
      <c r="AA544" s="734"/>
      <c r="AB544" s="734"/>
      <c r="AC544" s="734"/>
      <c r="AD544" s="734"/>
      <c r="AE544" s="727"/>
      <c r="AF544" s="727"/>
      <c r="AG544" s="727"/>
      <c r="AH544" s="727"/>
    </row>
    <row r="545" customHeight="1" spans="1:34">
      <c r="A545" s="106"/>
      <c r="B545" s="116" t="s">
        <v>289</v>
      </c>
      <c r="C545" s="116"/>
      <c r="D545" s="109" t="s">
        <v>290</v>
      </c>
      <c r="E545" s="115"/>
      <c r="F545" s="115"/>
      <c r="G545" s="117"/>
      <c r="H545" s="728"/>
      <c r="I545" s="728"/>
      <c r="J545" s="728"/>
      <c r="K545" s="728"/>
      <c r="L545" s="728"/>
      <c r="M545" s="728"/>
      <c r="N545" s="728"/>
      <c r="O545" s="728"/>
      <c r="S545" s="734"/>
      <c r="T545" s="734"/>
      <c r="U545" s="734"/>
      <c r="V545" s="734"/>
      <c r="W545" s="734"/>
      <c r="X545" s="734"/>
      <c r="Y545" s="734"/>
      <c r="Z545" s="734"/>
      <c r="AA545" s="734"/>
      <c r="AB545" s="734"/>
      <c r="AC545" s="734"/>
      <c r="AD545" s="734"/>
      <c r="AE545" s="727"/>
      <c r="AF545" s="727"/>
      <c r="AG545" s="727"/>
      <c r="AH545" s="727"/>
    </row>
    <row r="546" customHeight="1" spans="1:34">
      <c r="A546" s="106"/>
      <c r="B546" s="116" t="s">
        <v>291</v>
      </c>
      <c r="C546" s="116"/>
      <c r="D546" s="109" t="s">
        <v>290</v>
      </c>
      <c r="E546" s="115">
        <f>5.2*0.91</f>
        <v>4.73</v>
      </c>
      <c r="F546" s="115">
        <f>F234</f>
        <v>5.77</v>
      </c>
      <c r="G546" s="117">
        <f>E546*F546</f>
        <v>27.29</v>
      </c>
      <c r="H546" s="728"/>
      <c r="I546" s="728"/>
      <c r="J546" s="728"/>
      <c r="K546" s="728"/>
      <c r="L546" s="728"/>
      <c r="M546" s="728"/>
      <c r="N546" s="728"/>
      <c r="O546" s="728"/>
      <c r="S546" s="734"/>
      <c r="T546" s="734"/>
      <c r="U546" s="734"/>
      <c r="V546" s="734"/>
      <c r="W546" s="734"/>
      <c r="X546" s="734"/>
      <c r="Y546" s="734"/>
      <c r="Z546" s="734"/>
      <c r="AA546" s="734"/>
      <c r="AB546" s="734"/>
      <c r="AC546" s="734"/>
      <c r="AD546" s="734"/>
      <c r="AE546" s="727"/>
      <c r="AF546" s="727"/>
      <c r="AG546" s="727"/>
      <c r="AH546" s="727"/>
    </row>
    <row r="547" customHeight="1" spans="1:34">
      <c r="A547" s="106" t="s">
        <v>41</v>
      </c>
      <c r="B547" s="116" t="s">
        <v>248</v>
      </c>
      <c r="C547" s="116"/>
      <c r="D547" s="109"/>
      <c r="E547" s="115"/>
      <c r="F547" s="115"/>
      <c r="G547" s="117">
        <f>G548</f>
        <v>23.24</v>
      </c>
      <c r="H547" s="728"/>
      <c r="I547" s="728"/>
      <c r="J547" s="728"/>
      <c r="K547" s="728"/>
      <c r="L547" s="728"/>
      <c r="M547" s="728"/>
      <c r="N547" s="728"/>
      <c r="O547" s="728"/>
      <c r="S547" s="734"/>
      <c r="T547" s="734"/>
      <c r="U547" s="734"/>
      <c r="V547" s="734"/>
      <c r="W547" s="734"/>
      <c r="X547" s="734"/>
      <c r="Y547" s="734"/>
      <c r="Z547" s="734"/>
      <c r="AA547" s="734"/>
      <c r="AB547" s="734"/>
      <c r="AC547" s="734"/>
      <c r="AD547" s="734"/>
      <c r="AE547" s="727"/>
      <c r="AF547" s="727"/>
      <c r="AG547" s="727"/>
      <c r="AH547" s="727"/>
    </row>
    <row r="548" customHeight="1" spans="1:34">
      <c r="A548" s="106"/>
      <c r="B548" s="116" t="s">
        <v>292</v>
      </c>
      <c r="C548" s="116"/>
      <c r="D548" s="109" t="s">
        <v>293</v>
      </c>
      <c r="E548" s="115">
        <f>G544+G549</f>
        <v>464.76</v>
      </c>
      <c r="F548" s="115">
        <f t="shared" ref="F548:F559" si="7">F236</f>
        <v>5</v>
      </c>
      <c r="G548" s="117">
        <f>E548*F548/100</f>
        <v>23.24</v>
      </c>
      <c r="H548" s="728"/>
      <c r="I548" s="728"/>
      <c r="J548" s="728"/>
      <c r="K548" s="728"/>
      <c r="L548" s="728"/>
      <c r="M548" s="728"/>
      <c r="N548" s="728"/>
      <c r="O548" s="728"/>
      <c r="S548" s="734"/>
      <c r="T548" s="734"/>
      <c r="U548" s="734"/>
      <c r="V548" s="734"/>
      <c r="W548" s="734"/>
      <c r="X548" s="734"/>
      <c r="Y548" s="734"/>
      <c r="Z548" s="734"/>
      <c r="AA548" s="734"/>
      <c r="AB548" s="734"/>
      <c r="AC548" s="734"/>
      <c r="AD548" s="734"/>
      <c r="AE548" s="727"/>
      <c r="AF548" s="727"/>
      <c r="AG548" s="727"/>
      <c r="AH548" s="727"/>
    </row>
    <row r="549" customHeight="1" spans="1:34">
      <c r="A549" s="106" t="s">
        <v>46</v>
      </c>
      <c r="B549" s="116" t="s">
        <v>314</v>
      </c>
      <c r="C549" s="116"/>
      <c r="D549" s="116"/>
      <c r="E549" s="115"/>
      <c r="F549" s="115"/>
      <c r="G549" s="117">
        <f>SUM(G550:G552)</f>
        <v>437.47</v>
      </c>
      <c r="H549" s="728"/>
      <c r="I549" s="728"/>
      <c r="J549" s="728"/>
      <c r="K549" s="728"/>
      <c r="L549" s="728"/>
      <c r="M549" s="728"/>
      <c r="N549" s="728"/>
      <c r="O549" s="728"/>
      <c r="S549" s="734"/>
      <c r="T549" s="734"/>
      <c r="U549" s="734"/>
      <c r="V549" s="734"/>
      <c r="W549" s="734"/>
      <c r="X549" s="734"/>
      <c r="Y549" s="734"/>
      <c r="Z549" s="734"/>
      <c r="AA549" s="734"/>
      <c r="AB549" s="734"/>
      <c r="AC549" s="734"/>
      <c r="AD549" s="734"/>
      <c r="AE549" s="727"/>
      <c r="AF549" s="727"/>
      <c r="AG549" s="727"/>
      <c r="AH549" s="727"/>
    </row>
    <row r="550" customHeight="1" spans="1:34">
      <c r="A550" s="106"/>
      <c r="B550" s="116" t="s">
        <v>339</v>
      </c>
      <c r="C550" s="116"/>
      <c r="D550" s="109" t="s">
        <v>316</v>
      </c>
      <c r="E550" s="115">
        <f>1.04*0.91</f>
        <v>0.95</v>
      </c>
      <c r="F550" s="115">
        <f t="shared" si="7"/>
        <v>122.94</v>
      </c>
      <c r="G550" s="117">
        <f t="shared" ref="G550:G555" si="8">E550*F550</f>
        <v>116.79</v>
      </c>
      <c r="H550" s="728"/>
      <c r="I550" s="728"/>
      <c r="J550" s="728"/>
      <c r="K550" s="728"/>
      <c r="L550" s="728"/>
      <c r="M550" s="728"/>
      <c r="N550" s="728"/>
      <c r="O550" s="728"/>
      <c r="S550" s="734"/>
      <c r="T550" s="734"/>
      <c r="U550" s="734"/>
      <c r="V550" s="734"/>
      <c r="W550" s="734"/>
      <c r="X550" s="734"/>
      <c r="Y550" s="734"/>
      <c r="Z550" s="734"/>
      <c r="AA550" s="734"/>
      <c r="AB550" s="734"/>
      <c r="AC550" s="734"/>
      <c r="AD550" s="734"/>
      <c r="AE550" s="727"/>
      <c r="AF550" s="727"/>
      <c r="AG550" s="727"/>
      <c r="AH550" s="727"/>
    </row>
    <row r="551" customHeight="1" spans="1:7">
      <c r="A551" s="106"/>
      <c r="B551" s="116" t="s">
        <v>340</v>
      </c>
      <c r="C551" s="116"/>
      <c r="D551" s="109" t="s">
        <v>316</v>
      </c>
      <c r="E551" s="115">
        <f>0.52*0.91</f>
        <v>0.47</v>
      </c>
      <c r="F551" s="115">
        <f t="shared" si="7"/>
        <v>66.38</v>
      </c>
      <c r="G551" s="117">
        <f t="shared" si="8"/>
        <v>31.2</v>
      </c>
    </row>
    <row r="552" customHeight="1" spans="1:7">
      <c r="A552" s="106"/>
      <c r="B552" s="116" t="s">
        <v>341</v>
      </c>
      <c r="C552" s="116"/>
      <c r="D552" s="109" t="s">
        <v>316</v>
      </c>
      <c r="E552" s="115">
        <f>4.35*0.91</f>
        <v>3.96</v>
      </c>
      <c r="F552" s="115">
        <f t="shared" si="7"/>
        <v>73.1</v>
      </c>
      <c r="G552" s="117">
        <f t="shared" si="8"/>
        <v>289.48</v>
      </c>
    </row>
    <row r="553" customHeight="1" spans="1:7">
      <c r="A553" s="106" t="s">
        <v>133</v>
      </c>
      <c r="B553" s="116" t="s">
        <v>294</v>
      </c>
      <c r="C553" s="116"/>
      <c r="D553" s="109"/>
      <c r="E553" s="717">
        <f>G543</f>
        <v>488</v>
      </c>
      <c r="F553" s="95">
        <f t="shared" si="7"/>
        <v>0.048</v>
      </c>
      <c r="G553" s="117">
        <f t="shared" si="8"/>
        <v>23.42</v>
      </c>
    </row>
    <row r="554" customHeight="1" spans="1:7">
      <c r="A554" s="106" t="s">
        <v>14</v>
      </c>
      <c r="B554" s="116" t="s">
        <v>295</v>
      </c>
      <c r="C554" s="116"/>
      <c r="D554" s="109"/>
      <c r="E554" s="115">
        <f>G542</f>
        <v>511.42</v>
      </c>
      <c r="F554" s="95">
        <f t="shared" si="7"/>
        <v>0.04</v>
      </c>
      <c r="G554" s="117">
        <f t="shared" si="8"/>
        <v>20.46</v>
      </c>
    </row>
    <row r="555" customHeight="1" spans="1:7">
      <c r="A555" s="106" t="s">
        <v>16</v>
      </c>
      <c r="B555" s="116" t="s">
        <v>296</v>
      </c>
      <c r="C555" s="116"/>
      <c r="D555" s="109"/>
      <c r="E555" s="115">
        <f>G542+G554</f>
        <v>531.88</v>
      </c>
      <c r="F555" s="95">
        <f t="shared" si="7"/>
        <v>0.05</v>
      </c>
      <c r="G555" s="117">
        <f t="shared" si="8"/>
        <v>26.59</v>
      </c>
    </row>
    <row r="556" customHeight="1" spans="1:7">
      <c r="A556" s="106" t="s">
        <v>18</v>
      </c>
      <c r="B556" s="116" t="s">
        <v>254</v>
      </c>
      <c r="C556" s="116"/>
      <c r="D556" s="109"/>
      <c r="E556" s="115"/>
      <c r="F556" s="115"/>
      <c r="G556" s="117">
        <f>G557</f>
        <v>241.61</v>
      </c>
    </row>
    <row r="557" customHeight="1" spans="1:7">
      <c r="A557" s="106" t="s">
        <v>39</v>
      </c>
      <c r="B557" s="116" t="s">
        <v>317</v>
      </c>
      <c r="C557" s="116"/>
      <c r="D557" s="109" t="s">
        <v>323</v>
      </c>
      <c r="E557" s="115">
        <f>E550*14.9+E551*8.4+E552*10.2</f>
        <v>58.5</v>
      </c>
      <c r="F557" s="115">
        <f t="shared" si="7"/>
        <v>4.13</v>
      </c>
      <c r="G557" s="117">
        <f>E557*F557</f>
        <v>241.61</v>
      </c>
    </row>
    <row r="558" customHeight="1" spans="1:7">
      <c r="A558" s="106" t="s">
        <v>20</v>
      </c>
      <c r="B558" s="116" t="s">
        <v>297</v>
      </c>
      <c r="C558" s="116"/>
      <c r="D558" s="109"/>
      <c r="E558" s="115">
        <f>G542+G554+G555+G556</f>
        <v>800.08</v>
      </c>
      <c r="F558" s="95">
        <f t="shared" si="7"/>
        <v>0.09</v>
      </c>
      <c r="G558" s="117">
        <f>E558*F558</f>
        <v>72.01</v>
      </c>
    </row>
    <row r="559" customHeight="1" spans="1:7">
      <c r="A559" s="106"/>
      <c r="B559" s="116" t="s">
        <v>298</v>
      </c>
      <c r="C559" s="116"/>
      <c r="D559" s="109"/>
      <c r="E559" s="115">
        <f>G542+G554+G555+G556+G558</f>
        <v>872.09</v>
      </c>
      <c r="F559" s="95">
        <f t="shared" si="7"/>
        <v>0.03</v>
      </c>
      <c r="G559" s="117">
        <f>E559*F559</f>
        <v>26.16</v>
      </c>
    </row>
    <row r="560" customHeight="1" spans="1:7">
      <c r="A560" s="123"/>
      <c r="B560" s="124" t="s">
        <v>121</v>
      </c>
      <c r="C560" s="124"/>
      <c r="D560" s="124"/>
      <c r="E560" s="125"/>
      <c r="F560" s="124"/>
      <c r="G560" s="126">
        <f>G542+G554+G555+G556+G558+G559</f>
        <v>898.25</v>
      </c>
    </row>
  </sheetData>
  <mergeCells count="603">
    <mergeCell ref="A1:G1"/>
    <mergeCell ref="A2:B2"/>
    <mergeCell ref="E2:G2"/>
    <mergeCell ref="A3:B3"/>
    <mergeCell ref="C3:E3"/>
    <mergeCell ref="A4:G4"/>
    <mergeCell ref="A5:G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G21"/>
    <mergeCell ref="A22:B22"/>
    <mergeCell ref="E22:G22"/>
    <mergeCell ref="A23:B23"/>
    <mergeCell ref="C23:E23"/>
    <mergeCell ref="A24:G24"/>
    <mergeCell ref="A25:G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1:G41"/>
    <mergeCell ref="A42:B42"/>
    <mergeCell ref="E42:G42"/>
    <mergeCell ref="A43:B43"/>
    <mergeCell ref="C43:E43"/>
    <mergeCell ref="A44:G44"/>
    <mergeCell ref="A45:G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1:G61"/>
    <mergeCell ref="A62:B62"/>
    <mergeCell ref="E62:G62"/>
    <mergeCell ref="A63:B63"/>
    <mergeCell ref="C63:E63"/>
    <mergeCell ref="A64:G64"/>
    <mergeCell ref="A65:G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A81:G81"/>
    <mergeCell ref="A82:B82"/>
    <mergeCell ref="E82:G82"/>
    <mergeCell ref="A83:B83"/>
    <mergeCell ref="C83:E83"/>
    <mergeCell ref="A84:G84"/>
    <mergeCell ref="A85:G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A105:G105"/>
    <mergeCell ref="A106:B106"/>
    <mergeCell ref="E106:G106"/>
    <mergeCell ref="A107:B107"/>
    <mergeCell ref="C107:E107"/>
    <mergeCell ref="A108:G108"/>
    <mergeCell ref="A109:G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A129:G129"/>
    <mergeCell ref="A130:B130"/>
    <mergeCell ref="E130:G130"/>
    <mergeCell ref="A131:B131"/>
    <mergeCell ref="C131:E131"/>
    <mergeCell ref="A132:G132"/>
    <mergeCell ref="A133:G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A153:G153"/>
    <mergeCell ref="H153:N153"/>
    <mergeCell ref="A154:B154"/>
    <mergeCell ref="E154:G154"/>
    <mergeCell ref="H154:I154"/>
    <mergeCell ref="L154:N154"/>
    <mergeCell ref="A155:B155"/>
    <mergeCell ref="C155:E155"/>
    <mergeCell ref="H155:I155"/>
    <mergeCell ref="J155:L155"/>
    <mergeCell ref="A156:G156"/>
    <mergeCell ref="H156:N156"/>
    <mergeCell ref="A157:G157"/>
    <mergeCell ref="H157:N157"/>
    <mergeCell ref="B158:C158"/>
    <mergeCell ref="I158:J158"/>
    <mergeCell ref="B159:C159"/>
    <mergeCell ref="I159:J159"/>
    <mergeCell ref="B160:C160"/>
    <mergeCell ref="I160:J160"/>
    <mergeCell ref="B161:C161"/>
    <mergeCell ref="I161:J161"/>
    <mergeCell ref="B162:C162"/>
    <mergeCell ref="I162:J162"/>
    <mergeCell ref="B163:C163"/>
    <mergeCell ref="I163:J163"/>
    <mergeCell ref="B164:C164"/>
    <mergeCell ref="I164:J164"/>
    <mergeCell ref="B165:C165"/>
    <mergeCell ref="I165:J165"/>
    <mergeCell ref="B166:C166"/>
    <mergeCell ref="I166:J166"/>
    <mergeCell ref="B168:C168"/>
    <mergeCell ref="I168:J168"/>
    <mergeCell ref="B169:C169"/>
    <mergeCell ref="I169:J169"/>
    <mergeCell ref="B170:C170"/>
    <mergeCell ref="I170:J170"/>
    <mergeCell ref="B171:C171"/>
    <mergeCell ref="I171:J171"/>
    <mergeCell ref="B172:C172"/>
    <mergeCell ref="I172:J172"/>
    <mergeCell ref="B173:C173"/>
    <mergeCell ref="I173:J173"/>
    <mergeCell ref="B174:C174"/>
    <mergeCell ref="I174:J174"/>
    <mergeCell ref="B175:C175"/>
    <mergeCell ref="I175:J175"/>
    <mergeCell ref="A177:G177"/>
    <mergeCell ref="A178:B178"/>
    <mergeCell ref="E178:G178"/>
    <mergeCell ref="A179:B179"/>
    <mergeCell ref="C179:E179"/>
    <mergeCell ref="A180:G180"/>
    <mergeCell ref="A181:G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A200:G200"/>
    <mergeCell ref="A201:B201"/>
    <mergeCell ref="E201:G201"/>
    <mergeCell ref="A202:B202"/>
    <mergeCell ref="C202:E202"/>
    <mergeCell ref="A203:G203"/>
    <mergeCell ref="A204:G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A224:G224"/>
    <mergeCell ref="A225:B225"/>
    <mergeCell ref="E225:G225"/>
    <mergeCell ref="A226:B226"/>
    <mergeCell ref="C226:E226"/>
    <mergeCell ref="A227:G227"/>
    <mergeCell ref="A228:G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A251:G251"/>
    <mergeCell ref="A252:B252"/>
    <mergeCell ref="E252:G252"/>
    <mergeCell ref="A253:B253"/>
    <mergeCell ref="C253:E253"/>
    <mergeCell ref="A254:G254"/>
    <mergeCell ref="A255:G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A277:G277"/>
    <mergeCell ref="A278:B278"/>
    <mergeCell ref="E278:G278"/>
    <mergeCell ref="A279:B279"/>
    <mergeCell ref="C279:E279"/>
    <mergeCell ref="A280:G280"/>
    <mergeCell ref="A281:G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A303:G303"/>
    <mergeCell ref="A304:B304"/>
    <mergeCell ref="E304:G304"/>
    <mergeCell ref="A305:B305"/>
    <mergeCell ref="C305:E305"/>
    <mergeCell ref="A306:G306"/>
    <mergeCell ref="A307:G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A329:G329"/>
    <mergeCell ref="A330:B330"/>
    <mergeCell ref="E330:G330"/>
    <mergeCell ref="A331:B331"/>
    <mergeCell ref="C331:E331"/>
    <mergeCell ref="A332:G332"/>
    <mergeCell ref="A333:G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A355:G355"/>
    <mergeCell ref="A356:B356"/>
    <mergeCell ref="E356:G356"/>
    <mergeCell ref="A357:B357"/>
    <mergeCell ref="C357:E357"/>
    <mergeCell ref="A358:G358"/>
    <mergeCell ref="A359:G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A379:G379"/>
    <mergeCell ref="A380:B380"/>
    <mergeCell ref="E380:G380"/>
    <mergeCell ref="A381:B381"/>
    <mergeCell ref="C381:E381"/>
    <mergeCell ref="A382:G382"/>
    <mergeCell ref="A383:G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A407:G407"/>
    <mergeCell ref="A408:B408"/>
    <mergeCell ref="E408:G408"/>
    <mergeCell ref="A409:B409"/>
    <mergeCell ref="C409:E409"/>
    <mergeCell ref="A410:G410"/>
    <mergeCell ref="A411:G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A427:G427"/>
    <mergeCell ref="A428:B428"/>
    <mergeCell ref="E428:G428"/>
    <mergeCell ref="A429:B429"/>
    <mergeCell ref="C429:E429"/>
    <mergeCell ref="A430:G430"/>
    <mergeCell ref="A431:G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A447:G447"/>
    <mergeCell ref="A448:B448"/>
    <mergeCell ref="E448:G448"/>
    <mergeCell ref="A449:B449"/>
    <mergeCell ref="C449:E449"/>
    <mergeCell ref="A450:G450"/>
    <mergeCell ref="A451:G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A467:G467"/>
    <mergeCell ref="A468:B468"/>
    <mergeCell ref="E468:G468"/>
    <mergeCell ref="A469:B469"/>
    <mergeCell ref="C469:E469"/>
    <mergeCell ref="A470:G470"/>
    <mergeCell ref="A471:G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A489:G489"/>
    <mergeCell ref="A490:B490"/>
    <mergeCell ref="E490:G490"/>
    <mergeCell ref="A491:B491"/>
    <mergeCell ref="C491:E491"/>
    <mergeCell ref="A492:G492"/>
    <mergeCell ref="A493:G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A513:G513"/>
    <mergeCell ref="A514:B514"/>
    <mergeCell ref="E514:G514"/>
    <mergeCell ref="A515:B515"/>
    <mergeCell ref="C515:E515"/>
    <mergeCell ref="A516:G516"/>
    <mergeCell ref="A517:G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A536:G536"/>
    <mergeCell ref="A537:B537"/>
    <mergeCell ref="E537:G537"/>
    <mergeCell ref="A538:B538"/>
    <mergeCell ref="C538:E538"/>
    <mergeCell ref="A539:G539"/>
    <mergeCell ref="A540:G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</mergeCells>
  <printOptions horizontalCentered="1"/>
  <pageMargins left="0.78740157480315" right="0.78740157480315" top="0.78740157480315" bottom="0.78740157480315" header="0.511811023622047" footer="0.393700787401575"/>
  <pageSetup paperSize="9" firstPageNumber="34" orientation="portrait" useFirstPageNumber="1"/>
  <headerFooter alignWithMargins="0" scaleWithDoc="0">
    <oddFooter>&amp;C第 &amp;P 页</oddFooter>
  </headerFooter>
  <rowBreaks count="1" manualBreakCount="1">
    <brk id="51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ert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总概算 (合)</vt:lpstr>
      <vt:lpstr>勘测设计、监理费</vt:lpstr>
      <vt:lpstr>测量费</vt:lpstr>
      <vt:lpstr>汇总表</vt:lpstr>
      <vt:lpstr>概算表</vt:lpstr>
      <vt:lpstr>建筑工程概算表2</vt:lpstr>
      <vt:lpstr>兰跃渠金属结构</vt:lpstr>
      <vt:lpstr>单价汇总 3</vt:lpstr>
      <vt:lpstr>土方</vt:lpstr>
      <vt:lpstr>堆砌石</vt:lpstr>
      <vt:lpstr>主材</vt:lpstr>
      <vt:lpstr>混凝土</vt:lpstr>
      <vt:lpstr>混凝土单价</vt:lpstr>
      <vt:lpstr>机械</vt:lpstr>
      <vt:lpstr>费率</vt:lpstr>
      <vt:lpstr>人工</vt:lpstr>
      <vt:lpstr>管材价格</vt:lpstr>
      <vt:lpstr>河道治理工程</vt:lpstr>
      <vt:lpstr>安装工程</vt:lpstr>
      <vt:lpstr>Sheet1</vt:lpstr>
      <vt:lpstr>JYVKNHAY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Administrator</cp:lastModifiedBy>
  <dcterms:created xsi:type="dcterms:W3CDTF">2004-02-29T06:19:00Z</dcterms:created>
  <cp:lastPrinted>2023-07-24T08:37:00Z</cp:lastPrinted>
  <dcterms:modified xsi:type="dcterms:W3CDTF">2023-08-25T01:35:59Z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CF6CD500B6AE42C6AB14A60ECE5D7C0D</vt:lpwstr>
  </property>
  <property fmtid="{D5CDD505-2E9C-101B-9397-08002B2CF9AE}" pid="3" name="KSOProductBuildVer">
    <vt:lpwstr>2052-11.1.0.14309</vt:lpwstr>
  </property>
</Properties>
</file>