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概算汇总表" sheetId="3" r:id="rId1"/>
  </sheets>
  <calcPr calcId="144525"/>
</workbook>
</file>

<file path=xl/sharedStrings.xml><?xml version="1.0" encoding="utf-8"?>
<sst xmlns="http://schemas.openxmlformats.org/spreadsheetml/2006/main" count="189" uniqueCount="89">
  <si>
    <t>投资估算审定表</t>
  </si>
  <si>
    <t>项目名称：平罗县2023年中小学运动场地改造项目</t>
  </si>
  <si>
    <t>序号</t>
  </si>
  <si>
    <t>工程及费用名称</t>
  </si>
  <si>
    <t>概算价值（万元）</t>
  </si>
  <si>
    <t>技术经济指标</t>
  </si>
  <si>
    <t>土建及装修</t>
  </si>
  <si>
    <t>其它费用</t>
  </si>
  <si>
    <t>合计</t>
  </si>
  <si>
    <t>单位</t>
  </si>
  <si>
    <t>面积</t>
  </si>
  <si>
    <t>单位造价（元）</t>
  </si>
  <si>
    <t>一</t>
  </si>
  <si>
    <t>建筑工程费</t>
  </si>
  <si>
    <t>平罗第三中学运动场地改造</t>
  </si>
  <si>
    <t xml:space="preserve"> </t>
  </si>
  <si>
    <t>（一）</t>
  </si>
  <si>
    <t>运动场地改造提升</t>
  </si>
  <si>
    <t>拆除塑胶跑道面层</t>
  </si>
  <si>
    <t>㎡</t>
  </si>
  <si>
    <t>破损基层修复</t>
  </si>
  <si>
    <t>半预制型塑胶跑道</t>
  </si>
  <si>
    <t>标线</t>
  </si>
  <si>
    <t>起跳板</t>
  </si>
  <si>
    <t>组</t>
  </si>
  <si>
    <t>拆除人造草坪面层</t>
  </si>
  <si>
    <t>铺设人造草坪</t>
  </si>
  <si>
    <t>足球架</t>
  </si>
  <si>
    <t>副</t>
  </si>
  <si>
    <t>排水边沟</t>
  </si>
  <si>
    <t>m</t>
  </si>
  <si>
    <t>（二）</t>
  </si>
  <si>
    <t>篮球场地改造提升</t>
  </si>
  <si>
    <t>铺设硅PU</t>
  </si>
  <si>
    <t>篮球架</t>
  </si>
  <si>
    <t>混凝土地面</t>
  </si>
  <si>
    <t>（三）</t>
  </si>
  <si>
    <t>新建速滑场地</t>
  </si>
  <si>
    <t>聚合物陶砂</t>
  </si>
  <si>
    <t>道牙</t>
  </si>
  <si>
    <t>彩钢房</t>
  </si>
  <si>
    <t>二</t>
  </si>
  <si>
    <t>平罗第六中学运动场地改造</t>
  </si>
  <si>
    <t>拆除原有硬化</t>
  </si>
  <si>
    <t>回填土方</t>
  </si>
  <si>
    <t>m³</t>
  </si>
  <si>
    <t>铺设塑胶</t>
  </si>
  <si>
    <t>增设道牙</t>
  </si>
  <si>
    <t>沙坑</t>
  </si>
  <si>
    <t>混凝土硬化球场</t>
  </si>
  <si>
    <t>硅PU篮球场</t>
  </si>
  <si>
    <t>排球架</t>
  </si>
  <si>
    <t>面包砖</t>
  </si>
  <si>
    <t>树池道牙</t>
  </si>
  <si>
    <t>围墙</t>
  </si>
  <si>
    <t>规划路</t>
  </si>
  <si>
    <t>混凝土道路</t>
  </si>
  <si>
    <t>三</t>
  </si>
  <si>
    <t>平罗陶乐中学运动场地改造</t>
  </si>
  <si>
    <t>拆除人工草坪面层</t>
  </si>
  <si>
    <t>铺设塑胶面层</t>
  </si>
  <si>
    <t>混凝土投掷圈</t>
  </si>
  <si>
    <t>健身器材区</t>
  </si>
  <si>
    <t>安全围网</t>
  </si>
  <si>
    <t>四</t>
  </si>
  <si>
    <t>平罗陶乐二小运动场地改造</t>
  </si>
  <si>
    <t>跑道破损基层修复</t>
  </si>
  <si>
    <t>拆除检查井</t>
  </si>
  <si>
    <t>个</t>
  </si>
  <si>
    <t>新建污水</t>
  </si>
  <si>
    <t>混凝土地面更换</t>
  </si>
  <si>
    <t>项目管理费</t>
  </si>
  <si>
    <r>
      <rPr>
        <sz val="11"/>
        <color indexed="8"/>
        <rFont val="宋体"/>
        <charset val="134"/>
      </rPr>
      <t>工程费*0.2</t>
    </r>
    <r>
      <rPr>
        <sz val="11"/>
        <color indexed="8"/>
        <rFont val="宋体"/>
        <charset val="134"/>
      </rPr>
      <t>%</t>
    </r>
  </si>
  <si>
    <t>工程监理费</t>
  </si>
  <si>
    <t>工程费*1.3%</t>
  </si>
  <si>
    <t>工程设计费</t>
  </si>
  <si>
    <r>
      <rPr>
        <sz val="11"/>
        <color indexed="8"/>
        <rFont val="宋体"/>
        <charset val="134"/>
      </rPr>
      <t>工程费*1.95</t>
    </r>
    <r>
      <rPr>
        <sz val="11"/>
        <color indexed="8"/>
        <rFont val="宋体"/>
        <charset val="134"/>
      </rPr>
      <t>%</t>
    </r>
  </si>
  <si>
    <t>测量费</t>
  </si>
  <si>
    <r>
      <rPr>
        <sz val="11"/>
        <color indexed="8"/>
        <rFont val="宋体"/>
        <charset val="134"/>
      </rPr>
      <t>工程费*0.</t>
    </r>
    <r>
      <rPr>
        <sz val="11"/>
        <color indexed="8"/>
        <rFont val="宋体"/>
        <charset val="134"/>
      </rPr>
      <t>25</t>
    </r>
    <r>
      <rPr>
        <sz val="11"/>
        <color indexed="8"/>
        <rFont val="宋体"/>
        <charset val="134"/>
      </rPr>
      <t>%</t>
    </r>
  </si>
  <si>
    <t>编制清单及招标控制价</t>
  </si>
  <si>
    <r>
      <rPr>
        <sz val="11"/>
        <color indexed="8"/>
        <rFont val="宋体"/>
        <charset val="134"/>
      </rPr>
      <t>工程费*0.5</t>
    </r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%</t>
    </r>
  </si>
  <si>
    <t>竣工结算费（跟踪审计）</t>
  </si>
  <si>
    <r>
      <rPr>
        <sz val="11"/>
        <color indexed="8"/>
        <rFont val="宋体"/>
        <charset val="134"/>
      </rPr>
      <t>工程费*0.6</t>
    </r>
    <r>
      <rPr>
        <sz val="11"/>
        <color indexed="8"/>
        <rFont val="宋体"/>
        <charset val="134"/>
      </rPr>
      <t>%</t>
    </r>
  </si>
  <si>
    <t>招投标代理服务费</t>
  </si>
  <si>
    <r>
      <rPr>
        <sz val="11"/>
        <color indexed="8"/>
        <rFont val="宋体"/>
        <charset val="134"/>
      </rPr>
      <t>工程费*0.</t>
    </r>
    <r>
      <rPr>
        <sz val="11"/>
        <color indexed="8"/>
        <rFont val="宋体"/>
        <charset val="134"/>
      </rPr>
      <t>4</t>
    </r>
    <r>
      <rPr>
        <sz val="11"/>
        <color indexed="8"/>
        <rFont val="宋体"/>
        <charset val="134"/>
      </rPr>
      <t>5%</t>
    </r>
  </si>
  <si>
    <t>检验实验费</t>
  </si>
  <si>
    <t>工程费*0.185%</t>
  </si>
  <si>
    <t>预备费</t>
  </si>
  <si>
    <t>总投资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</si>
</sst>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topLeftCell="A54" workbookViewId="0">
      <selection activeCell="M65" sqref="M65"/>
    </sheetView>
  </sheetViews>
  <sheetFormatPr defaultColWidth="9" defaultRowHeight="14.4" outlineLevelCol="7"/>
  <cols>
    <col min="1" max="1" width="6.22222222222222" customWidth="1"/>
    <col min="2" max="2" width="22" customWidth="1"/>
    <col min="3" max="3" width="10.5555555555556" customWidth="1"/>
    <col min="4" max="4" width="8" customWidth="1"/>
    <col min="5" max="5" width="9.77777777777778" customWidth="1"/>
    <col min="6" max="6" width="8.11111111111111" customWidth="1"/>
    <col min="7" max="7" width="11.1111111111111" style="2" customWidth="1"/>
    <col min="8" max="8" width="12.5555555555556" customWidth="1"/>
  </cols>
  <sheetData>
    <row r="1" ht="25" customHeight="1" spans="1:8">
      <c r="A1" s="3" t="s">
        <v>0</v>
      </c>
      <c r="B1" s="3"/>
      <c r="C1" s="4"/>
      <c r="D1" s="3"/>
      <c r="E1" s="4"/>
      <c r="F1" s="4"/>
      <c r="G1" s="4"/>
      <c r="H1" s="4"/>
    </row>
    <row r="2" ht="2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pans="1:8">
      <c r="A3" s="7" t="s">
        <v>2</v>
      </c>
      <c r="B3" s="8" t="s">
        <v>3</v>
      </c>
      <c r="C3" s="9" t="s">
        <v>4</v>
      </c>
      <c r="D3" s="10"/>
      <c r="E3" s="11"/>
      <c r="F3" s="12" t="s">
        <v>5</v>
      </c>
      <c r="G3" s="12"/>
      <c r="H3" s="9"/>
    </row>
    <row r="4" spans="1:8">
      <c r="A4" s="7"/>
      <c r="B4" s="8"/>
      <c r="C4" s="9" t="s">
        <v>6</v>
      </c>
      <c r="D4" s="7" t="s">
        <v>7</v>
      </c>
      <c r="E4" s="9" t="s">
        <v>8</v>
      </c>
      <c r="F4" s="12" t="s">
        <v>9</v>
      </c>
      <c r="G4" s="9" t="s">
        <v>10</v>
      </c>
      <c r="H4" s="9" t="s">
        <v>11</v>
      </c>
    </row>
    <row r="5" spans="1:8">
      <c r="A5" s="12" t="s">
        <v>12</v>
      </c>
      <c r="B5" s="13" t="s">
        <v>13</v>
      </c>
      <c r="C5" s="14">
        <f>C6+C28+C49+C66</f>
        <v>1502.562223</v>
      </c>
      <c r="D5" s="12"/>
      <c r="E5" s="14">
        <f>C5</f>
        <v>1502.562223</v>
      </c>
      <c r="F5" s="12"/>
      <c r="G5" s="9"/>
      <c r="H5" s="9"/>
    </row>
    <row r="6" ht="31" customHeight="1" spans="1:8">
      <c r="A6" s="15" t="s">
        <v>12</v>
      </c>
      <c r="B6" s="16" t="s">
        <v>14</v>
      </c>
      <c r="C6" s="14">
        <f>C7+C17+C22</f>
        <v>497.000589</v>
      </c>
      <c r="D6" s="12"/>
      <c r="E6" s="14" t="s">
        <v>15</v>
      </c>
      <c r="F6" s="12"/>
      <c r="G6" s="9">
        <v>715</v>
      </c>
      <c r="H6" s="9"/>
    </row>
    <row r="7" ht="15.6" spans="1:8">
      <c r="A7" s="15" t="s">
        <v>16</v>
      </c>
      <c r="B7" s="17" t="s">
        <v>17</v>
      </c>
      <c r="C7" s="9">
        <f>SUM(C8:C16)</f>
        <v>433.660439</v>
      </c>
      <c r="D7" s="12"/>
      <c r="E7" s="12"/>
      <c r="F7" s="12" t="s">
        <v>15</v>
      </c>
      <c r="G7" s="9"/>
      <c r="H7" s="18" t="s">
        <v>15</v>
      </c>
    </row>
    <row r="8" ht="15.6" spans="1:8">
      <c r="A8" s="19">
        <v>1</v>
      </c>
      <c r="B8" s="20" t="s">
        <v>18</v>
      </c>
      <c r="C8" s="21">
        <f>110888.48/10000</f>
        <v>11.088848</v>
      </c>
      <c r="D8" s="7"/>
      <c r="E8" s="7"/>
      <c r="F8" s="19" t="s">
        <v>19</v>
      </c>
      <c r="G8" s="22">
        <v>6408</v>
      </c>
      <c r="H8" s="23">
        <f>C8/G8*10000</f>
        <v>17.3046941323346</v>
      </c>
    </row>
    <row r="9" ht="15.6" spans="1:8">
      <c r="A9" s="19">
        <v>2</v>
      </c>
      <c r="B9" s="20" t="s">
        <v>20</v>
      </c>
      <c r="C9" s="21">
        <f>433613.25/10000</f>
        <v>43.361325</v>
      </c>
      <c r="D9" s="12"/>
      <c r="E9" s="14"/>
      <c r="F9" s="24" t="s">
        <v>19</v>
      </c>
      <c r="G9" s="22">
        <v>1922.4</v>
      </c>
      <c r="H9" s="23">
        <f t="shared" ref="H9:H16" si="0">C9/G9*10000</f>
        <v>225.558286516854</v>
      </c>
    </row>
    <row r="10" s="1" customFormat="1" ht="15.6" spans="1:8">
      <c r="A10" s="24">
        <v>3</v>
      </c>
      <c r="B10" s="25" t="s">
        <v>21</v>
      </c>
      <c r="C10" s="9">
        <f>1737603.55/10000</f>
        <v>173.760355</v>
      </c>
      <c r="D10" s="12"/>
      <c r="E10" s="14"/>
      <c r="F10" s="24" t="s">
        <v>19</v>
      </c>
      <c r="G10" s="26">
        <v>6408</v>
      </c>
      <c r="H10" s="18">
        <f t="shared" si="0"/>
        <v>271.161602684145</v>
      </c>
    </row>
    <row r="11" s="1" customFormat="1" ht="15.6" spans="1:8">
      <c r="A11" s="19">
        <v>4</v>
      </c>
      <c r="B11" s="25" t="s">
        <v>22</v>
      </c>
      <c r="C11" s="21">
        <f>16323.38/10000</f>
        <v>1.632338</v>
      </c>
      <c r="D11" s="12"/>
      <c r="E11" s="12"/>
      <c r="F11" s="24" t="s">
        <v>19</v>
      </c>
      <c r="G11" s="26">
        <v>339</v>
      </c>
      <c r="H11" s="23">
        <f t="shared" si="0"/>
        <v>48.1515634218289</v>
      </c>
    </row>
    <row r="12" s="1" customFormat="1" ht="15.6" spans="1:8">
      <c r="A12" s="19">
        <v>5</v>
      </c>
      <c r="B12" s="25" t="s">
        <v>23</v>
      </c>
      <c r="C12" s="21">
        <f>1090/10000</f>
        <v>0.109</v>
      </c>
      <c r="D12" s="12"/>
      <c r="E12" s="12"/>
      <c r="F12" s="24" t="s">
        <v>24</v>
      </c>
      <c r="G12" s="26">
        <v>2</v>
      </c>
      <c r="H12" s="23">
        <f t="shared" si="0"/>
        <v>545</v>
      </c>
    </row>
    <row r="13" s="1" customFormat="1" ht="15.6" spans="1:8">
      <c r="A13" s="19">
        <v>6</v>
      </c>
      <c r="B13" s="25" t="s">
        <v>25</v>
      </c>
      <c r="C13" s="21">
        <f>118857.03/10000</f>
        <v>11.885703</v>
      </c>
      <c r="D13" s="12"/>
      <c r="E13" s="12"/>
      <c r="F13" s="24" t="s">
        <v>19</v>
      </c>
      <c r="G13" s="26">
        <v>7732</v>
      </c>
      <c r="H13" s="23">
        <f t="shared" si="0"/>
        <v>15.3720938954992</v>
      </c>
    </row>
    <row r="14" s="1" customFormat="1" ht="15.6" spans="1:8">
      <c r="A14" s="19">
        <v>7</v>
      </c>
      <c r="B14" s="25" t="s">
        <v>26</v>
      </c>
      <c r="C14" s="21">
        <f>1698665.17/10000</f>
        <v>169.866517</v>
      </c>
      <c r="D14" s="12"/>
      <c r="E14" s="12"/>
      <c r="F14" s="24" t="s">
        <v>19</v>
      </c>
      <c r="G14" s="26">
        <v>7732</v>
      </c>
      <c r="H14" s="23">
        <f t="shared" si="0"/>
        <v>219.692856958096</v>
      </c>
    </row>
    <row r="15" s="1" customFormat="1" ht="15.6" spans="1:8">
      <c r="A15" s="19">
        <v>8</v>
      </c>
      <c r="B15" s="25" t="s">
        <v>27</v>
      </c>
      <c r="C15" s="21">
        <f>2180/10000</f>
        <v>0.218</v>
      </c>
      <c r="D15" s="12"/>
      <c r="E15" s="12"/>
      <c r="F15" s="24" t="s">
        <v>28</v>
      </c>
      <c r="G15" s="26">
        <v>1</v>
      </c>
      <c r="H15" s="23">
        <f t="shared" si="0"/>
        <v>2180</v>
      </c>
    </row>
    <row r="16" s="1" customFormat="1" ht="15.6" spans="1:8">
      <c r="A16" s="19">
        <v>9</v>
      </c>
      <c r="B16" s="25" t="s">
        <v>29</v>
      </c>
      <c r="C16" s="21">
        <f>217383.53/10000</f>
        <v>21.738353</v>
      </c>
      <c r="D16" s="12"/>
      <c r="E16" s="12"/>
      <c r="F16" s="24" t="s">
        <v>30</v>
      </c>
      <c r="G16" s="26">
        <v>401</v>
      </c>
      <c r="H16" s="23">
        <f t="shared" si="0"/>
        <v>542.103566084788</v>
      </c>
    </row>
    <row r="17" ht="15.6" spans="1:8">
      <c r="A17" s="15" t="s">
        <v>31</v>
      </c>
      <c r="B17" s="17" t="s">
        <v>32</v>
      </c>
      <c r="C17" s="9">
        <f>SUM(C18:C21)</f>
        <v>13.978297</v>
      </c>
      <c r="D17" s="12"/>
      <c r="E17" s="15"/>
      <c r="F17" s="15"/>
      <c r="G17" s="27"/>
      <c r="H17" s="23"/>
    </row>
    <row r="18" ht="15.6" spans="1:8">
      <c r="A18" s="19">
        <v>1</v>
      </c>
      <c r="B18" s="20" t="s">
        <v>33</v>
      </c>
      <c r="C18" s="21">
        <f>125632.04/10000</f>
        <v>12.563204</v>
      </c>
      <c r="D18" s="7"/>
      <c r="E18" s="9"/>
      <c r="F18" s="19" t="s">
        <v>19</v>
      </c>
      <c r="G18" s="22">
        <v>558</v>
      </c>
      <c r="H18" s="23">
        <f t="shared" ref="H18:H21" si="1">C18/G18*10000</f>
        <v>225.147025089606</v>
      </c>
    </row>
    <row r="19" s="1" customFormat="1" ht="15.6" spans="1:8">
      <c r="A19" s="24">
        <v>2</v>
      </c>
      <c r="B19" s="25" t="s">
        <v>34</v>
      </c>
      <c r="C19" s="21">
        <f>4360/10000</f>
        <v>0.436</v>
      </c>
      <c r="D19" s="12"/>
      <c r="E19" s="14"/>
      <c r="F19" s="24" t="s">
        <v>28</v>
      </c>
      <c r="G19" s="26">
        <v>1</v>
      </c>
      <c r="H19" s="23">
        <f t="shared" si="1"/>
        <v>4360</v>
      </c>
    </row>
    <row r="20" ht="15.6" spans="1:8">
      <c r="A20" s="19">
        <v>3</v>
      </c>
      <c r="B20" s="25" t="s">
        <v>22</v>
      </c>
      <c r="C20" s="21">
        <f>769.8/10000</f>
        <v>0.07698</v>
      </c>
      <c r="D20" s="12"/>
      <c r="E20" s="12"/>
      <c r="F20" s="24" t="s">
        <v>19</v>
      </c>
      <c r="G20" s="22">
        <v>16</v>
      </c>
      <c r="H20" s="23">
        <f t="shared" si="1"/>
        <v>48.1125</v>
      </c>
    </row>
    <row r="21" ht="15.6" spans="1:8">
      <c r="A21" s="19">
        <v>4</v>
      </c>
      <c r="B21" s="25" t="s">
        <v>35</v>
      </c>
      <c r="C21" s="21">
        <f>9021.13/10000</f>
        <v>0.902113</v>
      </c>
      <c r="D21" s="12"/>
      <c r="E21" s="12"/>
      <c r="F21" s="24" t="s">
        <v>19</v>
      </c>
      <c r="G21" s="22">
        <v>68.5</v>
      </c>
      <c r="H21" s="23">
        <f t="shared" si="1"/>
        <v>131.695328467153</v>
      </c>
    </row>
    <row r="22" ht="15.6" spans="1:8">
      <c r="A22" s="15" t="s">
        <v>36</v>
      </c>
      <c r="B22" s="17" t="s">
        <v>37</v>
      </c>
      <c r="C22" s="9">
        <f>SUM(C23:C27)</f>
        <v>49.361853</v>
      </c>
      <c r="D22" s="12"/>
      <c r="E22" s="12"/>
      <c r="F22" s="15"/>
      <c r="G22" s="27"/>
      <c r="H22" s="23"/>
    </row>
    <row r="23" ht="15.6" spans="1:8">
      <c r="A23" s="19">
        <v>1</v>
      </c>
      <c r="B23" s="20" t="s">
        <v>38</v>
      </c>
      <c r="C23" s="21">
        <f>379567.6/10000</f>
        <v>37.95676</v>
      </c>
      <c r="D23" s="7"/>
      <c r="E23" s="7"/>
      <c r="F23" s="19" t="s">
        <v>19</v>
      </c>
      <c r="G23" s="22">
        <v>1981.03</v>
      </c>
      <c r="H23" s="23">
        <f t="shared" ref="H23:H27" si="2">C23/G23*10000</f>
        <v>191.601136782381</v>
      </c>
    </row>
    <row r="24" ht="15.6" spans="1:8">
      <c r="A24" s="19">
        <v>2</v>
      </c>
      <c r="B24" s="20" t="s">
        <v>29</v>
      </c>
      <c r="C24" s="21">
        <f>65736.09/10000</f>
        <v>6.573609</v>
      </c>
      <c r="D24" s="7"/>
      <c r="E24" s="7"/>
      <c r="F24" s="19" t="s">
        <v>30</v>
      </c>
      <c r="G24" s="22">
        <v>122</v>
      </c>
      <c r="H24" s="23">
        <f t="shared" si="2"/>
        <v>538.820409836066</v>
      </c>
    </row>
    <row r="25" ht="15.6" spans="1:8">
      <c r="A25" s="19">
        <v>3</v>
      </c>
      <c r="B25" s="20" t="s">
        <v>22</v>
      </c>
      <c r="C25" s="21">
        <f>2696.47/10000</f>
        <v>0.269647</v>
      </c>
      <c r="D25" s="7"/>
      <c r="E25" s="9"/>
      <c r="F25" s="19" t="s">
        <v>19</v>
      </c>
      <c r="G25" s="22">
        <v>56</v>
      </c>
      <c r="H25" s="23">
        <f t="shared" si="2"/>
        <v>48.15125</v>
      </c>
    </row>
    <row r="26" ht="15.6" spans="1:8">
      <c r="A26" s="19">
        <v>4</v>
      </c>
      <c r="B26" s="20" t="s">
        <v>39</v>
      </c>
      <c r="C26" s="21">
        <f>5233.87/10000</f>
        <v>0.523387</v>
      </c>
      <c r="D26" s="7"/>
      <c r="E26" s="28"/>
      <c r="F26" s="19" t="s">
        <v>30</v>
      </c>
      <c r="G26" s="22">
        <v>163</v>
      </c>
      <c r="H26" s="23">
        <f t="shared" si="2"/>
        <v>32.1096319018405</v>
      </c>
    </row>
    <row r="27" ht="15.6" spans="1:8">
      <c r="A27" s="19">
        <v>5</v>
      </c>
      <c r="B27" s="20" t="s">
        <v>40</v>
      </c>
      <c r="C27" s="21">
        <f>40384.5/10000</f>
        <v>4.03845</v>
      </c>
      <c r="D27" s="7"/>
      <c r="E27" s="28"/>
      <c r="F27" s="19" t="s">
        <v>19</v>
      </c>
      <c r="G27" s="9">
        <v>123.5</v>
      </c>
      <c r="H27" s="23">
        <f t="shared" si="2"/>
        <v>327</v>
      </c>
    </row>
    <row r="28" ht="33" customHeight="1" spans="1:8">
      <c r="A28" s="15" t="s">
        <v>41</v>
      </c>
      <c r="B28" s="16" t="s">
        <v>42</v>
      </c>
      <c r="C28" s="9">
        <f>C29+C47</f>
        <v>466.263157</v>
      </c>
      <c r="D28" s="12"/>
      <c r="E28" s="9" t="s">
        <v>15</v>
      </c>
      <c r="F28" s="15"/>
      <c r="G28" s="27"/>
      <c r="H28" s="15" t="s">
        <v>15</v>
      </c>
    </row>
    <row r="29" ht="15.6" spans="1:8">
      <c r="A29" s="15" t="s">
        <v>16</v>
      </c>
      <c r="B29" s="17" t="s">
        <v>17</v>
      </c>
      <c r="C29" s="9">
        <f>SUM(C30:C46)</f>
        <v>460.358516</v>
      </c>
      <c r="D29" s="12"/>
      <c r="E29" s="9"/>
      <c r="F29" s="15"/>
      <c r="G29" s="27"/>
      <c r="H29" s="15" t="s">
        <v>15</v>
      </c>
    </row>
    <row r="30" ht="15.6" spans="1:8">
      <c r="A30" s="19">
        <v>1</v>
      </c>
      <c r="B30" s="20" t="s">
        <v>43</v>
      </c>
      <c r="C30" s="21">
        <f>331883.31/10000</f>
        <v>33.188331</v>
      </c>
      <c r="D30" s="7"/>
      <c r="E30" s="9"/>
      <c r="F30" s="19" t="s">
        <v>19</v>
      </c>
      <c r="G30" s="29">
        <v>16226</v>
      </c>
      <c r="H30" s="23">
        <f>C30/G30*10000</f>
        <v>20.4537969924812</v>
      </c>
    </row>
    <row r="31" ht="15.6" spans="1:8">
      <c r="A31" s="19">
        <v>2</v>
      </c>
      <c r="B31" s="25" t="s">
        <v>44</v>
      </c>
      <c r="C31" s="21">
        <f>119810.24/10000</f>
        <v>11.981024</v>
      </c>
      <c r="D31" s="12"/>
      <c r="E31" s="9"/>
      <c r="F31" s="24" t="s">
        <v>45</v>
      </c>
      <c r="G31" s="29">
        <v>4867.8</v>
      </c>
      <c r="H31" s="23">
        <f>C31/G31*10000</f>
        <v>24.6128107153129</v>
      </c>
    </row>
    <row r="32" ht="15.6" spans="1:8">
      <c r="A32" s="19">
        <v>3</v>
      </c>
      <c r="B32" s="25" t="s">
        <v>46</v>
      </c>
      <c r="C32" s="21">
        <f>1208615.65/10000</f>
        <v>120.861565</v>
      </c>
      <c r="D32" s="12"/>
      <c r="E32" s="9"/>
      <c r="F32" s="24" t="s">
        <v>19</v>
      </c>
      <c r="G32" s="29">
        <v>3147.47</v>
      </c>
      <c r="H32" s="23">
        <f>C32/G32*10000</f>
        <v>383.995923710155</v>
      </c>
    </row>
    <row r="33" ht="15.6" spans="1:8">
      <c r="A33" s="19">
        <v>4</v>
      </c>
      <c r="B33" s="25" t="s">
        <v>22</v>
      </c>
      <c r="C33" s="21">
        <f>11845.3/10000</f>
        <v>1.18453</v>
      </c>
      <c r="D33" s="12"/>
      <c r="E33" s="9"/>
      <c r="F33" s="24" t="s">
        <v>19</v>
      </c>
      <c r="G33" s="29">
        <v>246</v>
      </c>
      <c r="H33" s="23">
        <f t="shared" ref="H33:H39" si="3">C33/G33*10000</f>
        <v>48.1516260162602</v>
      </c>
    </row>
    <row r="34" ht="15.6" spans="1:8">
      <c r="A34" s="19">
        <v>5</v>
      </c>
      <c r="B34" s="25" t="s">
        <v>47</v>
      </c>
      <c r="C34" s="21">
        <f>13293.48/10000</f>
        <v>1.329348</v>
      </c>
      <c r="D34" s="12"/>
      <c r="E34" s="9"/>
      <c r="F34" s="24" t="s">
        <v>30</v>
      </c>
      <c r="G34" s="29">
        <v>414</v>
      </c>
      <c r="H34" s="23">
        <f t="shared" si="3"/>
        <v>32.1098550724638</v>
      </c>
    </row>
    <row r="35" ht="15.6" spans="1:8">
      <c r="A35" s="19">
        <v>6</v>
      </c>
      <c r="B35" s="25" t="s">
        <v>23</v>
      </c>
      <c r="C35" s="21">
        <f>1090/10000</f>
        <v>0.109</v>
      </c>
      <c r="D35" s="12"/>
      <c r="E35" s="9"/>
      <c r="F35" s="24" t="s">
        <v>24</v>
      </c>
      <c r="G35" s="29">
        <v>2</v>
      </c>
      <c r="H35" s="23">
        <f t="shared" si="3"/>
        <v>545</v>
      </c>
    </row>
    <row r="36" ht="15.6" spans="1:8">
      <c r="A36" s="19">
        <v>7</v>
      </c>
      <c r="B36" s="20" t="s">
        <v>48</v>
      </c>
      <c r="C36" s="21">
        <f>8829/10000</f>
        <v>0.8829</v>
      </c>
      <c r="D36" s="7"/>
      <c r="E36" s="9"/>
      <c r="F36" s="19" t="s">
        <v>19</v>
      </c>
      <c r="G36" s="29">
        <v>27</v>
      </c>
      <c r="H36" s="23">
        <f t="shared" si="3"/>
        <v>327</v>
      </c>
    </row>
    <row r="37" ht="15.6" spans="1:8">
      <c r="A37" s="19">
        <v>8</v>
      </c>
      <c r="B37" s="25" t="s">
        <v>26</v>
      </c>
      <c r="C37" s="21">
        <f>1453466.75/10000</f>
        <v>145.346675</v>
      </c>
      <c r="D37" s="12"/>
      <c r="E37" s="9"/>
      <c r="F37" s="24" t="s">
        <v>19</v>
      </c>
      <c r="G37" s="29">
        <v>4756.24</v>
      </c>
      <c r="H37" s="23">
        <f t="shared" si="3"/>
        <v>305.591549206937</v>
      </c>
    </row>
    <row r="38" s="1" customFormat="1" ht="15.6" spans="1:8">
      <c r="A38" s="19">
        <v>9</v>
      </c>
      <c r="B38" s="25" t="s">
        <v>27</v>
      </c>
      <c r="C38" s="21">
        <f>2180/10000</f>
        <v>0.218</v>
      </c>
      <c r="D38" s="12"/>
      <c r="E38" s="12"/>
      <c r="F38" s="24" t="s">
        <v>28</v>
      </c>
      <c r="G38" s="26">
        <v>1</v>
      </c>
      <c r="H38" s="23">
        <f t="shared" si="3"/>
        <v>2180</v>
      </c>
    </row>
    <row r="39" s="1" customFormat="1" ht="15.6" spans="1:8">
      <c r="A39" s="19">
        <v>10</v>
      </c>
      <c r="B39" s="30" t="s">
        <v>29</v>
      </c>
      <c r="C39" s="21">
        <f>159793.31/10000</f>
        <v>15.979331</v>
      </c>
      <c r="D39" s="12"/>
      <c r="E39" s="9"/>
      <c r="F39" s="24" t="s">
        <v>30</v>
      </c>
      <c r="G39" s="31">
        <v>293</v>
      </c>
      <c r="H39" s="23">
        <f t="shared" si="3"/>
        <v>545.369658703072</v>
      </c>
    </row>
    <row r="40" ht="15.6" spans="1:8">
      <c r="A40" s="19">
        <v>11</v>
      </c>
      <c r="B40" s="32" t="s">
        <v>49</v>
      </c>
      <c r="C40" s="21">
        <f>527957.07/10000</f>
        <v>52.795707</v>
      </c>
      <c r="D40" s="7"/>
      <c r="E40" s="9"/>
      <c r="F40" s="24" t="s">
        <v>19</v>
      </c>
      <c r="G40" s="29">
        <v>4005.2</v>
      </c>
      <c r="H40" s="23">
        <f t="shared" ref="H40:H46" si="4">C40/G40*10000</f>
        <v>131.817904224508</v>
      </c>
    </row>
    <row r="41" ht="15.6" spans="1:8">
      <c r="A41" s="19">
        <v>12</v>
      </c>
      <c r="B41" s="32" t="s">
        <v>50</v>
      </c>
      <c r="C41" s="21">
        <f>168385.06/10000</f>
        <v>16.838506</v>
      </c>
      <c r="D41" s="7"/>
      <c r="E41" s="9"/>
      <c r="F41" s="24" t="s">
        <v>19</v>
      </c>
      <c r="G41" s="29">
        <v>525.12</v>
      </c>
      <c r="H41" s="23">
        <f t="shared" si="4"/>
        <v>320.660153869592</v>
      </c>
    </row>
    <row r="42" ht="15.6" spans="1:8">
      <c r="A42" s="19">
        <v>13</v>
      </c>
      <c r="B42" s="32" t="s">
        <v>34</v>
      </c>
      <c r="C42" s="21">
        <f>8720/10000</f>
        <v>0.872</v>
      </c>
      <c r="D42" s="7"/>
      <c r="E42" s="9"/>
      <c r="F42" s="24" t="s">
        <v>28</v>
      </c>
      <c r="G42" s="29">
        <v>2</v>
      </c>
      <c r="H42" s="23">
        <f t="shared" si="4"/>
        <v>4360</v>
      </c>
    </row>
    <row r="43" ht="15.6" spans="1:8">
      <c r="A43" s="19">
        <v>14</v>
      </c>
      <c r="B43" s="32" t="s">
        <v>51</v>
      </c>
      <c r="C43" s="21">
        <f>3008.4/10000</f>
        <v>0.30084</v>
      </c>
      <c r="D43" s="7"/>
      <c r="E43" s="9"/>
      <c r="F43" s="24" t="s">
        <v>24</v>
      </c>
      <c r="G43" s="29">
        <v>2</v>
      </c>
      <c r="H43" s="23">
        <f t="shared" si="4"/>
        <v>1504.2</v>
      </c>
    </row>
    <row r="44" ht="15.6" spans="1:8">
      <c r="A44" s="19">
        <v>15</v>
      </c>
      <c r="B44" s="25" t="s">
        <v>52</v>
      </c>
      <c r="C44" s="21">
        <f>498059.72/10000</f>
        <v>49.805972</v>
      </c>
      <c r="D44" s="12"/>
      <c r="E44" s="9"/>
      <c r="F44" s="24" t="s">
        <v>19</v>
      </c>
      <c r="G44" s="29">
        <v>3406.73</v>
      </c>
      <c r="H44" s="23">
        <f t="shared" si="4"/>
        <v>146.198765384988</v>
      </c>
    </row>
    <row r="45" s="1" customFormat="1" ht="15.6" spans="1:8">
      <c r="A45" s="19">
        <v>16</v>
      </c>
      <c r="B45" s="25" t="s">
        <v>53</v>
      </c>
      <c r="C45" s="21">
        <f>3589.87/10000</f>
        <v>0.358987</v>
      </c>
      <c r="D45" s="12"/>
      <c r="E45" s="9"/>
      <c r="F45" s="24" t="s">
        <v>30</v>
      </c>
      <c r="G45" s="31">
        <v>96</v>
      </c>
      <c r="H45" s="23">
        <f t="shared" si="4"/>
        <v>37.3944791666667</v>
      </c>
    </row>
    <row r="46" ht="15.6" spans="1:8">
      <c r="A46" s="19">
        <v>17</v>
      </c>
      <c r="B46" s="20" t="s">
        <v>54</v>
      </c>
      <c r="C46" s="21">
        <f>83058/10000</f>
        <v>8.3058</v>
      </c>
      <c r="D46" s="7"/>
      <c r="E46" s="9"/>
      <c r="F46" s="19" t="s">
        <v>30</v>
      </c>
      <c r="G46" s="29">
        <v>254</v>
      </c>
      <c r="H46" s="23">
        <f t="shared" si="4"/>
        <v>327</v>
      </c>
    </row>
    <row r="47" ht="15.6" spans="1:8">
      <c r="A47" s="15" t="s">
        <v>31</v>
      </c>
      <c r="B47" s="17" t="s">
        <v>55</v>
      </c>
      <c r="C47" s="9">
        <f>SUM(C48:C48)</f>
        <v>5.904641</v>
      </c>
      <c r="D47" s="12"/>
      <c r="E47" s="9"/>
      <c r="F47" s="15"/>
      <c r="G47" s="27"/>
      <c r="H47" s="11"/>
    </row>
    <row r="48" s="1" customFormat="1" ht="15.6" spans="1:8">
      <c r="A48" s="24">
        <v>1</v>
      </c>
      <c r="B48" s="33" t="s">
        <v>56</v>
      </c>
      <c r="C48" s="9">
        <f>59046.41/10000</f>
        <v>5.904641</v>
      </c>
      <c r="D48" s="12"/>
      <c r="E48" s="9"/>
      <c r="F48" s="24" t="s">
        <v>19</v>
      </c>
      <c r="G48" s="26">
        <v>402</v>
      </c>
      <c r="H48" s="11">
        <f>C48/G48*10000</f>
        <v>146.881616915423</v>
      </c>
    </row>
    <row r="49" ht="33" customHeight="1" spans="1:8">
      <c r="A49" s="15" t="s">
        <v>57</v>
      </c>
      <c r="B49" s="16" t="s">
        <v>58</v>
      </c>
      <c r="C49" s="9">
        <f>C50+C62</f>
        <v>314.615224</v>
      </c>
      <c r="D49" s="12"/>
      <c r="E49" s="9"/>
      <c r="F49" s="24"/>
      <c r="G49" s="26"/>
      <c r="H49" s="11"/>
    </row>
    <row r="50" ht="15.6" spans="1:8">
      <c r="A50" s="15" t="s">
        <v>16</v>
      </c>
      <c r="B50" s="17" t="s">
        <v>17</v>
      </c>
      <c r="C50" s="9">
        <f>SUM(C51:C61)</f>
        <v>277.829454</v>
      </c>
      <c r="D50" s="12"/>
      <c r="E50" s="9"/>
      <c r="F50" s="24"/>
      <c r="G50" s="26"/>
      <c r="H50" s="11"/>
    </row>
    <row r="51" ht="15.6" spans="1:8">
      <c r="A51" s="19">
        <v>1</v>
      </c>
      <c r="B51" s="20" t="s">
        <v>18</v>
      </c>
      <c r="C51" s="21">
        <f>57007.56/10000</f>
        <v>5.700756</v>
      </c>
      <c r="D51" s="7"/>
      <c r="E51" s="9"/>
      <c r="F51" s="19" t="s">
        <v>19</v>
      </c>
      <c r="G51" s="22">
        <v>3294.34</v>
      </c>
      <c r="H51" s="23">
        <f>C51/G51*10000</f>
        <v>17.304698361432</v>
      </c>
    </row>
    <row r="52" ht="15.6" spans="1:8">
      <c r="A52" s="19">
        <v>2</v>
      </c>
      <c r="B52" s="20" t="s">
        <v>59</v>
      </c>
      <c r="C52" s="21">
        <f>107481.1/10000</f>
        <v>10.74811</v>
      </c>
      <c r="D52" s="7"/>
      <c r="E52" s="9"/>
      <c r="F52" s="19" t="s">
        <v>19</v>
      </c>
      <c r="G52" s="22">
        <v>5780.7</v>
      </c>
      <c r="H52" s="23">
        <f t="shared" ref="H52:H58" si="5">C52/G52*10000</f>
        <v>18.5930942619406</v>
      </c>
    </row>
    <row r="53" ht="21" customHeight="1" spans="1:8">
      <c r="A53" s="19">
        <v>3</v>
      </c>
      <c r="B53" s="20" t="s">
        <v>20</v>
      </c>
      <c r="C53" s="21">
        <f>230559.59/10000</f>
        <v>23.055959</v>
      </c>
      <c r="D53" s="12"/>
      <c r="E53" s="14"/>
      <c r="F53" s="24" t="s">
        <v>19</v>
      </c>
      <c r="G53" s="22">
        <v>988.3</v>
      </c>
      <c r="H53" s="23">
        <f t="shared" si="5"/>
        <v>233.289072144086</v>
      </c>
    </row>
    <row r="54" ht="15.6" spans="1:8">
      <c r="A54" s="19">
        <v>4</v>
      </c>
      <c r="B54" s="20" t="s">
        <v>60</v>
      </c>
      <c r="C54" s="21">
        <f>901288.06/10000</f>
        <v>90.128806</v>
      </c>
      <c r="D54" s="7"/>
      <c r="E54" s="9"/>
      <c r="F54" s="19" t="s">
        <v>19</v>
      </c>
      <c r="G54" s="22">
        <v>3294.34</v>
      </c>
      <c r="H54" s="23">
        <f t="shared" si="5"/>
        <v>273.586836817086</v>
      </c>
    </row>
    <row r="55" ht="15.6" spans="1:8">
      <c r="A55" s="19">
        <v>5</v>
      </c>
      <c r="B55" s="20" t="s">
        <v>22</v>
      </c>
      <c r="C55" s="21">
        <f>12760.15/10000</f>
        <v>1.276015</v>
      </c>
      <c r="D55" s="7"/>
      <c r="E55" s="9"/>
      <c r="F55" s="19" t="s">
        <v>19</v>
      </c>
      <c r="G55" s="22">
        <v>265</v>
      </c>
      <c r="H55" s="23">
        <f t="shared" si="5"/>
        <v>48.1515094339623</v>
      </c>
    </row>
    <row r="56" ht="15.6" spans="1:8">
      <c r="A56" s="19">
        <v>6</v>
      </c>
      <c r="B56" s="20" t="s">
        <v>23</v>
      </c>
      <c r="C56" s="21">
        <f>1090/10000</f>
        <v>0.109</v>
      </c>
      <c r="D56" s="7"/>
      <c r="E56" s="9"/>
      <c r="F56" s="19" t="s">
        <v>24</v>
      </c>
      <c r="G56" s="22">
        <v>2</v>
      </c>
      <c r="H56" s="23">
        <f t="shared" si="5"/>
        <v>545</v>
      </c>
    </row>
    <row r="57" ht="15.6" spans="1:8">
      <c r="A57" s="19">
        <v>7</v>
      </c>
      <c r="B57" s="20" t="s">
        <v>26</v>
      </c>
      <c r="C57" s="21">
        <f>1269978.5/10000</f>
        <v>126.99785</v>
      </c>
      <c r="D57" s="7"/>
      <c r="E57" s="9"/>
      <c r="F57" s="19" t="s">
        <v>19</v>
      </c>
      <c r="G57" s="22">
        <v>5780.7</v>
      </c>
      <c r="H57" s="23">
        <f t="shared" si="5"/>
        <v>219.692857266421</v>
      </c>
    </row>
    <row r="58" s="1" customFormat="1" ht="15.6" spans="1:8">
      <c r="A58" s="19">
        <v>8</v>
      </c>
      <c r="B58" s="25" t="s">
        <v>27</v>
      </c>
      <c r="C58" s="21">
        <f>2180/10000</f>
        <v>0.218</v>
      </c>
      <c r="D58" s="12"/>
      <c r="E58" s="12"/>
      <c r="F58" s="24" t="s">
        <v>28</v>
      </c>
      <c r="G58" s="26">
        <v>1</v>
      </c>
      <c r="H58" s="23">
        <f t="shared" si="5"/>
        <v>2180</v>
      </c>
    </row>
    <row r="59" ht="15.6" spans="1:8">
      <c r="A59" s="19">
        <v>9</v>
      </c>
      <c r="B59" s="20" t="s">
        <v>29</v>
      </c>
      <c r="C59" s="21">
        <f>G59*H59/10000</f>
        <v>16.416239</v>
      </c>
      <c r="D59" s="7"/>
      <c r="E59" s="9"/>
      <c r="F59" s="19" t="s">
        <v>30</v>
      </c>
      <c r="G59" s="22">
        <v>301</v>
      </c>
      <c r="H59" s="23">
        <v>545.39</v>
      </c>
    </row>
    <row r="60" ht="15.6" spans="1:8">
      <c r="A60" s="19">
        <v>10</v>
      </c>
      <c r="B60" s="20" t="s">
        <v>61</v>
      </c>
      <c r="C60" s="21">
        <f>413.97/10000</f>
        <v>0.041397</v>
      </c>
      <c r="D60" s="7"/>
      <c r="E60" s="9"/>
      <c r="F60" s="19" t="s">
        <v>19</v>
      </c>
      <c r="G60" s="22">
        <v>3.14</v>
      </c>
      <c r="H60" s="23">
        <f>C60/G60*10000</f>
        <v>131.837579617834</v>
      </c>
    </row>
    <row r="61" ht="15.6" spans="1:8">
      <c r="A61" s="19">
        <v>11</v>
      </c>
      <c r="B61" s="20" t="s">
        <v>62</v>
      </c>
      <c r="C61" s="21">
        <f>31373.22/10000</f>
        <v>3.137322</v>
      </c>
      <c r="D61" s="7"/>
      <c r="E61" s="9"/>
      <c r="F61" s="19" t="s">
        <v>19</v>
      </c>
      <c r="G61" s="22">
        <v>207.8</v>
      </c>
      <c r="H61" s="23">
        <f>C61/G61*10000</f>
        <v>150.977959576516</v>
      </c>
    </row>
    <row r="62" ht="15.6" spans="1:8">
      <c r="A62" s="15" t="s">
        <v>31</v>
      </c>
      <c r="B62" s="17" t="s">
        <v>32</v>
      </c>
      <c r="C62" s="9">
        <f>SUM(C63:C65)</f>
        <v>36.78577</v>
      </c>
      <c r="D62" s="12"/>
      <c r="E62" s="9"/>
      <c r="F62" s="15"/>
      <c r="G62" s="27"/>
      <c r="H62" s="23"/>
    </row>
    <row r="63" ht="15.6" spans="1:8">
      <c r="A63" s="19">
        <v>1</v>
      </c>
      <c r="B63" s="20" t="s">
        <v>33</v>
      </c>
      <c r="C63" s="21">
        <f>280112.17/10000</f>
        <v>28.011217</v>
      </c>
      <c r="D63" s="7"/>
      <c r="E63" s="9"/>
      <c r="F63" s="19" t="s">
        <v>19</v>
      </c>
      <c r="G63" s="22">
        <v>1244.13</v>
      </c>
      <c r="H63" s="23">
        <f t="shared" ref="H63:H65" si="6">C63/G63*10000</f>
        <v>225.147026436144</v>
      </c>
    </row>
    <row r="64" ht="15.6" spans="1:8">
      <c r="A64" s="19">
        <v>3</v>
      </c>
      <c r="B64" s="20" t="s">
        <v>22</v>
      </c>
      <c r="C64" s="21">
        <f>1539.6/10000</f>
        <v>0.15396</v>
      </c>
      <c r="D64" s="7"/>
      <c r="E64" s="9"/>
      <c r="F64" s="19" t="s">
        <v>19</v>
      </c>
      <c r="G64" s="22">
        <v>32</v>
      </c>
      <c r="H64" s="34">
        <f t="shared" si="6"/>
        <v>48.1125</v>
      </c>
    </row>
    <row r="65" ht="15.6" spans="1:8">
      <c r="A65" s="19">
        <v>4</v>
      </c>
      <c r="B65" s="20" t="s">
        <v>63</v>
      </c>
      <c r="C65" s="21">
        <f>86205.93/10000</f>
        <v>8.620593</v>
      </c>
      <c r="D65" s="7"/>
      <c r="E65" s="9"/>
      <c r="F65" s="19" t="s">
        <v>19</v>
      </c>
      <c r="G65" s="22">
        <v>426</v>
      </c>
      <c r="H65" s="34">
        <f t="shared" si="6"/>
        <v>202.361338028169</v>
      </c>
    </row>
    <row r="66" ht="32" customHeight="1" spans="1:8">
      <c r="A66" s="15" t="s">
        <v>64</v>
      </c>
      <c r="B66" s="35" t="s">
        <v>65</v>
      </c>
      <c r="C66" s="9">
        <f>SUM(C67:C79)</f>
        <v>224.683253</v>
      </c>
      <c r="D66" s="12"/>
      <c r="E66" s="9"/>
      <c r="F66" s="15"/>
      <c r="G66" s="27"/>
      <c r="H66" s="11"/>
    </row>
    <row r="67" ht="15.6" spans="1:8">
      <c r="A67" s="19">
        <v>1</v>
      </c>
      <c r="B67" s="20" t="s">
        <v>18</v>
      </c>
      <c r="C67" s="21">
        <f>54059.87/10000</f>
        <v>5.405987</v>
      </c>
      <c r="D67" s="7"/>
      <c r="E67" s="9"/>
      <c r="F67" s="19" t="s">
        <v>19</v>
      </c>
      <c r="G67" s="36">
        <v>3124</v>
      </c>
      <c r="H67" s="23">
        <f>C67/G67*10000</f>
        <v>17.3046959026889</v>
      </c>
    </row>
    <row r="68" ht="15.6" spans="1:8">
      <c r="A68" s="19">
        <v>2</v>
      </c>
      <c r="B68" s="20" t="s">
        <v>59</v>
      </c>
      <c r="C68" s="21">
        <f>41295.26/10000</f>
        <v>4.129526</v>
      </c>
      <c r="D68" s="7"/>
      <c r="E68" s="9"/>
      <c r="F68" s="19" t="s">
        <v>19</v>
      </c>
      <c r="G68" s="22">
        <v>2221</v>
      </c>
      <c r="H68" s="23">
        <f t="shared" ref="H68:H79" si="7">C68/G68*10000</f>
        <v>18.5930932012607</v>
      </c>
    </row>
    <row r="69" ht="34" customHeight="1" spans="1:8">
      <c r="A69" s="19">
        <v>3</v>
      </c>
      <c r="B69" s="20" t="s">
        <v>66</v>
      </c>
      <c r="C69" s="21">
        <f>371862.35/10000</f>
        <v>37.186235</v>
      </c>
      <c r="D69" s="7"/>
      <c r="E69" s="9"/>
      <c r="F69" s="19" t="s">
        <v>19</v>
      </c>
      <c r="G69" s="22">
        <v>1562</v>
      </c>
      <c r="H69" s="23">
        <f t="shared" si="7"/>
        <v>238.068085787452</v>
      </c>
    </row>
    <row r="70" ht="15.6" spans="1:8">
      <c r="A70" s="19">
        <v>4</v>
      </c>
      <c r="B70" s="20" t="s">
        <v>46</v>
      </c>
      <c r="C70" s="21">
        <f>854685.32/10000</f>
        <v>85.468532</v>
      </c>
      <c r="D70" s="7"/>
      <c r="E70" s="9"/>
      <c r="F70" s="19" t="s">
        <v>19</v>
      </c>
      <c r="G70" s="22">
        <v>3124</v>
      </c>
      <c r="H70" s="23">
        <f t="shared" si="7"/>
        <v>273.586850192061</v>
      </c>
    </row>
    <row r="71" ht="15.6" spans="1:8">
      <c r="A71" s="19">
        <v>5</v>
      </c>
      <c r="B71" s="20" t="s">
        <v>22</v>
      </c>
      <c r="C71" s="21">
        <f>8811.73/10000</f>
        <v>0.881173</v>
      </c>
      <c r="D71" s="7"/>
      <c r="E71" s="9"/>
      <c r="F71" s="19" t="s">
        <v>19</v>
      </c>
      <c r="G71" s="22">
        <v>183</v>
      </c>
      <c r="H71" s="23">
        <f t="shared" si="7"/>
        <v>48.1515300546448</v>
      </c>
    </row>
    <row r="72" ht="15.6" spans="1:8">
      <c r="A72" s="19">
        <v>6</v>
      </c>
      <c r="B72" s="20" t="s">
        <v>23</v>
      </c>
      <c r="C72" s="21">
        <f>1090/10000</f>
        <v>0.109</v>
      </c>
      <c r="D72" s="7"/>
      <c r="E72" s="9"/>
      <c r="F72" s="19" t="s">
        <v>24</v>
      </c>
      <c r="G72" s="22">
        <v>2</v>
      </c>
      <c r="H72" s="23">
        <f t="shared" si="7"/>
        <v>545</v>
      </c>
    </row>
    <row r="73" ht="15.6" spans="1:8">
      <c r="A73" s="19">
        <v>7</v>
      </c>
      <c r="B73" s="20" t="s">
        <v>26</v>
      </c>
      <c r="C73" s="21">
        <f>487937.81/10000</f>
        <v>48.793781</v>
      </c>
      <c r="D73" s="7"/>
      <c r="E73" s="9"/>
      <c r="F73" s="19" t="s">
        <v>19</v>
      </c>
      <c r="G73" s="22">
        <v>2221</v>
      </c>
      <c r="H73" s="23">
        <f t="shared" si="7"/>
        <v>219.692845565061</v>
      </c>
    </row>
    <row r="74" s="1" customFormat="1" ht="15.6" spans="1:8">
      <c r="A74" s="19">
        <v>8</v>
      </c>
      <c r="B74" s="25" t="s">
        <v>27</v>
      </c>
      <c r="C74" s="21">
        <f>2180/10000</f>
        <v>0.218</v>
      </c>
      <c r="D74" s="12"/>
      <c r="E74" s="12"/>
      <c r="F74" s="24" t="s">
        <v>28</v>
      </c>
      <c r="G74" s="26">
        <v>1</v>
      </c>
      <c r="H74" s="23">
        <f t="shared" si="7"/>
        <v>2180</v>
      </c>
    </row>
    <row r="75" ht="15.6" spans="1:8">
      <c r="A75" s="19">
        <v>9</v>
      </c>
      <c r="B75" s="20" t="s">
        <v>52</v>
      </c>
      <c r="C75" s="21">
        <f>306527.98/10000</f>
        <v>30.652798</v>
      </c>
      <c r="D75" s="7"/>
      <c r="E75" s="9"/>
      <c r="F75" s="19" t="s">
        <v>19</v>
      </c>
      <c r="G75" s="22">
        <v>1459</v>
      </c>
      <c r="H75" s="23">
        <f t="shared" si="7"/>
        <v>210.0945716244</v>
      </c>
    </row>
    <row r="76" ht="15.6" spans="1:8">
      <c r="A76" s="19">
        <v>10</v>
      </c>
      <c r="B76" s="20" t="s">
        <v>29</v>
      </c>
      <c r="C76" s="21">
        <f>107442.05/10000</f>
        <v>10.744205</v>
      </c>
      <c r="D76" s="7"/>
      <c r="E76" s="9"/>
      <c r="F76" s="19" t="s">
        <v>30</v>
      </c>
      <c r="G76" s="22">
        <v>197</v>
      </c>
      <c r="H76" s="23">
        <f t="shared" si="7"/>
        <v>545.391116751269</v>
      </c>
    </row>
    <row r="77" ht="15.6" spans="1:8">
      <c r="A77" s="19">
        <v>11</v>
      </c>
      <c r="B77" s="20" t="s">
        <v>67</v>
      </c>
      <c r="C77" s="21">
        <f>558/10000</f>
        <v>0.0558</v>
      </c>
      <c r="D77" s="7"/>
      <c r="E77" s="9"/>
      <c r="F77" s="19" t="s">
        <v>68</v>
      </c>
      <c r="G77" s="22">
        <v>3</v>
      </c>
      <c r="H77" s="23">
        <f t="shared" si="7"/>
        <v>186</v>
      </c>
    </row>
    <row r="78" ht="15.6" spans="1:8">
      <c r="A78" s="19">
        <v>12</v>
      </c>
      <c r="B78" s="20" t="s">
        <v>69</v>
      </c>
      <c r="C78" s="21">
        <f>7200.19/10000</f>
        <v>0.720019</v>
      </c>
      <c r="D78" s="7"/>
      <c r="E78" s="9"/>
      <c r="F78" s="19" t="s">
        <v>68</v>
      </c>
      <c r="G78" s="22">
        <v>3</v>
      </c>
      <c r="H78" s="23">
        <f t="shared" si="7"/>
        <v>2400.06333333333</v>
      </c>
    </row>
    <row r="79" ht="15.6" spans="1:8">
      <c r="A79" s="19">
        <v>13</v>
      </c>
      <c r="B79" s="20" t="s">
        <v>70</v>
      </c>
      <c r="C79" s="21">
        <f>3181.97/10000</f>
        <v>0.318197</v>
      </c>
      <c r="D79" s="7"/>
      <c r="E79" s="28"/>
      <c r="F79" s="19" t="s">
        <v>19</v>
      </c>
      <c r="G79" s="22">
        <v>15</v>
      </c>
      <c r="H79" s="23">
        <f t="shared" si="7"/>
        <v>212.131333333333</v>
      </c>
    </row>
    <row r="80" spans="1:8">
      <c r="A80" s="12" t="s">
        <v>41</v>
      </c>
      <c r="B80" s="37" t="s">
        <v>7</v>
      </c>
      <c r="C80" s="9"/>
      <c r="D80" s="18">
        <f>SUM(D81:D88)</f>
        <v>82.26528170925</v>
      </c>
      <c r="E80" s="9">
        <f>D80</f>
        <v>82.26528170925</v>
      </c>
      <c r="F80" s="12"/>
      <c r="G80" s="9"/>
      <c r="H80" s="9"/>
    </row>
    <row r="81" ht="18" customHeight="1" spans="1:8">
      <c r="A81" s="12">
        <v>1</v>
      </c>
      <c r="B81" s="37" t="s">
        <v>71</v>
      </c>
      <c r="C81" s="9"/>
      <c r="D81" s="18">
        <f>E5*0.2%</f>
        <v>3.005124446</v>
      </c>
      <c r="E81" s="9">
        <f>D81</f>
        <v>3.005124446</v>
      </c>
      <c r="F81" s="11" t="s">
        <v>72</v>
      </c>
      <c r="G81" s="9"/>
      <c r="H81" s="9"/>
    </row>
    <row r="82" ht="17" customHeight="1" spans="1:8">
      <c r="A82" s="12">
        <v>2</v>
      </c>
      <c r="B82" s="38" t="s">
        <v>73</v>
      </c>
      <c r="C82" s="9"/>
      <c r="D82" s="18">
        <f>E5*1.3%</f>
        <v>19.533308899</v>
      </c>
      <c r="E82" s="9">
        <f t="shared" ref="E82:E89" si="8">D82</f>
        <v>19.533308899</v>
      </c>
      <c r="F82" s="9" t="s">
        <v>74</v>
      </c>
      <c r="G82" s="9"/>
      <c r="H82" s="9"/>
    </row>
    <row r="83" ht="18" customHeight="1" spans="1:8">
      <c r="A83" s="12">
        <v>4</v>
      </c>
      <c r="B83" s="38" t="s">
        <v>75</v>
      </c>
      <c r="C83" s="9"/>
      <c r="D83" s="18">
        <f>E5*1.95%</f>
        <v>29.2999633485</v>
      </c>
      <c r="E83" s="9">
        <f t="shared" si="8"/>
        <v>29.2999633485</v>
      </c>
      <c r="F83" s="11" t="s">
        <v>76</v>
      </c>
      <c r="G83" s="9"/>
      <c r="H83" s="9"/>
    </row>
    <row r="84" ht="15" customHeight="1" spans="1:8">
      <c r="A84" s="12">
        <v>6</v>
      </c>
      <c r="B84" s="38" t="s">
        <v>77</v>
      </c>
      <c r="C84" s="9"/>
      <c r="D84" s="18">
        <f>E5*0.25%</f>
        <v>3.7564055575</v>
      </c>
      <c r="E84" s="9">
        <f t="shared" si="8"/>
        <v>3.7564055575</v>
      </c>
      <c r="F84" s="11" t="s">
        <v>78</v>
      </c>
      <c r="G84" s="9"/>
      <c r="H84" s="9"/>
    </row>
    <row r="85" ht="21" customHeight="1" spans="1:8">
      <c r="A85" s="12">
        <v>7</v>
      </c>
      <c r="B85" s="38" t="s">
        <v>79</v>
      </c>
      <c r="C85" s="9"/>
      <c r="D85" s="18">
        <f>E5*0.54%</f>
        <v>8.1138360042</v>
      </c>
      <c r="E85" s="9">
        <f t="shared" si="8"/>
        <v>8.1138360042</v>
      </c>
      <c r="F85" s="11" t="s">
        <v>80</v>
      </c>
      <c r="G85" s="11"/>
      <c r="H85" s="11"/>
    </row>
    <row r="86" ht="19" customHeight="1" spans="1:8">
      <c r="A86" s="12">
        <v>8</v>
      </c>
      <c r="B86" s="38" t="s">
        <v>81</v>
      </c>
      <c r="C86" s="9"/>
      <c r="D86" s="18">
        <f>E5*0.6%</f>
        <v>9.015373338</v>
      </c>
      <c r="E86" s="9">
        <f t="shared" si="8"/>
        <v>9.015373338</v>
      </c>
      <c r="F86" s="11" t="s">
        <v>82</v>
      </c>
      <c r="G86" s="11"/>
      <c r="H86" s="11"/>
    </row>
    <row r="87" ht="17" customHeight="1" spans="1:8">
      <c r="A87" s="12">
        <v>9</v>
      </c>
      <c r="B87" s="38" t="s">
        <v>83</v>
      </c>
      <c r="C87" s="9"/>
      <c r="D87" s="18">
        <f>E5*0.45%</f>
        <v>6.7615300035</v>
      </c>
      <c r="E87" s="9">
        <f t="shared" si="8"/>
        <v>6.7615300035</v>
      </c>
      <c r="F87" s="11" t="s">
        <v>84</v>
      </c>
      <c r="G87" s="9"/>
      <c r="H87" s="9"/>
    </row>
    <row r="88" ht="20" customHeight="1" spans="1:8">
      <c r="A88" s="12">
        <v>11</v>
      </c>
      <c r="B88" s="39" t="s">
        <v>85</v>
      </c>
      <c r="C88" s="40"/>
      <c r="D88" s="18">
        <f>E5*0.185%</f>
        <v>2.77974011255</v>
      </c>
      <c r="E88" s="41">
        <f t="shared" si="8"/>
        <v>2.77974011255</v>
      </c>
      <c r="F88" s="9" t="s">
        <v>86</v>
      </c>
      <c r="G88" s="9"/>
      <c r="H88" s="9"/>
    </row>
    <row r="89" spans="1:8">
      <c r="A89" s="12" t="s">
        <v>57</v>
      </c>
      <c r="B89" s="13" t="s">
        <v>87</v>
      </c>
      <c r="C89" s="9"/>
      <c r="D89" s="18">
        <f>(E5+E80)*3%</f>
        <v>47.5448251412775</v>
      </c>
      <c r="E89" s="9">
        <f t="shared" si="8"/>
        <v>47.5448251412775</v>
      </c>
      <c r="F89" s="12"/>
      <c r="G89" s="9"/>
      <c r="H89" s="9"/>
    </row>
    <row r="90" spans="1:8">
      <c r="A90" s="7"/>
      <c r="B90" s="8" t="s">
        <v>88</v>
      </c>
      <c r="C90" s="28">
        <f>C5</f>
        <v>1502.562223</v>
      </c>
      <c r="D90" s="23">
        <f>D80+D89</f>
        <v>129.810106850528</v>
      </c>
      <c r="E90" s="42">
        <f>E5+E80+E89</f>
        <v>1632.37232985053</v>
      </c>
      <c r="F90" s="12"/>
      <c r="G90" s="28"/>
      <c r="H90" s="9"/>
    </row>
  </sheetData>
  <mergeCells count="14">
    <mergeCell ref="A1:H1"/>
    <mergeCell ref="A2:H2"/>
    <mergeCell ref="C3:E3"/>
    <mergeCell ref="F3:H3"/>
    <mergeCell ref="F81:H81"/>
    <mergeCell ref="F82:H82"/>
    <mergeCell ref="F83:H83"/>
    <mergeCell ref="F84:H84"/>
    <mergeCell ref="F85:H85"/>
    <mergeCell ref="F86:H86"/>
    <mergeCell ref="F87:H87"/>
    <mergeCell ref="F88:H88"/>
    <mergeCell ref="A3:A4"/>
    <mergeCell ref="B3:B4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2015-09-21T06:18:00Z</dcterms:created>
  <dcterms:modified xsi:type="dcterms:W3CDTF">2023-05-05T01:30:45Z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11</vt:lpwstr>
  </property>
  <property fmtid="{D5CDD505-2E9C-101B-9397-08002B2CF9AE}" pid="4" name="ICV">
    <vt:lpwstr>96B55492D9CB43FEB81F9F71649A209F</vt:lpwstr>
  </property>
</Properties>
</file>