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概算汇总表" sheetId="3" r:id="rId1"/>
  </sheets>
  <calcPr calcId="144525"/>
</workbook>
</file>

<file path=xl/sharedStrings.xml><?xml version="1.0" encoding="utf-8"?>
<sst xmlns="http://schemas.openxmlformats.org/spreadsheetml/2006/main" count="249" uniqueCount="109">
  <si>
    <t>工程审定概算表</t>
  </si>
  <si>
    <t>项目名称：平罗县2023年中小学运动场地改造项目</t>
  </si>
  <si>
    <t>序号</t>
  </si>
  <si>
    <t>工程及费用名称</t>
  </si>
  <si>
    <t>概算价值（万元）</t>
  </si>
  <si>
    <t>技术经济指标</t>
  </si>
  <si>
    <t>备注</t>
  </si>
  <si>
    <t>土建及装修</t>
  </si>
  <si>
    <t>安装工程费</t>
  </si>
  <si>
    <t>设备</t>
  </si>
  <si>
    <t>其它费用</t>
  </si>
  <si>
    <t>合计</t>
  </si>
  <si>
    <t>单位</t>
  </si>
  <si>
    <t>面积</t>
  </si>
  <si>
    <t>单位造价（元）</t>
  </si>
  <si>
    <t>一</t>
  </si>
  <si>
    <t>建筑工程费</t>
  </si>
  <si>
    <t xml:space="preserve"> </t>
  </si>
  <si>
    <t>平罗第三中学运动场地改造</t>
  </si>
  <si>
    <t>（一）</t>
  </si>
  <si>
    <t>运动场地改造提升</t>
  </si>
  <si>
    <t>拆除塑胶跑道面层</t>
  </si>
  <si>
    <t>㎡</t>
  </si>
  <si>
    <t>破损基层修复</t>
  </si>
  <si>
    <t>半预制型塑胶跑道</t>
  </si>
  <si>
    <t>标线</t>
  </si>
  <si>
    <t>起跳板</t>
  </si>
  <si>
    <t>组</t>
  </si>
  <si>
    <t>拆除人造草坪面层</t>
  </si>
  <si>
    <t>铺设人造草坪</t>
  </si>
  <si>
    <t>足球架</t>
  </si>
  <si>
    <t>副</t>
  </si>
  <si>
    <t>排水边沟</t>
  </si>
  <si>
    <t>m</t>
  </si>
  <si>
    <t>排水工程</t>
  </si>
  <si>
    <t>（二）</t>
  </si>
  <si>
    <t>篮球场地改造提升</t>
  </si>
  <si>
    <t>铺设硅PU</t>
  </si>
  <si>
    <t>篮球架</t>
  </si>
  <si>
    <t>混凝土地面</t>
  </si>
  <si>
    <t>（三）</t>
  </si>
  <si>
    <t>新建速滑场地</t>
  </si>
  <si>
    <t>聚合物陶砂</t>
  </si>
  <si>
    <t>道牙</t>
  </si>
  <si>
    <t>彩钢房</t>
  </si>
  <si>
    <t>拆除原有硬化</t>
  </si>
  <si>
    <t>土方外运</t>
  </si>
  <si>
    <t>m³</t>
  </si>
  <si>
    <t>二</t>
  </si>
  <si>
    <t>平罗第六中学运动场地改造</t>
  </si>
  <si>
    <t>回填土方</t>
  </si>
  <si>
    <t>铺设塑胶</t>
  </si>
  <si>
    <t>含基层</t>
  </si>
  <si>
    <t>增设道牙</t>
  </si>
  <si>
    <t>沙坑</t>
  </si>
  <si>
    <t>混凝土硬化球场</t>
  </si>
  <si>
    <t>硅PU篮球场</t>
  </si>
  <si>
    <t>排球架</t>
  </si>
  <si>
    <t xml:space="preserve">标线 </t>
  </si>
  <si>
    <t>面包砖</t>
  </si>
  <si>
    <t>树池道牙</t>
  </si>
  <si>
    <t>围墙</t>
  </si>
  <si>
    <t>雨水井、雨水口抬高</t>
  </si>
  <si>
    <t>座</t>
  </si>
  <si>
    <t>混凝土场地</t>
  </si>
  <si>
    <t>含土方</t>
  </si>
  <si>
    <t>三</t>
  </si>
  <si>
    <t>平罗陶乐中学运动场地改造</t>
  </si>
  <si>
    <t>拆除人工草坪面层</t>
  </si>
  <si>
    <t>包含拆除，30%的量</t>
  </si>
  <si>
    <t>铺设塑胶面层</t>
  </si>
  <si>
    <t>混凝土投掷圈</t>
  </si>
  <si>
    <t>健身器材区</t>
  </si>
  <si>
    <t>安全围网</t>
  </si>
  <si>
    <t>四</t>
  </si>
  <si>
    <t>平罗陶乐二小运动场地改造</t>
  </si>
  <si>
    <t>跑道破损基层修复</t>
  </si>
  <si>
    <t>包含拆除，50%的量</t>
  </si>
  <si>
    <t>含拆除</t>
  </si>
  <si>
    <t>拆除检查井</t>
  </si>
  <si>
    <t>个</t>
  </si>
  <si>
    <t>新建污水</t>
  </si>
  <si>
    <t>混凝土地面更换</t>
  </si>
  <si>
    <t>项目管理费</t>
  </si>
  <si>
    <r>
      <rPr>
        <sz val="11"/>
        <color indexed="8"/>
        <rFont val="宋体"/>
        <charset val="134"/>
      </rPr>
      <t>工程费*0.1</t>
    </r>
    <r>
      <rPr>
        <sz val="11"/>
        <color indexed="8"/>
        <rFont val="宋体"/>
        <charset val="134"/>
      </rPr>
      <t>%</t>
    </r>
  </si>
  <si>
    <t>财建[2016]504号</t>
  </si>
  <si>
    <t>工程监理费</t>
  </si>
  <si>
    <t>工程费*1.3%</t>
  </si>
  <si>
    <t>发改价[2015]299号</t>
  </si>
  <si>
    <t>工程设计费</t>
  </si>
  <si>
    <r>
      <rPr>
        <sz val="11"/>
        <color indexed="8"/>
        <rFont val="宋体"/>
        <charset val="134"/>
      </rPr>
      <t>工程费*1.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%</t>
    </r>
  </si>
  <si>
    <t>测量费</t>
  </si>
  <si>
    <r>
      <rPr>
        <sz val="11"/>
        <color indexed="8"/>
        <rFont val="宋体"/>
        <charset val="134"/>
      </rPr>
      <t>工程费*0.</t>
    </r>
    <r>
      <rPr>
        <sz val="11"/>
        <color indexed="8"/>
        <rFont val="宋体"/>
        <charset val="134"/>
      </rPr>
      <t>25</t>
    </r>
    <r>
      <rPr>
        <sz val="11"/>
        <color indexed="8"/>
        <rFont val="宋体"/>
        <charset val="134"/>
      </rPr>
      <t>%</t>
    </r>
  </si>
  <si>
    <t>发改价[1999]1283号</t>
  </si>
  <si>
    <t>编制清单及招标控制价</t>
  </si>
  <si>
    <r>
      <rPr>
        <sz val="11"/>
        <color indexed="8"/>
        <rFont val="宋体"/>
        <charset val="134"/>
      </rPr>
      <t>工程费*0.5</t>
    </r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%</t>
    </r>
  </si>
  <si>
    <t>[2010]87号文件规定</t>
  </si>
  <si>
    <t>竣工结算费（跟踪审计）</t>
  </si>
  <si>
    <r>
      <rPr>
        <sz val="11"/>
        <color indexed="8"/>
        <rFont val="宋体"/>
        <charset val="134"/>
      </rPr>
      <t>工程费*0.6</t>
    </r>
    <r>
      <rPr>
        <sz val="11"/>
        <color indexed="8"/>
        <rFont val="宋体"/>
        <charset val="134"/>
      </rPr>
      <t>%</t>
    </r>
  </si>
  <si>
    <t>[2010]88号文件规定</t>
  </si>
  <si>
    <t>招投标代理服务费</t>
  </si>
  <si>
    <r>
      <rPr>
        <sz val="11"/>
        <color indexed="8"/>
        <rFont val="宋体"/>
        <charset val="134"/>
      </rPr>
      <t>工程费*0.4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%</t>
    </r>
  </si>
  <si>
    <t>建设项目前期费</t>
  </si>
  <si>
    <t>工程费*0.25%</t>
  </si>
  <si>
    <t>检验实验费</t>
  </si>
  <si>
    <t>工程费*0.185%</t>
  </si>
  <si>
    <t>预备费</t>
  </si>
  <si>
    <t>（建筑工程费加其他费）*2.75%</t>
  </si>
  <si>
    <t>总投资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</si>
</sst>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topLeftCell="A72" workbookViewId="0">
      <selection activeCell="R93" sqref="R93"/>
    </sheetView>
  </sheetViews>
  <sheetFormatPr defaultColWidth="9" defaultRowHeight="14.4"/>
  <cols>
    <col min="1" max="1" width="5.25" customWidth="1"/>
    <col min="2" max="2" width="16" style="3" customWidth="1"/>
    <col min="3" max="3" width="10.1296296296296" customWidth="1"/>
    <col min="4" max="4" width="6.11111111111111" customWidth="1"/>
    <col min="5" max="5" width="5.22222222222222" customWidth="1"/>
    <col min="6" max="6" width="8.25" customWidth="1"/>
    <col min="7" max="7" width="10" customWidth="1"/>
    <col min="8" max="8" width="7.37962962962963" customWidth="1"/>
    <col min="9" max="9" width="11.1296296296296" style="4" customWidth="1"/>
    <col min="10" max="10" width="8.88888888888889" customWidth="1"/>
    <col min="11" max="11" width="12.1111111111111" style="3" customWidth="1"/>
  </cols>
  <sheetData>
    <row r="1" s="1" customFormat="1" ht="29" customHeight="1" spans="1:11">
      <c r="A1" s="5" t="s">
        <v>0</v>
      </c>
      <c r="B1" s="6"/>
      <c r="C1" s="7"/>
      <c r="D1" s="8"/>
      <c r="E1" s="6"/>
      <c r="F1" s="6"/>
      <c r="G1" s="7"/>
      <c r="H1" s="9"/>
      <c r="I1" s="9"/>
      <c r="J1" s="7"/>
      <c r="K1" s="6"/>
    </row>
    <row r="2" s="1" customFormat="1" ht="27" customHeight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42"/>
    </row>
    <row r="3" s="1" customFormat="1" ht="27" customHeight="1" spans="1:11">
      <c r="A3" s="12" t="s">
        <v>2</v>
      </c>
      <c r="B3" s="13" t="s">
        <v>3</v>
      </c>
      <c r="C3" s="14" t="s">
        <v>4</v>
      </c>
      <c r="D3" s="15"/>
      <c r="E3" s="16"/>
      <c r="F3" s="16"/>
      <c r="G3" s="17"/>
      <c r="H3" s="18" t="s">
        <v>5</v>
      </c>
      <c r="I3" s="18"/>
      <c r="J3" s="14"/>
      <c r="K3" s="21" t="s">
        <v>6</v>
      </c>
    </row>
    <row r="4" s="1" customFormat="1" ht="37" customHeight="1" spans="1:11">
      <c r="A4" s="12"/>
      <c r="B4" s="13"/>
      <c r="C4" s="19" t="s">
        <v>7</v>
      </c>
      <c r="D4" s="20" t="s">
        <v>8</v>
      </c>
      <c r="E4" s="21" t="s">
        <v>9</v>
      </c>
      <c r="F4" s="21" t="s">
        <v>10</v>
      </c>
      <c r="G4" s="19" t="s">
        <v>11</v>
      </c>
      <c r="H4" s="22" t="s">
        <v>12</v>
      </c>
      <c r="I4" s="14" t="s">
        <v>13</v>
      </c>
      <c r="J4" s="19" t="s">
        <v>14</v>
      </c>
      <c r="K4" s="21"/>
    </row>
    <row r="5" s="1" customFormat="1" ht="27" customHeight="1" spans="1:11">
      <c r="A5" s="18" t="s">
        <v>15</v>
      </c>
      <c r="B5" s="23" t="s">
        <v>16</v>
      </c>
      <c r="C5" s="24">
        <f>C6+C31+C54+C72</f>
        <v>1499.3189701</v>
      </c>
      <c r="D5" s="24" t="s">
        <v>17</v>
      </c>
      <c r="E5" s="25" t="str">
        <f>E40</f>
        <v> </v>
      </c>
      <c r="F5" s="18"/>
      <c r="G5" s="24">
        <f>C5</f>
        <v>1499.3189701</v>
      </c>
      <c r="H5" s="18"/>
      <c r="I5" s="14"/>
      <c r="J5" s="14"/>
      <c r="K5" s="22"/>
    </row>
    <row r="6" s="1" customFormat="1" ht="41" customHeight="1" spans="1:11">
      <c r="A6" s="26" t="s">
        <v>15</v>
      </c>
      <c r="B6" s="27" t="s">
        <v>18</v>
      </c>
      <c r="C6" s="24">
        <f>C7+C18+C23</f>
        <v>503.719799</v>
      </c>
      <c r="D6" s="24"/>
      <c r="E6" s="25"/>
      <c r="F6" s="18"/>
      <c r="G6" s="24" t="s">
        <v>17</v>
      </c>
      <c r="H6" s="18"/>
      <c r="I6" s="14">
        <v>715</v>
      </c>
      <c r="J6" s="14"/>
      <c r="K6" s="22"/>
    </row>
    <row r="7" s="1" customFormat="1" ht="31.2" spans="1:11">
      <c r="A7" s="26" t="s">
        <v>19</v>
      </c>
      <c r="B7" s="27" t="s">
        <v>20</v>
      </c>
      <c r="C7" s="14">
        <f>SUM(C8:C17)</f>
        <v>437.57281</v>
      </c>
      <c r="D7" s="14" t="s">
        <v>17</v>
      </c>
      <c r="E7" s="18"/>
      <c r="F7" s="18"/>
      <c r="G7" s="18"/>
      <c r="H7" s="18" t="s">
        <v>17</v>
      </c>
      <c r="I7" s="14"/>
      <c r="J7" s="38" t="s">
        <v>17</v>
      </c>
      <c r="K7" s="22" t="s">
        <v>17</v>
      </c>
    </row>
    <row r="8" s="1" customFormat="1" ht="31.2" spans="1:11">
      <c r="A8" s="28">
        <v>1</v>
      </c>
      <c r="B8" s="29" t="s">
        <v>21</v>
      </c>
      <c r="C8" s="30">
        <f>99130.25/10000</f>
        <v>9.913025</v>
      </c>
      <c r="D8" s="30" t="s">
        <v>17</v>
      </c>
      <c r="E8" s="12"/>
      <c r="F8" s="12"/>
      <c r="G8" s="12"/>
      <c r="H8" s="28" t="s">
        <v>22</v>
      </c>
      <c r="I8" s="43">
        <v>6388.06</v>
      </c>
      <c r="J8" s="44">
        <f>C8/I8*10000</f>
        <v>15.518052429063</v>
      </c>
      <c r="K8" s="45"/>
    </row>
    <row r="9" s="1" customFormat="1" ht="22.5" customHeight="1" spans="1:11">
      <c r="A9" s="28">
        <v>2</v>
      </c>
      <c r="B9" s="29" t="s">
        <v>23</v>
      </c>
      <c r="C9" s="30">
        <f>424187.64/10000</f>
        <v>42.418764</v>
      </c>
      <c r="D9" s="24"/>
      <c r="E9" s="25"/>
      <c r="F9" s="18"/>
      <c r="G9" s="24"/>
      <c r="H9" s="31" t="s">
        <v>22</v>
      </c>
      <c r="I9" s="43">
        <v>1922.4</v>
      </c>
      <c r="J9" s="44">
        <f t="shared" ref="J9:J16" si="0">C9/I9*10000</f>
        <v>220.655243445693</v>
      </c>
      <c r="K9" s="45"/>
    </row>
    <row r="10" s="2" customFormat="1" ht="30.75" customHeight="1" spans="1:11">
      <c r="A10" s="28">
        <v>3</v>
      </c>
      <c r="B10" s="32" t="s">
        <v>24</v>
      </c>
      <c r="C10" s="14">
        <f>1732196.59/10000</f>
        <v>173.219659</v>
      </c>
      <c r="D10" s="24"/>
      <c r="E10" s="25"/>
      <c r="F10" s="18"/>
      <c r="G10" s="24"/>
      <c r="H10" s="31" t="s">
        <v>22</v>
      </c>
      <c r="I10" s="46">
        <v>6388.06</v>
      </c>
      <c r="J10" s="38">
        <f t="shared" si="0"/>
        <v>271.161603053196</v>
      </c>
      <c r="K10" s="47"/>
    </row>
    <row r="11" s="2" customFormat="1" ht="24" customHeight="1" spans="1:11">
      <c r="A11" s="28">
        <v>4</v>
      </c>
      <c r="B11" s="32" t="s">
        <v>25</v>
      </c>
      <c r="C11" s="30">
        <f>16901.19/10000</f>
        <v>1.690119</v>
      </c>
      <c r="D11" s="14" t="s">
        <v>17</v>
      </c>
      <c r="E11" s="18"/>
      <c r="F11" s="18"/>
      <c r="G11" s="18"/>
      <c r="H11" s="31" t="s">
        <v>22</v>
      </c>
      <c r="I11" s="46">
        <v>351</v>
      </c>
      <c r="J11" s="44">
        <f t="shared" si="0"/>
        <v>48.1515384615385</v>
      </c>
      <c r="K11" s="47"/>
    </row>
    <row r="12" s="2" customFormat="1" ht="24.75" customHeight="1" spans="1:11">
      <c r="A12" s="28">
        <v>5</v>
      </c>
      <c r="B12" s="32" t="s">
        <v>26</v>
      </c>
      <c r="C12" s="30">
        <f>1090/10000</f>
        <v>0.109</v>
      </c>
      <c r="D12" s="14" t="s">
        <v>17</v>
      </c>
      <c r="E12" s="18"/>
      <c r="F12" s="18"/>
      <c r="G12" s="18"/>
      <c r="H12" s="31" t="s">
        <v>27</v>
      </c>
      <c r="I12" s="46">
        <v>2</v>
      </c>
      <c r="J12" s="44">
        <f t="shared" si="0"/>
        <v>545</v>
      </c>
      <c r="K12" s="47"/>
    </row>
    <row r="13" s="2" customFormat="1" ht="31.2" spans="1:11">
      <c r="A13" s="28">
        <v>6</v>
      </c>
      <c r="B13" s="32" t="s">
        <v>28</v>
      </c>
      <c r="C13" s="30">
        <f>105344.28/10000</f>
        <v>10.534428</v>
      </c>
      <c r="D13" s="14" t="s">
        <v>17</v>
      </c>
      <c r="E13" s="33"/>
      <c r="F13" s="18"/>
      <c r="G13" s="18"/>
      <c r="H13" s="31" t="s">
        <v>22</v>
      </c>
      <c r="I13" s="46">
        <v>7754.2</v>
      </c>
      <c r="J13" s="44">
        <f t="shared" si="0"/>
        <v>13.5854478863068</v>
      </c>
      <c r="K13" s="47"/>
    </row>
    <row r="14" s="2" customFormat="1" ht="23.25" customHeight="1" spans="1:11">
      <c r="A14" s="28">
        <v>7</v>
      </c>
      <c r="B14" s="32" t="s">
        <v>29</v>
      </c>
      <c r="C14" s="30">
        <f>1684830.84/10000</f>
        <v>168.483084</v>
      </c>
      <c r="D14" s="14" t="s">
        <v>17</v>
      </c>
      <c r="E14" s="33"/>
      <c r="F14" s="18"/>
      <c r="G14" s="18"/>
      <c r="H14" s="31" t="s">
        <v>22</v>
      </c>
      <c r="I14" s="46">
        <v>7754.2</v>
      </c>
      <c r="J14" s="44">
        <f t="shared" si="0"/>
        <v>217.279776121328</v>
      </c>
      <c r="K14" s="47"/>
    </row>
    <row r="15" s="2" customFormat="1" ht="24" customHeight="1" spans="1:11">
      <c r="A15" s="28">
        <v>8</v>
      </c>
      <c r="B15" s="32" t="s">
        <v>30</v>
      </c>
      <c r="C15" s="30">
        <f>2180/10000</f>
        <v>0.218</v>
      </c>
      <c r="D15" s="14"/>
      <c r="E15" s="33"/>
      <c r="F15" s="18"/>
      <c r="G15" s="18"/>
      <c r="H15" s="31" t="s">
        <v>31</v>
      </c>
      <c r="I15" s="46">
        <v>1</v>
      </c>
      <c r="J15" s="44">
        <f t="shared" si="0"/>
        <v>2180</v>
      </c>
      <c r="K15" s="47"/>
    </row>
    <row r="16" s="2" customFormat="1" ht="26.25" customHeight="1" spans="1:11">
      <c r="A16" s="28">
        <v>9</v>
      </c>
      <c r="B16" s="32" t="s">
        <v>32</v>
      </c>
      <c r="C16" s="30">
        <f>287664.44/10000</f>
        <v>28.766444</v>
      </c>
      <c r="D16" s="14" t="s">
        <v>17</v>
      </c>
      <c r="E16" s="18"/>
      <c r="F16" s="18"/>
      <c r="G16" s="18"/>
      <c r="H16" s="31" t="s">
        <v>33</v>
      </c>
      <c r="I16" s="46">
        <v>536</v>
      </c>
      <c r="J16" s="44">
        <f t="shared" si="0"/>
        <v>536.687388059702</v>
      </c>
      <c r="K16" s="47"/>
    </row>
    <row r="17" s="2" customFormat="1" ht="21" customHeight="1" spans="1:11">
      <c r="A17" s="28">
        <v>10</v>
      </c>
      <c r="B17" s="32" t="s">
        <v>34</v>
      </c>
      <c r="C17" s="30">
        <f>22202.87/10000</f>
        <v>2.220287</v>
      </c>
      <c r="D17" s="14"/>
      <c r="E17" s="18"/>
      <c r="F17" s="18"/>
      <c r="G17" s="18"/>
      <c r="H17" s="31" t="s">
        <v>33</v>
      </c>
      <c r="I17" s="46">
        <v>34.6</v>
      </c>
      <c r="J17" s="44">
        <v>654.54</v>
      </c>
      <c r="K17" s="47"/>
    </row>
    <row r="18" s="1" customFormat="1" ht="31.2" spans="1:11">
      <c r="A18" s="26" t="s">
        <v>35</v>
      </c>
      <c r="B18" s="27" t="s">
        <v>36</v>
      </c>
      <c r="C18" s="14">
        <f>SUM(C19:C22)</f>
        <v>13.735009</v>
      </c>
      <c r="D18" s="14" t="s">
        <v>17</v>
      </c>
      <c r="E18" s="33"/>
      <c r="F18" s="18"/>
      <c r="G18" s="26"/>
      <c r="H18" s="26"/>
      <c r="I18" s="48"/>
      <c r="J18" s="44"/>
      <c r="K18" s="49"/>
    </row>
    <row r="19" s="1" customFormat="1" ht="21" customHeight="1" spans="1:11">
      <c r="A19" s="28">
        <v>1</v>
      </c>
      <c r="B19" s="29" t="s">
        <v>37</v>
      </c>
      <c r="C19" s="30">
        <f>123199.16/10000</f>
        <v>12.319916</v>
      </c>
      <c r="D19" s="30"/>
      <c r="E19" s="12"/>
      <c r="F19" s="12"/>
      <c r="G19" s="14"/>
      <c r="H19" s="28" t="s">
        <v>22</v>
      </c>
      <c r="I19" s="43">
        <v>558</v>
      </c>
      <c r="J19" s="44">
        <f t="shared" ref="J19:J22" si="1">C19/I19*10000</f>
        <v>220.787025089606</v>
      </c>
      <c r="K19" s="45"/>
    </row>
    <row r="20" s="2" customFormat="1" ht="22.5" customHeight="1" spans="1:11">
      <c r="A20" s="31">
        <v>2</v>
      </c>
      <c r="B20" s="32" t="s">
        <v>38</v>
      </c>
      <c r="C20" s="30">
        <f>4360/10000</f>
        <v>0.436</v>
      </c>
      <c r="D20" s="24"/>
      <c r="E20" s="25"/>
      <c r="F20" s="18"/>
      <c r="G20" s="24"/>
      <c r="H20" s="31" t="s">
        <v>31</v>
      </c>
      <c r="I20" s="46">
        <v>1</v>
      </c>
      <c r="J20" s="44">
        <f t="shared" si="1"/>
        <v>4360</v>
      </c>
      <c r="K20" s="47"/>
    </row>
    <row r="21" s="1" customFormat="1" ht="20.25" customHeight="1" spans="1:11">
      <c r="A21" s="28">
        <v>3</v>
      </c>
      <c r="B21" s="32" t="s">
        <v>25</v>
      </c>
      <c r="C21" s="30">
        <f>769.8/10000</f>
        <v>0.07698</v>
      </c>
      <c r="D21" s="14" t="s">
        <v>17</v>
      </c>
      <c r="E21" s="18"/>
      <c r="F21" s="18"/>
      <c r="G21" s="18"/>
      <c r="H21" s="31" t="s">
        <v>22</v>
      </c>
      <c r="I21" s="43">
        <v>16</v>
      </c>
      <c r="J21" s="44">
        <f t="shared" si="1"/>
        <v>48.1125</v>
      </c>
      <c r="K21" s="47"/>
    </row>
    <row r="22" s="1" customFormat="1" ht="27" customHeight="1" spans="1:11">
      <c r="A22" s="28">
        <v>4</v>
      </c>
      <c r="B22" s="32" t="s">
        <v>39</v>
      </c>
      <c r="C22" s="30">
        <f>9021.13/10000</f>
        <v>0.902113</v>
      </c>
      <c r="D22" s="14"/>
      <c r="E22" s="18"/>
      <c r="F22" s="18"/>
      <c r="G22" s="18"/>
      <c r="H22" s="31" t="s">
        <v>22</v>
      </c>
      <c r="I22" s="43">
        <v>68.5</v>
      </c>
      <c r="J22" s="44">
        <f t="shared" si="1"/>
        <v>131.695328467153</v>
      </c>
      <c r="K22" s="47"/>
    </row>
    <row r="23" s="1" customFormat="1" ht="19.5" customHeight="1" spans="1:11">
      <c r="A23" s="26" t="s">
        <v>40</v>
      </c>
      <c r="B23" s="27" t="s">
        <v>41</v>
      </c>
      <c r="C23" s="14">
        <f>SUM(C24:C30)</f>
        <v>52.41198</v>
      </c>
      <c r="D23" s="14" t="s">
        <v>17</v>
      </c>
      <c r="E23" s="18"/>
      <c r="F23" s="18"/>
      <c r="G23" s="18"/>
      <c r="H23" s="26"/>
      <c r="I23" s="48"/>
      <c r="J23" s="44"/>
      <c r="K23" s="49"/>
    </row>
    <row r="24" s="1" customFormat="1" ht="22.5" customHeight="1" spans="1:11">
      <c r="A24" s="28">
        <v>1</v>
      </c>
      <c r="B24" s="29" t="s">
        <v>42</v>
      </c>
      <c r="C24" s="30">
        <f>379567.6/10000</f>
        <v>37.95676</v>
      </c>
      <c r="D24" s="30" t="s">
        <v>17</v>
      </c>
      <c r="E24" s="12"/>
      <c r="F24" s="12"/>
      <c r="G24" s="12"/>
      <c r="H24" s="28" t="s">
        <v>22</v>
      </c>
      <c r="I24" s="43">
        <v>1981.03</v>
      </c>
      <c r="J24" s="44">
        <f t="shared" ref="J24:J28" si="2">C24/I24*10000</f>
        <v>191.601136782381</v>
      </c>
      <c r="K24" s="45"/>
    </row>
    <row r="25" s="1" customFormat="1" ht="20.25" customHeight="1" spans="1:11">
      <c r="A25" s="28">
        <v>2</v>
      </c>
      <c r="B25" s="29" t="s">
        <v>32</v>
      </c>
      <c r="C25" s="30">
        <f>65736.09/10000</f>
        <v>6.573609</v>
      </c>
      <c r="D25" s="30" t="s">
        <v>17</v>
      </c>
      <c r="E25" s="34"/>
      <c r="F25" s="12"/>
      <c r="G25" s="12"/>
      <c r="H25" s="28" t="s">
        <v>33</v>
      </c>
      <c r="I25" s="43">
        <v>122</v>
      </c>
      <c r="J25" s="44">
        <f t="shared" si="2"/>
        <v>538.820409836066</v>
      </c>
      <c r="K25" s="45"/>
    </row>
    <row r="26" s="1" customFormat="1" ht="21.75" customHeight="1" spans="1:11">
      <c r="A26" s="28">
        <v>3</v>
      </c>
      <c r="B26" s="29" t="s">
        <v>25</v>
      </c>
      <c r="C26" s="30">
        <f>2696.47/10000</f>
        <v>0.269647</v>
      </c>
      <c r="D26" s="30" t="s">
        <v>17</v>
      </c>
      <c r="E26" s="12"/>
      <c r="F26" s="12"/>
      <c r="G26" s="14"/>
      <c r="H26" s="28" t="s">
        <v>22</v>
      </c>
      <c r="I26" s="43">
        <v>56</v>
      </c>
      <c r="J26" s="44">
        <f t="shared" si="2"/>
        <v>48.15125</v>
      </c>
      <c r="K26" s="45"/>
    </row>
    <row r="27" s="1" customFormat="1" ht="23.25" customHeight="1" spans="1:11">
      <c r="A27" s="28">
        <v>4</v>
      </c>
      <c r="B27" s="29" t="s">
        <v>43</v>
      </c>
      <c r="C27" s="30">
        <f>5233.87/10000</f>
        <v>0.523387</v>
      </c>
      <c r="D27" s="35"/>
      <c r="E27" s="34"/>
      <c r="F27" s="12"/>
      <c r="G27" s="36"/>
      <c r="H27" s="28" t="s">
        <v>33</v>
      </c>
      <c r="I27" s="43">
        <v>163</v>
      </c>
      <c r="J27" s="44">
        <f t="shared" si="2"/>
        <v>32.1096319018405</v>
      </c>
      <c r="K27" s="21"/>
    </row>
    <row r="28" s="1" customFormat="1" ht="20.25" customHeight="1" spans="1:11">
      <c r="A28" s="28">
        <v>5</v>
      </c>
      <c r="B28" s="29" t="s">
        <v>44</v>
      </c>
      <c r="C28" s="30">
        <f>40384.5/10000</f>
        <v>4.03845</v>
      </c>
      <c r="D28" s="35"/>
      <c r="E28" s="34"/>
      <c r="F28" s="12"/>
      <c r="G28" s="36"/>
      <c r="H28" s="28" t="s">
        <v>22</v>
      </c>
      <c r="I28" s="14">
        <v>123.5</v>
      </c>
      <c r="J28" s="44">
        <f t="shared" si="2"/>
        <v>327</v>
      </c>
      <c r="K28" s="21"/>
    </row>
    <row r="29" s="1" customFormat="1" ht="20.25" customHeight="1" spans="1:11">
      <c r="A29" s="28">
        <v>6</v>
      </c>
      <c r="B29" s="37" t="s">
        <v>45</v>
      </c>
      <c r="C29" s="14">
        <f>22206.99/10000</f>
        <v>2.220699</v>
      </c>
      <c r="D29" s="14"/>
      <c r="E29" s="33"/>
      <c r="F29" s="18"/>
      <c r="G29" s="26"/>
      <c r="H29" s="31" t="s">
        <v>22</v>
      </c>
      <c r="I29" s="46">
        <v>609</v>
      </c>
      <c r="J29" s="38">
        <v>36.55</v>
      </c>
      <c r="K29" s="49"/>
    </row>
    <row r="30" s="1" customFormat="1" ht="27.75" customHeight="1" spans="1:11">
      <c r="A30" s="28">
        <v>7</v>
      </c>
      <c r="B30" s="37" t="s">
        <v>46</v>
      </c>
      <c r="C30" s="14">
        <f>8294.28/10000</f>
        <v>0.829428</v>
      </c>
      <c r="D30" s="14"/>
      <c r="E30" s="33"/>
      <c r="F30" s="18"/>
      <c r="G30" s="26"/>
      <c r="H30" s="31" t="s">
        <v>47</v>
      </c>
      <c r="I30" s="46">
        <v>579</v>
      </c>
      <c r="J30" s="38">
        <v>14.33</v>
      </c>
      <c r="K30" s="49"/>
    </row>
    <row r="31" s="1" customFormat="1" ht="38" customHeight="1" spans="1:11">
      <c r="A31" s="26" t="s">
        <v>48</v>
      </c>
      <c r="B31" s="27" t="s">
        <v>49</v>
      </c>
      <c r="C31" s="14">
        <f>C32</f>
        <v>463.0925271</v>
      </c>
      <c r="D31" s="14" t="s">
        <v>17</v>
      </c>
      <c r="E31" s="38" t="s">
        <v>17</v>
      </c>
      <c r="F31" s="18"/>
      <c r="G31" s="14" t="s">
        <v>17</v>
      </c>
      <c r="H31" s="26"/>
      <c r="I31" s="48"/>
      <c r="J31" s="26" t="s">
        <v>17</v>
      </c>
      <c r="K31" s="50"/>
    </row>
    <row r="32" s="1" customFormat="1" ht="31.2" spans="1:11">
      <c r="A32" s="26" t="s">
        <v>19</v>
      </c>
      <c r="B32" s="27" t="s">
        <v>20</v>
      </c>
      <c r="C32" s="14">
        <f>SUM(C33:C53)</f>
        <v>463.0925271</v>
      </c>
      <c r="D32" s="14"/>
      <c r="E32" s="18"/>
      <c r="F32" s="18"/>
      <c r="G32" s="14"/>
      <c r="H32" s="26"/>
      <c r="I32" s="48"/>
      <c r="J32" s="26" t="s">
        <v>17</v>
      </c>
      <c r="K32" s="50"/>
    </row>
    <row r="33" s="1" customFormat="1" ht="24.75" customHeight="1" spans="1:11">
      <c r="A33" s="28">
        <v>1</v>
      </c>
      <c r="B33" s="29" t="s">
        <v>45</v>
      </c>
      <c r="C33" s="30">
        <f>308088.14/10000</f>
        <v>30.808814</v>
      </c>
      <c r="D33" s="30" t="s">
        <v>17</v>
      </c>
      <c r="E33" s="12"/>
      <c r="F33" s="12"/>
      <c r="G33" s="14"/>
      <c r="H33" s="28" t="s">
        <v>22</v>
      </c>
      <c r="I33" s="51">
        <v>16226</v>
      </c>
      <c r="J33" s="44">
        <f>C33/I33*10000</f>
        <v>18.9873129545174</v>
      </c>
      <c r="K33" s="52"/>
    </row>
    <row r="34" s="1" customFormat="1" ht="21" customHeight="1" spans="1:11">
      <c r="A34" s="28">
        <v>2</v>
      </c>
      <c r="B34" s="32" t="s">
        <v>50</v>
      </c>
      <c r="C34" s="30">
        <f>102694.51/10000</f>
        <v>10.269451</v>
      </c>
      <c r="D34" s="14" t="s">
        <v>17</v>
      </c>
      <c r="E34" s="18"/>
      <c r="F34" s="18"/>
      <c r="G34" s="14"/>
      <c r="H34" s="31" t="s">
        <v>47</v>
      </c>
      <c r="I34" s="51">
        <v>4867.8</v>
      </c>
      <c r="J34" s="44">
        <f>C34/I34*10000</f>
        <v>21.0966987139981</v>
      </c>
      <c r="K34" s="52"/>
    </row>
    <row r="35" s="1" customFormat="1" ht="21.75" customHeight="1" spans="1:11">
      <c r="A35" s="28">
        <v>3</v>
      </c>
      <c r="B35" s="32" t="s">
        <v>51</v>
      </c>
      <c r="C35" s="30">
        <f>1212659.23/10000</f>
        <v>121.265923</v>
      </c>
      <c r="D35" s="14" t="s">
        <v>17</v>
      </c>
      <c r="E35" s="18"/>
      <c r="F35" s="18"/>
      <c r="G35" s="14"/>
      <c r="H35" s="31" t="s">
        <v>22</v>
      </c>
      <c r="I35" s="51">
        <v>3158</v>
      </c>
      <c r="J35" s="44">
        <f>C35/I35*10000</f>
        <v>383.995956301457</v>
      </c>
      <c r="K35" s="45" t="s">
        <v>52</v>
      </c>
    </row>
    <row r="36" s="1" customFormat="1" ht="23.25" customHeight="1" spans="1:11">
      <c r="A36" s="28">
        <v>4</v>
      </c>
      <c r="B36" s="32" t="s">
        <v>25</v>
      </c>
      <c r="C36" s="30">
        <f>12856.48/10000</f>
        <v>1.285648</v>
      </c>
      <c r="D36" s="14" t="s">
        <v>17</v>
      </c>
      <c r="E36" s="18"/>
      <c r="F36" s="18"/>
      <c r="G36" s="14"/>
      <c r="H36" s="31" t="s">
        <v>22</v>
      </c>
      <c r="I36" s="51">
        <v>267</v>
      </c>
      <c r="J36" s="44">
        <f t="shared" ref="J36:J42" si="3">C36/I36*10000</f>
        <v>48.1516104868914</v>
      </c>
      <c r="K36" s="45"/>
    </row>
    <row r="37" s="1" customFormat="1" ht="21.75" customHeight="1" spans="1:11">
      <c r="A37" s="28">
        <v>5</v>
      </c>
      <c r="B37" s="32" t="s">
        <v>53</v>
      </c>
      <c r="C37" s="30">
        <f>13293.48/10000</f>
        <v>1.329348</v>
      </c>
      <c r="D37" s="14"/>
      <c r="E37" s="18"/>
      <c r="F37" s="18"/>
      <c r="G37" s="14"/>
      <c r="H37" s="31" t="s">
        <v>33</v>
      </c>
      <c r="I37" s="51">
        <v>414</v>
      </c>
      <c r="J37" s="44">
        <f t="shared" si="3"/>
        <v>32.1098550724638</v>
      </c>
      <c r="K37" s="45"/>
    </row>
    <row r="38" s="1" customFormat="1" ht="23.25" customHeight="1" spans="1:11">
      <c r="A38" s="28">
        <v>6</v>
      </c>
      <c r="B38" s="32" t="s">
        <v>26</v>
      </c>
      <c r="C38" s="30">
        <f>1090/10000</f>
        <v>0.109</v>
      </c>
      <c r="D38" s="14"/>
      <c r="E38" s="38" t="s">
        <v>17</v>
      </c>
      <c r="F38" s="18"/>
      <c r="G38" s="14"/>
      <c r="H38" s="31" t="s">
        <v>27</v>
      </c>
      <c r="I38" s="51">
        <v>2</v>
      </c>
      <c r="J38" s="44">
        <f t="shared" si="3"/>
        <v>545</v>
      </c>
      <c r="K38" s="45"/>
    </row>
    <row r="39" s="1" customFormat="1" ht="15.6" spans="1:11">
      <c r="A39" s="28">
        <v>7</v>
      </c>
      <c r="B39" s="29" t="s">
        <v>54</v>
      </c>
      <c r="C39" s="30">
        <f>8502/10000</f>
        <v>0.8502</v>
      </c>
      <c r="D39" s="30"/>
      <c r="E39" s="12"/>
      <c r="F39" s="12"/>
      <c r="G39" s="14"/>
      <c r="H39" s="28" t="s">
        <v>22</v>
      </c>
      <c r="I39" s="51">
        <v>26</v>
      </c>
      <c r="J39" s="44">
        <f t="shared" si="3"/>
        <v>327</v>
      </c>
      <c r="K39" s="45"/>
    </row>
    <row r="40" s="1" customFormat="1" ht="15.6" spans="1:11">
      <c r="A40" s="28">
        <v>8</v>
      </c>
      <c r="B40" s="32" t="s">
        <v>29</v>
      </c>
      <c r="C40" s="30">
        <f>1441989.58/10000</f>
        <v>144.198958</v>
      </c>
      <c r="D40" s="14" t="s">
        <v>17</v>
      </c>
      <c r="E40" s="18" t="s">
        <v>17</v>
      </c>
      <c r="F40" s="18"/>
      <c r="G40" s="14"/>
      <c r="H40" s="31" t="s">
        <v>22</v>
      </c>
      <c r="I40" s="51">
        <v>4005.47</v>
      </c>
      <c r="J40" s="44">
        <f t="shared" si="3"/>
        <v>360.005088042103</v>
      </c>
      <c r="K40" s="45" t="s">
        <v>52</v>
      </c>
    </row>
    <row r="41" s="2" customFormat="1" ht="15.6" spans="1:11">
      <c r="A41" s="28">
        <v>9</v>
      </c>
      <c r="B41" s="32" t="s">
        <v>30</v>
      </c>
      <c r="C41" s="30">
        <f>2180/10000</f>
        <v>0.218</v>
      </c>
      <c r="D41" s="14"/>
      <c r="E41" s="33"/>
      <c r="F41" s="18"/>
      <c r="G41" s="18"/>
      <c r="H41" s="31" t="s">
        <v>31</v>
      </c>
      <c r="I41" s="46">
        <v>1</v>
      </c>
      <c r="J41" s="44">
        <f t="shared" si="3"/>
        <v>2180</v>
      </c>
      <c r="K41" s="47"/>
    </row>
    <row r="42" s="2" customFormat="1" ht="15.6" spans="1:11">
      <c r="A42" s="28">
        <v>10</v>
      </c>
      <c r="B42" s="39" t="s">
        <v>32</v>
      </c>
      <c r="C42" s="30">
        <f>157244.27/10000</f>
        <v>15.724427</v>
      </c>
      <c r="D42" s="14"/>
      <c r="E42" s="18"/>
      <c r="F42" s="18"/>
      <c r="G42" s="14"/>
      <c r="H42" s="31" t="s">
        <v>33</v>
      </c>
      <c r="I42" s="53">
        <v>293</v>
      </c>
      <c r="J42" s="44">
        <f t="shared" si="3"/>
        <v>536.669863481229</v>
      </c>
      <c r="K42" s="47"/>
    </row>
    <row r="43" s="2" customFormat="1" ht="15.6" spans="1:11">
      <c r="A43" s="28">
        <v>11</v>
      </c>
      <c r="B43" s="39" t="s">
        <v>34</v>
      </c>
      <c r="C43" s="30">
        <f>10508.41/10000</f>
        <v>1.050841</v>
      </c>
      <c r="D43" s="14"/>
      <c r="E43" s="18"/>
      <c r="F43" s="18"/>
      <c r="G43" s="14"/>
      <c r="H43" s="31" t="s">
        <v>33</v>
      </c>
      <c r="I43" s="53">
        <v>11.3</v>
      </c>
      <c r="J43" s="44">
        <v>929.95</v>
      </c>
      <c r="K43" s="47"/>
    </row>
    <row r="44" s="1" customFormat="1" ht="31.2" spans="1:11">
      <c r="A44" s="28">
        <v>12</v>
      </c>
      <c r="B44" s="40" t="s">
        <v>55</v>
      </c>
      <c r="C44" s="30">
        <f>527992.61/10000</f>
        <v>52.799261</v>
      </c>
      <c r="D44" s="30"/>
      <c r="E44" s="12"/>
      <c r="F44" s="12"/>
      <c r="G44" s="14"/>
      <c r="H44" s="31" t="s">
        <v>22</v>
      </c>
      <c r="I44" s="51">
        <v>4005.47</v>
      </c>
      <c r="J44" s="44">
        <f>C44/I44*10000</f>
        <v>131.817891533328</v>
      </c>
      <c r="K44" s="45"/>
    </row>
    <row r="45" s="1" customFormat="1" ht="15.6" spans="1:11">
      <c r="A45" s="28">
        <v>13</v>
      </c>
      <c r="B45" s="40" t="s">
        <v>56</v>
      </c>
      <c r="C45" s="30">
        <f>165933.71/10000</f>
        <v>16.593371</v>
      </c>
      <c r="D45" s="30"/>
      <c r="E45" s="12"/>
      <c r="F45" s="12"/>
      <c r="G45" s="14"/>
      <c r="H45" s="31" t="s">
        <v>22</v>
      </c>
      <c r="I45" s="51">
        <v>525.12</v>
      </c>
      <c r="J45" s="44">
        <f>C45/I45*10000</f>
        <v>315.991982784887</v>
      </c>
      <c r="K45" s="45" t="s">
        <v>52</v>
      </c>
    </row>
    <row r="46" s="1" customFormat="1" ht="15.6" spans="1:11">
      <c r="A46" s="28">
        <v>14</v>
      </c>
      <c r="B46" s="40" t="s">
        <v>38</v>
      </c>
      <c r="C46" s="30">
        <f>8720/10000</f>
        <v>0.872</v>
      </c>
      <c r="D46" s="30"/>
      <c r="E46" s="12"/>
      <c r="F46" s="12"/>
      <c r="G46" s="14"/>
      <c r="H46" s="31" t="s">
        <v>31</v>
      </c>
      <c r="I46" s="51">
        <v>2</v>
      </c>
      <c r="J46" s="44">
        <f>C46/I46*10000</f>
        <v>4360</v>
      </c>
      <c r="K46" s="45"/>
    </row>
    <row r="47" s="1" customFormat="1" ht="15.6" spans="1:11">
      <c r="A47" s="28">
        <v>15</v>
      </c>
      <c r="B47" s="40" t="s">
        <v>57</v>
      </c>
      <c r="C47" s="30">
        <f>3008.4/10000</f>
        <v>0.30084</v>
      </c>
      <c r="D47" s="30"/>
      <c r="E47" s="12"/>
      <c r="F47" s="12"/>
      <c r="G47" s="14"/>
      <c r="H47" s="31" t="s">
        <v>27</v>
      </c>
      <c r="I47" s="51">
        <v>2</v>
      </c>
      <c r="J47" s="44">
        <f>C47/I47*10000</f>
        <v>1504.2</v>
      </c>
      <c r="K47" s="45"/>
    </row>
    <row r="48" s="1" customFormat="1" ht="15.6" spans="1:11">
      <c r="A48" s="28">
        <v>16</v>
      </c>
      <c r="B48" s="40" t="s">
        <v>58</v>
      </c>
      <c r="C48" s="30">
        <f>5392.97/10000</f>
        <v>0.539297</v>
      </c>
      <c r="D48" s="30"/>
      <c r="E48" s="12"/>
      <c r="F48" s="12"/>
      <c r="G48" s="14"/>
      <c r="H48" s="31" t="s">
        <v>22</v>
      </c>
      <c r="I48" s="51">
        <v>112</v>
      </c>
      <c r="J48" s="44">
        <v>48.15</v>
      </c>
      <c r="K48" s="45"/>
    </row>
    <row r="49" s="1" customFormat="1" ht="15.6" spans="1:11">
      <c r="A49" s="28">
        <v>17</v>
      </c>
      <c r="B49" s="32" t="s">
        <v>59</v>
      </c>
      <c r="C49" s="30">
        <f>495093.36/10000</f>
        <v>49.509336</v>
      </c>
      <c r="D49" s="14"/>
      <c r="E49" s="18"/>
      <c r="F49" s="18"/>
      <c r="G49" s="14"/>
      <c r="H49" s="31" t="s">
        <v>22</v>
      </c>
      <c r="I49" s="51">
        <v>3386.44</v>
      </c>
      <c r="J49" s="44">
        <f>C49/I49*10000</f>
        <v>146.198769208963</v>
      </c>
      <c r="K49" s="52"/>
    </row>
    <row r="50" s="2" customFormat="1" ht="15.6" spans="1:11">
      <c r="A50" s="28">
        <v>18</v>
      </c>
      <c r="B50" s="32" t="s">
        <v>60</v>
      </c>
      <c r="C50" s="30">
        <f>3589.87/10000</f>
        <v>0.358987</v>
      </c>
      <c r="D50" s="14"/>
      <c r="E50" s="18"/>
      <c r="F50" s="18"/>
      <c r="G50" s="14"/>
      <c r="H50" s="31" t="s">
        <v>33</v>
      </c>
      <c r="I50" s="53">
        <v>96</v>
      </c>
      <c r="J50" s="44">
        <f>C50/I50*10000</f>
        <v>37.3944791666667</v>
      </c>
      <c r="K50" s="54"/>
    </row>
    <row r="51" s="1" customFormat="1" ht="15.6" spans="1:11">
      <c r="A51" s="28">
        <v>19</v>
      </c>
      <c r="B51" s="29" t="s">
        <v>61</v>
      </c>
      <c r="C51" s="30">
        <f>83058/10000</f>
        <v>8.3058</v>
      </c>
      <c r="D51" s="30"/>
      <c r="E51" s="12"/>
      <c r="F51" s="12"/>
      <c r="G51" s="14"/>
      <c r="H51" s="28" t="s">
        <v>33</v>
      </c>
      <c r="I51" s="51">
        <v>254</v>
      </c>
      <c r="J51" s="44">
        <f>C51/I51*10000</f>
        <v>327</v>
      </c>
      <c r="K51" s="52"/>
    </row>
    <row r="52" s="1" customFormat="1" ht="24" spans="1:11">
      <c r="A52" s="28">
        <v>20</v>
      </c>
      <c r="B52" s="41" t="s">
        <v>62</v>
      </c>
      <c r="C52" s="30">
        <f>3136.7/10000</f>
        <v>0.31367</v>
      </c>
      <c r="D52" s="30"/>
      <c r="E52" s="12"/>
      <c r="F52" s="12"/>
      <c r="G52" s="14"/>
      <c r="H52" s="28" t="s">
        <v>63</v>
      </c>
      <c r="I52" s="51">
        <v>13</v>
      </c>
      <c r="J52" s="44">
        <v>248.48</v>
      </c>
      <c r="K52" s="52"/>
    </row>
    <row r="53" s="2" customFormat="1" ht="15.6" spans="1:11">
      <c r="A53" s="28">
        <v>21</v>
      </c>
      <c r="B53" s="32" t="s">
        <v>64</v>
      </c>
      <c r="C53" s="14">
        <f>63893.551/10000</f>
        <v>6.3893551</v>
      </c>
      <c r="D53" s="14"/>
      <c r="E53" s="18"/>
      <c r="F53" s="18"/>
      <c r="G53" s="14"/>
      <c r="H53" s="31" t="s">
        <v>22</v>
      </c>
      <c r="I53" s="46">
        <v>435</v>
      </c>
      <c r="J53" s="17">
        <f>C53/I53*10000</f>
        <v>146.881726436782</v>
      </c>
      <c r="K53" s="54" t="s">
        <v>65</v>
      </c>
    </row>
    <row r="54" s="1" customFormat="1" ht="46.8" spans="1:11">
      <c r="A54" s="26" t="s">
        <v>66</v>
      </c>
      <c r="B54" s="27" t="s">
        <v>67</v>
      </c>
      <c r="C54" s="14">
        <f>C55+C68</f>
        <v>310.165584</v>
      </c>
      <c r="D54" s="14"/>
      <c r="E54" s="18"/>
      <c r="F54" s="18"/>
      <c r="G54" s="14"/>
      <c r="H54" s="31"/>
      <c r="I54" s="46"/>
      <c r="J54" s="17"/>
      <c r="K54" s="54"/>
    </row>
    <row r="55" s="1" customFormat="1" ht="31.2" spans="1:11">
      <c r="A55" s="26" t="s">
        <v>19</v>
      </c>
      <c r="B55" s="27" t="s">
        <v>20</v>
      </c>
      <c r="C55" s="14">
        <f>SUM(C56:C67)</f>
        <v>273.922255</v>
      </c>
      <c r="D55" s="14"/>
      <c r="E55" s="18"/>
      <c r="F55" s="18"/>
      <c r="G55" s="14"/>
      <c r="H55" s="31"/>
      <c r="I55" s="46"/>
      <c r="J55" s="17"/>
      <c r="K55" s="54"/>
    </row>
    <row r="56" s="1" customFormat="1" ht="31.2" spans="1:11">
      <c r="A56" s="28">
        <v>1</v>
      </c>
      <c r="B56" s="29" t="s">
        <v>21</v>
      </c>
      <c r="C56" s="30">
        <f>51121.73/10000</f>
        <v>5.112173</v>
      </c>
      <c r="D56" s="30"/>
      <c r="E56" s="12"/>
      <c r="F56" s="12"/>
      <c r="G56" s="14"/>
      <c r="H56" s="28" t="s">
        <v>22</v>
      </c>
      <c r="I56" s="43">
        <v>3294.34</v>
      </c>
      <c r="J56" s="44">
        <f>C56/I56*10000</f>
        <v>15.518049138826</v>
      </c>
      <c r="K56" s="45"/>
    </row>
    <row r="57" s="1" customFormat="1" ht="31.2" spans="1:11">
      <c r="A57" s="28">
        <v>2</v>
      </c>
      <c r="B57" s="29" t="s">
        <v>68</v>
      </c>
      <c r="C57" s="30">
        <f>78456.01/10000</f>
        <v>7.845601</v>
      </c>
      <c r="D57" s="30"/>
      <c r="E57" s="12"/>
      <c r="F57" s="12"/>
      <c r="G57" s="14"/>
      <c r="H57" s="28" t="s">
        <v>22</v>
      </c>
      <c r="I57" s="43">
        <v>5775</v>
      </c>
      <c r="J57" s="44">
        <f t="shared" ref="J57:J63" si="4">C57/I57*10000</f>
        <v>13.5854562770563</v>
      </c>
      <c r="K57" s="45"/>
    </row>
    <row r="58" s="1" customFormat="1" ht="46" customHeight="1" spans="1:11">
      <c r="A58" s="28">
        <v>3</v>
      </c>
      <c r="B58" s="29" t="s">
        <v>23</v>
      </c>
      <c r="C58" s="30">
        <f>230436.97/10000</f>
        <v>23.043697</v>
      </c>
      <c r="D58" s="24"/>
      <c r="E58" s="25"/>
      <c r="F58" s="18"/>
      <c r="G58" s="24"/>
      <c r="H58" s="31" t="s">
        <v>22</v>
      </c>
      <c r="I58" s="43">
        <v>988.3</v>
      </c>
      <c r="J58" s="44">
        <f t="shared" si="4"/>
        <v>233.165000505919</v>
      </c>
      <c r="K58" s="55" t="s">
        <v>69</v>
      </c>
    </row>
    <row r="59" s="1" customFormat="1" ht="15.6" spans="1:11">
      <c r="A59" s="28">
        <v>4</v>
      </c>
      <c r="B59" s="29" t="s">
        <v>70</v>
      </c>
      <c r="C59" s="30">
        <f>901288.06/10000</f>
        <v>90.128806</v>
      </c>
      <c r="D59" s="30"/>
      <c r="E59" s="12"/>
      <c r="F59" s="12"/>
      <c r="G59" s="14"/>
      <c r="H59" s="28" t="s">
        <v>22</v>
      </c>
      <c r="I59" s="43">
        <v>3294.34</v>
      </c>
      <c r="J59" s="44">
        <f t="shared" si="4"/>
        <v>273.586836817086</v>
      </c>
      <c r="K59" s="52"/>
    </row>
    <row r="60" s="1" customFormat="1" ht="15.6" spans="1:11">
      <c r="A60" s="28">
        <v>5</v>
      </c>
      <c r="B60" s="29" t="s">
        <v>25</v>
      </c>
      <c r="C60" s="30">
        <f>12760.15/10000</f>
        <v>1.276015</v>
      </c>
      <c r="D60" s="30"/>
      <c r="E60" s="12"/>
      <c r="F60" s="12"/>
      <c r="G60" s="14"/>
      <c r="H60" s="28" t="s">
        <v>22</v>
      </c>
      <c r="I60" s="43">
        <v>265</v>
      </c>
      <c r="J60" s="44">
        <f t="shared" si="4"/>
        <v>48.1515094339623</v>
      </c>
      <c r="K60" s="52"/>
    </row>
    <row r="61" s="1" customFormat="1" ht="15.6" spans="1:11">
      <c r="A61" s="28">
        <v>6</v>
      </c>
      <c r="B61" s="29" t="s">
        <v>26</v>
      </c>
      <c r="C61" s="30">
        <f>1090/10000</f>
        <v>0.109</v>
      </c>
      <c r="D61" s="30"/>
      <c r="E61" s="12"/>
      <c r="F61" s="12"/>
      <c r="G61" s="14"/>
      <c r="H61" s="28" t="s">
        <v>27</v>
      </c>
      <c r="I61" s="43">
        <v>2</v>
      </c>
      <c r="J61" s="44">
        <f t="shared" si="4"/>
        <v>545</v>
      </c>
      <c r="K61" s="52"/>
    </row>
    <row r="62" s="1" customFormat="1" ht="15.6" spans="1:11">
      <c r="A62" s="28">
        <v>7</v>
      </c>
      <c r="B62" s="29" t="s">
        <v>29</v>
      </c>
      <c r="C62" s="30">
        <f>1254790.72/10000</f>
        <v>125.479072</v>
      </c>
      <c r="D62" s="30"/>
      <c r="E62" s="12"/>
      <c r="F62" s="12"/>
      <c r="G62" s="14"/>
      <c r="H62" s="28" t="s">
        <v>22</v>
      </c>
      <c r="I62" s="43">
        <v>5775</v>
      </c>
      <c r="J62" s="44">
        <f t="shared" si="4"/>
        <v>217.279778354978</v>
      </c>
      <c r="K62" s="52"/>
    </row>
    <row r="63" s="2" customFormat="1" ht="15.6" spans="1:11">
      <c r="A63" s="28">
        <v>8</v>
      </c>
      <c r="B63" s="32" t="s">
        <v>30</v>
      </c>
      <c r="C63" s="30">
        <f>2180/10000</f>
        <v>0.218</v>
      </c>
      <c r="D63" s="14"/>
      <c r="E63" s="33"/>
      <c r="F63" s="18"/>
      <c r="G63" s="18"/>
      <c r="H63" s="31" t="s">
        <v>31</v>
      </c>
      <c r="I63" s="46">
        <v>1</v>
      </c>
      <c r="J63" s="44">
        <f t="shared" si="4"/>
        <v>2180</v>
      </c>
      <c r="K63" s="47"/>
    </row>
    <row r="64" s="1" customFormat="1" ht="15.6" spans="1:11">
      <c r="A64" s="28">
        <v>9</v>
      </c>
      <c r="B64" s="29" t="s">
        <v>32</v>
      </c>
      <c r="C64" s="30">
        <f>161543.38/10000</f>
        <v>16.154338</v>
      </c>
      <c r="D64" s="30"/>
      <c r="E64" s="12"/>
      <c r="F64" s="12"/>
      <c r="G64" s="14"/>
      <c r="H64" s="28" t="s">
        <v>33</v>
      </c>
      <c r="I64" s="43">
        <v>301</v>
      </c>
      <c r="J64" s="44">
        <v>539.96</v>
      </c>
      <c r="K64" s="52"/>
    </row>
    <row r="65" s="1" customFormat="1" ht="15.6" spans="1:11">
      <c r="A65" s="28">
        <v>10</v>
      </c>
      <c r="B65" s="29" t="s">
        <v>34</v>
      </c>
      <c r="C65" s="30">
        <f>14761.42/10000</f>
        <v>1.476142</v>
      </c>
      <c r="D65" s="30"/>
      <c r="E65" s="12"/>
      <c r="F65" s="12"/>
      <c r="G65" s="14"/>
      <c r="H65" s="28" t="s">
        <v>33</v>
      </c>
      <c r="I65" s="43">
        <v>20.1</v>
      </c>
      <c r="J65" s="44">
        <v>747.24</v>
      </c>
      <c r="K65" s="52"/>
    </row>
    <row r="66" s="1" customFormat="1" ht="15.6" spans="1:11">
      <c r="A66" s="28">
        <v>11</v>
      </c>
      <c r="B66" s="29" t="s">
        <v>71</v>
      </c>
      <c r="C66" s="30">
        <f>413.97/10000</f>
        <v>0.041397</v>
      </c>
      <c r="D66" s="30"/>
      <c r="E66" s="12"/>
      <c r="F66" s="12"/>
      <c r="G66" s="14"/>
      <c r="H66" s="28" t="s">
        <v>22</v>
      </c>
      <c r="I66" s="43">
        <v>3.14</v>
      </c>
      <c r="J66" s="44">
        <f>C66/I66*10000</f>
        <v>131.837579617834</v>
      </c>
      <c r="K66" s="21"/>
    </row>
    <row r="67" s="1" customFormat="1" ht="15.6" spans="1:11">
      <c r="A67" s="28">
        <v>12</v>
      </c>
      <c r="B67" s="29" t="s">
        <v>72</v>
      </c>
      <c r="C67" s="30">
        <f>30380.14/10000</f>
        <v>3.038014</v>
      </c>
      <c r="D67" s="30"/>
      <c r="E67" s="12"/>
      <c r="F67" s="12"/>
      <c r="G67" s="14"/>
      <c r="H67" s="28" t="s">
        <v>22</v>
      </c>
      <c r="I67" s="43">
        <v>207.8</v>
      </c>
      <c r="J67" s="44">
        <f>C67/I67*10000</f>
        <v>146.198941289702</v>
      </c>
      <c r="K67" s="21"/>
    </row>
    <row r="68" s="1" customFormat="1" ht="31.2" spans="1:11">
      <c r="A68" s="26" t="s">
        <v>35</v>
      </c>
      <c r="B68" s="27" t="s">
        <v>36</v>
      </c>
      <c r="C68" s="14">
        <f>SUM(C69:C71)</f>
        <v>36.243329</v>
      </c>
      <c r="D68" s="14"/>
      <c r="E68" s="18"/>
      <c r="F68" s="18"/>
      <c r="G68" s="14"/>
      <c r="H68" s="26"/>
      <c r="I68" s="48"/>
      <c r="J68" s="44"/>
      <c r="K68" s="22"/>
    </row>
    <row r="69" s="1" customFormat="1" ht="15.6" spans="1:11">
      <c r="A69" s="28">
        <v>1</v>
      </c>
      <c r="B69" s="29" t="s">
        <v>37</v>
      </c>
      <c r="C69" s="30">
        <f>274687.76/10000</f>
        <v>27.468776</v>
      </c>
      <c r="D69" s="30"/>
      <c r="E69" s="12"/>
      <c r="F69" s="12"/>
      <c r="G69" s="14"/>
      <c r="H69" s="28" t="s">
        <v>22</v>
      </c>
      <c r="I69" s="43">
        <v>1244.13</v>
      </c>
      <c r="J69" s="44">
        <f t="shared" ref="J69:J71" si="5">C69/I69*10000</f>
        <v>220.787023864066</v>
      </c>
      <c r="K69" s="21"/>
    </row>
    <row r="70" s="1" customFormat="1" ht="15.6" spans="1:11">
      <c r="A70" s="28">
        <v>3</v>
      </c>
      <c r="B70" s="29" t="s">
        <v>25</v>
      </c>
      <c r="C70" s="30">
        <f>1539.6/10000</f>
        <v>0.15396</v>
      </c>
      <c r="D70" s="30"/>
      <c r="E70" s="12"/>
      <c r="F70" s="12"/>
      <c r="G70" s="14"/>
      <c r="H70" s="28" t="s">
        <v>22</v>
      </c>
      <c r="I70" s="43">
        <v>32</v>
      </c>
      <c r="J70" s="15">
        <f t="shared" si="5"/>
        <v>48.1125</v>
      </c>
      <c r="K70" s="21"/>
    </row>
    <row r="71" s="1" customFormat="1" ht="15.6" spans="1:11">
      <c r="A71" s="28">
        <v>4</v>
      </c>
      <c r="B71" s="29" t="s">
        <v>73</v>
      </c>
      <c r="C71" s="30">
        <f>86205.93/10000</f>
        <v>8.620593</v>
      </c>
      <c r="D71" s="30"/>
      <c r="E71" s="12"/>
      <c r="F71" s="12"/>
      <c r="G71" s="14"/>
      <c r="H71" s="28" t="s">
        <v>22</v>
      </c>
      <c r="I71" s="43">
        <v>426</v>
      </c>
      <c r="J71" s="15">
        <f t="shared" si="5"/>
        <v>202.361338028169</v>
      </c>
      <c r="K71" s="21"/>
    </row>
    <row r="72" s="1" customFormat="1" ht="38" customHeight="1" spans="1:11">
      <c r="A72" s="26" t="s">
        <v>74</v>
      </c>
      <c r="B72" s="50" t="s">
        <v>75</v>
      </c>
      <c r="C72" s="14">
        <f>SUM(C73:C86)</f>
        <v>222.34106</v>
      </c>
      <c r="D72" s="14"/>
      <c r="E72" s="18"/>
      <c r="F72" s="18"/>
      <c r="G72" s="14"/>
      <c r="H72" s="26"/>
      <c r="I72" s="48"/>
      <c r="J72" s="17"/>
      <c r="K72" s="22"/>
    </row>
    <row r="73" s="1" customFormat="1" ht="31.2" spans="1:11">
      <c r="A73" s="28">
        <v>1</v>
      </c>
      <c r="B73" s="29" t="s">
        <v>21</v>
      </c>
      <c r="C73" s="30">
        <f>48478.39/10000</f>
        <v>4.847839</v>
      </c>
      <c r="D73" s="30"/>
      <c r="E73" s="12"/>
      <c r="F73" s="12"/>
      <c r="G73" s="14"/>
      <c r="H73" s="28" t="s">
        <v>22</v>
      </c>
      <c r="I73" s="65">
        <v>3124</v>
      </c>
      <c r="J73" s="44">
        <f>C73/I73*10000</f>
        <v>15.5180505761844</v>
      </c>
      <c r="K73" s="21"/>
    </row>
    <row r="74" s="1" customFormat="1" ht="31.2" spans="1:11">
      <c r="A74" s="28">
        <v>2</v>
      </c>
      <c r="B74" s="29" t="s">
        <v>68</v>
      </c>
      <c r="C74" s="30">
        <f>30173.29/10000</f>
        <v>3.017329</v>
      </c>
      <c r="D74" s="30"/>
      <c r="E74" s="12"/>
      <c r="F74" s="12"/>
      <c r="G74" s="14"/>
      <c r="H74" s="28" t="s">
        <v>22</v>
      </c>
      <c r="I74" s="43">
        <v>2221</v>
      </c>
      <c r="J74" s="44">
        <f t="shared" ref="J74:J82" si="6">C74/I74*10000</f>
        <v>13.5854524988744</v>
      </c>
      <c r="K74" s="21"/>
    </row>
    <row r="75" s="1" customFormat="1" ht="35" customHeight="1" spans="1:11">
      <c r="A75" s="28">
        <v>3</v>
      </c>
      <c r="B75" s="29" t="s">
        <v>76</v>
      </c>
      <c r="C75" s="30">
        <f>364203.78/10000</f>
        <v>36.420378</v>
      </c>
      <c r="D75" s="30"/>
      <c r="E75" s="12"/>
      <c r="F75" s="12"/>
      <c r="G75" s="14"/>
      <c r="H75" s="28" t="s">
        <v>22</v>
      </c>
      <c r="I75" s="43">
        <v>1562</v>
      </c>
      <c r="J75" s="44">
        <f t="shared" si="6"/>
        <v>233.165032010243</v>
      </c>
      <c r="K75" s="55" t="s">
        <v>77</v>
      </c>
    </row>
    <row r="76" s="1" customFormat="1" ht="15.6" spans="1:11">
      <c r="A76" s="28">
        <v>4</v>
      </c>
      <c r="B76" s="29" t="s">
        <v>51</v>
      </c>
      <c r="C76" s="30">
        <f>854685.32/10000</f>
        <v>85.468532</v>
      </c>
      <c r="D76" s="30"/>
      <c r="E76" s="12"/>
      <c r="F76" s="12"/>
      <c r="G76" s="14"/>
      <c r="H76" s="28" t="s">
        <v>22</v>
      </c>
      <c r="I76" s="43">
        <v>3124</v>
      </c>
      <c r="J76" s="44">
        <f t="shared" si="6"/>
        <v>273.586850192061</v>
      </c>
      <c r="K76" s="21"/>
    </row>
    <row r="77" s="1" customFormat="1" ht="15.6" spans="1:11">
      <c r="A77" s="28">
        <v>5</v>
      </c>
      <c r="B77" s="29" t="s">
        <v>25</v>
      </c>
      <c r="C77" s="30">
        <f>8811.73/10000</f>
        <v>0.881173</v>
      </c>
      <c r="D77" s="30"/>
      <c r="E77" s="12"/>
      <c r="F77" s="12"/>
      <c r="G77" s="14"/>
      <c r="H77" s="28" t="s">
        <v>22</v>
      </c>
      <c r="I77" s="43">
        <v>183</v>
      </c>
      <c r="J77" s="44">
        <f t="shared" si="6"/>
        <v>48.1515300546448</v>
      </c>
      <c r="K77" s="21"/>
    </row>
    <row r="78" s="1" customFormat="1" ht="15.6" spans="1:11">
      <c r="A78" s="28">
        <v>6</v>
      </c>
      <c r="B78" s="29" t="s">
        <v>26</v>
      </c>
      <c r="C78" s="30">
        <f>1090/10000</f>
        <v>0.109</v>
      </c>
      <c r="D78" s="30"/>
      <c r="E78" s="12"/>
      <c r="F78" s="12"/>
      <c r="G78" s="14"/>
      <c r="H78" s="28" t="s">
        <v>27</v>
      </c>
      <c r="I78" s="43">
        <v>2</v>
      </c>
      <c r="J78" s="44">
        <f t="shared" si="6"/>
        <v>545</v>
      </c>
      <c r="K78" s="21"/>
    </row>
    <row r="79" s="1" customFormat="1" ht="15.6" spans="1:11">
      <c r="A79" s="28">
        <v>7</v>
      </c>
      <c r="B79" s="29" t="s">
        <v>29</v>
      </c>
      <c r="C79" s="30">
        <f>482853.94/10000</f>
        <v>48.285394</v>
      </c>
      <c r="D79" s="30"/>
      <c r="E79" s="12"/>
      <c r="F79" s="12"/>
      <c r="G79" s="14"/>
      <c r="H79" s="28" t="s">
        <v>22</v>
      </c>
      <c r="I79" s="43">
        <v>2221</v>
      </c>
      <c r="J79" s="44">
        <f t="shared" si="6"/>
        <v>217.403845114813</v>
      </c>
      <c r="K79" s="21"/>
    </row>
    <row r="80" s="2" customFormat="1" ht="15.6" spans="1:11">
      <c r="A80" s="28">
        <v>8</v>
      </c>
      <c r="B80" s="32" t="s">
        <v>30</v>
      </c>
      <c r="C80" s="30">
        <f>2180/10000</f>
        <v>0.218</v>
      </c>
      <c r="D80" s="14"/>
      <c r="E80" s="33"/>
      <c r="F80" s="18"/>
      <c r="G80" s="18"/>
      <c r="H80" s="31" t="s">
        <v>31</v>
      </c>
      <c r="I80" s="46">
        <v>1</v>
      </c>
      <c r="J80" s="44">
        <f t="shared" si="6"/>
        <v>2180</v>
      </c>
      <c r="K80" s="47"/>
    </row>
    <row r="81" s="1" customFormat="1" ht="15.6" spans="1:11">
      <c r="A81" s="28">
        <v>9</v>
      </c>
      <c r="B81" s="29" t="s">
        <v>59</v>
      </c>
      <c r="C81" s="30">
        <f>306527.98/10000</f>
        <v>30.652798</v>
      </c>
      <c r="D81" s="30"/>
      <c r="E81" s="12"/>
      <c r="F81" s="12"/>
      <c r="G81" s="14"/>
      <c r="H81" s="28" t="s">
        <v>22</v>
      </c>
      <c r="I81" s="43">
        <v>1459</v>
      </c>
      <c r="J81" s="44">
        <f t="shared" si="6"/>
        <v>210.0945716244</v>
      </c>
      <c r="K81" s="66" t="s">
        <v>78</v>
      </c>
    </row>
    <row r="82" s="1" customFormat="1" ht="15.6" spans="1:11">
      <c r="A82" s="28">
        <v>10</v>
      </c>
      <c r="B82" s="29" t="s">
        <v>32</v>
      </c>
      <c r="C82" s="30">
        <f>105728.17/10000</f>
        <v>10.572817</v>
      </c>
      <c r="D82" s="30"/>
      <c r="E82" s="12"/>
      <c r="F82" s="12"/>
      <c r="G82" s="14"/>
      <c r="H82" s="28" t="s">
        <v>33</v>
      </c>
      <c r="I82" s="43">
        <v>197</v>
      </c>
      <c r="J82" s="44">
        <f t="shared" si="6"/>
        <v>536.691218274112</v>
      </c>
      <c r="K82" s="21"/>
    </row>
    <row r="83" s="1" customFormat="1" ht="15.6" spans="1:11">
      <c r="A83" s="28">
        <v>11</v>
      </c>
      <c r="B83" s="29" t="s">
        <v>34</v>
      </c>
      <c r="C83" s="30">
        <f>7763.79/10000</f>
        <v>0.776379</v>
      </c>
      <c r="D83" s="30"/>
      <c r="E83" s="12"/>
      <c r="F83" s="12"/>
      <c r="G83" s="14"/>
      <c r="H83" s="28" t="s">
        <v>33</v>
      </c>
      <c r="I83" s="43">
        <v>7</v>
      </c>
      <c r="J83" s="44">
        <v>1161.14</v>
      </c>
      <c r="K83" s="21"/>
    </row>
    <row r="84" s="1" customFormat="1" ht="15.6" spans="1:11">
      <c r="A84" s="28">
        <v>12</v>
      </c>
      <c r="B84" s="29" t="s">
        <v>79</v>
      </c>
      <c r="C84" s="30">
        <f>558/10000</f>
        <v>0.0558</v>
      </c>
      <c r="D84" s="30"/>
      <c r="E84" s="12"/>
      <c r="F84" s="12"/>
      <c r="G84" s="14"/>
      <c r="H84" s="28" t="s">
        <v>80</v>
      </c>
      <c r="I84" s="43">
        <v>3</v>
      </c>
      <c r="J84" s="44">
        <f>C84/I84*10000</f>
        <v>186</v>
      </c>
      <c r="K84" s="21"/>
    </row>
    <row r="85" s="1" customFormat="1" ht="15.6" spans="1:11">
      <c r="A85" s="28">
        <v>13</v>
      </c>
      <c r="B85" s="29" t="s">
        <v>81</v>
      </c>
      <c r="C85" s="30">
        <f>7174.24/10000</f>
        <v>0.717424</v>
      </c>
      <c r="D85" s="30"/>
      <c r="E85" s="12"/>
      <c r="F85" s="12"/>
      <c r="G85" s="14"/>
      <c r="H85" s="28" t="s">
        <v>80</v>
      </c>
      <c r="I85" s="43">
        <v>3</v>
      </c>
      <c r="J85" s="44">
        <f>C85/I85*10000</f>
        <v>2391.41333333333</v>
      </c>
      <c r="K85" s="21"/>
    </row>
    <row r="86" s="1" customFormat="1" ht="31.2" spans="1:11">
      <c r="A86" s="28">
        <v>14</v>
      </c>
      <c r="B86" s="29" t="s">
        <v>82</v>
      </c>
      <c r="C86" s="30">
        <f>3181.97/10000</f>
        <v>0.318197</v>
      </c>
      <c r="D86" s="35"/>
      <c r="E86" s="34"/>
      <c r="F86" s="12"/>
      <c r="G86" s="36"/>
      <c r="H86" s="28" t="s">
        <v>22</v>
      </c>
      <c r="I86" s="43">
        <v>15</v>
      </c>
      <c r="J86" s="44">
        <f>C86/I86*10000</f>
        <v>212.131333333333</v>
      </c>
      <c r="K86" s="21" t="s">
        <v>78</v>
      </c>
    </row>
    <row r="87" s="1" customFormat="1" ht="19" customHeight="1" spans="1:11">
      <c r="A87" s="18" t="s">
        <v>48</v>
      </c>
      <c r="B87" s="56" t="s">
        <v>10</v>
      </c>
      <c r="C87" s="14"/>
      <c r="D87" s="14"/>
      <c r="E87" s="18"/>
      <c r="F87" s="38">
        <f>SUM(F88:F96)</f>
        <v>81.338054127925</v>
      </c>
      <c r="G87" s="14">
        <f>F87</f>
        <v>81.338054127925</v>
      </c>
      <c r="H87" s="18"/>
      <c r="I87" s="14"/>
      <c r="J87" s="14"/>
      <c r="K87" s="22"/>
    </row>
    <row r="88" s="1" customFormat="1" ht="34" customHeight="1" spans="1:11">
      <c r="A88" s="18">
        <v>1</v>
      </c>
      <c r="B88" s="56" t="s">
        <v>83</v>
      </c>
      <c r="C88" s="14"/>
      <c r="D88" s="14"/>
      <c r="E88" s="18"/>
      <c r="F88" s="38">
        <f>G5*0.1%</f>
        <v>1.4993189701</v>
      </c>
      <c r="G88" s="14">
        <f>F88</f>
        <v>1.4993189701</v>
      </c>
      <c r="H88" s="57" t="s">
        <v>84</v>
      </c>
      <c r="I88" s="59"/>
      <c r="J88" s="59"/>
      <c r="K88" s="22" t="s">
        <v>85</v>
      </c>
    </row>
    <row r="89" s="1" customFormat="1" ht="24" spans="1:11">
      <c r="A89" s="18">
        <v>2</v>
      </c>
      <c r="B89" s="58" t="s">
        <v>86</v>
      </c>
      <c r="C89" s="14"/>
      <c r="D89" s="30"/>
      <c r="E89" s="12"/>
      <c r="F89" s="38">
        <f>G5*1.3%</f>
        <v>19.4911466113</v>
      </c>
      <c r="G89" s="14">
        <f t="shared" ref="G89:G97" si="7">F89</f>
        <v>19.4911466113</v>
      </c>
      <c r="H89" s="59" t="s">
        <v>87</v>
      </c>
      <c r="I89" s="59"/>
      <c r="J89" s="59"/>
      <c r="K89" s="67" t="s">
        <v>88</v>
      </c>
    </row>
    <row r="90" s="1" customFormat="1" ht="24" spans="1:11">
      <c r="A90" s="18">
        <v>4</v>
      </c>
      <c r="B90" s="58" t="s">
        <v>89</v>
      </c>
      <c r="C90" s="14"/>
      <c r="D90" s="30"/>
      <c r="E90" s="12"/>
      <c r="F90" s="38">
        <f>G5*1.8%</f>
        <v>26.9877414618</v>
      </c>
      <c r="G90" s="14">
        <f t="shared" si="7"/>
        <v>26.9877414618</v>
      </c>
      <c r="H90" s="57" t="s">
        <v>90</v>
      </c>
      <c r="I90" s="59"/>
      <c r="J90" s="59"/>
      <c r="K90" s="67" t="s">
        <v>88</v>
      </c>
    </row>
    <row r="91" s="1" customFormat="1" ht="36" customHeight="1" spans="1:11">
      <c r="A91" s="18">
        <v>6</v>
      </c>
      <c r="B91" s="58" t="s">
        <v>91</v>
      </c>
      <c r="C91" s="14"/>
      <c r="D91" s="30"/>
      <c r="E91" s="12"/>
      <c r="F91" s="38">
        <f>G5*0.25%</f>
        <v>3.74829742525</v>
      </c>
      <c r="G91" s="14">
        <f t="shared" si="7"/>
        <v>3.74829742525</v>
      </c>
      <c r="H91" s="60" t="s">
        <v>92</v>
      </c>
      <c r="I91" s="59"/>
      <c r="J91" s="59"/>
      <c r="K91" s="67" t="s">
        <v>93</v>
      </c>
    </row>
    <row r="92" s="1" customFormat="1" ht="28.8" spans="1:11">
      <c r="A92" s="18">
        <v>7</v>
      </c>
      <c r="B92" s="58" t="s">
        <v>94</v>
      </c>
      <c r="C92" s="14"/>
      <c r="D92" s="30"/>
      <c r="E92" s="12"/>
      <c r="F92" s="38">
        <f>G5*0.54%</f>
        <v>8.09632243854</v>
      </c>
      <c r="G92" s="14">
        <f t="shared" si="7"/>
        <v>8.09632243854</v>
      </c>
      <c r="H92" s="60" t="s">
        <v>95</v>
      </c>
      <c r="I92" s="60"/>
      <c r="J92" s="60"/>
      <c r="K92" s="67" t="s">
        <v>96</v>
      </c>
    </row>
    <row r="93" s="1" customFormat="1" ht="36" spans="1:11">
      <c r="A93" s="18">
        <v>8</v>
      </c>
      <c r="B93" s="58" t="s">
        <v>97</v>
      </c>
      <c r="C93" s="14"/>
      <c r="D93" s="30"/>
      <c r="E93" s="12"/>
      <c r="F93" s="38">
        <f>G5*0.6%</f>
        <v>8.9959138206</v>
      </c>
      <c r="G93" s="14">
        <f t="shared" si="7"/>
        <v>8.9959138206</v>
      </c>
      <c r="H93" s="60" t="s">
        <v>98</v>
      </c>
      <c r="I93" s="60"/>
      <c r="J93" s="60"/>
      <c r="K93" s="67" t="s">
        <v>99</v>
      </c>
    </row>
    <row r="94" s="1" customFormat="1" ht="27.95" customHeight="1" spans="1:11">
      <c r="A94" s="18">
        <v>9</v>
      </c>
      <c r="B94" s="58" t="s">
        <v>100</v>
      </c>
      <c r="C94" s="14"/>
      <c r="D94" s="30"/>
      <c r="E94" s="12"/>
      <c r="F94" s="38">
        <f>G5*0.4%</f>
        <v>5.9972758804</v>
      </c>
      <c r="G94" s="14">
        <f t="shared" si="7"/>
        <v>5.9972758804</v>
      </c>
      <c r="H94" s="57" t="s">
        <v>101</v>
      </c>
      <c r="I94" s="59"/>
      <c r="J94" s="59"/>
      <c r="K94" s="67" t="s">
        <v>88</v>
      </c>
    </row>
    <row r="95" s="1" customFormat="1" ht="22" customHeight="1" spans="1:11">
      <c r="A95" s="18">
        <v>10</v>
      </c>
      <c r="B95" s="58" t="s">
        <v>102</v>
      </c>
      <c r="C95" s="14"/>
      <c r="D95" s="30"/>
      <c r="E95" s="12"/>
      <c r="F95" s="38">
        <f>G5*0.25%</f>
        <v>3.74829742525</v>
      </c>
      <c r="G95" s="14">
        <f t="shared" si="7"/>
        <v>3.74829742525</v>
      </c>
      <c r="H95" s="60" t="s">
        <v>103</v>
      </c>
      <c r="I95" s="59"/>
      <c r="J95" s="59"/>
      <c r="K95" s="67"/>
    </row>
    <row r="96" s="1" customFormat="1" ht="24" spans="1:11">
      <c r="A96" s="18">
        <v>11</v>
      </c>
      <c r="B96" s="61" t="s">
        <v>104</v>
      </c>
      <c r="C96" s="62"/>
      <c r="D96" s="62"/>
      <c r="E96" s="62"/>
      <c r="F96" s="38">
        <f>G5*0.185%</f>
        <v>2.773740094685</v>
      </c>
      <c r="G96" s="63">
        <f t="shared" si="7"/>
        <v>2.773740094685</v>
      </c>
      <c r="H96" s="59" t="s">
        <v>105</v>
      </c>
      <c r="I96" s="59"/>
      <c r="J96" s="59"/>
      <c r="K96" s="67" t="s">
        <v>88</v>
      </c>
    </row>
    <row r="97" s="1" customFormat="1" ht="40" customHeight="1" spans="1:11">
      <c r="A97" s="18" t="s">
        <v>66</v>
      </c>
      <c r="B97" s="23" t="s">
        <v>106</v>
      </c>
      <c r="C97" s="14"/>
      <c r="D97" s="14"/>
      <c r="E97" s="18"/>
      <c r="F97" s="38">
        <f>(G5+G87)*2.75%</f>
        <v>43.4680681662679</v>
      </c>
      <c r="G97" s="14">
        <f t="shared" si="7"/>
        <v>43.4680681662679</v>
      </c>
      <c r="H97" s="18"/>
      <c r="I97" s="14"/>
      <c r="J97" s="14"/>
      <c r="K97" s="68" t="s">
        <v>107</v>
      </c>
    </row>
    <row r="98" s="1" customFormat="1" ht="29.1" customHeight="1" spans="1:11">
      <c r="A98" s="12"/>
      <c r="B98" s="13" t="s">
        <v>108</v>
      </c>
      <c r="C98" s="36">
        <f>C5</f>
        <v>1499.3189701</v>
      </c>
      <c r="D98" s="35" t="str">
        <f>D5</f>
        <v> </v>
      </c>
      <c r="E98" s="34" t="str">
        <f>E5</f>
        <v> </v>
      </c>
      <c r="F98" s="44">
        <f>F87+F97</f>
        <v>124.806122294193</v>
      </c>
      <c r="G98" s="64">
        <f>G5+G87+G97</f>
        <v>1624.12509239419</v>
      </c>
      <c r="H98" s="18"/>
      <c r="I98" s="59"/>
      <c r="J98" s="14"/>
      <c r="K98" s="67"/>
    </row>
  </sheetData>
  <mergeCells count="15">
    <mergeCell ref="A1:K1"/>
    <mergeCell ref="A2:K2"/>
    <mergeCell ref="C3:G3"/>
    <mergeCell ref="H3:J3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A3:A4"/>
    <mergeCell ref="B3:B4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2015-09-21T06:18:00Z</dcterms:created>
  <cp:lastPrinted>2023-04-26T06:03:00Z</cp:lastPrinted>
  <dcterms:modified xsi:type="dcterms:W3CDTF">2023-05-12T02:24:59Z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96B55492D9CB43FEB81F9F71649A209F</vt:lpwstr>
  </property>
</Properties>
</file>