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估算总表" sheetId="1" r:id="rId1"/>
    <sheet name="新建" sheetId="2" r:id="rId2"/>
    <sheet name="改造" sheetId="3" r:id="rId3"/>
    <sheet name="电仪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HTML_CodePage" hidden="1">936</definedName>
    <definedName name="HTML_Control" localSheetId="3" hidden="1">{"'现金流量表（全部投资）'!$B$4:$P$23"}</definedName>
    <definedName name="HTML_Control" localSheetId="2" hidden="1">{"'现金流量表（全部投资）'!$B$4:$P$23"}</definedName>
    <definedName name="HTML_Control" localSheetId="0" hidden="1">{"'现金流量表（全部投资）'!$B$4:$P$23"}</definedName>
    <definedName name="HTML_Control" localSheetId="1" hidden="1">{"'现金流量表（全部投资）'!$B$4:$P$23"}</definedName>
    <definedName name="HTML_Control" hidden="1">{"'现金流量表（全部投资）'!$B$4:$P$23"}</definedName>
    <definedName name="HTML_Description" hidden="1">"lin zijian"</definedName>
    <definedName name="HTML_Email" hidden="1">""</definedName>
    <definedName name="HTML_Header" hidden="1">"现金流量表（全部投资）"</definedName>
    <definedName name="HTML_LastUpdate" hidden="1">"96-12-2"</definedName>
    <definedName name="HTML_LineAfter" hidden="1">TRUE</definedName>
    <definedName name="HTML_LineBefore" hidden="1">TRUE</definedName>
    <definedName name="HTML_Name" hidden="1">"linzijia"</definedName>
    <definedName name="HTML_OBDlg2" hidden="1">TRUE</definedName>
    <definedName name="HTML_OBDlg4" hidden="1">TRUE</definedName>
    <definedName name="HTML_OS" hidden="1">0</definedName>
    <definedName name="HTML_PathFile" hidden="1">"C:\lin\bk\MyHTML.htm"</definedName>
    <definedName name="HTML_Title" hidden="1">"PROJECT11"</definedName>
    <definedName name="_xlnm.Print_Area" localSheetId="0">估算总表!$A$1:$K$57</definedName>
    <definedName name="_xlnm.Print_Titles" localSheetId="0">估算总表!$A:$J,估算总表!$1:$3</definedName>
    <definedName name="zb" localSheetId="3">[1]资产负债表!#REF!</definedName>
    <definedName name="zb" localSheetId="2">[1]资产负债表!#REF!</definedName>
    <definedName name="zb" localSheetId="1">[1]资产负债表!#REF!</definedName>
    <definedName name="zb">[2]资产负债表!#REF!</definedName>
    <definedName name="zm" localSheetId="3">'[1]现金流量表（全部投资）'!#REF!</definedName>
    <definedName name="zm" localSheetId="2">'[1]现金流量表（全部投资）'!#REF!</definedName>
    <definedName name="zm" localSheetId="1">'[1]现金流量表（全部投资）'!#REF!</definedName>
    <definedName name="zm">'[2]现金流量表（全部投资）'!#REF!</definedName>
    <definedName name="zn" localSheetId="3">[1]总成本费用估算表!#REF!</definedName>
    <definedName name="zn" localSheetId="2">[1]总成本费用估算表!#REF!</definedName>
    <definedName name="zn" localSheetId="1">[1]总成本费用估算表!#REF!</definedName>
    <definedName name="zn">[2]总成本费用估算表!#REF!</definedName>
    <definedName name="估算" localSheetId="3">'[3]现金流量表（自有资金）'!$N$5</definedName>
    <definedName name="估算" localSheetId="2">'[3]现金流量表（自有资金）'!$N$5</definedName>
    <definedName name="估算" localSheetId="1">'[3]现金流量表（自有资金）'!$N$5</definedName>
    <definedName name="估算">'[4]现金流量表（自有资金）'!$N$5</definedName>
    <definedName name="汇率" localSheetId="3">[5]国民经济评价投资调整计算表!#REF!</definedName>
    <definedName name="汇率" localSheetId="2">[5]国民经济评价投资调整计算表!#REF!</definedName>
    <definedName name="汇率" localSheetId="0">[6]国民经济评价投资调整计算表!#REF!</definedName>
    <definedName name="汇率" localSheetId="1">[5]国民经济评价投资调整计算表!#REF!</definedName>
    <definedName name="汇率">[7]国民经济评价投资调整计算表!#REF!</definedName>
    <definedName name="生产列1" localSheetId="0">'[2]现金流量表（全部投资）'!#REF!</definedName>
    <definedName name="生产列11" localSheetId="0">[8]流动资金估算表!#REF!</definedName>
    <definedName name="生产列15" localSheetId="0">[9]固定资产折旧费估算表!$O$5:$O$9</definedName>
    <definedName name="生产列16" localSheetId="0">[9]无形及递延资产摊销估算表!$S$4:$S$8</definedName>
    <definedName name="生产列17" localSheetId="0">[2]总成本费用估算表!#REF!</definedName>
    <definedName name="生产列19" localSheetId="0">[9]借款还本付息计算表!$O$4:$O$50</definedName>
    <definedName name="生产列2" localSheetId="0">#REF!</definedName>
    <definedName name="生产列20" localSheetId="2">#REF!</definedName>
    <definedName name="生产列20" localSheetId="0">#REF!</definedName>
    <definedName name="生产列20" localSheetId="1">#REF!</definedName>
    <definedName name="生产列20">#REF!</definedName>
    <definedName name="生产列3" localSheetId="0">[2]损益表!#REF!</definedName>
    <definedName name="生产列4" localSheetId="0">[2]资金来源与运用表!#REF!</definedName>
    <definedName name="生产列5" localSheetId="0">[2]资产负债表!#REF!</definedName>
    <definedName name="生产列6" localSheetId="2">#REF!</definedName>
    <definedName name="生产列6" localSheetId="0">#REF!</definedName>
    <definedName name="生产列6" localSheetId="1">#REF!</definedName>
    <definedName name="生产列6">#REF!</definedName>
    <definedName name="生产列7" localSheetId="0">'[9]国民经济效益费用流量表（全部投资）'!$N$5:$N$17</definedName>
    <definedName name="生产列8" localSheetId="0">'[9]国民经济效益费用流量表（国内投资）'!$AB$5:$AB$21</definedName>
    <definedName name="生产列9" localSheetId="2">#REF!</definedName>
    <definedName name="生产列9" localSheetId="0">#REF!</definedName>
    <definedName name="生产列9" localSheetId="1">#REF!</definedName>
    <definedName name="生产列9">#REF!</definedName>
    <definedName name="生产期" localSheetId="0">#REF!</definedName>
    <definedName name="生产期1" localSheetId="0">'[2]现金流量表（全部投资）'!#REF!</definedName>
    <definedName name="生产期11" localSheetId="0">[8]流动资金估算表!#REF!</definedName>
    <definedName name="生产期15" localSheetId="0">[9]固定资产折旧费估算表!$O$5</definedName>
    <definedName name="生产期16" localSheetId="0">[9]无形及递延资产摊销估算表!$S$4</definedName>
    <definedName name="生产期17" localSheetId="0">[2]总成本费用估算表!#REF!</definedName>
    <definedName name="生产期19" localSheetId="0">[9]借款还本付息计算表!$O$4</definedName>
    <definedName name="生产期2" localSheetId="0">#REF!</definedName>
    <definedName name="生产期20" localSheetId="2">#REF!</definedName>
    <definedName name="生产期20" localSheetId="0">#REF!</definedName>
    <definedName name="生产期20" localSheetId="1">#REF!</definedName>
    <definedName name="生产期20">#REF!</definedName>
    <definedName name="生产期3" localSheetId="0">[2]损益表!#REF!</definedName>
    <definedName name="生产期4" localSheetId="0">[2]资金来源与运用表!#REF!</definedName>
    <definedName name="生产期5" localSheetId="0">[2]资产负债表!#REF!</definedName>
    <definedName name="生产期6" localSheetId="2">#REF!</definedName>
    <definedName name="生产期6" localSheetId="0">#REF!</definedName>
    <definedName name="生产期6" localSheetId="1">#REF!</definedName>
    <definedName name="生产期6">#REF!</definedName>
    <definedName name="生产期7" localSheetId="0">'[9]国民经济效益费用流量表（全部投资）'!$N$5</definedName>
    <definedName name="生产期8" localSheetId="0">'[9]国民经济效益费用流量表（国内投资）'!$AB$5</definedName>
    <definedName name="生产期9" localSheetId="2">#REF!</definedName>
    <definedName name="生产期9" localSheetId="0">#REF!</definedName>
    <definedName name="生产期9" localSheetId="1">#REF!</definedName>
    <definedName name="生产期9">#REF!</definedName>
    <definedName name="砖砌圆形阀门井" localSheetId="2">#REF!</definedName>
    <definedName name="砖砌圆形阀门井" localSheetId="0">#REF!</definedName>
    <definedName name="砖砌圆形阀门井" localSheetId="1">#REF!</definedName>
    <definedName name="砖砌圆形阀门井">#REF!</definedName>
    <definedName name="总" localSheetId="3">[10]总成本费用估算表!#REF!</definedName>
    <definedName name="总" localSheetId="2">[10]总成本费用估算表!#REF!</definedName>
    <definedName name="总" localSheetId="1">[10]总成本费用估算表!#REF!</definedName>
    <definedName name="总">[11]总成本费用估算表!#REF!</definedName>
    <definedName name="总1" localSheetId="3">[10]资产负债表!#REF!</definedName>
    <definedName name="总1" localSheetId="2">[10]资产负债表!#REF!</definedName>
    <definedName name="总1" localSheetId="1">[10]资产负债表!#REF!</definedName>
    <definedName name="总1">[11]资产负债表!#REF!</definedName>
    <definedName name="总表" localSheetId="2">[12]损益表!#REF!</definedName>
    <definedName name="总表" localSheetId="0">[2]资金来源与运用表!#REF!</definedName>
    <definedName name="总表" localSheetId="1">[12]损益表!#REF!</definedName>
    <definedName name="总表">[12]损益表!#REF!</definedName>
  </definedNames>
  <calcPr calcId="144525"/>
</workbook>
</file>

<file path=xl/sharedStrings.xml><?xml version="1.0" encoding="utf-8"?>
<sst xmlns="http://schemas.openxmlformats.org/spreadsheetml/2006/main" count="655" uniqueCount="323">
  <si>
    <t>投资估算审定表</t>
  </si>
  <si>
    <t>序号</t>
  </si>
  <si>
    <t>工程和费用名称</t>
  </si>
  <si>
    <t xml:space="preserve">  估     算     价     值  （万元）</t>
  </si>
  <si>
    <t>技术经济指标（元）</t>
  </si>
  <si>
    <t>占比/备注</t>
  </si>
  <si>
    <t>建筑工程</t>
  </si>
  <si>
    <t>设备费用</t>
  </si>
  <si>
    <t>安装工程</t>
  </si>
  <si>
    <t>其他</t>
  </si>
  <si>
    <t>合计</t>
  </si>
  <si>
    <t>单位</t>
  </si>
  <si>
    <t>数量</t>
  </si>
  <si>
    <t>指标</t>
  </si>
  <si>
    <t>工程总投资</t>
  </si>
  <si>
    <r>
      <rPr>
        <b/>
        <sz val="12"/>
        <rFont val="Times New Roman"/>
        <charset val="134"/>
      </rPr>
      <t>m</t>
    </r>
    <r>
      <rPr>
        <b/>
        <vertAlign val="superscript"/>
        <sz val="12"/>
        <rFont val="Times New Roman"/>
        <charset val="134"/>
      </rPr>
      <t>3</t>
    </r>
    <r>
      <rPr>
        <b/>
        <sz val="12"/>
        <rFont val="Times New Roman"/>
        <charset val="134"/>
      </rPr>
      <t>/d</t>
    </r>
  </si>
  <si>
    <t>建设投资</t>
  </si>
  <si>
    <t>㈠</t>
  </si>
  <si>
    <t>工程费用</t>
  </si>
  <si>
    <t>Ⅰ</t>
  </si>
  <si>
    <t>新建部分</t>
  </si>
  <si>
    <t>高效沉淀池</t>
  </si>
  <si>
    <r>
      <rPr>
        <sz val="12"/>
        <rFont val="Times New Roman"/>
        <charset val="134"/>
      </rPr>
      <t>m</t>
    </r>
    <r>
      <rPr>
        <vertAlign val="superscript"/>
        <sz val="12"/>
        <rFont val="Times New Roman"/>
        <charset val="134"/>
      </rPr>
      <t>3</t>
    </r>
  </si>
  <si>
    <t>钢砼结构</t>
  </si>
  <si>
    <t>上部建筑</t>
  </si>
  <si>
    <r>
      <rPr>
        <sz val="12"/>
        <rFont val="Times New Roman"/>
        <charset val="134"/>
      </rPr>
      <t>m</t>
    </r>
    <r>
      <rPr>
        <vertAlign val="superscript"/>
        <sz val="12"/>
        <rFont val="Times New Roman"/>
        <charset val="134"/>
      </rPr>
      <t>2</t>
    </r>
  </si>
  <si>
    <t>中间水池</t>
  </si>
  <si>
    <t>反硝化深床滤池</t>
  </si>
  <si>
    <t>污泥浓缩池</t>
  </si>
  <si>
    <t>污泥脱水车间</t>
  </si>
  <si>
    <t>框架结构</t>
  </si>
  <si>
    <t>生物除臭滤池</t>
  </si>
  <si>
    <t>玻璃钢箱体</t>
  </si>
  <si>
    <t>基坑支护及降水</t>
  </si>
  <si>
    <t>暂估</t>
  </si>
  <si>
    <t>Ⅱ</t>
  </si>
  <si>
    <t>改造部分</t>
  </si>
  <si>
    <t>细格栅及旋流沉砂池</t>
  </si>
  <si>
    <t>设备更换</t>
  </si>
  <si>
    <t>百乐克生物反应池清淤</t>
  </si>
  <si>
    <r>
      <rPr>
        <sz val="12"/>
        <rFont val="宋体"/>
        <charset val="134"/>
      </rPr>
      <t>厚度1</t>
    </r>
    <r>
      <rPr>
        <sz val="12"/>
        <rFont val="宋体"/>
        <charset val="134"/>
      </rPr>
      <t>.5m</t>
    </r>
  </si>
  <si>
    <t>百乐克生物反应池垫层</t>
  </si>
  <si>
    <t>100厚素砼</t>
  </si>
  <si>
    <t>百乐克生物反应池新增挡墙</t>
  </si>
  <si>
    <t>钢筋混凝土</t>
  </si>
  <si>
    <t>百乐克生物反应池设备安装</t>
  </si>
  <si>
    <r>
      <rPr>
        <sz val="12"/>
        <rFont val="Times New Roman"/>
        <charset val="134"/>
      </rPr>
      <t>m</t>
    </r>
    <r>
      <rPr>
        <vertAlign val="superscript"/>
        <sz val="12"/>
        <rFont val="Times New Roman"/>
        <charset val="134"/>
      </rPr>
      <t>3</t>
    </r>
    <r>
      <rPr>
        <sz val="12"/>
        <rFont val="Times New Roman"/>
        <charset val="134"/>
      </rPr>
      <t>/d</t>
    </r>
  </si>
  <si>
    <t>百乐克生物反应池除臭加盖</t>
  </si>
  <si>
    <t>玻璃钢</t>
  </si>
  <si>
    <t>Ⅲ</t>
  </si>
  <si>
    <t>总图及配套工程</t>
  </si>
  <si>
    <t>管线综合</t>
  </si>
  <si>
    <t>估列</t>
  </si>
  <si>
    <t>绿化破复</t>
  </si>
  <si>
    <t>道路破复</t>
  </si>
  <si>
    <t>新建道路广场</t>
  </si>
  <si>
    <t>电气工程</t>
  </si>
  <si>
    <t>自控仪表</t>
  </si>
  <si>
    <t>10kv电源外线</t>
  </si>
  <si>
    <t>m</t>
  </si>
  <si>
    <t>㈡</t>
  </si>
  <si>
    <t>工程建设其他费用</t>
  </si>
  <si>
    <t>征地费（暂不考虑）</t>
  </si>
  <si>
    <t>亩</t>
  </si>
  <si>
    <t>项目前期工作咨询费</t>
  </si>
  <si>
    <t>项目建设管理费</t>
  </si>
  <si>
    <t>工程监理费</t>
  </si>
  <si>
    <t>生产准备费</t>
  </si>
  <si>
    <t>联合试运转费</t>
  </si>
  <si>
    <t>工程测量费</t>
  </si>
  <si>
    <t>工程勘察费</t>
  </si>
  <si>
    <t>工程设计费</t>
  </si>
  <si>
    <t>控价编制及审核</t>
  </si>
  <si>
    <t>工程结算费</t>
  </si>
  <si>
    <t>财务决算费</t>
  </si>
  <si>
    <t>施工阶段全过程造价控制</t>
  </si>
  <si>
    <t>施工图审查费</t>
  </si>
  <si>
    <t>招标代理服务费</t>
  </si>
  <si>
    <t>场地准备及临时设施费</t>
  </si>
  <si>
    <t>工程保险费</t>
  </si>
  <si>
    <t>高可靠性供电费</t>
  </si>
  <si>
    <t>KVA</t>
  </si>
  <si>
    <t>第三方检测监测费</t>
  </si>
  <si>
    <t>环境影响咨询服务费</t>
  </si>
  <si>
    <t>水土保持咨询服务费</t>
  </si>
  <si>
    <t>安全性评价费</t>
  </si>
  <si>
    <t>㈢</t>
  </si>
  <si>
    <t>基本预备费8%</t>
  </si>
  <si>
    <t>㈣</t>
  </si>
  <si>
    <t>建设期贷款利息</t>
  </si>
  <si>
    <t>㈤</t>
  </si>
  <si>
    <t>铺底流动资金</t>
  </si>
  <si>
    <t/>
  </si>
  <si>
    <t>设备及安装估算表</t>
  </si>
  <si>
    <t>工程名称:新建部分</t>
  </si>
  <si>
    <t>项目名称</t>
  </si>
  <si>
    <t>工程量</t>
  </si>
  <si>
    <t>备注</t>
  </si>
  <si>
    <t>单价（元）</t>
  </si>
  <si>
    <t>合价（元）</t>
  </si>
  <si>
    <t>一</t>
  </si>
  <si>
    <t>混凝搅拌机</t>
  </si>
  <si>
    <t>Φ=1500mm，P=50r/min，N=11kw</t>
  </si>
  <si>
    <t>产品</t>
  </si>
  <si>
    <t>套</t>
  </si>
  <si>
    <t>絮凝搅拌机</t>
  </si>
  <si>
    <t>Φ=100mm，P=25r/min，N=7.5kw</t>
  </si>
  <si>
    <t>反应室及导流筒</t>
  </si>
  <si>
    <t>Q=12~20L/s,N=1.5kw</t>
  </si>
  <si>
    <t>成品</t>
  </si>
  <si>
    <t>浓缩刮泥机</t>
  </si>
  <si>
    <t>Q=20~35m3/h,H=6m N=1.4KW</t>
  </si>
  <si>
    <t>个</t>
  </si>
  <si>
    <t>集水钢槽</t>
  </si>
  <si>
    <t>3520x300x400</t>
  </si>
  <si>
    <t>SS304</t>
  </si>
  <si>
    <t>副</t>
  </si>
  <si>
    <t>斜管</t>
  </si>
  <si>
    <t>斜长1.0m，内切圆直径50mm</t>
  </si>
  <si>
    <t>乙丙共聚</t>
  </si>
  <si>
    <t>m3</t>
  </si>
  <si>
    <t>配套管路系统</t>
  </si>
  <si>
    <t>二</t>
  </si>
  <si>
    <t>潜水排污泵</t>
  </si>
  <si>
    <r>
      <rPr>
        <sz val="9"/>
        <color indexed="8"/>
        <rFont val="宋体"/>
        <charset val="134"/>
      </rPr>
      <t>Q=495m3/d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H=8m N=35kw</t>
    </r>
  </si>
  <si>
    <t>台</t>
  </si>
  <si>
    <t>三</t>
  </si>
  <si>
    <t>折板桨搅拌机</t>
  </si>
  <si>
    <t>D=700mm N=7.5KW</t>
  </si>
  <si>
    <t>潜水搅拌机</t>
  </si>
  <si>
    <t>φ=260mm 960rpm N=1.5kW</t>
  </si>
  <si>
    <t>反冲洗水泵</t>
  </si>
  <si>
    <t>Q=518m3/h，H=10m N=22kw</t>
  </si>
  <si>
    <t>反冲洗废水提升泵</t>
  </si>
  <si>
    <t>Q=85m3/h，H=7.0m N=4.0kw</t>
  </si>
  <si>
    <t>电动单梁悬挂起重机</t>
  </si>
  <si>
    <t>S=12m T=1t N=2X0.4Kw</t>
  </si>
  <si>
    <t>MD1型电动葫芦</t>
  </si>
  <si>
    <r>
      <rPr>
        <sz val="9"/>
        <color indexed="8"/>
        <rFont val="宋体"/>
        <charset val="134"/>
      </rPr>
      <t>T=1.0t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H=9m N=4.5+0.8KW</t>
    </r>
  </si>
  <si>
    <t>反冲洗罗茨风机</t>
  </si>
  <si>
    <t>Q=72m3/minP=79.3Kpa N=132kw</t>
  </si>
  <si>
    <t>螺杆式空压机</t>
  </si>
  <si>
    <t>Q=25.5m3/hP=0.7Mpa N=4.0kw</t>
  </si>
  <si>
    <t>储气罐</t>
  </si>
  <si>
    <t>1m3</t>
  </si>
  <si>
    <t>PE</t>
  </si>
  <si>
    <t>滤池进水气动闸板</t>
  </si>
  <si>
    <t>400x400mm</t>
  </si>
  <si>
    <t>滤池出水气动调节蝶阀</t>
  </si>
  <si>
    <t>DN300 PN10</t>
  </si>
  <si>
    <t>反洗进水气动蝶阀</t>
  </si>
  <si>
    <t>反洗出水气动蝶阀</t>
  </si>
  <si>
    <t>DN400 PN10</t>
  </si>
  <si>
    <t>反洗水泵手动蝶阀</t>
  </si>
  <si>
    <t>滤池气洗气动蝶阀</t>
  </si>
  <si>
    <t>DN350 PN10</t>
  </si>
  <si>
    <t>气洗风机手动蝶阀</t>
  </si>
  <si>
    <t>气洗风机电动蝶阀</t>
  </si>
  <si>
    <t>DN350 PN10 N=0.37kw</t>
  </si>
  <si>
    <t>电动反冲洗水量调节阀</t>
  </si>
  <si>
    <t>DN300 PN10 N=0.37kw</t>
  </si>
  <si>
    <t>手动闸阀</t>
  </si>
  <si>
    <t>DN150 PN10</t>
  </si>
  <si>
    <t>DN100 PN10</t>
  </si>
  <si>
    <t>微阻缓闭止回阀</t>
  </si>
  <si>
    <t>风用蝶式止回阀</t>
  </si>
  <si>
    <t>气水分布块</t>
  </si>
  <si>
    <t>每格35m2</t>
  </si>
  <si>
    <t>池</t>
  </si>
  <si>
    <t>卵石</t>
  </si>
  <si>
    <t>鹅卵石五种级配分布粒径8~40mm</t>
  </si>
  <si>
    <t>石英砂滤料</t>
  </si>
  <si>
    <t>有效粒径2~4mm，均匀系数：1.4，球形度不小于0.8，莫氏硬度：6-7，比重：大于或等于2.6</t>
  </si>
  <si>
    <t>四</t>
  </si>
  <si>
    <t>垂架式中心传动浓缩机</t>
  </si>
  <si>
    <t>Φ=10m，N=0.37KW</t>
  </si>
  <si>
    <t>出水三角堰</t>
  </si>
  <si>
    <r>
      <rPr>
        <sz val="9"/>
        <color indexed="8"/>
        <rFont val="宋体"/>
        <charset val="134"/>
      </rPr>
      <t>L=2m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B=220mm</t>
    </r>
  </si>
  <si>
    <t>块</t>
  </si>
  <si>
    <t>五</t>
  </si>
  <si>
    <t>高压隔膜压滤机</t>
  </si>
  <si>
    <t>过滤面积200m2，滤室容积3.0m3单片滤布厚度，0.7mm，滤板1250x1250x78,工作压力≤25Mpa,压榨压力≤2.0Mpa，进料压力≤1.2Mpa</t>
  </si>
  <si>
    <t>低压进料螺杆泵</t>
  </si>
  <si>
    <t>Q=40m3/h，压力0.6Mpa,N=30Kw</t>
  </si>
  <si>
    <t>高压进料螺杆泵</t>
  </si>
  <si>
    <t>Q=20m3/h，压力1.2Mpa,N=22Kw</t>
  </si>
  <si>
    <t>洗布水箱</t>
  </si>
  <si>
    <t>V=5m3</t>
  </si>
  <si>
    <t>碳钢</t>
  </si>
  <si>
    <t>高压柱塞泵</t>
  </si>
  <si>
    <t>Q=205L/min 排出压力6MPa N=30kw</t>
  </si>
  <si>
    <t>Q=2.3m3/min，排气压力0.85Mpa，N=15Kw</t>
  </si>
  <si>
    <t>三氯化铁储罐</t>
  </si>
  <si>
    <t>V=10m3</t>
  </si>
  <si>
    <t>三氯化铁投加泵</t>
  </si>
  <si>
    <t>V=6.0m3/h，H=20m,N=3.0Kw</t>
  </si>
  <si>
    <t>三氯化铁卸料泵</t>
  </si>
  <si>
    <t>V=30m3/h，H=30m,N=5.5Kw</t>
  </si>
  <si>
    <t>PAM制备装置</t>
  </si>
  <si>
    <t>1000L/h V=3m3,N=2.2Kw</t>
  </si>
  <si>
    <t>PAM投加泵</t>
  </si>
  <si>
    <t>Q=2.0m3/h，H=30m,N=1.5Kw</t>
  </si>
  <si>
    <t>六</t>
  </si>
  <si>
    <t>除臭生物滤池</t>
  </si>
  <si>
    <t>一体化除臭设备</t>
  </si>
  <si>
    <r>
      <rPr>
        <sz val="9"/>
        <color indexed="8"/>
        <rFont val="宋体"/>
        <charset val="134"/>
      </rPr>
      <t>Q=15000m3/h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4.0mx9.0mx3.6m</t>
    </r>
  </si>
  <si>
    <t>工程名称:改造部分</t>
  </si>
  <si>
    <t>回转式格栅除污机</t>
  </si>
  <si>
    <t>B=900mm,P=1.1kw,60°</t>
  </si>
  <si>
    <t>沉砂池搅拌器</t>
  </si>
  <si>
    <t>12~20rpm，N=1.5Kw</t>
  </si>
  <si>
    <t>砂水分离器</t>
  </si>
  <si>
    <t>吸砂泵</t>
  </si>
  <si>
    <t>百乐克生物反应池</t>
  </si>
  <si>
    <t>底部曝气系统</t>
  </si>
  <si>
    <t>φ63mm Q=10m3/min</t>
  </si>
  <si>
    <t>内回流泵</t>
  </si>
  <si>
    <t>Q=400L/S，H=1.5m，P=10kw，变频控制</t>
  </si>
  <si>
    <t>桁车式刮泥机</t>
  </si>
  <si>
    <t>L=8m，V=1.2m/min</t>
  </si>
  <si>
    <t>磁悬浮风机</t>
  </si>
  <si>
    <t>Q=90m3/min，H=75KPa，P=132kw</t>
  </si>
  <si>
    <t>工程名称:总图及配套工程</t>
  </si>
  <si>
    <t>高压柜</t>
  </si>
  <si>
    <t>KYN28A-12</t>
  </si>
  <si>
    <t>面</t>
  </si>
  <si>
    <t>干式变压器</t>
  </si>
  <si>
    <r>
      <rPr>
        <sz val="9"/>
        <color indexed="8"/>
        <rFont val="宋体"/>
        <charset val="134"/>
      </rPr>
      <t>SCB13-10/0.4kV</t>
    </r>
    <r>
      <rPr>
        <sz val="9"/>
        <color indexed="8"/>
        <rFont val="宋体"/>
        <charset val="134"/>
      </rPr>
      <t xml:space="preserve"> </t>
    </r>
    <r>
      <rPr>
        <sz val="9"/>
        <color indexed="8"/>
        <rFont val="宋体"/>
        <charset val="134"/>
      </rPr>
      <t>400kVA</t>
    </r>
  </si>
  <si>
    <t>进线</t>
  </si>
  <si>
    <t>组合式0.4kV配电柜</t>
  </si>
  <si>
    <t>MNS 抽出固定组合型</t>
  </si>
  <si>
    <t>母联柜</t>
  </si>
  <si>
    <t>馈电/动力</t>
  </si>
  <si>
    <t>无功补偿柜</t>
  </si>
  <si>
    <t>120kVar/面</t>
  </si>
  <si>
    <t>有源滤波柜</t>
  </si>
  <si>
    <t>120A</t>
  </si>
  <si>
    <t>直流电源屏</t>
  </si>
  <si>
    <t xml:space="preserve">65Ah  DC220V </t>
  </si>
  <si>
    <t>现状更换</t>
  </si>
  <si>
    <t>现状改造</t>
  </si>
  <si>
    <t>变频器</t>
  </si>
  <si>
    <t>132kW</t>
  </si>
  <si>
    <t>30kW</t>
  </si>
  <si>
    <t>22kW</t>
  </si>
  <si>
    <t>1.5kW</t>
  </si>
  <si>
    <t>密集型插接式母线槽</t>
  </si>
  <si>
    <t>800A</t>
  </si>
  <si>
    <t>米</t>
  </si>
  <si>
    <t>动力、照明配电箱</t>
  </si>
  <si>
    <t>TXA系列，嵌墙暗装</t>
  </si>
  <si>
    <t>电力电缆</t>
  </si>
  <si>
    <t>YJV-1kV-3x240+1x120</t>
  </si>
  <si>
    <t>YJV-1kV-3x185+2x95</t>
  </si>
  <si>
    <t>YJV-1kV-3x150+2x70</t>
  </si>
  <si>
    <t>YJV-1kV-3x70+1x35</t>
  </si>
  <si>
    <t>YJV-1kV-3x50+1x25</t>
  </si>
  <si>
    <t>YJV-1kV-5x10</t>
  </si>
  <si>
    <t>YJV-1kV-5x6</t>
  </si>
  <si>
    <t>YJV-1kV-4x6</t>
  </si>
  <si>
    <t>YJV-1kV-4x4</t>
  </si>
  <si>
    <t>控制电缆</t>
  </si>
  <si>
    <t>KVV-0.45kV-14x1.5</t>
  </si>
  <si>
    <t>BV导线</t>
  </si>
  <si>
    <t>2.5mm2</t>
  </si>
  <si>
    <t>4mm2</t>
  </si>
  <si>
    <t>镀锌电缆保护管</t>
  </si>
  <si>
    <t>SC15/20</t>
  </si>
  <si>
    <t>SC32</t>
  </si>
  <si>
    <t>SC40</t>
  </si>
  <si>
    <t>SC80</t>
  </si>
  <si>
    <t>SC100</t>
  </si>
  <si>
    <t>SC150</t>
  </si>
  <si>
    <t>补充、更换</t>
  </si>
  <si>
    <t>庭院灯</t>
  </si>
  <si>
    <t>钢制灯杆 LED灯 40W</t>
  </si>
  <si>
    <t>各种镀锌型钢</t>
  </si>
  <si>
    <t>槽钢 角钢 扁钢</t>
  </si>
  <si>
    <t>吨</t>
  </si>
  <si>
    <t>超声波液位差计</t>
  </si>
  <si>
    <t>0～500mm</t>
  </si>
  <si>
    <t>pH电极</t>
  </si>
  <si>
    <t>0~14</t>
  </si>
  <si>
    <t>SS传感器</t>
  </si>
  <si>
    <t>0～300g/l</t>
  </si>
  <si>
    <t>0～4g/l</t>
  </si>
  <si>
    <t>总磷分析仪</t>
  </si>
  <si>
    <t>0.1～15mg/l</t>
  </si>
  <si>
    <t>总氮分析仪</t>
  </si>
  <si>
    <t>5～100mg/l</t>
  </si>
  <si>
    <t>电磁流量计</t>
  </si>
  <si>
    <t>DN1000</t>
  </si>
  <si>
    <t>DN500</t>
  </si>
  <si>
    <t>DN400</t>
  </si>
  <si>
    <t>DN150</t>
  </si>
  <si>
    <t>硝氮分析仪</t>
  </si>
  <si>
    <t>0～10mg/l</t>
  </si>
  <si>
    <t>超声波液位计</t>
  </si>
  <si>
    <t>0～10m</t>
  </si>
  <si>
    <t>超声波污泥界面仪</t>
  </si>
  <si>
    <t>热式气体质量流量计</t>
  </si>
  <si>
    <t xml:space="preserve">DN500 </t>
  </si>
  <si>
    <t>压力变送器</t>
  </si>
  <si>
    <t>2.5～250kPa</t>
  </si>
  <si>
    <t>现场控制站（PLC）</t>
  </si>
  <si>
    <t>AB公司1769系列产品或同档次进口品牌</t>
  </si>
  <si>
    <t>UPS</t>
  </si>
  <si>
    <t>2KVA 30分钟</t>
  </si>
  <si>
    <t>工业以太网交换机</t>
  </si>
  <si>
    <t>2光4电</t>
  </si>
  <si>
    <t>监控管理计算机</t>
  </si>
  <si>
    <t>6光24电</t>
  </si>
  <si>
    <t>系统软件</t>
  </si>
  <si>
    <t>WINDOWS 10企业版</t>
  </si>
  <si>
    <t>控制系统软件</t>
  </si>
  <si>
    <t>KingScada Development unlimited Tag v3.0</t>
  </si>
  <si>
    <t>操作台</t>
  </si>
  <si>
    <t>2000X1000X800</t>
  </si>
  <si>
    <t>视频监控计算机</t>
  </si>
  <si>
    <t>工业电视监控系统</t>
  </si>
  <si>
    <t>15个室外球机，25个室内枪机、2个视频NVR服务器及2个监视器、硬盘录像机、交换机、软件等</t>
  </si>
  <si>
    <t>现状自控系统改造</t>
  </si>
  <si>
    <t>配管配线及其他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</si>
</sst>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  <numFmt numFmtId="178" formatCode="0_ "/>
  </numFmts>
  <fonts count="55">
    <font>
      <sz val="11"/>
      <color theme="1"/>
      <name val="宋体"/>
      <charset val="134"/>
      <scheme val="minor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0"/>
      <name val="宋体"/>
      <charset val="134"/>
    </font>
    <font>
      <b/>
      <sz val="14"/>
      <color indexed="8"/>
      <name val="宋体"/>
      <charset val="134"/>
    </font>
    <font>
      <b/>
      <sz val="9"/>
      <color indexed="0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2"/>
      <name val="Times New Roman"/>
      <charset val="134"/>
    </font>
    <font>
      <sz val="12"/>
      <name val="Times New Roman"/>
      <charset val="134"/>
    </font>
    <font>
      <sz val="12"/>
      <name val="宋体"/>
      <charset val="134"/>
      <scheme val="minor"/>
    </font>
    <font>
      <sz val="12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17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6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56"/>
      <name val="宋体"/>
      <charset val="134"/>
    </font>
    <font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sz val="9"/>
      <color theme="1"/>
      <name val="宋体"/>
      <charset val="134"/>
      <scheme val="minor"/>
    </font>
    <font>
      <b/>
      <sz val="11"/>
      <color indexed="63"/>
      <name val="宋体"/>
      <charset val="134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11"/>
      <color indexed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vertAlign val="superscript"/>
      <sz val="12"/>
      <name val="Times New Roman"/>
      <charset val="134"/>
    </font>
    <font>
      <vertAlign val="superscript"/>
      <sz val="12"/>
      <name val="Times New Roman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6" fillId="0" borderId="0"/>
    <xf numFmtId="0" fontId="16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8" fillId="16" borderId="12" applyNumberFormat="0" applyAlignment="0" applyProtection="0">
      <alignment vertical="center"/>
    </xf>
    <xf numFmtId="0" fontId="29" fillId="16" borderId="8" applyNumberFormat="0" applyAlignment="0" applyProtection="0">
      <alignment vertical="center"/>
    </xf>
    <xf numFmtId="0" fontId="30" fillId="17" borderId="13" applyNumberFormat="0" applyAlignment="0" applyProtection="0">
      <alignment vertical="center"/>
    </xf>
    <xf numFmtId="0" fontId="31" fillId="18" borderId="1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0" borderId="16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0" borderId="17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7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8" fillId="3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7" fillId="37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>
      <alignment vertical="center"/>
    </xf>
    <xf numFmtId="0" fontId="18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18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48" borderId="0" applyNumberFormat="0" applyBorder="0" applyAlignment="0" applyProtection="0">
      <alignment vertical="center"/>
    </xf>
    <xf numFmtId="0" fontId="37" fillId="49" borderId="0" applyNumberFormat="0" applyBorder="0" applyAlignment="0" applyProtection="0">
      <alignment vertical="center"/>
    </xf>
    <xf numFmtId="0" fontId="37" fillId="50" borderId="0" applyNumberFormat="0" applyBorder="0" applyAlignment="0" applyProtection="0">
      <alignment vertical="center"/>
    </xf>
    <xf numFmtId="0" fontId="37" fillId="51" borderId="0" applyNumberFormat="0" applyBorder="0" applyAlignment="0" applyProtection="0">
      <alignment vertical="center"/>
    </xf>
    <xf numFmtId="0" fontId="37" fillId="46" borderId="0" applyNumberFormat="0" applyBorder="0" applyAlignment="0" applyProtection="0">
      <alignment vertical="center"/>
    </xf>
    <xf numFmtId="0" fontId="37" fillId="47" borderId="0" applyNumberFormat="0" applyBorder="0" applyAlignment="0" applyProtection="0">
      <alignment vertical="center"/>
    </xf>
    <xf numFmtId="0" fontId="37" fillId="52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9" fillId="53" borderId="13" applyNumberFormat="0" applyAlignment="0" applyProtection="0">
      <alignment vertical="center"/>
    </xf>
    <xf numFmtId="0" fontId="40" fillId="54" borderId="18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43" fillId="0" borderId="20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4" fillId="0" borderId="21" applyNumberFormat="0" applyFill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6" fillId="0" borderId="0"/>
    <xf numFmtId="0" fontId="16" fillId="56" borderId="22" applyNumberFormat="0" applyFont="0" applyAlignment="0" applyProtection="0">
      <alignment vertical="center"/>
    </xf>
    <xf numFmtId="0" fontId="47" fillId="53" borderId="2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9" fillId="0" borderId="24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>
      <alignment vertical="center"/>
    </xf>
    <xf numFmtId="0" fontId="2" fillId="0" borderId="0"/>
    <xf numFmtId="0" fontId="6" fillId="0" borderId="0"/>
    <xf numFmtId="0" fontId="6" fillId="0" borderId="0"/>
    <xf numFmtId="0" fontId="2" fillId="0" borderId="0"/>
    <xf numFmtId="0" fontId="51" fillId="0" borderId="0" applyNumberFormat="0" applyFill="0" applyBorder="0" applyAlignment="0" applyProtection="0">
      <alignment vertical="top"/>
      <protection locked="0"/>
    </xf>
    <xf numFmtId="0" fontId="19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>
      <alignment vertical="center"/>
    </xf>
    <xf numFmtId="0" fontId="1" fillId="0" borderId="1" xfId="118" applyFont="1" applyBorder="1"/>
    <xf numFmtId="0" fontId="2" fillId="0" borderId="1" xfId="118" applyBorder="1" applyAlignment="1">
      <alignment horizontal="center"/>
    </xf>
    <xf numFmtId="0" fontId="2" fillId="0" borderId="1" xfId="118" applyBorder="1"/>
    <xf numFmtId="0" fontId="2" fillId="0" borderId="1" xfId="118" applyBorder="1" applyAlignment="1">
      <alignment horizontal="right"/>
    </xf>
    <xf numFmtId="0" fontId="2" fillId="0" borderId="1" xfId="118" applyBorder="1" applyAlignment="1">
      <alignment vertical="center"/>
    </xf>
    <xf numFmtId="0" fontId="3" fillId="2" borderId="0" xfId="118" applyFont="1" applyFill="1" applyAlignment="1">
      <alignment horizontal="left" vertical="center" wrapText="1"/>
    </xf>
    <xf numFmtId="0" fontId="3" fillId="2" borderId="0" xfId="118" applyFont="1" applyFill="1" applyAlignment="1">
      <alignment horizontal="center" vertical="center" wrapText="1"/>
    </xf>
    <xf numFmtId="0" fontId="4" fillId="2" borderId="0" xfId="115" applyFont="1" applyFill="1" applyBorder="1" applyAlignment="1">
      <alignment horizontal="center" vertical="center" wrapText="1"/>
    </xf>
    <xf numFmtId="0" fontId="3" fillId="2" borderId="0" xfId="115" applyFont="1" applyFill="1" applyBorder="1" applyAlignment="1">
      <alignment horizontal="left" vertical="center" wrapText="1"/>
    </xf>
    <xf numFmtId="0" fontId="3" fillId="2" borderId="0" xfId="118" applyFont="1" applyFill="1" applyBorder="1" applyAlignment="1">
      <alignment horizontal="center" vertical="center" wrapText="1"/>
    </xf>
    <xf numFmtId="0" fontId="3" fillId="2" borderId="2" xfId="118" applyFont="1" applyFill="1" applyBorder="1" applyAlignment="1">
      <alignment horizontal="center" vertical="center" wrapText="1"/>
    </xf>
    <xf numFmtId="0" fontId="3" fillId="2" borderId="3" xfId="118" applyFont="1" applyFill="1" applyBorder="1" applyAlignment="1">
      <alignment horizontal="center" vertical="center" wrapText="1"/>
    </xf>
    <xf numFmtId="0" fontId="3" fillId="2" borderId="4" xfId="118" applyFont="1" applyFill="1" applyBorder="1" applyAlignment="1">
      <alignment horizontal="center" vertical="center" wrapText="1"/>
    </xf>
    <xf numFmtId="0" fontId="5" fillId="2" borderId="2" xfId="118" applyFont="1" applyFill="1" applyBorder="1" applyAlignment="1">
      <alignment horizontal="center" vertical="center" wrapText="1"/>
    </xf>
    <xf numFmtId="0" fontId="5" fillId="2" borderId="2" xfId="118" applyFont="1" applyFill="1" applyBorder="1" applyAlignment="1">
      <alignment horizontal="left" vertical="center" wrapText="1"/>
    </xf>
    <xf numFmtId="176" fontId="5" fillId="2" borderId="2" xfId="118" applyNumberFormat="1" applyFont="1" applyFill="1" applyBorder="1" applyAlignment="1">
      <alignment horizontal="right" vertical="center" wrapText="1"/>
    </xf>
    <xf numFmtId="0" fontId="3" fillId="2" borderId="2" xfId="118" applyFont="1" applyFill="1" applyBorder="1" applyAlignment="1">
      <alignment horizontal="left" vertical="center" wrapText="1"/>
    </xf>
    <xf numFmtId="176" fontId="3" fillId="2" borderId="2" xfId="118" applyNumberFormat="1" applyFont="1" applyFill="1" applyBorder="1" applyAlignment="1">
      <alignment horizontal="right" vertical="center" wrapText="1"/>
    </xf>
    <xf numFmtId="176" fontId="2" fillId="0" borderId="1" xfId="118" applyNumberFormat="1" applyBorder="1" applyAlignment="1">
      <alignment vertical="center"/>
    </xf>
    <xf numFmtId="0" fontId="1" fillId="0" borderId="1" xfId="118" applyFont="1" applyBorder="1" applyAlignment="1">
      <alignment vertical="center"/>
    </xf>
    <xf numFmtId="0" fontId="2" fillId="0" borderId="1" xfId="118" applyFont="1" applyBorder="1" applyAlignment="1">
      <alignment vertical="center"/>
    </xf>
    <xf numFmtId="176" fontId="3" fillId="2" borderId="2" xfId="118" applyNumberFormat="1" applyFont="1" applyFill="1" applyBorder="1" applyAlignment="1">
      <alignment horizontal="center" vertical="center" wrapText="1"/>
    </xf>
    <xf numFmtId="0" fontId="2" fillId="0" borderId="1" xfId="118" applyFont="1" applyBorder="1"/>
    <xf numFmtId="0" fontId="2" fillId="0" borderId="1" xfId="118" applyFont="1" applyBorder="1" applyAlignment="1">
      <alignment vertical="center" wrapText="1"/>
    </xf>
    <xf numFmtId="0" fontId="6" fillId="0" borderId="0" xfId="116" applyFont="1" applyAlignment="1">
      <alignment vertical="center" wrapText="1"/>
    </xf>
    <xf numFmtId="176" fontId="6" fillId="0" borderId="0" xfId="116" applyNumberFormat="1" applyFont="1" applyAlignment="1">
      <alignment horizontal="center" vertical="center" wrapText="1"/>
    </xf>
    <xf numFmtId="0" fontId="7" fillId="0" borderId="0" xfId="116" applyFont="1" applyBorder="1" applyAlignment="1">
      <alignment horizontal="center" vertical="center" wrapText="1"/>
    </xf>
    <xf numFmtId="0" fontId="6" fillId="0" borderId="2" xfId="116" applyFont="1" applyBorder="1" applyAlignment="1">
      <alignment horizontal="center" vertical="center" wrapText="1"/>
    </xf>
    <xf numFmtId="0" fontId="8" fillId="0" borderId="2" xfId="116" applyFont="1" applyBorder="1" applyAlignment="1">
      <alignment horizontal="center" vertical="center" wrapText="1"/>
    </xf>
    <xf numFmtId="0" fontId="9" fillId="0" borderId="2" xfId="116" applyFont="1" applyBorder="1" applyAlignment="1">
      <alignment vertical="center" wrapText="1"/>
    </xf>
    <xf numFmtId="176" fontId="9" fillId="0" borderId="2" xfId="116" applyNumberFormat="1" applyFont="1" applyBorder="1" applyAlignment="1">
      <alignment horizontal="center" vertical="center" wrapText="1"/>
    </xf>
    <xf numFmtId="0" fontId="10" fillId="0" borderId="2" xfId="116" applyFont="1" applyBorder="1" applyAlignment="1">
      <alignment horizontal="center" vertical="center" wrapText="1"/>
    </xf>
    <xf numFmtId="0" fontId="9" fillId="0" borderId="2" xfId="116" applyFont="1" applyBorder="1" applyAlignment="1">
      <alignment horizontal="center" vertical="center" wrapText="1"/>
    </xf>
    <xf numFmtId="0" fontId="6" fillId="0" borderId="2" xfId="117" applyFont="1" applyBorder="1" applyAlignment="1">
      <alignment horizontal="center" vertical="center" wrapText="1"/>
    </xf>
    <xf numFmtId="0" fontId="6" fillId="0" borderId="2" xfId="117" applyFont="1" applyBorder="1" applyAlignment="1">
      <alignment vertical="center" wrapText="1"/>
    </xf>
    <xf numFmtId="176" fontId="6" fillId="0" borderId="2" xfId="117" applyNumberFormat="1" applyFont="1" applyBorder="1" applyAlignment="1">
      <alignment horizontal="center" vertical="center" wrapText="1"/>
    </xf>
    <xf numFmtId="176" fontId="6" fillId="0" borderId="5" xfId="117" applyNumberFormat="1" applyFont="1" applyBorder="1" applyAlignment="1">
      <alignment horizontal="center" vertical="center" wrapText="1"/>
    </xf>
    <xf numFmtId="0" fontId="11" fillId="0" borderId="2" xfId="117" applyFont="1" applyBorder="1" applyAlignment="1">
      <alignment horizontal="center" vertical="center" wrapText="1"/>
    </xf>
    <xf numFmtId="176" fontId="6" fillId="0" borderId="6" xfId="117" applyNumberFormat="1" applyFont="1" applyBorder="1" applyAlignment="1">
      <alignment horizontal="center" vertical="center" wrapText="1"/>
    </xf>
    <xf numFmtId="176" fontId="6" fillId="0" borderId="2" xfId="116" applyNumberFormat="1" applyFont="1" applyBorder="1" applyAlignment="1">
      <alignment horizontal="center" vertical="center" wrapText="1"/>
    </xf>
    <xf numFmtId="0" fontId="8" fillId="0" borderId="2" xfId="117" applyFont="1" applyBorder="1" applyAlignment="1">
      <alignment vertical="center" wrapText="1"/>
    </xf>
    <xf numFmtId="0" fontId="6" fillId="0" borderId="2" xfId="116" applyFont="1" applyBorder="1" applyAlignment="1">
      <alignment vertical="center" wrapText="1"/>
    </xf>
    <xf numFmtId="0" fontId="8" fillId="0" borderId="2" xfId="116" applyFont="1" applyBorder="1" applyAlignment="1">
      <alignment vertical="center" wrapText="1"/>
    </xf>
    <xf numFmtId="0" fontId="11" fillId="0" borderId="2" xfId="116" applyFont="1" applyBorder="1" applyAlignment="1">
      <alignment horizontal="center" vertical="center" wrapText="1"/>
    </xf>
    <xf numFmtId="2" fontId="9" fillId="0" borderId="2" xfId="116" applyNumberFormat="1" applyFont="1" applyBorder="1" applyAlignment="1">
      <alignment horizontal="center" vertical="center" wrapText="1"/>
    </xf>
    <xf numFmtId="0" fontId="12" fillId="0" borderId="2" xfId="116" applyFont="1" applyBorder="1" applyAlignment="1">
      <alignment horizontal="center" vertical="center" wrapText="1"/>
    </xf>
    <xf numFmtId="2" fontId="6" fillId="0" borderId="2" xfId="116" applyNumberFormat="1" applyFont="1" applyBorder="1" applyAlignment="1">
      <alignment horizontal="center" vertical="center" wrapText="1"/>
    </xf>
    <xf numFmtId="176" fontId="6" fillId="0" borderId="2" xfId="116" applyNumberFormat="1" applyFont="1" applyBorder="1" applyAlignment="1">
      <alignment vertical="center" wrapText="1"/>
    </xf>
    <xf numFmtId="176" fontId="6" fillId="3" borderId="2" xfId="116" applyNumberFormat="1" applyFont="1" applyFill="1" applyBorder="1" applyAlignment="1">
      <alignment vertical="center" wrapText="1"/>
    </xf>
    <xf numFmtId="176" fontId="6" fillId="3" borderId="2" xfId="116" applyNumberFormat="1" applyFont="1" applyFill="1" applyBorder="1" applyAlignment="1">
      <alignment horizontal="center" vertical="center" wrapText="1"/>
    </xf>
    <xf numFmtId="176" fontId="9" fillId="0" borderId="2" xfId="116" applyNumberFormat="1" applyFont="1" applyBorder="1" applyAlignment="1">
      <alignment vertical="center" wrapText="1"/>
    </xf>
    <xf numFmtId="0" fontId="6" fillId="0" borderId="3" xfId="116" applyFont="1" applyBorder="1" applyAlignment="1">
      <alignment horizontal="center" vertical="center" wrapText="1"/>
    </xf>
    <xf numFmtId="176" fontId="6" fillId="0" borderId="5" xfId="116" applyNumberFormat="1" applyFont="1" applyBorder="1" applyAlignment="1">
      <alignment horizontal="center" vertical="center" wrapText="1"/>
    </xf>
    <xf numFmtId="176" fontId="6" fillId="0" borderId="6" xfId="116" applyNumberFormat="1" applyFont="1" applyBorder="1" applyAlignment="1">
      <alignment horizontal="center" vertical="center" wrapText="1"/>
    </xf>
    <xf numFmtId="176" fontId="6" fillId="0" borderId="0" xfId="116" applyNumberFormat="1" applyFont="1" applyAlignment="1">
      <alignment vertical="center" wrapText="1"/>
    </xf>
    <xf numFmtId="10" fontId="9" fillId="0" borderId="6" xfId="13" applyNumberFormat="1" applyFont="1" applyBorder="1" applyAlignment="1">
      <alignment horizontal="center" vertical="center" wrapText="1"/>
    </xf>
    <xf numFmtId="10" fontId="6" fillId="0" borderId="0" xfId="116" applyNumberFormat="1" applyFont="1" applyAlignment="1">
      <alignment vertical="center" wrapText="1"/>
    </xf>
    <xf numFmtId="10" fontId="9" fillId="0" borderId="2" xfId="13" applyNumberFormat="1" applyFont="1" applyBorder="1" applyAlignment="1">
      <alignment horizontal="center" vertical="center" wrapText="1"/>
    </xf>
    <xf numFmtId="177" fontId="6" fillId="0" borderId="0" xfId="116" applyNumberFormat="1" applyFont="1" applyAlignment="1">
      <alignment vertical="center" wrapText="1"/>
    </xf>
    <xf numFmtId="176" fontId="6" fillId="0" borderId="0" xfId="116" applyNumberFormat="1" applyFont="1" applyFill="1" applyAlignment="1">
      <alignment horizontal="center" vertical="center" wrapText="1"/>
    </xf>
    <xf numFmtId="176" fontId="6" fillId="0" borderId="7" xfId="116" applyNumberFormat="1" applyFont="1" applyBorder="1" applyAlignment="1">
      <alignment horizontal="center" vertical="center" wrapText="1"/>
    </xf>
    <xf numFmtId="2" fontId="6" fillId="0" borderId="0" xfId="116" applyNumberFormat="1" applyFont="1" applyAlignment="1">
      <alignment horizontal="center" vertical="center" wrapText="1"/>
    </xf>
    <xf numFmtId="0" fontId="6" fillId="0" borderId="0" xfId="116" applyFont="1" applyAlignment="1">
      <alignment horizontal="center" vertical="center" wrapText="1"/>
    </xf>
    <xf numFmtId="178" fontId="6" fillId="0" borderId="0" xfId="116" applyNumberFormat="1" applyFont="1" applyAlignment="1">
      <alignment horizontal="center" vertical="center" wrapText="1"/>
    </xf>
    <xf numFmtId="176" fontId="6" fillId="0" borderId="7" xfId="116" applyNumberFormat="1" applyFont="1" applyBorder="1" applyAlignment="1">
      <alignment vertical="center" wrapText="1"/>
    </xf>
    <xf numFmtId="10" fontId="6" fillId="0" borderId="2" xfId="13" applyNumberFormat="1" applyFont="1" applyBorder="1" applyAlignment="1">
      <alignment horizontal="center" vertical="center" wrapText="1"/>
    </xf>
    <xf numFmtId="0" fontId="13" fillId="0" borderId="0" xfId="116" applyFont="1" applyAlignment="1">
      <alignment vertical="center" wrapText="1"/>
    </xf>
    <xf numFmtId="2" fontId="13" fillId="0" borderId="0" xfId="116" applyNumberFormat="1" applyFont="1" applyAlignment="1">
      <alignment vertical="center" wrapText="1"/>
    </xf>
    <xf numFmtId="1" fontId="6" fillId="0" borderId="0" xfId="116" applyNumberFormat="1" applyFont="1" applyAlignment="1">
      <alignment vertical="center" wrapText="1"/>
    </xf>
    <xf numFmtId="0" fontId="13" fillId="0" borderId="0" xfId="116" applyFont="1" applyFill="1" applyAlignment="1">
      <alignment vertical="center" wrapText="1"/>
    </xf>
  </cellXfs>
  <cellStyles count="12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20% - Accent4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好_武威工业园污水厂汇总表" xfId="11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40% - Accent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Input" xfId="31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好_庄浪污水汇总" xfId="38"/>
    <cellStyle name="适中" xfId="39" builtinId="28"/>
    <cellStyle name="Heading 3" xfId="40"/>
    <cellStyle name="20% - 强调文字颜色 5" xfId="41" builtinId="46"/>
    <cellStyle name="强调文字颜色 1" xfId="42" builtinId="29"/>
    <cellStyle name="20% - 强调文字颜色 1" xfId="43" builtinId="30"/>
    <cellStyle name="20% - Accent2" xfId="44"/>
    <cellStyle name="40% - 强调文字颜色 1" xfId="45" builtinId="31"/>
    <cellStyle name="20% - 强调文字颜色 2" xfId="46" builtinId="34"/>
    <cellStyle name="20% - Accent3" xfId="47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20% - Accent5" xfId="52"/>
    <cellStyle name="60% - Accent1" xfId="53"/>
    <cellStyle name="40% - 强调文字颜色 4" xfId="54" builtinId="43"/>
    <cellStyle name="强调文字颜色 5" xfId="55" builtinId="45"/>
    <cellStyle name="20% - Accent6" xfId="56"/>
    <cellStyle name="常规 2 2" xfId="57"/>
    <cellStyle name="60% - Accent2" xfId="58"/>
    <cellStyle name="40% - 强调文字颜色 5" xfId="59" builtinId="47"/>
    <cellStyle name="60% - 强调文字颜色 5" xfId="60" builtinId="48"/>
    <cellStyle name="强调文字颜色 6" xfId="61" builtinId="49"/>
    <cellStyle name="40% - 强调文字颜色 6" xfId="62" builtinId="51"/>
    <cellStyle name="60% - 强调文字颜色 6" xfId="63" builtinId="52"/>
    <cellStyle name="60% - Accent3" xfId="64"/>
    <cellStyle name="好_临洮污水汇总" xfId="65"/>
    <cellStyle name="20% - Accent1" xfId="66"/>
    <cellStyle name="40% - Accent1" xfId="67"/>
    <cellStyle name="40% - Accent2" xfId="68"/>
    <cellStyle name="40% - Accent3" xfId="69"/>
    <cellStyle name="40% - Accent4" xfId="70"/>
    <cellStyle name="40% - Accent5" xfId="71"/>
    <cellStyle name="60% - Accent4" xfId="72"/>
    <cellStyle name="60% - Accent5" xfId="73"/>
    <cellStyle name="60% - Accent6" xfId="74"/>
    <cellStyle name="Accent1" xfId="75"/>
    <cellStyle name="Accent2" xfId="76"/>
    <cellStyle name="Accent3" xfId="77"/>
    <cellStyle name="Accent4" xfId="78"/>
    <cellStyle name="Accent5" xfId="79"/>
    <cellStyle name="Accent6" xfId="80"/>
    <cellStyle name="Bad" xfId="81"/>
    <cellStyle name="Calculation" xfId="82"/>
    <cellStyle name="Check Cell" xfId="83"/>
    <cellStyle name="Explanatory Text" xfId="84"/>
    <cellStyle name="Good" xfId="85"/>
    <cellStyle name="常规 10" xfId="86"/>
    <cellStyle name="Heading 1" xfId="87"/>
    <cellStyle name="Heading 2" xfId="88"/>
    <cellStyle name="Heading 4" xfId="89"/>
    <cellStyle name="Linked Cell" xfId="90"/>
    <cellStyle name="Neutral" xfId="91"/>
    <cellStyle name="Normal" xfId="92"/>
    <cellStyle name="Note" xfId="93"/>
    <cellStyle name="Output" xfId="94"/>
    <cellStyle name="Title" xfId="95"/>
    <cellStyle name="常规 2" xfId="96"/>
    <cellStyle name="Total" xfId="97"/>
    <cellStyle name="Warning Text" xfId="98"/>
    <cellStyle name="百分比 2" xfId="99"/>
    <cellStyle name="百分比 3" xfId="100"/>
    <cellStyle name="差_景泰污水汇总" xfId="101"/>
    <cellStyle name="差_临洮污水汇总" xfId="102"/>
    <cellStyle name="差_投资估算" xfId="103"/>
    <cellStyle name="差_污水汇总" xfId="104"/>
    <cellStyle name="差_武威工业园污水厂汇总表" xfId="105"/>
    <cellStyle name="差_张家川汇总" xfId="106"/>
    <cellStyle name="差_庄浪污水汇总" xfId="107"/>
    <cellStyle name="常规 10 2" xfId="108"/>
    <cellStyle name="常规 10 3" xfId="109"/>
    <cellStyle name="常规 3" xfId="110"/>
    <cellStyle name="常规 3 2" xfId="111"/>
    <cellStyle name="常规 4" xfId="112"/>
    <cellStyle name="常规 5" xfId="113"/>
    <cellStyle name="常规 7" xfId="114"/>
    <cellStyle name="常规_粗格栅及提升泵房 2" xfId="115"/>
    <cellStyle name="常规_那坡县污水可研评价（审改09.3.25）" xfId="116"/>
    <cellStyle name="常规_那坡县污水可研评价（审改09.3.25） 2" xfId="117"/>
    <cellStyle name="常规_总图 2" xfId="118"/>
    <cellStyle name="超级链接_邯郸污水" xfId="119"/>
    <cellStyle name="好_景泰污水汇总" xfId="120"/>
    <cellStyle name="好_投资估算" xfId="121"/>
    <cellStyle name="好_污水汇总" xfId="122"/>
    <cellStyle name="好_张家川汇总" xfId="123"/>
    <cellStyle name="后继超级链接_工程计算表格及甘肃、陕西取费11" xfId="1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5.xml"/><Relationship Id="rId8" Type="http://schemas.openxmlformats.org/officeDocument/2006/relationships/externalLink" Target="externalLinks/externalLink4.xml"/><Relationship Id="rId7" Type="http://schemas.openxmlformats.org/officeDocument/2006/relationships/externalLink" Target="externalLinks/externalLink3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0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9" Type="http://schemas.openxmlformats.org/officeDocument/2006/relationships/styles" Target="styles.xml"/><Relationship Id="rId18" Type="http://schemas.openxmlformats.org/officeDocument/2006/relationships/theme" Target="theme/theme1.xml"/><Relationship Id="rId17" Type="http://schemas.openxmlformats.org/officeDocument/2006/relationships/externalLink" Target="externalLinks/externalLink13.xml"/><Relationship Id="rId16" Type="http://schemas.openxmlformats.org/officeDocument/2006/relationships/externalLink" Target="externalLinks/externalLink12.xml"/><Relationship Id="rId15" Type="http://schemas.openxmlformats.org/officeDocument/2006/relationships/externalLink" Target="externalLinks/externalLink11.xml"/><Relationship Id="rId14" Type="http://schemas.openxmlformats.org/officeDocument/2006/relationships/externalLink" Target="externalLinks/externalLink10.xml"/><Relationship Id="rId13" Type="http://schemas.openxmlformats.org/officeDocument/2006/relationships/externalLink" Target="externalLinks/externalLink9.xml"/><Relationship Id="rId12" Type="http://schemas.openxmlformats.org/officeDocument/2006/relationships/externalLink" Target="externalLinks/externalLink8.xml"/><Relationship Id="rId11" Type="http://schemas.openxmlformats.org/officeDocument/2006/relationships/externalLink" Target="externalLinks/externalLink7.xml"/><Relationship Id="rId10" Type="http://schemas.openxmlformats.org/officeDocument/2006/relationships/externalLink" Target="externalLinks/externalLink6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&#35780;&#20215;(0.1.10)\&#35780;&#20215;10.xlt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HAIYAN\&#22799;&#27827;\&#35780;&#20215;(0.1.10)\&#35780;&#20215;10.xlt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HAIYAN\&#22799;&#27827;\&#35780;&#20215;(0.1.10)\&#35780;&#20215;10.xlt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HAIYAN\&#27815;&#24030;\&#35780;&#20215;(0.1.10)\&#35780;&#20215;10.xlt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&#32463;&#27982;&#35780;&#2021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&#35780;&#20215;(0.1.10)\&#35780;&#20215;10.xl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2825;&#27941;&#32426;&#24196;&#23376;&#27745;&#27700;&#21378;&#25913;&#36896;\&#22825;&#27941;&#32426;&#24196;&#23376;&#27745;&#27700;&#21378;&#25913;&#36896;&#65288;09.5.12&#65289;&#22478;&#25237;&#23457;&#26597;&#20462;&#25913;\&#20272;&#31639;&#21450;&#35780;&#2021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&#22825;&#27941;&#32426;&#24196;&#23376;&#27745;&#27700;&#21378;&#25913;&#36896;\&#22825;&#27941;&#32426;&#24196;&#23376;&#27745;&#27700;&#21378;&#25913;&#36896;&#65288;09.5.12&#65289;&#22478;&#25237;&#23457;&#26597;&#20462;&#25913;\&#20272;&#31639;&#21450;&#35780;&#20215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31243;&#39033;&#30446;\2020\&#29976;&#32899;&#22825;&#27700;&#24066;&#40614;&#31215;&#27745;&#27700;&#22788;&#29702;&#21378;&#25552;&#26631;&#25193;&#23481;&#24037;&#31243;&#21487;&#30740;\&#35780;&#23457;&#20462;&#25913;&#29256;2020-4-6\&#32463;&#27982;&#35780;&#2021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chy\&#24191;&#35199;\&#21487;&#30740;\&#37027;&#22369;&#21439;&#27745;&#27700;&#21487;&#30740;&#35780;&#20215;&#65288;&#23457;&#25913;09.3.25&#65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27745;&#27700;&#20272;&#31639;&#34920;&#26684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010;&#20154;&#25991;&#26723;\&#22403;&#22334;&#22788;&#29702;&#24037;&#31243;\&#29577;&#38376;&#22403;&#22334;&#22788;&#29702;&#65288;&#26446;&#24800;&#29618;&#65289;\&#21487;&#30740;&#20462;&#25913;\&#20272;&#31639;&#21450;&#35780;&#20215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010;&#20154;&#25991;&#26723;\&#32463;&#35780;&#21452;&#39029;\JFX&#65288;&#29992;&#20110;&#25554;&#20837;wod&#34920;&#65289;\&#20272;&#31639;&#21450;&#35780;&#2021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总表"/>
      <sheetName val="固定资产投资估算表"/>
      <sheetName val="借款还本付息计算表"/>
      <sheetName val="总成本费用估算表"/>
      <sheetName val="现金流量表（全部投资）"/>
      <sheetName val="现金流量表（自有资金）"/>
      <sheetName val="损益表"/>
      <sheetName val="资金来源与运用表"/>
      <sheetName val="资产负债表"/>
      <sheetName val="流动资金估算表"/>
      <sheetName val="投资计划与资金筹措表"/>
      <sheetName val="固定资产折旧费估算表"/>
      <sheetName val="无形及递延资产摊销估算表"/>
      <sheetName val="产品销售收入和税金及附加估算表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财务敏感性分析"/>
      <sheetName val="Sheet1"/>
      <sheetName val="Sheet2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总表"/>
      <sheetName val="固定资产投资估算表"/>
      <sheetName val="借款还本付息计算表"/>
      <sheetName val="总成本费用估算表"/>
      <sheetName val="现金流量表（全部投资）"/>
      <sheetName val="现金流量表（自有资金）"/>
      <sheetName val="损益表"/>
      <sheetName val="资金来源与运用表"/>
      <sheetName val="资产负债表"/>
      <sheetName val="流动资金估算表"/>
      <sheetName val="投资计划与资金筹措表"/>
      <sheetName val="固定资产折旧费估算表"/>
      <sheetName val="无形及递延资产摊销估算表"/>
      <sheetName val="产品销售收入和税金及附加估算表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财务敏感性分析"/>
      <sheetName val="Sheet1"/>
      <sheetName val="Sheet2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总表"/>
      <sheetName val="固定资产投资估算表"/>
      <sheetName val="借款还本付息计算表"/>
      <sheetName val="总成本费用估算表"/>
      <sheetName val="现金流量表（全部投资）"/>
      <sheetName val="现金流量表（自有资金）"/>
      <sheetName val="损益表"/>
      <sheetName val="资金来源与运用表"/>
      <sheetName val="资产负债表"/>
      <sheetName val="流动资金估算表"/>
      <sheetName val="投资计划与资金筹措表"/>
      <sheetName val="固定资产折旧费估算表"/>
      <sheetName val="无形及递延资产摊销估算表"/>
      <sheetName val="产品销售收入和税金及附加估算表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财务敏感性分析"/>
      <sheetName val="Sheet1"/>
      <sheetName val="Sheet2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总表"/>
      <sheetName val="固定资产投资估算表"/>
      <sheetName val="借款还本付息计算表"/>
      <sheetName val="总成本费用估算表"/>
      <sheetName val="现金流量表（全部投资）"/>
      <sheetName val="现金流量表（自有资金）"/>
      <sheetName val="损益表"/>
      <sheetName val="资金来源与运用表"/>
      <sheetName val="资产负债表"/>
      <sheetName val="流动资金估算表"/>
      <sheetName val="投资计划与资金筹措表"/>
      <sheetName val="固定资产折旧费估算表"/>
      <sheetName val="无形及递延资产摊销估算表"/>
      <sheetName val="产品销售收入和税金及附加估算表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财务敏感性分析"/>
      <sheetName val="Sheet1"/>
      <sheetName val="Sheet2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基础数据"/>
      <sheetName val="投资估算"/>
      <sheetName val="投资计划"/>
      <sheetName val="销售收入"/>
      <sheetName val="成本费用"/>
      <sheetName val="折旧费"/>
      <sheetName val="摊销"/>
      <sheetName val="利润"/>
      <sheetName val="投资现金"/>
      <sheetName val="资本金现金"/>
      <sheetName val="财务计划现金"/>
      <sheetName val="流动资金"/>
      <sheetName val="资产负债"/>
      <sheetName val="借款还本付息"/>
      <sheetName val="敏感性"/>
      <sheetName val="图"/>
      <sheetName val="盈亏平衡"/>
      <sheetName val="汇总"/>
      <sheetName val="资金来源与运用"/>
      <sheetName val="各方投资现金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>
        <row r="42">
          <cell r="H42">
            <v>53.7719792259527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础数据"/>
      <sheetName val="总表"/>
      <sheetName val="固定资产投资估算表"/>
      <sheetName val="借款还本付息计算表"/>
      <sheetName val="总成本费用估算表"/>
      <sheetName val="现金流量表（全部投资）"/>
      <sheetName val="现金流量表（自有资金）"/>
      <sheetName val="损益表"/>
      <sheetName val="资金来源与运用表"/>
      <sheetName val="资产负债表"/>
      <sheetName val="流动资金估算表"/>
      <sheetName val="投资计划与资金筹措表"/>
      <sheetName val="固定资产折旧费估算表"/>
      <sheetName val="无形及递延资产摊销估算表"/>
      <sheetName val="产品销售收入和税金及附加估算表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财务敏感性分析"/>
      <sheetName val="Sheet1"/>
      <sheetName val="Sheet2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估算"/>
      <sheetName val="数据填写表"/>
      <sheetName val="基础数据"/>
      <sheetName val="损益表"/>
      <sheetName val="资金来源与运用表"/>
      <sheetName val="资产负债表"/>
      <sheetName val="现金流量表（全部投资）"/>
      <sheetName val="现金流量表（自有资金）"/>
      <sheetName val="国民经济效益费用流量表（全部投资）"/>
      <sheetName val="流动资金估算表"/>
      <sheetName val="投资计划与资金筹措表"/>
      <sheetName val="总成本费用估算表"/>
      <sheetName val="产品销售收入和税金及附加估算表"/>
      <sheetName val="借款还本付息计算表"/>
      <sheetName val="财务敏感性分析"/>
      <sheetName val="国民经济效益费用流量表（国内投资）"/>
      <sheetName val="国民经济评价投资调整计算表"/>
      <sheetName val="国民经济评价资金使用计划调整计算表"/>
      <sheetName val="国民经济评价经营费用调整计算表"/>
      <sheetName val="国民经济外部效益计算表"/>
      <sheetName val="盈亏平衡图"/>
      <sheetName val="敏感分析图"/>
      <sheetName val="指标"/>
      <sheetName val="无形及递延资产摊销估算表"/>
      <sheetName val="固定资产折旧费估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 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估算"/>
      <sheetName val="数据填写表"/>
      <sheetName val="基础数据"/>
      <sheetName val="损益表"/>
      <sheetName val="资金来源与运用表"/>
      <sheetName val="资产负债表"/>
      <sheetName val="现金流量表（全部投资）"/>
      <sheetName val="现金流量表（自有资金）"/>
      <sheetName val="国民经济效益费用流量表（全部投资）"/>
      <sheetName val="流动资金估算表"/>
      <sheetName val="投资计划与资金筹措表"/>
      <sheetName val="总成本费用估算表"/>
      <sheetName val="产品销售收入和税金及附加估算表"/>
      <sheetName val="借款还本付息计算表"/>
      <sheetName val="财务敏感性分析"/>
      <sheetName val="国民经济效益费用流量表（国内投资）"/>
      <sheetName val="国民经济评价投资调整计算表"/>
      <sheetName val="国民经济评价资金使用计划调整计算表"/>
      <sheetName val="国民经济评价经营费用调整计算表"/>
      <sheetName val="国民经济外部效益计算表"/>
      <sheetName val="盈亏平衡图"/>
      <sheetName val="敏感分析图"/>
      <sheetName val="指标"/>
      <sheetName val="无形及递延资产摊销估算表"/>
      <sheetName val="固定资产折旧费估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 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估算"/>
      <sheetName val="设备费"/>
      <sheetName val="基础数据"/>
      <sheetName val="投资估算"/>
      <sheetName val="投资计划"/>
      <sheetName val="销售收入"/>
      <sheetName val="成本费用"/>
      <sheetName val="折旧费"/>
      <sheetName val="摊销"/>
      <sheetName val="利润"/>
      <sheetName val="投资现金"/>
      <sheetName val="资本金现金"/>
      <sheetName val="财务计划现金"/>
      <sheetName val="流动资金"/>
      <sheetName val="资产负债"/>
      <sheetName val="借款还本付息"/>
      <sheetName val="敏感性"/>
      <sheetName val="图"/>
      <sheetName val="盈亏平衡"/>
      <sheetName val="汇总"/>
      <sheetName val="资金来源与运用"/>
      <sheetName val="各方投资现金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总表1"/>
      <sheetName val="总表（厂）"/>
      <sheetName val="基础数据"/>
      <sheetName val="投资估算表"/>
      <sheetName val="折旧费估算表"/>
      <sheetName val="摊销估算表"/>
      <sheetName val="总成本费用估算表"/>
      <sheetName val="投资计划与资金筹措表"/>
      <sheetName val="产品销售收入和税金及附加估算表"/>
      <sheetName val="利润表"/>
      <sheetName val="资产负债表"/>
      <sheetName val="资金来源与运用表"/>
      <sheetName val="借款还本付息计算表"/>
      <sheetName val="投资现金流量表"/>
      <sheetName val="资本金现金流量表"/>
      <sheetName val="财务计划现金流量表"/>
      <sheetName val="各方投资现金流量表"/>
      <sheetName val="流动资金估算表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财务敏感性分析"/>
      <sheetName val="Sheet1"/>
      <sheetName val="Sheet3"/>
      <sheetName val="Sheet2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  <sheetName val="现金流量表（自有资金）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基础数据"/>
      <sheetName val="投资估算"/>
      <sheetName val="投资计划"/>
      <sheetName val="销售收入"/>
      <sheetName val="成本费用"/>
      <sheetName val="折旧费"/>
      <sheetName val="摊销"/>
      <sheetName val="利润"/>
      <sheetName val="投资现金"/>
      <sheetName val="资本金现金"/>
      <sheetName val="财务计划现金"/>
      <sheetName val="流动资金"/>
      <sheetName val="资产负债"/>
      <sheetName val="借款还本付息"/>
      <sheetName val="敏感性"/>
      <sheetName val="图"/>
      <sheetName val="盈亏平衡"/>
      <sheetName val="汇总"/>
      <sheetName val="资金来源与运用"/>
      <sheetName val="各方投资现金"/>
      <sheetName val="国民经济效益费用流量表（全部投资）"/>
      <sheetName val="国民经济评价销售收入调整计算表"/>
      <sheetName val="国民经济效益费用流量表（国内投资）"/>
      <sheetName val="国民经济评价投资调整计算表"/>
      <sheetName val="国民经济评价经营费用调整计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估算"/>
      <sheetName val="指标"/>
      <sheetName val="数据填写表"/>
      <sheetName val="基础数据"/>
      <sheetName val="损益表"/>
      <sheetName val="资金来源与运用表"/>
      <sheetName val="资产负债表"/>
      <sheetName val="总成本费用估算表"/>
      <sheetName val="现金流量表（全部投资）"/>
      <sheetName val="现金流量表（自有资金）"/>
      <sheetName val="国民经济效益费用流量表（全部投资）"/>
      <sheetName val="流动资金估算表"/>
      <sheetName val="投资计划与资金筹措表"/>
      <sheetName val="产品销售收入和税金及附加估算表"/>
      <sheetName val="借款还本付息计算表"/>
      <sheetName val="财务敏感性分析"/>
      <sheetName val="国民经济效益费用流量表（国内投资）"/>
      <sheetName val="国民经济评价投资调整计算表"/>
      <sheetName val="国民经济评价资金使用计划调整计算表"/>
      <sheetName val="国民经济评价经营费用调整计算表"/>
      <sheetName val="国民经济外部效益计算表"/>
      <sheetName val="盈亏平衡图"/>
      <sheetName val="敏感分析图"/>
      <sheetName val="无形及递延资产摊销估算表"/>
      <sheetName val="固定资产折旧费估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 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估算"/>
      <sheetName val="数据填写表"/>
      <sheetName val="基础数据"/>
      <sheetName val="损益表"/>
      <sheetName val="资金来源与运用表"/>
      <sheetName val="资产负债表"/>
      <sheetName val="现金流量表（全部投资）"/>
      <sheetName val="现金流量表（自有资金）"/>
      <sheetName val="国民经济效益费用流量表（全部投资）"/>
      <sheetName val="流动资金估算表"/>
      <sheetName val="投资计划与资金筹措表"/>
      <sheetName val="总成本费用估算表"/>
      <sheetName val="产品销售收入和税金及附加估算表"/>
      <sheetName val="借款还本付息计算表"/>
      <sheetName val="财务敏感性分析"/>
      <sheetName val="国民经济效益费用流量表（国内投资）"/>
      <sheetName val="国民经济评价投资调整计算表"/>
      <sheetName val="国民经济评价资金使用计划调整计算表"/>
      <sheetName val="国民经济评价经营费用调整计算表"/>
      <sheetName val="国民经济外部效益计算表"/>
      <sheetName val="盈亏平衡图"/>
      <sheetName val="敏感分析图"/>
      <sheetName val="指标"/>
      <sheetName val="无形及递延资产摊销估算表"/>
      <sheetName val="固定资产折旧费估算表"/>
      <sheetName val="现金流量表(敏感分析用 投资+20%)"/>
      <sheetName val="现金流量表(敏感分析用 投资+15%)"/>
      <sheetName val="现金流量表(敏感分析用 投资+10%)"/>
      <sheetName val="现金流量表(敏感分析用 投资+5%)"/>
      <sheetName val="现金流量表(敏感分析用 投资-5%)"/>
      <sheetName val="现金流量表(敏感分析用 投资-10%)"/>
      <sheetName val="现金流量表(敏感分析用 投资-15%)"/>
      <sheetName val="现金流量表(敏感分析用 投资-20%)"/>
      <sheetName val="现金流量表(敏感分析用 成本+20%) "/>
      <sheetName val="现金流量表(敏感分析用 成本+15%)"/>
      <sheetName val="现金流量表(敏感分析用 成本+10%)"/>
      <sheetName val="现金流量表(敏感分析用 成本+5%)"/>
      <sheetName val="现金流量表(敏感分析用 成本-5%)"/>
      <sheetName val="现金流量表(敏感分析用 成本-10%)"/>
      <sheetName val="现金流量表(敏感分析用 成本-15%)"/>
      <sheetName val="现金流量表(敏感分析用 成本-20%)"/>
      <sheetName val="现金流量表(敏感分析用 收入+20%)"/>
      <sheetName val="现金流量表(敏感分析用 收入+15%)"/>
      <sheetName val="现金流量表(敏感分析用 收入+10%)"/>
      <sheetName val="现金流量表(敏感分析用 收入+5%)"/>
      <sheetName val="现金流量表(敏感分析用 收入-5%)"/>
      <sheetName val="现金流量表(敏感分析用 收入-10%)"/>
      <sheetName val="现金流量表(敏感分析用 收入-15%)"/>
      <sheetName val="现金流量表(敏感分析用 收入-20%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/>
      <sheetData sheetId="12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S57"/>
  <sheetViews>
    <sheetView tabSelected="1" zoomScale="75" zoomScaleNormal="75" workbookViewId="0">
      <selection activeCell="J24" sqref="J24"/>
    </sheetView>
  </sheetViews>
  <sheetFormatPr defaultColWidth="9" defaultRowHeight="21" customHeight="1"/>
  <cols>
    <col min="1" max="1" width="6.625" style="25" customWidth="1"/>
    <col min="2" max="2" width="27.375" style="25" customWidth="1"/>
    <col min="3" max="4" width="11.875" style="25" customWidth="1"/>
    <col min="5" max="5" width="11.5" style="25" customWidth="1"/>
    <col min="6" max="6" width="10.75" style="25" customWidth="1"/>
    <col min="7" max="7" width="12" style="25" customWidth="1"/>
    <col min="8" max="8" width="6.625" style="25" customWidth="1"/>
    <col min="9" max="9" width="12.25" style="25" customWidth="1"/>
    <col min="10" max="10" width="13" style="25" customWidth="1"/>
    <col min="11" max="11" width="12.75" style="26" customWidth="1"/>
    <col min="12" max="12" width="10.375" style="25" customWidth="1"/>
    <col min="13" max="14" width="10.75" style="25" customWidth="1"/>
    <col min="15" max="16" width="10.375" style="25" customWidth="1"/>
    <col min="17" max="17" width="10.25" style="25" customWidth="1"/>
    <col min="18" max="18" width="10.125" style="25" customWidth="1"/>
    <col min="19" max="19" width="10.875" style="25" customWidth="1"/>
    <col min="20" max="16384" width="9" style="25"/>
  </cols>
  <sheetData>
    <row r="1" ht="54" customHeight="1" spans="1:1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customHeight="1" spans="1:11">
      <c r="A2" s="28" t="s">
        <v>1</v>
      </c>
      <c r="B2" s="28" t="s">
        <v>2</v>
      </c>
      <c r="C2" s="29" t="s">
        <v>3</v>
      </c>
      <c r="D2" s="28"/>
      <c r="E2" s="28"/>
      <c r="F2" s="28"/>
      <c r="G2" s="28"/>
      <c r="H2" s="28" t="s">
        <v>4</v>
      </c>
      <c r="I2" s="28"/>
      <c r="J2" s="52"/>
      <c r="K2" s="53" t="s">
        <v>5</v>
      </c>
    </row>
    <row r="3" customHeight="1" spans="1:14">
      <c r="A3" s="28"/>
      <c r="B3" s="28"/>
      <c r="C3" s="28" t="s">
        <v>6</v>
      </c>
      <c r="D3" s="28" t="s">
        <v>7</v>
      </c>
      <c r="E3" s="28" t="s">
        <v>8</v>
      </c>
      <c r="F3" s="28" t="s">
        <v>9</v>
      </c>
      <c r="G3" s="28" t="s">
        <v>10</v>
      </c>
      <c r="H3" s="28" t="s">
        <v>11</v>
      </c>
      <c r="I3" s="28" t="s">
        <v>12</v>
      </c>
      <c r="J3" s="52" t="s">
        <v>13</v>
      </c>
      <c r="K3" s="54"/>
      <c r="N3" s="55"/>
    </row>
    <row r="4" ht="27" customHeight="1" spans="1:15">
      <c r="A4" s="28"/>
      <c r="B4" s="30" t="s">
        <v>14</v>
      </c>
      <c r="C4" s="31">
        <f>C6</f>
        <v>1643.607396</v>
      </c>
      <c r="D4" s="31">
        <f>D6</f>
        <v>1439.01</v>
      </c>
      <c r="E4" s="31">
        <f>E6</f>
        <v>546.409</v>
      </c>
      <c r="F4" s="31">
        <f>F5+F56+F57</f>
        <v>750.699957227941</v>
      </c>
      <c r="G4" s="31">
        <f>SUM(C4:F4)</f>
        <v>4379.72635322794</v>
      </c>
      <c r="H4" s="32" t="s">
        <v>15</v>
      </c>
      <c r="I4" s="31">
        <f>I6</f>
        <v>15000</v>
      </c>
      <c r="J4" s="31">
        <f>G4/I4*10000</f>
        <v>2919.81756881863</v>
      </c>
      <c r="K4" s="56">
        <v>1</v>
      </c>
      <c r="N4" s="55"/>
      <c r="O4" s="57"/>
    </row>
    <row r="5" ht="27" customHeight="1" spans="1:13">
      <c r="A5" s="33"/>
      <c r="B5" s="30" t="s">
        <v>16</v>
      </c>
      <c r="C5" s="31">
        <f>C6</f>
        <v>1643.607396</v>
      </c>
      <c r="D5" s="31">
        <f>D6</f>
        <v>1439.01</v>
      </c>
      <c r="E5" s="31">
        <f>E6</f>
        <v>546.409</v>
      </c>
      <c r="F5" s="31">
        <f>F32+F55</f>
        <v>623.784978001988</v>
      </c>
      <c r="G5" s="31">
        <f>SUM(C5:F5)</f>
        <v>4252.81137400199</v>
      </c>
      <c r="H5" s="32" t="s">
        <v>15</v>
      </c>
      <c r="I5" s="31">
        <f>I6</f>
        <v>15000</v>
      </c>
      <c r="J5" s="31">
        <f>G5/I5*10000</f>
        <v>2835.20758266799</v>
      </c>
      <c r="K5" s="58">
        <f>G5/G4</f>
        <v>0.971022166914055</v>
      </c>
      <c r="M5" s="59"/>
    </row>
    <row r="6" ht="27" customHeight="1" spans="1:14">
      <c r="A6" s="33" t="s">
        <v>17</v>
      </c>
      <c r="B6" s="30" t="s">
        <v>18</v>
      </c>
      <c r="C6" s="31">
        <f>C7+C17+C24</f>
        <v>1643.607396</v>
      </c>
      <c r="D6" s="31">
        <f>D7+D17+D24</f>
        <v>1439.01</v>
      </c>
      <c r="E6" s="31">
        <f>E7+E17+E24</f>
        <v>546.409</v>
      </c>
      <c r="F6" s="31"/>
      <c r="G6" s="31">
        <f>SUM(C6:E6)</f>
        <v>3629.026396</v>
      </c>
      <c r="H6" s="32" t="s">
        <v>15</v>
      </c>
      <c r="I6" s="31">
        <f>I7</f>
        <v>15000</v>
      </c>
      <c r="J6" s="31">
        <f>G6/I6*10000</f>
        <v>2419.35093066667</v>
      </c>
      <c r="K6" s="58">
        <f>G6/G4</f>
        <v>0.828596607028962</v>
      </c>
      <c r="M6" s="26">
        <f>G4</f>
        <v>4379.72635322794</v>
      </c>
      <c r="N6" s="26">
        <f>G40</f>
        <v>18.14513198</v>
      </c>
    </row>
    <row r="7" ht="27" customHeight="1" spans="1:14">
      <c r="A7" s="33" t="s">
        <v>19</v>
      </c>
      <c r="B7" s="30" t="s">
        <v>20</v>
      </c>
      <c r="C7" s="31">
        <f>SUM(C8:C16)</f>
        <v>1196.807996</v>
      </c>
      <c r="D7" s="31">
        <f>SUM(D8:D16)</f>
        <v>885.26</v>
      </c>
      <c r="E7" s="31">
        <f>SUM(E8:E16)</f>
        <v>171.538</v>
      </c>
      <c r="F7" s="31"/>
      <c r="G7" s="31">
        <f>SUM(C7:E7)</f>
        <v>2253.605996</v>
      </c>
      <c r="H7" s="32" t="s">
        <v>15</v>
      </c>
      <c r="I7" s="31">
        <v>15000</v>
      </c>
      <c r="J7" s="31">
        <f>G7/I7*10000</f>
        <v>1502.40399733333</v>
      </c>
      <c r="K7" s="58">
        <f>G7/G4</f>
        <v>0.51455406439698</v>
      </c>
      <c r="M7" s="26">
        <f>G5</f>
        <v>4252.81137400199</v>
      </c>
      <c r="N7" s="60">
        <f>G41</f>
        <v>72.58052792</v>
      </c>
    </row>
    <row r="8" ht="27" customHeight="1" spans="1:14">
      <c r="A8" s="34">
        <v>1</v>
      </c>
      <c r="B8" s="35" t="s">
        <v>21</v>
      </c>
      <c r="C8" s="36">
        <f t="shared" ref="C8:C15" si="0">I8*J8/10000</f>
        <v>285.600096</v>
      </c>
      <c r="D8" s="37">
        <f>新建!F6/10000</f>
        <v>233.6</v>
      </c>
      <c r="E8" s="37">
        <f>新建!H6/10000</f>
        <v>46.72</v>
      </c>
      <c r="F8" s="36"/>
      <c r="G8" s="37">
        <f>SUM(C8:E9)</f>
        <v>614.595096</v>
      </c>
      <c r="H8" s="38" t="s">
        <v>22</v>
      </c>
      <c r="I8" s="36">
        <f>22.8*13.4*7.6</f>
        <v>2321.952</v>
      </c>
      <c r="J8" s="36">
        <v>1230</v>
      </c>
      <c r="K8" s="53" t="s">
        <v>23</v>
      </c>
      <c r="L8" s="25">
        <v>1250</v>
      </c>
      <c r="M8" s="26">
        <f>G6</f>
        <v>3629.026396</v>
      </c>
      <c r="N8" s="26">
        <f>C6</f>
        <v>1643.607396</v>
      </c>
    </row>
    <row r="9" ht="27" customHeight="1" spans="1:14">
      <c r="A9" s="34">
        <v>2</v>
      </c>
      <c r="B9" s="35" t="s">
        <v>24</v>
      </c>
      <c r="C9" s="36">
        <f t="shared" si="0"/>
        <v>48.675</v>
      </c>
      <c r="D9" s="39"/>
      <c r="E9" s="39"/>
      <c r="F9" s="36"/>
      <c r="G9" s="39"/>
      <c r="H9" s="38" t="s">
        <v>25</v>
      </c>
      <c r="I9" s="36">
        <v>177</v>
      </c>
      <c r="J9" s="36">
        <v>2750</v>
      </c>
      <c r="K9" s="61"/>
      <c r="L9" s="25">
        <v>2800</v>
      </c>
      <c r="M9" s="26">
        <f>C6</f>
        <v>1643.607396</v>
      </c>
      <c r="N9" s="26">
        <f>E6</f>
        <v>546.409</v>
      </c>
    </row>
    <row r="10" ht="27" customHeight="1" spans="1:14">
      <c r="A10" s="34">
        <v>3</v>
      </c>
      <c r="B10" s="35" t="s">
        <v>26</v>
      </c>
      <c r="C10" s="36">
        <f t="shared" si="0"/>
        <v>31.5</v>
      </c>
      <c r="D10" s="36">
        <f>新建!F14/10000</f>
        <v>25.5</v>
      </c>
      <c r="E10" s="40">
        <f>新建!H14/10000</f>
        <v>5.1</v>
      </c>
      <c r="F10" s="36"/>
      <c r="G10" s="36">
        <f>SUM(C10:E10)</f>
        <v>62.1</v>
      </c>
      <c r="H10" s="38" t="s">
        <v>22</v>
      </c>
      <c r="I10" s="36">
        <f>7*5*6</f>
        <v>210</v>
      </c>
      <c r="J10" s="36">
        <v>1500</v>
      </c>
      <c r="K10" s="61"/>
      <c r="M10" s="26">
        <f>D6</f>
        <v>1439.01</v>
      </c>
      <c r="N10" s="26">
        <f>G36</f>
        <v>55.10216531376</v>
      </c>
    </row>
    <row r="11" ht="27" customHeight="1" spans="1:14">
      <c r="A11" s="34">
        <v>4</v>
      </c>
      <c r="B11" s="41" t="s">
        <v>27</v>
      </c>
      <c r="C11" s="36">
        <f t="shared" si="0"/>
        <v>383.13975</v>
      </c>
      <c r="D11" s="37">
        <f>新建!F17/10000</f>
        <v>330.9</v>
      </c>
      <c r="E11" s="37">
        <f>新建!H17/10000</f>
        <v>66.18</v>
      </c>
      <c r="F11" s="36"/>
      <c r="G11" s="37">
        <f>SUM(C11:E12)</f>
        <v>838.374</v>
      </c>
      <c r="H11" s="38" t="s">
        <v>22</v>
      </c>
      <c r="I11" s="36">
        <f>33.4*13.3*7.5</f>
        <v>3331.65</v>
      </c>
      <c r="J11" s="36">
        <v>1150</v>
      </c>
      <c r="K11" s="61"/>
      <c r="L11" s="25">
        <v>1200</v>
      </c>
      <c r="M11" s="26">
        <f>E6</f>
        <v>546.409</v>
      </c>
      <c r="N11" s="26">
        <f>D6</f>
        <v>1439.01</v>
      </c>
    </row>
    <row r="12" ht="27" customHeight="1" spans="1:14">
      <c r="A12" s="34">
        <v>5</v>
      </c>
      <c r="B12" s="35" t="s">
        <v>24</v>
      </c>
      <c r="C12" s="36">
        <f t="shared" si="0"/>
        <v>58.15425</v>
      </c>
      <c r="D12" s="39"/>
      <c r="E12" s="39"/>
      <c r="F12" s="36"/>
      <c r="G12" s="39"/>
      <c r="H12" s="38" t="s">
        <v>25</v>
      </c>
      <c r="I12" s="36">
        <v>211.47</v>
      </c>
      <c r="J12" s="36">
        <v>2750</v>
      </c>
      <c r="K12" s="61"/>
      <c r="L12" s="25">
        <v>2800</v>
      </c>
      <c r="M12" s="62">
        <f>G32</f>
        <v>308.7619132611</v>
      </c>
      <c r="N12" s="63"/>
    </row>
    <row r="13" ht="27" customHeight="1" spans="1:14">
      <c r="A13" s="34">
        <v>6</v>
      </c>
      <c r="B13" s="42" t="s">
        <v>28</v>
      </c>
      <c r="C13" s="40">
        <f t="shared" si="0"/>
        <v>51.81</v>
      </c>
      <c r="D13" s="40">
        <f>新建!F45/10000</f>
        <v>19.56</v>
      </c>
      <c r="E13" s="40">
        <f>新建!H45/10000</f>
        <v>3.912</v>
      </c>
      <c r="F13" s="40"/>
      <c r="G13" s="40">
        <f t="shared" ref="G13:G31" si="1">SUM(C13:E13)</f>
        <v>75.282</v>
      </c>
      <c r="H13" s="38" t="s">
        <v>22</v>
      </c>
      <c r="I13" s="40">
        <f>3.14*10^2/4*5.5</f>
        <v>431.75</v>
      </c>
      <c r="J13" s="40">
        <v>1200</v>
      </c>
      <c r="K13" s="54"/>
      <c r="M13" s="26">
        <f>G55</f>
        <v>315.023064740888</v>
      </c>
      <c r="N13" s="63"/>
    </row>
    <row r="14" ht="27" customHeight="1" spans="1:14">
      <c r="A14" s="34">
        <v>7</v>
      </c>
      <c r="B14" s="41" t="s">
        <v>29</v>
      </c>
      <c r="C14" s="36">
        <f t="shared" si="0"/>
        <v>247.641</v>
      </c>
      <c r="D14" s="36">
        <f>新建!F49/10000</f>
        <v>225.7</v>
      </c>
      <c r="E14" s="36">
        <f>新建!H49/10000</f>
        <v>40.626</v>
      </c>
      <c r="F14" s="36"/>
      <c r="G14" s="36">
        <f t="shared" si="1"/>
        <v>513.967</v>
      </c>
      <c r="H14" s="38" t="s">
        <v>25</v>
      </c>
      <c r="I14" s="36">
        <v>669.3</v>
      </c>
      <c r="J14" s="36">
        <v>3700</v>
      </c>
      <c r="K14" s="53" t="s">
        <v>30</v>
      </c>
      <c r="L14" s="25">
        <v>3800</v>
      </c>
      <c r="M14" s="26">
        <f>G56</f>
        <v>73.143</v>
      </c>
      <c r="N14" s="63"/>
    </row>
    <row r="15" ht="27" customHeight="1" spans="1:14">
      <c r="A15" s="34">
        <v>8</v>
      </c>
      <c r="B15" s="41" t="s">
        <v>31</v>
      </c>
      <c r="C15" s="36">
        <f t="shared" si="0"/>
        <v>10.2879</v>
      </c>
      <c r="D15" s="36">
        <f>新建!F62/10000</f>
        <v>50</v>
      </c>
      <c r="E15" s="36">
        <f>新建!H62/10000</f>
        <v>9</v>
      </c>
      <c r="F15" s="36"/>
      <c r="G15" s="36">
        <f t="shared" si="1"/>
        <v>69.2879</v>
      </c>
      <c r="H15" s="38" t="s">
        <v>25</v>
      </c>
      <c r="I15" s="36">
        <v>89.46</v>
      </c>
      <c r="J15" s="36">
        <v>1150</v>
      </c>
      <c r="K15" s="40" t="s">
        <v>32</v>
      </c>
      <c r="L15" s="25">
        <v>1200</v>
      </c>
      <c r="M15" s="26">
        <f>G57</f>
        <v>53.7719792259527</v>
      </c>
      <c r="N15" s="63"/>
    </row>
    <row r="16" ht="27" customHeight="1" spans="1:14">
      <c r="A16" s="34">
        <v>9</v>
      </c>
      <c r="B16" s="43" t="s">
        <v>33</v>
      </c>
      <c r="C16" s="40">
        <v>80</v>
      </c>
      <c r="D16" s="40"/>
      <c r="E16" s="40"/>
      <c r="F16" s="40"/>
      <c r="G16" s="40">
        <f t="shared" si="1"/>
        <v>80</v>
      </c>
      <c r="H16" s="44"/>
      <c r="I16" s="40"/>
      <c r="J16" s="40"/>
      <c r="K16" s="40" t="s">
        <v>34</v>
      </c>
      <c r="M16" s="26"/>
      <c r="N16" s="63"/>
    </row>
    <row r="17" ht="27" customHeight="1" spans="1:14">
      <c r="A17" s="33" t="s">
        <v>35</v>
      </c>
      <c r="B17" s="30" t="s">
        <v>36</v>
      </c>
      <c r="C17" s="31">
        <f>SUM(C18:C23)</f>
        <v>247.3604</v>
      </c>
      <c r="D17" s="31">
        <f>SUM(D18:D23)</f>
        <v>204.1</v>
      </c>
      <c r="E17" s="31">
        <f>SUM(E18:E23)</f>
        <v>197.034</v>
      </c>
      <c r="F17" s="31"/>
      <c r="G17" s="31">
        <f t="shared" si="1"/>
        <v>648.4944</v>
      </c>
      <c r="H17" s="32" t="s">
        <v>15</v>
      </c>
      <c r="I17" s="31">
        <f>I7</f>
        <v>15000</v>
      </c>
      <c r="J17" s="31">
        <f>G17/I17*10000</f>
        <v>432.3296</v>
      </c>
      <c r="K17" s="58">
        <f>G17/G4</f>
        <v>0.148067332910433</v>
      </c>
      <c r="M17" s="26"/>
      <c r="N17" s="60"/>
    </row>
    <row r="18" ht="27" customHeight="1" spans="1:14">
      <c r="A18" s="28">
        <v>1</v>
      </c>
      <c r="B18" s="35" t="s">
        <v>37</v>
      </c>
      <c r="C18" s="36">
        <v>10</v>
      </c>
      <c r="D18" s="36">
        <f>改造!F6/10000</f>
        <v>42.3</v>
      </c>
      <c r="E18" s="36">
        <f>改造!H6/10000</f>
        <v>8.46</v>
      </c>
      <c r="F18" s="36"/>
      <c r="G18" s="36">
        <f t="shared" si="1"/>
        <v>60.76</v>
      </c>
      <c r="H18" s="38"/>
      <c r="I18" s="36"/>
      <c r="J18" s="36"/>
      <c r="K18" s="40" t="s">
        <v>38</v>
      </c>
      <c r="M18" s="26"/>
      <c r="N18" s="26"/>
    </row>
    <row r="19" ht="27" customHeight="1" spans="1:14">
      <c r="A19" s="28">
        <v>2</v>
      </c>
      <c r="B19" s="35" t="s">
        <v>39</v>
      </c>
      <c r="C19" s="36">
        <f>I19*J19/10000</f>
        <v>112.7196</v>
      </c>
      <c r="D19" s="36"/>
      <c r="E19" s="36"/>
      <c r="F19" s="36"/>
      <c r="G19" s="36">
        <f t="shared" si="1"/>
        <v>112.7196</v>
      </c>
      <c r="H19" s="38" t="s">
        <v>22</v>
      </c>
      <c r="I19" s="36">
        <f>113.6*63*1.5</f>
        <v>10735.2</v>
      </c>
      <c r="J19" s="36">
        <v>105</v>
      </c>
      <c r="K19" s="40" t="s">
        <v>40</v>
      </c>
      <c r="M19" s="64"/>
      <c r="N19" s="26"/>
    </row>
    <row r="20" ht="27" customHeight="1" spans="1:14">
      <c r="A20" s="28">
        <v>3</v>
      </c>
      <c r="B20" s="35" t="s">
        <v>41</v>
      </c>
      <c r="C20" s="36">
        <f>I20*J20/10000</f>
        <v>42.9408</v>
      </c>
      <c r="D20" s="36"/>
      <c r="E20" s="36"/>
      <c r="F20" s="36"/>
      <c r="G20" s="36">
        <f t="shared" si="1"/>
        <v>42.9408</v>
      </c>
      <c r="H20" s="38" t="s">
        <v>25</v>
      </c>
      <c r="I20" s="36">
        <f>113.6*63</f>
        <v>7156.8</v>
      </c>
      <c r="J20" s="36">
        <v>60</v>
      </c>
      <c r="K20" s="40" t="s">
        <v>42</v>
      </c>
      <c r="M20" s="64"/>
      <c r="N20" s="26"/>
    </row>
    <row r="21" ht="27" customHeight="1" spans="1:14">
      <c r="A21" s="28">
        <v>4</v>
      </c>
      <c r="B21" s="35" t="s">
        <v>43</v>
      </c>
      <c r="C21" s="36">
        <f>I21*J21/10000</f>
        <v>56.7</v>
      </c>
      <c r="D21" s="36"/>
      <c r="E21" s="36"/>
      <c r="F21" s="36"/>
      <c r="G21" s="36">
        <f t="shared" si="1"/>
        <v>56.7</v>
      </c>
      <c r="H21" s="38" t="s">
        <v>22</v>
      </c>
      <c r="I21" s="36">
        <f>0.6*63*5</f>
        <v>189</v>
      </c>
      <c r="J21" s="36">
        <v>3000</v>
      </c>
      <c r="K21" s="40" t="s">
        <v>44</v>
      </c>
      <c r="M21" s="64"/>
      <c r="N21" s="26"/>
    </row>
    <row r="22" ht="27" customHeight="1" spans="1:14">
      <c r="A22" s="28">
        <v>5</v>
      </c>
      <c r="B22" s="35" t="s">
        <v>45</v>
      </c>
      <c r="C22" s="36">
        <v>25</v>
      </c>
      <c r="D22" s="36">
        <f>改造!F12/10000</f>
        <v>161.8</v>
      </c>
      <c r="E22" s="36">
        <f>改造!H12/10000</f>
        <v>69.574</v>
      </c>
      <c r="F22" s="36"/>
      <c r="G22" s="36">
        <f t="shared" si="1"/>
        <v>256.374</v>
      </c>
      <c r="H22" s="44" t="s">
        <v>46</v>
      </c>
      <c r="I22" s="40">
        <f>I17</f>
        <v>15000</v>
      </c>
      <c r="J22" s="40">
        <f>G22/I22*10000</f>
        <v>170.916</v>
      </c>
      <c r="K22" s="40"/>
      <c r="M22" s="26"/>
      <c r="N22" s="26"/>
    </row>
    <row r="23" ht="27" customHeight="1" spans="1:14">
      <c r="A23" s="28">
        <v>6</v>
      </c>
      <c r="B23" s="35" t="s">
        <v>47</v>
      </c>
      <c r="C23" s="36"/>
      <c r="D23" s="36"/>
      <c r="E23" s="36">
        <f>I23*J23/10000</f>
        <v>119</v>
      </c>
      <c r="F23" s="36"/>
      <c r="G23" s="36">
        <f t="shared" si="1"/>
        <v>119</v>
      </c>
      <c r="H23" s="38" t="s">
        <v>25</v>
      </c>
      <c r="I23" s="36">
        <v>1700</v>
      </c>
      <c r="J23" s="36">
        <v>700</v>
      </c>
      <c r="K23" s="40" t="s">
        <v>48</v>
      </c>
      <c r="M23" s="26"/>
      <c r="N23" s="26"/>
    </row>
    <row r="24" ht="27" customHeight="1" spans="1:14">
      <c r="A24" s="33" t="s">
        <v>49</v>
      </c>
      <c r="B24" s="30" t="s">
        <v>50</v>
      </c>
      <c r="C24" s="31">
        <f>SUM(C25:C31)</f>
        <v>199.439</v>
      </c>
      <c r="D24" s="31">
        <f>SUM(D25:D31)</f>
        <v>349.65</v>
      </c>
      <c r="E24" s="31">
        <f>SUM(E25:E31)</f>
        <v>177.837</v>
      </c>
      <c r="F24" s="31"/>
      <c r="G24" s="31">
        <f t="shared" si="1"/>
        <v>726.926</v>
      </c>
      <c r="H24" s="32" t="s">
        <v>15</v>
      </c>
      <c r="I24" s="31">
        <f>I7</f>
        <v>15000</v>
      </c>
      <c r="J24" s="31">
        <f>G24/I24*10000</f>
        <v>484.617333333333</v>
      </c>
      <c r="K24" s="58">
        <f>G24/G4</f>
        <v>0.165975209721548</v>
      </c>
      <c r="M24" s="26"/>
      <c r="N24" s="60"/>
    </row>
    <row r="25" ht="27" customHeight="1" spans="1:14">
      <c r="A25" s="28">
        <v>1</v>
      </c>
      <c r="B25" s="42" t="s">
        <v>51</v>
      </c>
      <c r="C25" s="40">
        <v>80</v>
      </c>
      <c r="D25" s="40"/>
      <c r="E25" s="40">
        <v>50</v>
      </c>
      <c r="F25" s="40"/>
      <c r="G25" s="40">
        <f t="shared" si="1"/>
        <v>130</v>
      </c>
      <c r="H25" s="44"/>
      <c r="I25" s="40"/>
      <c r="J25" s="40"/>
      <c r="K25" s="40" t="s">
        <v>52</v>
      </c>
      <c r="M25" s="26"/>
      <c r="N25" s="26"/>
    </row>
    <row r="26" ht="27" customHeight="1" spans="1:14">
      <c r="A26" s="28">
        <v>2</v>
      </c>
      <c r="B26" s="42" t="s">
        <v>53</v>
      </c>
      <c r="C26" s="40">
        <f>I26*J26/10000</f>
        <v>9.6</v>
      </c>
      <c r="D26" s="40"/>
      <c r="E26" s="40"/>
      <c r="F26" s="40"/>
      <c r="G26" s="40">
        <f t="shared" si="1"/>
        <v>9.6</v>
      </c>
      <c r="H26" s="44" t="s">
        <v>25</v>
      </c>
      <c r="I26" s="40">
        <v>1200</v>
      </c>
      <c r="J26" s="40">
        <v>80</v>
      </c>
      <c r="K26" s="40"/>
      <c r="M26" s="26"/>
      <c r="N26" s="26"/>
    </row>
    <row r="27" ht="27" customHeight="1" spans="1:14">
      <c r="A27" s="28">
        <v>3</v>
      </c>
      <c r="B27" s="42" t="s">
        <v>54</v>
      </c>
      <c r="C27" s="40">
        <f>I27*J27/10000</f>
        <v>28</v>
      </c>
      <c r="D27" s="40"/>
      <c r="E27" s="40"/>
      <c r="F27" s="40"/>
      <c r="G27" s="40">
        <f t="shared" si="1"/>
        <v>28</v>
      </c>
      <c r="H27" s="44" t="s">
        <v>25</v>
      </c>
      <c r="I27" s="40">
        <v>1000</v>
      </c>
      <c r="J27" s="40">
        <v>280</v>
      </c>
      <c r="K27" s="40"/>
      <c r="M27" s="26"/>
      <c r="N27" s="26"/>
    </row>
    <row r="28" ht="27" customHeight="1" spans="1:14">
      <c r="A28" s="28">
        <v>4</v>
      </c>
      <c r="B28" s="42" t="s">
        <v>55</v>
      </c>
      <c r="C28" s="40">
        <f>I28*J28/10000</f>
        <v>39.839</v>
      </c>
      <c r="D28" s="40"/>
      <c r="E28" s="40"/>
      <c r="F28" s="40"/>
      <c r="G28" s="40">
        <f t="shared" si="1"/>
        <v>39.839</v>
      </c>
      <c r="H28" s="44" t="s">
        <v>25</v>
      </c>
      <c r="I28" s="40">
        <v>1593.56</v>
      </c>
      <c r="J28" s="40">
        <v>250</v>
      </c>
      <c r="K28" s="65"/>
      <c r="M28" s="26"/>
      <c r="N28" s="26"/>
    </row>
    <row r="29" ht="27" customHeight="1" spans="1:14">
      <c r="A29" s="28">
        <v>5</v>
      </c>
      <c r="B29" s="41" t="s">
        <v>56</v>
      </c>
      <c r="C29" s="36">
        <v>30</v>
      </c>
      <c r="D29" s="36">
        <f>电仪!F6/10000</f>
        <v>186.45</v>
      </c>
      <c r="E29" s="36">
        <f>电仪!H6/10000</f>
        <v>98.461</v>
      </c>
      <c r="F29" s="36"/>
      <c r="G29" s="36">
        <f t="shared" si="1"/>
        <v>314.911</v>
      </c>
      <c r="H29" s="44"/>
      <c r="I29" s="40"/>
      <c r="J29" s="40"/>
      <c r="K29" s="40"/>
      <c r="M29" s="26"/>
      <c r="N29" s="26"/>
    </row>
    <row r="30" ht="27" customHeight="1" spans="1:14">
      <c r="A30" s="28">
        <v>6</v>
      </c>
      <c r="B30" s="41" t="s">
        <v>57</v>
      </c>
      <c r="C30" s="36">
        <v>12</v>
      </c>
      <c r="D30" s="36">
        <f>电仪!F43/10000</f>
        <v>163.2</v>
      </c>
      <c r="E30" s="36">
        <f>电仪!H43/10000</f>
        <v>29.376</v>
      </c>
      <c r="F30" s="36"/>
      <c r="G30" s="36">
        <f t="shared" si="1"/>
        <v>204.576</v>
      </c>
      <c r="H30" s="44"/>
      <c r="I30" s="40"/>
      <c r="J30" s="40"/>
      <c r="K30" s="40"/>
      <c r="M30" s="26"/>
      <c r="N30" s="26"/>
    </row>
    <row r="31" ht="27" customHeight="1" spans="1:11">
      <c r="A31" s="28">
        <v>6</v>
      </c>
      <c r="B31" s="43" t="s">
        <v>58</v>
      </c>
      <c r="C31" s="40"/>
      <c r="D31" s="40"/>
      <c r="E31" s="40">
        <f>I31*J31/10000</f>
        <v>0</v>
      </c>
      <c r="F31" s="40"/>
      <c r="G31" s="40">
        <f t="shared" si="1"/>
        <v>0</v>
      </c>
      <c r="H31" s="44" t="s">
        <v>59</v>
      </c>
      <c r="I31" s="40">
        <v>0</v>
      </c>
      <c r="J31" s="40">
        <v>180</v>
      </c>
      <c r="K31" s="40"/>
    </row>
    <row r="32" ht="27" customHeight="1" spans="1:11">
      <c r="A32" s="33" t="s">
        <v>60</v>
      </c>
      <c r="B32" s="30" t="s">
        <v>61</v>
      </c>
      <c r="C32" s="30"/>
      <c r="D32" s="30"/>
      <c r="E32" s="30"/>
      <c r="F32" s="45">
        <f>SUM(F33:F54)</f>
        <v>308.7619132611</v>
      </c>
      <c r="G32" s="45">
        <f>SUM(G33:G54)</f>
        <v>308.7619132611</v>
      </c>
      <c r="H32" s="30"/>
      <c r="I32" s="51"/>
      <c r="J32" s="51"/>
      <c r="K32" s="58">
        <f>G32/G4</f>
        <v>0.0704979919655338</v>
      </c>
    </row>
    <row r="33" ht="27" customHeight="1" spans="1:11">
      <c r="A33" s="28">
        <v>1</v>
      </c>
      <c r="B33" s="43" t="s">
        <v>62</v>
      </c>
      <c r="C33" s="42"/>
      <c r="D33" s="42"/>
      <c r="E33" s="42"/>
      <c r="F33" s="40">
        <f>I33*J33/10000</f>
        <v>0</v>
      </c>
      <c r="G33" s="40">
        <f>F33</f>
        <v>0</v>
      </c>
      <c r="H33" s="46" t="s">
        <v>63</v>
      </c>
      <c r="I33" s="40"/>
      <c r="J33" s="40">
        <v>0</v>
      </c>
      <c r="K33" s="66">
        <f>G33/$G$6</f>
        <v>0</v>
      </c>
    </row>
    <row r="34" ht="27" customHeight="1" spans="1:14">
      <c r="A34" s="28">
        <v>1</v>
      </c>
      <c r="B34" s="42" t="s">
        <v>64</v>
      </c>
      <c r="C34" s="42"/>
      <c r="D34" s="42"/>
      <c r="E34" s="42"/>
      <c r="F34" s="40">
        <v>12</v>
      </c>
      <c r="G34" s="40">
        <f t="shared" ref="G34:G57" si="2">F34</f>
        <v>12</v>
      </c>
      <c r="H34" s="42"/>
      <c r="I34" s="48"/>
      <c r="J34" s="48"/>
      <c r="K34" s="66">
        <f t="shared" ref="K34:K54" si="3">G34/$G$6</f>
        <v>0.00330667200801479</v>
      </c>
      <c r="N34" s="67"/>
    </row>
    <row r="35" ht="27" customHeight="1" spans="1:14">
      <c r="A35" s="28">
        <v>2</v>
      </c>
      <c r="B35" s="43" t="s">
        <v>65</v>
      </c>
      <c r="C35" s="42"/>
      <c r="D35" s="42"/>
      <c r="E35" s="42"/>
      <c r="F35" s="47">
        <v>15</v>
      </c>
      <c r="G35" s="40">
        <f t="shared" si="2"/>
        <v>15</v>
      </c>
      <c r="H35" s="28"/>
      <c r="I35" s="40"/>
      <c r="J35" s="40"/>
      <c r="K35" s="66">
        <f t="shared" si="3"/>
        <v>0.00413334001001849</v>
      </c>
      <c r="N35" s="67"/>
    </row>
    <row r="36" ht="27" customHeight="1" spans="1:14">
      <c r="A36" s="28">
        <v>3</v>
      </c>
      <c r="B36" s="43" t="s">
        <v>66</v>
      </c>
      <c r="C36" s="42"/>
      <c r="D36" s="42"/>
      <c r="E36" s="42"/>
      <c r="F36" s="40">
        <f>((120.8-78.1)/(5000-3000)*(G6+G38-3000)+78.1)*0.6</f>
        <v>55.10216531376</v>
      </c>
      <c r="G36" s="40">
        <f t="shared" si="2"/>
        <v>55.10216531376</v>
      </c>
      <c r="H36" s="28"/>
      <c r="I36" s="40"/>
      <c r="J36" s="40"/>
      <c r="K36" s="66">
        <f t="shared" si="3"/>
        <v>0.0151837323020011</v>
      </c>
      <c r="N36" s="67"/>
    </row>
    <row r="37" ht="27" customHeight="1" spans="1:11">
      <c r="A37" s="28">
        <v>4</v>
      </c>
      <c r="B37" s="42" t="s">
        <v>67</v>
      </c>
      <c r="C37" s="42"/>
      <c r="D37" s="42"/>
      <c r="E37" s="42"/>
      <c r="F37" s="40">
        <v>3</v>
      </c>
      <c r="G37" s="40">
        <f t="shared" si="2"/>
        <v>3</v>
      </c>
      <c r="H37" s="28"/>
      <c r="I37" s="40"/>
      <c r="J37" s="40"/>
      <c r="K37" s="66">
        <f t="shared" si="3"/>
        <v>0.000826668002003698</v>
      </c>
    </row>
    <row r="38" ht="27" customHeight="1" spans="1:11">
      <c r="A38" s="28">
        <v>5</v>
      </c>
      <c r="B38" s="42" t="s">
        <v>68</v>
      </c>
      <c r="C38" s="48"/>
      <c r="D38" s="48"/>
      <c r="E38" s="48"/>
      <c r="F38" s="40">
        <f>D6*0.01</f>
        <v>14.3901</v>
      </c>
      <c r="G38" s="40">
        <f t="shared" si="2"/>
        <v>14.3901</v>
      </c>
      <c r="H38" s="42"/>
      <c r="I38" s="48"/>
      <c r="J38" s="48"/>
      <c r="K38" s="66">
        <f t="shared" si="3"/>
        <v>0.00396527840521114</v>
      </c>
    </row>
    <row r="39" ht="27" customHeight="1" spans="1:11">
      <c r="A39" s="28">
        <v>6</v>
      </c>
      <c r="B39" s="42" t="s">
        <v>69</v>
      </c>
      <c r="C39" s="48"/>
      <c r="D39" s="48"/>
      <c r="E39" s="48"/>
      <c r="F39" s="40">
        <v>6</v>
      </c>
      <c r="G39" s="40">
        <f t="shared" si="2"/>
        <v>6</v>
      </c>
      <c r="H39" s="42"/>
      <c r="I39" s="48"/>
      <c r="J39" s="48"/>
      <c r="K39" s="66">
        <f t="shared" si="3"/>
        <v>0.0016533360040074</v>
      </c>
    </row>
    <row r="40" ht="27" customHeight="1" spans="1:11">
      <c r="A40" s="28">
        <v>7</v>
      </c>
      <c r="B40" s="42" t="s">
        <v>70</v>
      </c>
      <c r="C40" s="48"/>
      <c r="D40" s="48"/>
      <c r="E40" s="48"/>
      <c r="F40" s="40">
        <f>G6*0.5%</f>
        <v>18.14513198</v>
      </c>
      <c r="G40" s="40">
        <f t="shared" si="2"/>
        <v>18.14513198</v>
      </c>
      <c r="H40" s="42"/>
      <c r="I40" s="48"/>
      <c r="J40" s="48"/>
      <c r="K40" s="66">
        <f t="shared" si="3"/>
        <v>0.005</v>
      </c>
    </row>
    <row r="41" ht="27" customHeight="1" spans="1:14">
      <c r="A41" s="28">
        <v>8</v>
      </c>
      <c r="B41" s="42" t="s">
        <v>71</v>
      </c>
      <c r="C41" s="48"/>
      <c r="D41" s="48"/>
      <c r="E41" s="48"/>
      <c r="F41" s="40">
        <f>G6*2%</f>
        <v>72.58052792</v>
      </c>
      <c r="G41" s="40">
        <f t="shared" si="2"/>
        <v>72.58052792</v>
      </c>
      <c r="H41" s="42"/>
      <c r="I41" s="48"/>
      <c r="J41" s="48"/>
      <c r="K41" s="66">
        <f t="shared" si="3"/>
        <v>0.02</v>
      </c>
      <c r="N41" s="67"/>
    </row>
    <row r="42" ht="27" customHeight="1" spans="1:11">
      <c r="A42" s="28">
        <v>9</v>
      </c>
      <c r="B42" s="42" t="s">
        <v>72</v>
      </c>
      <c r="C42" s="48"/>
      <c r="D42" s="48"/>
      <c r="E42" s="48"/>
      <c r="F42" s="40">
        <f>(100*0.94%+400*0.88%+500*0.82%+(G6-1000)*0.78%+(G6-5000)*0.73%*0+(G6-10000)*0.68%*0)*0.6</f>
        <v>17.43984353328</v>
      </c>
      <c r="G42" s="40">
        <f t="shared" si="2"/>
        <v>17.43984353328</v>
      </c>
      <c r="H42" s="42"/>
      <c r="I42" s="48"/>
      <c r="J42" s="48"/>
      <c r="K42" s="66">
        <f t="shared" si="3"/>
        <v>0.00480565353630456</v>
      </c>
    </row>
    <row r="43" ht="27" customHeight="1" spans="1:11">
      <c r="A43" s="28">
        <v>10</v>
      </c>
      <c r="B43" s="42" t="s">
        <v>73</v>
      </c>
      <c r="C43" s="48"/>
      <c r="D43" s="48"/>
      <c r="E43" s="48"/>
      <c r="F43" s="40">
        <f>(100*0.76%+400*0.7%+500*0.64%+(G6-1000)*0.6%+5000*0.55%*0+(G6-10000)*0.5%*0)*0.6</f>
        <v>13.5204950256</v>
      </c>
      <c r="G43" s="40">
        <f t="shared" si="2"/>
        <v>13.5204950256</v>
      </c>
      <c r="H43" s="42"/>
      <c r="I43" s="48"/>
      <c r="J43" s="48"/>
      <c r="K43" s="66">
        <f t="shared" si="3"/>
        <v>0.00372565353630456</v>
      </c>
    </row>
    <row r="44" ht="27" customHeight="1" spans="1:11">
      <c r="A44" s="28">
        <v>11</v>
      </c>
      <c r="B44" s="42" t="s">
        <v>74</v>
      </c>
      <c r="C44" s="48"/>
      <c r="D44" s="48"/>
      <c r="E44" s="48"/>
      <c r="F44" s="40">
        <f>(100*0.62%+400*0.6%+500*0.58%+(G6-1000)*0.56%+5000*0.49%*0+(G6-10000)*0.42%*0)*0.6</f>
        <v>12.38552869056</v>
      </c>
      <c r="G44" s="40">
        <f t="shared" si="2"/>
        <v>12.38552869056</v>
      </c>
      <c r="H44" s="42"/>
      <c r="I44" s="48"/>
      <c r="J44" s="48"/>
      <c r="K44" s="66">
        <f t="shared" si="3"/>
        <v>0.00341290675212824</v>
      </c>
    </row>
    <row r="45" ht="27" customHeight="1" spans="1:11">
      <c r="A45" s="28">
        <v>12</v>
      </c>
      <c r="B45" s="42" t="s">
        <v>75</v>
      </c>
      <c r="C45" s="48"/>
      <c r="D45" s="48"/>
      <c r="E45" s="48"/>
      <c r="F45" s="40">
        <f>((G6-0)*0.8%+(G6-5000)*0.7%*0+(G6-10000)*0.6%*0)*0.6</f>
        <v>17.4193267008</v>
      </c>
      <c r="G45" s="40">
        <f t="shared" si="2"/>
        <v>17.4193267008</v>
      </c>
      <c r="H45" s="42"/>
      <c r="I45" s="48"/>
      <c r="J45" s="48"/>
      <c r="K45" s="66">
        <f t="shared" si="3"/>
        <v>0.0048</v>
      </c>
    </row>
    <row r="46" ht="27" customHeight="1" spans="1:19">
      <c r="A46" s="28">
        <v>13</v>
      </c>
      <c r="B46" s="42" t="s">
        <v>76</v>
      </c>
      <c r="C46" s="48"/>
      <c r="D46" s="48"/>
      <c r="E46" s="48"/>
      <c r="F46" s="40">
        <f>(G40+G41)*4.9%</f>
        <v>4.4455573351</v>
      </c>
      <c r="G46" s="40">
        <f t="shared" si="2"/>
        <v>4.4455573351</v>
      </c>
      <c r="H46" s="42"/>
      <c r="I46" s="48"/>
      <c r="J46" s="48"/>
      <c r="K46" s="66">
        <f t="shared" si="3"/>
        <v>0.001225</v>
      </c>
      <c r="M46" s="55"/>
      <c r="Q46" s="57"/>
      <c r="R46" s="57"/>
      <c r="S46" s="57"/>
    </row>
    <row r="47" ht="27" customHeight="1" spans="1:14">
      <c r="A47" s="28">
        <v>14</v>
      </c>
      <c r="B47" s="42" t="s">
        <v>77</v>
      </c>
      <c r="C47" s="48"/>
      <c r="D47" s="48"/>
      <c r="E47" s="49"/>
      <c r="F47" s="50">
        <f>1+2.8+2.75+(G6-1000)*0.0035</f>
        <v>15.751592386</v>
      </c>
      <c r="G47" s="50">
        <f t="shared" si="2"/>
        <v>15.751592386</v>
      </c>
      <c r="H47" s="42"/>
      <c r="I47" s="48"/>
      <c r="J47" s="48"/>
      <c r="K47" s="66">
        <f t="shared" si="3"/>
        <v>0.00434044580203709</v>
      </c>
      <c r="N47" s="67"/>
    </row>
    <row r="48" ht="27" customHeight="1" spans="1:11">
      <c r="A48" s="28">
        <v>15</v>
      </c>
      <c r="B48" s="42" t="s">
        <v>78</v>
      </c>
      <c r="C48" s="48"/>
      <c r="D48" s="48"/>
      <c r="E48" s="49"/>
      <c r="F48" s="50"/>
      <c r="G48" s="50">
        <f t="shared" si="2"/>
        <v>0</v>
      </c>
      <c r="H48" s="42"/>
      <c r="I48" s="48"/>
      <c r="J48" s="48"/>
      <c r="K48" s="66">
        <f t="shared" si="3"/>
        <v>0</v>
      </c>
    </row>
    <row r="49" ht="27" customHeight="1" spans="1:11">
      <c r="A49" s="28">
        <v>16</v>
      </c>
      <c r="B49" s="42" t="s">
        <v>79</v>
      </c>
      <c r="C49" s="48"/>
      <c r="D49" s="48"/>
      <c r="E49" s="49"/>
      <c r="F49" s="50"/>
      <c r="G49" s="50">
        <f t="shared" si="2"/>
        <v>0</v>
      </c>
      <c r="H49" s="42"/>
      <c r="I49" s="48"/>
      <c r="J49" s="48"/>
      <c r="K49" s="66">
        <f t="shared" si="3"/>
        <v>0</v>
      </c>
    </row>
    <row r="50" ht="27" customHeight="1" spans="1:11">
      <c r="A50" s="28">
        <v>17</v>
      </c>
      <c r="B50" s="43" t="s">
        <v>80</v>
      </c>
      <c r="C50" s="48"/>
      <c r="D50" s="48"/>
      <c r="E50" s="49"/>
      <c r="F50" s="50">
        <f>I50*J50/10000</f>
        <v>0</v>
      </c>
      <c r="G50" s="50">
        <f t="shared" si="2"/>
        <v>0</v>
      </c>
      <c r="H50" s="46" t="s">
        <v>81</v>
      </c>
      <c r="I50" s="40">
        <v>0</v>
      </c>
      <c r="J50" s="40">
        <v>250</v>
      </c>
      <c r="K50" s="66">
        <f t="shared" si="3"/>
        <v>0</v>
      </c>
    </row>
    <row r="51" ht="27" customHeight="1" spans="1:11">
      <c r="A51" s="28">
        <v>15</v>
      </c>
      <c r="B51" s="43" t="s">
        <v>82</v>
      </c>
      <c r="C51" s="48"/>
      <c r="D51" s="48"/>
      <c r="E51" s="48"/>
      <c r="F51" s="40">
        <v>10</v>
      </c>
      <c r="G51" s="40">
        <f t="shared" si="2"/>
        <v>10</v>
      </c>
      <c r="H51" s="42"/>
      <c r="I51" s="48"/>
      <c r="J51" s="48"/>
      <c r="K51" s="66">
        <f t="shared" si="3"/>
        <v>0.00275556000667899</v>
      </c>
    </row>
    <row r="52" ht="27" customHeight="1" spans="1:13">
      <c r="A52" s="28">
        <v>16</v>
      </c>
      <c r="B52" s="43" t="s">
        <v>83</v>
      </c>
      <c r="C52" s="48"/>
      <c r="D52" s="48"/>
      <c r="E52" s="48"/>
      <c r="F52" s="40">
        <v>6.72</v>
      </c>
      <c r="G52" s="40">
        <f t="shared" si="2"/>
        <v>6.72</v>
      </c>
      <c r="H52" s="42"/>
      <c r="I52" s="48"/>
      <c r="J52" s="48"/>
      <c r="K52" s="66">
        <f t="shared" si="3"/>
        <v>0.00185173632448828</v>
      </c>
      <c r="M52" s="68">
        <f>((6+1.5)+10.5/17000*(G4-3000))*0.8</f>
        <v>6.68174713924204</v>
      </c>
    </row>
    <row r="53" ht="27" customHeight="1" spans="1:11">
      <c r="A53" s="28">
        <v>17</v>
      </c>
      <c r="B53" s="43" t="s">
        <v>84</v>
      </c>
      <c r="C53" s="48"/>
      <c r="D53" s="48"/>
      <c r="E53" s="48"/>
      <c r="F53" s="40">
        <f>30/5000*C6</f>
        <v>9.861644376</v>
      </c>
      <c r="G53" s="40">
        <f t="shared" si="2"/>
        <v>9.861644376</v>
      </c>
      <c r="H53" s="42"/>
      <c r="I53" s="48"/>
      <c r="J53" s="48"/>
      <c r="K53" s="66">
        <f t="shared" si="3"/>
        <v>0.00271743528425964</v>
      </c>
    </row>
    <row r="54" ht="27" customHeight="1" spans="1:11">
      <c r="A54" s="28">
        <v>18</v>
      </c>
      <c r="B54" s="43" t="s">
        <v>85</v>
      </c>
      <c r="C54" s="48"/>
      <c r="D54" s="48"/>
      <c r="E54" s="48"/>
      <c r="F54" s="40">
        <v>5</v>
      </c>
      <c r="G54" s="40">
        <f t="shared" si="2"/>
        <v>5</v>
      </c>
      <c r="H54" s="42"/>
      <c r="I54" s="48"/>
      <c r="J54" s="48"/>
      <c r="K54" s="66">
        <f t="shared" si="3"/>
        <v>0.0013777800033395</v>
      </c>
    </row>
    <row r="55" ht="27" customHeight="1" spans="1:14">
      <c r="A55" s="33" t="s">
        <v>86</v>
      </c>
      <c r="B55" s="30" t="s">
        <v>87</v>
      </c>
      <c r="C55" s="51"/>
      <c r="D55" s="51"/>
      <c r="E55" s="51"/>
      <c r="F55" s="31">
        <f>(G32+G6)*0.08</f>
        <v>315.023064740888</v>
      </c>
      <c r="G55" s="31">
        <f t="shared" si="2"/>
        <v>315.023064740888</v>
      </c>
      <c r="H55" s="42"/>
      <c r="I55" s="48"/>
      <c r="J55" s="48"/>
      <c r="K55" s="58">
        <f>G55/G4</f>
        <v>0.0719275679195596</v>
      </c>
      <c r="M55" s="69">
        <f>ROUND(G5*80%,0)</f>
        <v>3402</v>
      </c>
      <c r="N55" s="70"/>
    </row>
    <row r="56" ht="27" customHeight="1" spans="1:13">
      <c r="A56" s="33" t="s">
        <v>88</v>
      </c>
      <c r="B56" s="30" t="s">
        <v>89</v>
      </c>
      <c r="C56" s="51"/>
      <c r="D56" s="51"/>
      <c r="E56" s="51"/>
      <c r="F56" s="31">
        <f>M56</f>
        <v>73.143</v>
      </c>
      <c r="G56" s="31">
        <f t="shared" si="2"/>
        <v>73.143</v>
      </c>
      <c r="H56" s="42"/>
      <c r="I56" s="48"/>
      <c r="J56" s="48"/>
      <c r="K56" s="58">
        <f>G56/G4</f>
        <v>0.0167003584473017</v>
      </c>
      <c r="M56" s="68">
        <f>M55*4.3%/2</f>
        <v>73.143</v>
      </c>
    </row>
    <row r="57" ht="27" customHeight="1" spans="1:11">
      <c r="A57" s="33" t="s">
        <v>90</v>
      </c>
      <c r="B57" s="30" t="s">
        <v>91</v>
      </c>
      <c r="C57" s="51"/>
      <c r="D57" s="51"/>
      <c r="E57" s="51"/>
      <c r="F57" s="31">
        <f>[13]投资估算!$H$42</f>
        <v>53.7719792259527</v>
      </c>
      <c r="G57" s="31">
        <f t="shared" si="2"/>
        <v>53.7719792259527</v>
      </c>
      <c r="H57" s="42"/>
      <c r="I57" s="48"/>
      <c r="J57" s="48"/>
      <c r="K57" s="58">
        <f>G57/G4</f>
        <v>0.0122774746386431</v>
      </c>
    </row>
  </sheetData>
  <mergeCells count="14">
    <mergeCell ref="A1:K1"/>
    <mergeCell ref="C2:G2"/>
    <mergeCell ref="H2:J2"/>
    <mergeCell ref="A2:A3"/>
    <mergeCell ref="B2:B3"/>
    <mergeCell ref="D8:D9"/>
    <mergeCell ref="D11:D12"/>
    <mergeCell ref="E8:E9"/>
    <mergeCell ref="E11:E12"/>
    <mergeCell ref="G8:G9"/>
    <mergeCell ref="G11:G12"/>
    <mergeCell ref="K2:K3"/>
    <mergeCell ref="K8:K13"/>
    <mergeCell ref="K25:K27"/>
  </mergeCells>
  <printOptions horizontalCentered="1" verticalCentered="1"/>
  <pageMargins left="0.551181102362205" right="0.354330708661417" top="0.393055555555556" bottom="0.275" header="0.314583333333333" footer="0.156944444444444"/>
  <pageSetup paperSize="9" scale="90" firstPageNumber="6" orientation="landscape" useFirstPageNumber="1" horizontalDpi="300" verticalDpi="300"/>
  <headerFooter alignWithMargins="0">
    <oddFooter>&amp;R&amp;"Times New Roman,常规"]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64"/>
  <sheetViews>
    <sheetView topLeftCell="A49" workbookViewId="0">
      <selection activeCell="F64" sqref="F64"/>
    </sheetView>
  </sheetViews>
  <sheetFormatPr defaultColWidth="8" defaultRowHeight="11.25"/>
  <cols>
    <col min="1" max="1" width="5.625" style="2" customWidth="1"/>
    <col min="2" max="2" width="25.625" style="3" customWidth="1"/>
    <col min="3" max="3" width="6.25" style="2" customWidth="1"/>
    <col min="4" max="4" width="7.5" style="4" customWidth="1"/>
    <col min="5" max="5" width="12.125" style="3" customWidth="1"/>
    <col min="6" max="6" width="12.875" style="3" customWidth="1"/>
    <col min="7" max="7" width="12.125" style="3" customWidth="1"/>
    <col min="8" max="8" width="12.875" style="3" customWidth="1"/>
    <col min="9" max="9" width="11.625" style="3" customWidth="1"/>
    <col min="10" max="10" width="14.5" style="5" customWidth="1"/>
    <col min="11" max="11" width="18" style="5" customWidth="1"/>
    <col min="12" max="12" width="8" style="5" customWidth="1"/>
    <col min="13" max="16384" width="8" style="3"/>
  </cols>
  <sheetData>
    <row r="1" ht="14.25" customHeight="1" spans="1:9">
      <c r="A1" s="6" t="s">
        <v>92</v>
      </c>
      <c r="B1" s="6" t="s">
        <v>92</v>
      </c>
      <c r="C1" s="6" t="s">
        <v>92</v>
      </c>
      <c r="D1" s="6" t="s">
        <v>92</v>
      </c>
      <c r="E1" s="7" t="s">
        <v>92</v>
      </c>
      <c r="F1" s="7" t="s">
        <v>92</v>
      </c>
      <c r="G1" s="7" t="s">
        <v>92</v>
      </c>
      <c r="H1" s="7" t="s">
        <v>92</v>
      </c>
      <c r="I1" s="7"/>
    </row>
    <row r="2" ht="23.25" customHeight="1" spans="1:9">
      <c r="A2" s="8" t="s">
        <v>93</v>
      </c>
      <c r="B2" s="8"/>
      <c r="C2" s="8"/>
      <c r="D2" s="8"/>
      <c r="E2" s="8"/>
      <c r="F2" s="8"/>
      <c r="G2" s="8"/>
      <c r="H2" s="8"/>
      <c r="I2" s="8"/>
    </row>
    <row r="3" ht="14.25" customHeight="1" spans="1:9">
      <c r="A3" s="9" t="s">
        <v>94</v>
      </c>
      <c r="B3" s="9" t="s">
        <v>92</v>
      </c>
      <c r="C3" s="9" t="s">
        <v>92</v>
      </c>
      <c r="D3" s="9" t="s">
        <v>92</v>
      </c>
      <c r="E3" s="10" t="s">
        <v>92</v>
      </c>
      <c r="F3" s="10" t="s">
        <v>92</v>
      </c>
      <c r="G3" s="10" t="s">
        <v>92</v>
      </c>
      <c r="H3" s="10" t="s">
        <v>92</v>
      </c>
      <c r="I3" s="10"/>
    </row>
    <row r="4" ht="16.5" customHeight="1" spans="1:12">
      <c r="A4" s="11" t="s">
        <v>1</v>
      </c>
      <c r="B4" s="11" t="s">
        <v>95</v>
      </c>
      <c r="C4" s="11" t="s">
        <v>96</v>
      </c>
      <c r="D4" s="11" t="s">
        <v>92</v>
      </c>
      <c r="E4" s="12" t="s">
        <v>7</v>
      </c>
      <c r="F4" s="13"/>
      <c r="G4" s="12" t="s">
        <v>8</v>
      </c>
      <c r="H4" s="13"/>
      <c r="I4" s="11" t="s">
        <v>97</v>
      </c>
      <c r="J4" s="19"/>
      <c r="K4" s="19"/>
      <c r="L4" s="19"/>
    </row>
    <row r="5" ht="16.5" customHeight="1" spans="1:9">
      <c r="A5" s="11" t="s">
        <v>92</v>
      </c>
      <c r="B5" s="11" t="s">
        <v>92</v>
      </c>
      <c r="C5" s="11" t="s">
        <v>11</v>
      </c>
      <c r="D5" s="11" t="s">
        <v>12</v>
      </c>
      <c r="E5" s="11" t="s">
        <v>98</v>
      </c>
      <c r="F5" s="11" t="s">
        <v>99</v>
      </c>
      <c r="G5" s="11" t="s">
        <v>98</v>
      </c>
      <c r="H5" s="11" t="s">
        <v>99</v>
      </c>
      <c r="I5" s="11"/>
    </row>
    <row r="6" s="1" customFormat="1" ht="16.5" customHeight="1" spans="1:12">
      <c r="A6" s="14" t="s">
        <v>100</v>
      </c>
      <c r="B6" s="15" t="s">
        <v>21</v>
      </c>
      <c r="C6" s="14"/>
      <c r="D6" s="16"/>
      <c r="E6" s="16"/>
      <c r="F6" s="16">
        <f>SUM(F7:F13)</f>
        <v>2336000</v>
      </c>
      <c r="G6" s="16"/>
      <c r="H6" s="16">
        <f>SUM(H7:H13)</f>
        <v>467200</v>
      </c>
      <c r="I6" s="16"/>
      <c r="J6" s="20"/>
      <c r="K6" s="20"/>
      <c r="L6" s="20"/>
    </row>
    <row r="7" s="23" customFormat="1" ht="27" customHeight="1" spans="1:14">
      <c r="A7" s="11">
        <v>1</v>
      </c>
      <c r="B7" s="17" t="str">
        <f t="shared" ref="B7:B12" si="0">J7&amp;" "&amp;K7</f>
        <v>混凝搅拌机 Φ=1500mm，P=50r/min，N=11kw</v>
      </c>
      <c r="C7" s="11" t="str">
        <f>M7</f>
        <v>套</v>
      </c>
      <c r="D7" s="18">
        <f>N7</f>
        <v>1</v>
      </c>
      <c r="E7" s="18">
        <v>180000</v>
      </c>
      <c r="F7" s="18">
        <f t="shared" ref="F7:F12" si="1">E7*D7</f>
        <v>180000</v>
      </c>
      <c r="G7" s="18">
        <f t="shared" ref="G7:G12" si="2">E7*0.08</f>
        <v>14400</v>
      </c>
      <c r="H7" s="18">
        <f>D7*G7</f>
        <v>14400</v>
      </c>
      <c r="I7" s="18"/>
      <c r="J7" s="21" t="s">
        <v>101</v>
      </c>
      <c r="K7" s="24" t="s">
        <v>102</v>
      </c>
      <c r="L7" s="5" t="s">
        <v>103</v>
      </c>
      <c r="M7" s="3" t="s">
        <v>104</v>
      </c>
      <c r="N7" s="3">
        <v>1</v>
      </c>
    </row>
    <row r="8" s="23" customFormat="1" ht="25" customHeight="1" spans="1:14">
      <c r="A8" s="11">
        <v>2</v>
      </c>
      <c r="B8" s="17" t="str">
        <f t="shared" si="0"/>
        <v>絮凝搅拌机 Φ=100mm，P=25r/min，N=7.5kw</v>
      </c>
      <c r="C8" s="11" t="str">
        <f t="shared" ref="C8:D12" si="3">M8</f>
        <v>套</v>
      </c>
      <c r="D8" s="18">
        <f t="shared" si="3"/>
        <v>2</v>
      </c>
      <c r="E8" s="18">
        <v>150000</v>
      </c>
      <c r="F8" s="18">
        <f t="shared" si="1"/>
        <v>300000</v>
      </c>
      <c r="G8" s="18">
        <f t="shared" si="2"/>
        <v>12000</v>
      </c>
      <c r="H8" s="18">
        <f t="shared" ref="H8:H13" si="4">D8*G8</f>
        <v>24000</v>
      </c>
      <c r="I8" s="18"/>
      <c r="J8" s="21" t="s">
        <v>105</v>
      </c>
      <c r="K8" s="21" t="s">
        <v>106</v>
      </c>
      <c r="L8" s="5" t="s">
        <v>103</v>
      </c>
      <c r="M8" s="3" t="s">
        <v>104</v>
      </c>
      <c r="N8" s="3">
        <v>2</v>
      </c>
    </row>
    <row r="9" s="23" customFormat="1" ht="30" customHeight="1" spans="1:14">
      <c r="A9" s="11">
        <v>3</v>
      </c>
      <c r="B9" s="17" t="str">
        <f t="shared" si="0"/>
        <v>反应室及导流筒 Q=12~20L/s,N=1.5kw</v>
      </c>
      <c r="C9" s="11" t="str">
        <f t="shared" si="3"/>
        <v>套</v>
      </c>
      <c r="D9" s="18">
        <f t="shared" si="3"/>
        <v>2</v>
      </c>
      <c r="E9" s="18">
        <v>500000</v>
      </c>
      <c r="F9" s="18">
        <f t="shared" si="1"/>
        <v>1000000</v>
      </c>
      <c r="G9" s="18">
        <f t="shared" si="2"/>
        <v>40000</v>
      </c>
      <c r="H9" s="18">
        <f t="shared" si="4"/>
        <v>80000</v>
      </c>
      <c r="I9" s="18"/>
      <c r="J9" s="21" t="s">
        <v>107</v>
      </c>
      <c r="K9" s="21" t="s">
        <v>108</v>
      </c>
      <c r="L9" s="5" t="s">
        <v>109</v>
      </c>
      <c r="M9" s="3" t="s">
        <v>104</v>
      </c>
      <c r="N9" s="3">
        <v>2</v>
      </c>
    </row>
    <row r="10" s="23" customFormat="1" ht="30" customHeight="1" spans="1:14">
      <c r="A10" s="11">
        <v>4</v>
      </c>
      <c r="B10" s="17" t="str">
        <f t="shared" si="0"/>
        <v>浓缩刮泥机 Q=20~35m3/h,H=6m N=1.4KW</v>
      </c>
      <c r="C10" s="11" t="str">
        <f t="shared" si="3"/>
        <v>个</v>
      </c>
      <c r="D10" s="18">
        <f t="shared" si="3"/>
        <v>2</v>
      </c>
      <c r="E10" s="18">
        <v>150000</v>
      </c>
      <c r="F10" s="18">
        <f t="shared" si="1"/>
        <v>300000</v>
      </c>
      <c r="G10" s="18">
        <f t="shared" si="2"/>
        <v>12000</v>
      </c>
      <c r="H10" s="18">
        <f t="shared" si="4"/>
        <v>24000</v>
      </c>
      <c r="I10" s="18"/>
      <c r="J10" s="21" t="s">
        <v>110</v>
      </c>
      <c r="K10" s="21" t="s">
        <v>111</v>
      </c>
      <c r="L10" s="5" t="s">
        <v>103</v>
      </c>
      <c r="M10" s="3" t="s">
        <v>112</v>
      </c>
      <c r="N10" s="3">
        <v>2</v>
      </c>
    </row>
    <row r="11" s="23" customFormat="1" ht="29" customHeight="1" spans="1:14">
      <c r="A11" s="11">
        <v>5</v>
      </c>
      <c r="B11" s="17" t="str">
        <f t="shared" si="0"/>
        <v>集水钢槽 3520x300x400</v>
      </c>
      <c r="C11" s="11" t="str">
        <f>M11</f>
        <v>副</v>
      </c>
      <c r="D11" s="18">
        <f>N11</f>
        <v>16</v>
      </c>
      <c r="E11" s="18">
        <v>12000</v>
      </c>
      <c r="F11" s="18">
        <f t="shared" si="1"/>
        <v>192000</v>
      </c>
      <c r="G11" s="18">
        <f t="shared" si="2"/>
        <v>960</v>
      </c>
      <c r="H11" s="18">
        <f t="shared" si="4"/>
        <v>15360</v>
      </c>
      <c r="I11" s="18"/>
      <c r="J11" s="21" t="s">
        <v>113</v>
      </c>
      <c r="K11" s="21" t="s">
        <v>114</v>
      </c>
      <c r="L11" s="5" t="s">
        <v>115</v>
      </c>
      <c r="M11" s="3" t="s">
        <v>116</v>
      </c>
      <c r="N11" s="3">
        <v>16</v>
      </c>
    </row>
    <row r="12" s="23" customFormat="1" ht="16.5" customHeight="1" spans="1:14">
      <c r="A12" s="11">
        <v>6</v>
      </c>
      <c r="B12" s="17" t="str">
        <f t="shared" si="0"/>
        <v>斜管 斜长1.0m，内切圆直径50mm</v>
      </c>
      <c r="C12" s="11" t="str">
        <f t="shared" si="3"/>
        <v>m3</v>
      </c>
      <c r="D12" s="18">
        <f t="shared" si="3"/>
        <v>91</v>
      </c>
      <c r="E12" s="18">
        <v>4000</v>
      </c>
      <c r="F12" s="18">
        <f t="shared" si="1"/>
        <v>364000</v>
      </c>
      <c r="G12" s="18">
        <f t="shared" si="2"/>
        <v>320</v>
      </c>
      <c r="H12" s="18">
        <f t="shared" si="4"/>
        <v>29120</v>
      </c>
      <c r="I12" s="18"/>
      <c r="J12" s="21" t="s">
        <v>117</v>
      </c>
      <c r="K12" s="21" t="s">
        <v>118</v>
      </c>
      <c r="L12" s="5" t="s">
        <v>119</v>
      </c>
      <c r="M12" s="3" t="s">
        <v>120</v>
      </c>
      <c r="N12" s="3">
        <v>91</v>
      </c>
    </row>
    <row r="13" s="23" customFormat="1" ht="16.5" customHeight="1" spans="1:14">
      <c r="A13" s="11">
        <v>7</v>
      </c>
      <c r="B13" s="17" t="s">
        <v>121</v>
      </c>
      <c r="C13" s="11" t="s">
        <v>104</v>
      </c>
      <c r="D13" s="18">
        <v>1</v>
      </c>
      <c r="E13" s="18"/>
      <c r="F13" s="18"/>
      <c r="G13" s="18">
        <f>F6*12%</f>
        <v>280320</v>
      </c>
      <c r="H13" s="18">
        <f t="shared" si="4"/>
        <v>280320</v>
      </c>
      <c r="I13" s="18"/>
      <c r="J13" s="5"/>
      <c r="K13" s="5"/>
      <c r="L13" s="5"/>
      <c r="M13" s="3"/>
      <c r="N13" s="3"/>
    </row>
    <row r="14" s="1" customFormat="1" ht="16.5" customHeight="1" spans="1:12">
      <c r="A14" s="14" t="s">
        <v>122</v>
      </c>
      <c r="B14" s="15" t="s">
        <v>26</v>
      </c>
      <c r="C14" s="14"/>
      <c r="D14" s="16"/>
      <c r="E14" s="16"/>
      <c r="F14" s="16">
        <f>SUM(F15:F16)</f>
        <v>255000</v>
      </c>
      <c r="G14" s="16"/>
      <c r="H14" s="16">
        <f>SUM(H15:H16)</f>
        <v>51000</v>
      </c>
      <c r="I14" s="16"/>
      <c r="J14" s="20"/>
      <c r="K14" s="20"/>
      <c r="L14" s="20"/>
    </row>
    <row r="15" s="23" customFormat="1" ht="16.5" customHeight="1" spans="1:14">
      <c r="A15" s="11">
        <v>1</v>
      </c>
      <c r="B15" s="17" t="str">
        <f>J15&amp;" "&amp;K15</f>
        <v>潜水排污泵 Q=495m3/d H=8m N=35kw</v>
      </c>
      <c r="C15" s="11" t="str">
        <f>M15</f>
        <v>台</v>
      </c>
      <c r="D15" s="18">
        <f>N15</f>
        <v>3</v>
      </c>
      <c r="E15" s="18">
        <v>85000</v>
      </c>
      <c r="F15" s="18">
        <f>E15*D15</f>
        <v>255000</v>
      </c>
      <c r="G15" s="18">
        <f>E15*0.08</f>
        <v>6800</v>
      </c>
      <c r="H15" s="18">
        <f>D15*G15</f>
        <v>20400</v>
      </c>
      <c r="I15" s="18"/>
      <c r="J15" s="21" t="s">
        <v>123</v>
      </c>
      <c r="K15" s="24" t="s">
        <v>124</v>
      </c>
      <c r="L15" s="5" t="s">
        <v>103</v>
      </c>
      <c r="M15" s="23" t="s">
        <v>125</v>
      </c>
      <c r="N15" s="3">
        <v>3</v>
      </c>
    </row>
    <row r="16" s="23" customFormat="1" ht="16.5" customHeight="1" spans="1:14">
      <c r="A16" s="11">
        <v>2</v>
      </c>
      <c r="B16" s="17" t="s">
        <v>121</v>
      </c>
      <c r="C16" s="11" t="s">
        <v>104</v>
      </c>
      <c r="D16" s="18">
        <v>1</v>
      </c>
      <c r="E16" s="18"/>
      <c r="F16" s="18"/>
      <c r="G16" s="18">
        <f>F14*12%</f>
        <v>30600</v>
      </c>
      <c r="H16" s="18">
        <f>D16*G16</f>
        <v>30600</v>
      </c>
      <c r="I16" s="18"/>
      <c r="J16" s="5"/>
      <c r="K16" s="5"/>
      <c r="L16" s="5"/>
      <c r="M16" s="3"/>
      <c r="N16" s="3"/>
    </row>
    <row r="17" s="1" customFormat="1" ht="16.5" customHeight="1" spans="1:12">
      <c r="A17" s="14" t="s">
        <v>126</v>
      </c>
      <c r="B17" s="15" t="s">
        <v>27</v>
      </c>
      <c r="C17" s="14"/>
      <c r="D17" s="16"/>
      <c r="E17" s="16"/>
      <c r="F17" s="16">
        <f>SUM(F18:F44)</f>
        <v>3309000</v>
      </c>
      <c r="G17" s="16"/>
      <c r="H17" s="16">
        <f>SUM(H18:H44)</f>
        <v>661800</v>
      </c>
      <c r="I17" s="16"/>
      <c r="J17" s="20"/>
      <c r="K17" s="20"/>
      <c r="L17" s="20"/>
    </row>
    <row r="18" s="23" customFormat="1" ht="16.5" customHeight="1" spans="1:14">
      <c r="A18" s="11">
        <v>1</v>
      </c>
      <c r="B18" s="17" t="str">
        <f>J18&amp;" "&amp;K18</f>
        <v>折板桨搅拌机 D=700mm N=7.5KW</v>
      </c>
      <c r="C18" s="11" t="str">
        <f t="shared" ref="C18:D33" si="5">M18</f>
        <v>台</v>
      </c>
      <c r="D18" s="18">
        <f t="shared" si="5"/>
        <v>1</v>
      </c>
      <c r="E18" s="18">
        <v>75000</v>
      </c>
      <c r="F18" s="18">
        <f>E18*D18</f>
        <v>75000</v>
      </c>
      <c r="G18" s="18">
        <f>E18*0.08</f>
        <v>6000</v>
      </c>
      <c r="H18" s="18">
        <f>D18*G18</f>
        <v>6000</v>
      </c>
      <c r="I18" s="18"/>
      <c r="J18" s="21" t="s">
        <v>127</v>
      </c>
      <c r="K18" s="24" t="s">
        <v>128</v>
      </c>
      <c r="L18" s="5" t="s">
        <v>103</v>
      </c>
      <c r="M18" s="3" t="s">
        <v>125</v>
      </c>
      <c r="N18" s="3">
        <v>1</v>
      </c>
    </row>
    <row r="19" s="23" customFormat="1" ht="16.5" customHeight="1" spans="1:14">
      <c r="A19" s="11">
        <v>2</v>
      </c>
      <c r="B19" s="17" t="str">
        <f>J19&amp;" "&amp;K19</f>
        <v>潜水搅拌机 φ=260mm 960rpm N=1.5kW</v>
      </c>
      <c r="C19" s="11" t="str">
        <f t="shared" si="5"/>
        <v>套</v>
      </c>
      <c r="D19" s="18">
        <f t="shared" si="5"/>
        <v>2</v>
      </c>
      <c r="E19" s="18">
        <v>48000</v>
      </c>
      <c r="F19" s="18">
        <f>E19*D19</f>
        <v>96000</v>
      </c>
      <c r="G19" s="18">
        <f>E19*0.08</f>
        <v>3840</v>
      </c>
      <c r="H19" s="18">
        <f>D19*G19</f>
        <v>7680</v>
      </c>
      <c r="I19" s="18"/>
      <c r="J19" s="21" t="s">
        <v>129</v>
      </c>
      <c r="K19" s="21" t="s">
        <v>130</v>
      </c>
      <c r="L19" s="5" t="s">
        <v>103</v>
      </c>
      <c r="M19" s="3" t="s">
        <v>104</v>
      </c>
      <c r="N19" s="3">
        <v>2</v>
      </c>
    </row>
    <row r="20" s="23" customFormat="1" ht="16.5" customHeight="1" spans="1:14">
      <c r="A20" s="11">
        <v>3</v>
      </c>
      <c r="B20" s="17" t="str">
        <f>J20&amp;" "&amp;K20</f>
        <v>反冲洗水泵 Q=518m3/h，H=10m N=22kw</v>
      </c>
      <c r="C20" s="11" t="str">
        <f t="shared" si="5"/>
        <v>个</v>
      </c>
      <c r="D20" s="18">
        <f t="shared" si="5"/>
        <v>2</v>
      </c>
      <c r="E20" s="18">
        <v>60000</v>
      </c>
      <c r="F20" s="18">
        <f>E20*D20</f>
        <v>120000</v>
      </c>
      <c r="G20" s="18">
        <f>E20*0.08</f>
        <v>4800</v>
      </c>
      <c r="H20" s="18">
        <f>D20*G20</f>
        <v>9600</v>
      </c>
      <c r="I20" s="18"/>
      <c r="J20" s="21" t="s">
        <v>131</v>
      </c>
      <c r="K20" s="21" t="s">
        <v>132</v>
      </c>
      <c r="L20" s="5" t="s">
        <v>103</v>
      </c>
      <c r="M20" s="3" t="s">
        <v>112</v>
      </c>
      <c r="N20" s="3">
        <v>2</v>
      </c>
    </row>
    <row r="21" s="23" customFormat="1" ht="16.5" customHeight="1" spans="1:14">
      <c r="A21" s="11">
        <v>4</v>
      </c>
      <c r="B21" s="17" t="str">
        <f>J21&amp;" "&amp;K21</f>
        <v>反冲洗废水提升泵 Q=85m3/h，H=7.0m N=4.0kw</v>
      </c>
      <c r="C21" s="11" t="str">
        <f t="shared" si="5"/>
        <v>个</v>
      </c>
      <c r="D21" s="18">
        <f t="shared" si="5"/>
        <v>2</v>
      </c>
      <c r="E21" s="18">
        <v>15000</v>
      </c>
      <c r="F21" s="18">
        <f>E21*D21</f>
        <v>30000</v>
      </c>
      <c r="G21" s="18">
        <f>E21*0.08</f>
        <v>1200</v>
      </c>
      <c r="H21" s="18">
        <f>D21*G21</f>
        <v>2400</v>
      </c>
      <c r="I21" s="18"/>
      <c r="J21" s="21" t="s">
        <v>133</v>
      </c>
      <c r="K21" s="21" t="s">
        <v>134</v>
      </c>
      <c r="L21" s="5" t="s">
        <v>103</v>
      </c>
      <c r="M21" s="3" t="s">
        <v>112</v>
      </c>
      <c r="N21" s="3">
        <v>2</v>
      </c>
    </row>
    <row r="22" s="23" customFormat="1" ht="16.5" customHeight="1" spans="1:14">
      <c r="A22" s="11">
        <v>5</v>
      </c>
      <c r="B22" s="17" t="str">
        <f t="shared" ref="B22:B43" si="6">J22&amp;" "&amp;K22</f>
        <v>电动单梁悬挂起重机 S=12m T=1t N=2X0.4Kw</v>
      </c>
      <c r="C22" s="11" t="str">
        <f t="shared" si="5"/>
        <v>套</v>
      </c>
      <c r="D22" s="18">
        <f t="shared" si="5"/>
        <v>1</v>
      </c>
      <c r="E22" s="18">
        <v>55000</v>
      </c>
      <c r="F22" s="18">
        <f t="shared" ref="F22:F43" si="7">E22*D22</f>
        <v>55000</v>
      </c>
      <c r="G22" s="18">
        <f t="shared" ref="G22:G43" si="8">E22*0.08</f>
        <v>4400</v>
      </c>
      <c r="H22" s="18">
        <f t="shared" ref="H22:H44" si="9">D22*G22</f>
        <v>4400</v>
      </c>
      <c r="I22" s="18"/>
      <c r="J22" s="21" t="s">
        <v>135</v>
      </c>
      <c r="K22" s="24" t="s">
        <v>136</v>
      </c>
      <c r="L22" s="5" t="s">
        <v>103</v>
      </c>
      <c r="M22" s="3" t="s">
        <v>104</v>
      </c>
      <c r="N22" s="3">
        <v>1</v>
      </c>
    </row>
    <row r="23" s="23" customFormat="1" ht="16.5" customHeight="1" spans="1:14">
      <c r="A23" s="11">
        <v>6</v>
      </c>
      <c r="B23" s="17" t="str">
        <f t="shared" si="6"/>
        <v>MD1型电动葫芦 T=1.0t H=9m N=4.5+0.8KW</v>
      </c>
      <c r="C23" s="11" t="str">
        <f t="shared" si="5"/>
        <v>套</v>
      </c>
      <c r="D23" s="18">
        <f t="shared" si="5"/>
        <v>1</v>
      </c>
      <c r="E23" s="18">
        <v>10000</v>
      </c>
      <c r="F23" s="18">
        <f t="shared" si="7"/>
        <v>10000</v>
      </c>
      <c r="G23" s="18">
        <f t="shared" si="8"/>
        <v>800</v>
      </c>
      <c r="H23" s="18">
        <f t="shared" si="9"/>
        <v>800</v>
      </c>
      <c r="I23" s="18"/>
      <c r="J23" s="21" t="s">
        <v>137</v>
      </c>
      <c r="K23" s="21" t="s">
        <v>138</v>
      </c>
      <c r="L23" s="5" t="s">
        <v>103</v>
      </c>
      <c r="M23" s="3" t="s">
        <v>104</v>
      </c>
      <c r="N23" s="3">
        <v>1</v>
      </c>
    </row>
    <row r="24" s="23" customFormat="1" ht="32" customHeight="1" spans="1:14">
      <c r="A24" s="11">
        <v>7</v>
      </c>
      <c r="B24" s="17" t="str">
        <f t="shared" si="6"/>
        <v>反冲洗罗茨风机 Q=72m3/minP=79.3Kpa N=132kw</v>
      </c>
      <c r="C24" s="11" t="str">
        <f t="shared" si="5"/>
        <v>个</v>
      </c>
      <c r="D24" s="18">
        <f t="shared" si="5"/>
        <v>2</v>
      </c>
      <c r="E24" s="18">
        <v>280000</v>
      </c>
      <c r="F24" s="18">
        <f t="shared" si="7"/>
        <v>560000</v>
      </c>
      <c r="G24" s="18">
        <f t="shared" si="8"/>
        <v>22400</v>
      </c>
      <c r="H24" s="18">
        <f t="shared" si="9"/>
        <v>44800</v>
      </c>
      <c r="I24" s="18"/>
      <c r="J24" s="21" t="s">
        <v>139</v>
      </c>
      <c r="K24" s="21" t="s">
        <v>140</v>
      </c>
      <c r="L24" s="5" t="s">
        <v>103</v>
      </c>
      <c r="M24" s="3" t="s">
        <v>112</v>
      </c>
      <c r="N24" s="3">
        <v>2</v>
      </c>
    </row>
    <row r="25" s="23" customFormat="1" ht="16.5" customHeight="1" spans="1:14">
      <c r="A25" s="11">
        <v>8</v>
      </c>
      <c r="B25" s="17" t="str">
        <f t="shared" si="6"/>
        <v>螺杆式空压机 Q=25.5m3/hP=0.7Mpa N=4.0kw</v>
      </c>
      <c r="C25" s="11" t="str">
        <f t="shared" si="5"/>
        <v>个</v>
      </c>
      <c r="D25" s="18">
        <f t="shared" si="5"/>
        <v>2</v>
      </c>
      <c r="E25" s="18">
        <v>22000</v>
      </c>
      <c r="F25" s="18">
        <f t="shared" si="7"/>
        <v>44000</v>
      </c>
      <c r="G25" s="18">
        <f t="shared" si="8"/>
        <v>1760</v>
      </c>
      <c r="H25" s="18">
        <f t="shared" si="9"/>
        <v>3520</v>
      </c>
      <c r="I25" s="18"/>
      <c r="J25" s="21" t="s">
        <v>141</v>
      </c>
      <c r="K25" s="21" t="s">
        <v>142</v>
      </c>
      <c r="L25" s="5" t="s">
        <v>103</v>
      </c>
      <c r="M25" s="3" t="s">
        <v>112</v>
      </c>
      <c r="N25" s="3">
        <v>2</v>
      </c>
    </row>
    <row r="26" s="23" customFormat="1" ht="16.5" customHeight="1" spans="1:14">
      <c r="A26" s="11">
        <v>9</v>
      </c>
      <c r="B26" s="17" t="str">
        <f t="shared" si="6"/>
        <v>储气罐 1m3</v>
      </c>
      <c r="C26" s="11" t="str">
        <f t="shared" si="5"/>
        <v>个</v>
      </c>
      <c r="D26" s="18">
        <f t="shared" si="5"/>
        <v>1</v>
      </c>
      <c r="E26" s="18">
        <v>8000</v>
      </c>
      <c r="F26" s="18">
        <f t="shared" si="7"/>
        <v>8000</v>
      </c>
      <c r="G26" s="18">
        <f t="shared" si="8"/>
        <v>640</v>
      </c>
      <c r="H26" s="18">
        <f t="shared" si="9"/>
        <v>640</v>
      </c>
      <c r="I26" s="18"/>
      <c r="J26" s="21" t="s">
        <v>143</v>
      </c>
      <c r="K26" s="24" t="s">
        <v>144</v>
      </c>
      <c r="L26" s="5" t="s">
        <v>145</v>
      </c>
      <c r="M26" s="3" t="s">
        <v>112</v>
      </c>
      <c r="N26" s="3">
        <v>1</v>
      </c>
    </row>
    <row r="27" s="23" customFormat="1" ht="16.5" customHeight="1" spans="1:14">
      <c r="A27" s="11">
        <v>10</v>
      </c>
      <c r="B27" s="17" t="str">
        <f t="shared" si="6"/>
        <v>滤池进水气动闸板 400x400mm</v>
      </c>
      <c r="C27" s="11" t="str">
        <f t="shared" si="5"/>
        <v>个</v>
      </c>
      <c r="D27" s="18">
        <f t="shared" si="5"/>
        <v>4</v>
      </c>
      <c r="E27" s="18">
        <v>28000</v>
      </c>
      <c r="F27" s="18">
        <f t="shared" si="7"/>
        <v>112000</v>
      </c>
      <c r="G27" s="18">
        <f t="shared" si="8"/>
        <v>2240</v>
      </c>
      <c r="H27" s="18">
        <f t="shared" si="9"/>
        <v>8960</v>
      </c>
      <c r="I27" s="18"/>
      <c r="J27" s="21" t="s">
        <v>146</v>
      </c>
      <c r="K27" s="21" t="s">
        <v>147</v>
      </c>
      <c r="L27" s="5" t="s">
        <v>103</v>
      </c>
      <c r="M27" s="3" t="s">
        <v>112</v>
      </c>
      <c r="N27" s="3">
        <v>4</v>
      </c>
    </row>
    <row r="28" s="23" customFormat="1" ht="16.5" customHeight="1" spans="1:14">
      <c r="A28" s="11">
        <v>11</v>
      </c>
      <c r="B28" s="17" t="str">
        <f t="shared" si="6"/>
        <v>滤池出水气动调节蝶阀 DN300 PN10</v>
      </c>
      <c r="C28" s="11" t="str">
        <f t="shared" si="5"/>
        <v>个</v>
      </c>
      <c r="D28" s="18">
        <f t="shared" si="5"/>
        <v>4</v>
      </c>
      <c r="E28" s="18">
        <v>18000</v>
      </c>
      <c r="F28" s="18">
        <f t="shared" si="7"/>
        <v>72000</v>
      </c>
      <c r="G28" s="18">
        <f t="shared" si="8"/>
        <v>1440</v>
      </c>
      <c r="H28" s="18">
        <f t="shared" si="9"/>
        <v>5760</v>
      </c>
      <c r="I28" s="18"/>
      <c r="J28" s="21" t="s">
        <v>148</v>
      </c>
      <c r="K28" s="21" t="s">
        <v>149</v>
      </c>
      <c r="L28" s="5" t="s">
        <v>103</v>
      </c>
      <c r="M28" s="3" t="s">
        <v>112</v>
      </c>
      <c r="N28" s="3">
        <v>4</v>
      </c>
    </row>
    <row r="29" s="23" customFormat="1" ht="16.5" customHeight="1" spans="1:14">
      <c r="A29" s="11">
        <v>12</v>
      </c>
      <c r="B29" s="17" t="str">
        <f t="shared" si="6"/>
        <v>反洗进水气动蝶阀 DN300 PN10</v>
      </c>
      <c r="C29" s="11" t="str">
        <f t="shared" si="5"/>
        <v>个</v>
      </c>
      <c r="D29" s="18">
        <f t="shared" si="5"/>
        <v>4</v>
      </c>
      <c r="E29" s="18">
        <v>16000</v>
      </c>
      <c r="F29" s="18">
        <f t="shared" si="7"/>
        <v>64000</v>
      </c>
      <c r="G29" s="18">
        <f t="shared" si="8"/>
        <v>1280</v>
      </c>
      <c r="H29" s="18">
        <f t="shared" si="9"/>
        <v>5120</v>
      </c>
      <c r="I29" s="18"/>
      <c r="J29" s="21" t="s">
        <v>150</v>
      </c>
      <c r="K29" s="21" t="s">
        <v>149</v>
      </c>
      <c r="L29" s="5" t="s">
        <v>103</v>
      </c>
      <c r="M29" s="3" t="s">
        <v>112</v>
      </c>
      <c r="N29" s="3">
        <v>4</v>
      </c>
    </row>
    <row r="30" s="23" customFormat="1" ht="16.5" customHeight="1" spans="1:14">
      <c r="A30" s="11">
        <v>13</v>
      </c>
      <c r="B30" s="17" t="str">
        <f t="shared" si="6"/>
        <v>反洗出水气动蝶阀 DN400 PN10</v>
      </c>
      <c r="C30" s="11" t="str">
        <f t="shared" si="5"/>
        <v>个</v>
      </c>
      <c r="D30" s="18">
        <f t="shared" si="5"/>
        <v>4</v>
      </c>
      <c r="E30" s="18">
        <v>25000</v>
      </c>
      <c r="F30" s="18">
        <f t="shared" si="7"/>
        <v>100000</v>
      </c>
      <c r="G30" s="18">
        <f t="shared" si="8"/>
        <v>2000</v>
      </c>
      <c r="H30" s="18">
        <f t="shared" si="9"/>
        <v>8000</v>
      </c>
      <c r="I30" s="18"/>
      <c r="J30" s="21" t="s">
        <v>151</v>
      </c>
      <c r="K30" s="24" t="s">
        <v>152</v>
      </c>
      <c r="L30" s="5" t="s">
        <v>103</v>
      </c>
      <c r="M30" s="3" t="s">
        <v>112</v>
      </c>
      <c r="N30" s="3">
        <v>4</v>
      </c>
    </row>
    <row r="31" s="23" customFormat="1" ht="16.5" customHeight="1" spans="1:14">
      <c r="A31" s="11">
        <v>14</v>
      </c>
      <c r="B31" s="17" t="str">
        <f t="shared" si="6"/>
        <v>反洗水泵手动蝶阀 DN300 PN10</v>
      </c>
      <c r="C31" s="11" t="str">
        <f t="shared" si="5"/>
        <v>个</v>
      </c>
      <c r="D31" s="18">
        <f t="shared" si="5"/>
        <v>2</v>
      </c>
      <c r="E31" s="18">
        <v>3600</v>
      </c>
      <c r="F31" s="18">
        <f t="shared" si="7"/>
        <v>7200</v>
      </c>
      <c r="G31" s="18">
        <f t="shared" si="8"/>
        <v>288</v>
      </c>
      <c r="H31" s="18">
        <f t="shared" si="9"/>
        <v>576</v>
      </c>
      <c r="I31" s="18"/>
      <c r="J31" s="21" t="s">
        <v>153</v>
      </c>
      <c r="K31" s="21" t="s">
        <v>149</v>
      </c>
      <c r="L31" s="5" t="s">
        <v>103</v>
      </c>
      <c r="M31" s="3" t="s">
        <v>112</v>
      </c>
      <c r="N31" s="3">
        <v>2</v>
      </c>
    </row>
    <row r="32" s="23" customFormat="1" ht="16.5" customHeight="1" spans="1:14">
      <c r="A32" s="11">
        <v>15</v>
      </c>
      <c r="B32" s="17" t="str">
        <f t="shared" si="6"/>
        <v>滤池气洗气动蝶阀 DN350 PN10</v>
      </c>
      <c r="C32" s="11" t="str">
        <f t="shared" si="5"/>
        <v>个</v>
      </c>
      <c r="D32" s="18">
        <f t="shared" si="5"/>
        <v>4</v>
      </c>
      <c r="E32" s="18">
        <v>22000</v>
      </c>
      <c r="F32" s="18">
        <f t="shared" si="7"/>
        <v>88000</v>
      </c>
      <c r="G32" s="18">
        <f t="shared" si="8"/>
        <v>1760</v>
      </c>
      <c r="H32" s="18">
        <f t="shared" si="9"/>
        <v>7040</v>
      </c>
      <c r="I32" s="18"/>
      <c r="J32" s="21" t="s">
        <v>154</v>
      </c>
      <c r="K32" s="21" t="s">
        <v>155</v>
      </c>
      <c r="L32" s="5" t="s">
        <v>103</v>
      </c>
      <c r="M32" s="3" t="s">
        <v>112</v>
      </c>
      <c r="N32" s="3">
        <v>4</v>
      </c>
    </row>
    <row r="33" s="23" customFormat="1" ht="16.5" customHeight="1" spans="1:14">
      <c r="A33" s="11">
        <v>16</v>
      </c>
      <c r="B33" s="17" t="str">
        <f t="shared" si="6"/>
        <v>气洗风机手动蝶阀 DN350 PN10</v>
      </c>
      <c r="C33" s="11" t="str">
        <f t="shared" si="5"/>
        <v>个</v>
      </c>
      <c r="D33" s="18">
        <f t="shared" si="5"/>
        <v>2</v>
      </c>
      <c r="E33" s="18">
        <v>4500</v>
      </c>
      <c r="F33" s="18">
        <f t="shared" si="7"/>
        <v>9000</v>
      </c>
      <c r="G33" s="18">
        <f t="shared" si="8"/>
        <v>360</v>
      </c>
      <c r="H33" s="18">
        <f t="shared" si="9"/>
        <v>720</v>
      </c>
      <c r="I33" s="18"/>
      <c r="J33" s="21" t="s">
        <v>156</v>
      </c>
      <c r="K33" s="24" t="s">
        <v>155</v>
      </c>
      <c r="L33" s="5" t="s">
        <v>103</v>
      </c>
      <c r="M33" s="3" t="s">
        <v>112</v>
      </c>
      <c r="N33" s="3">
        <v>2</v>
      </c>
    </row>
    <row r="34" s="23" customFormat="1" ht="16.5" customHeight="1" spans="1:14">
      <c r="A34" s="11">
        <v>17</v>
      </c>
      <c r="B34" s="17" t="str">
        <f t="shared" si="6"/>
        <v>气洗风机电动蝶阀 DN350 PN10 N=0.37kw</v>
      </c>
      <c r="C34" s="11" t="str">
        <f t="shared" ref="C34:D43" si="10">M34</f>
        <v>个</v>
      </c>
      <c r="D34" s="18">
        <f t="shared" si="10"/>
        <v>2</v>
      </c>
      <c r="E34" s="18">
        <v>20000</v>
      </c>
      <c r="F34" s="18">
        <f t="shared" si="7"/>
        <v>40000</v>
      </c>
      <c r="G34" s="18">
        <f t="shared" si="8"/>
        <v>1600</v>
      </c>
      <c r="H34" s="18">
        <f t="shared" si="9"/>
        <v>3200</v>
      </c>
      <c r="I34" s="18"/>
      <c r="J34" s="21" t="s">
        <v>157</v>
      </c>
      <c r="K34" s="21" t="s">
        <v>158</v>
      </c>
      <c r="L34" s="5" t="s">
        <v>103</v>
      </c>
      <c r="M34" s="3" t="s">
        <v>112</v>
      </c>
      <c r="N34" s="3">
        <v>2</v>
      </c>
    </row>
    <row r="35" s="23" customFormat="1" ht="16.5" customHeight="1" spans="1:14">
      <c r="A35" s="11">
        <v>18</v>
      </c>
      <c r="B35" s="17" t="str">
        <f t="shared" si="6"/>
        <v>电动反冲洗水量调节阀 DN300 PN10 N=0.37kw</v>
      </c>
      <c r="C35" s="11" t="str">
        <f t="shared" si="10"/>
        <v>个</v>
      </c>
      <c r="D35" s="18">
        <f t="shared" si="10"/>
        <v>1</v>
      </c>
      <c r="E35" s="18">
        <v>15000</v>
      </c>
      <c r="F35" s="18">
        <f t="shared" si="7"/>
        <v>15000</v>
      </c>
      <c r="G35" s="18">
        <f t="shared" si="8"/>
        <v>1200</v>
      </c>
      <c r="H35" s="18">
        <f t="shared" si="9"/>
        <v>1200</v>
      </c>
      <c r="I35" s="18"/>
      <c r="J35" s="21" t="s">
        <v>159</v>
      </c>
      <c r="K35" s="21" t="s">
        <v>160</v>
      </c>
      <c r="L35" s="5" t="s">
        <v>103</v>
      </c>
      <c r="M35" s="3" t="s">
        <v>112</v>
      </c>
      <c r="N35" s="3">
        <v>1</v>
      </c>
    </row>
    <row r="36" s="23" customFormat="1" ht="16.5" customHeight="1" spans="1:14">
      <c r="A36" s="11">
        <v>19</v>
      </c>
      <c r="B36" s="17" t="str">
        <f t="shared" si="6"/>
        <v>手动闸阀 DN150 PN10</v>
      </c>
      <c r="C36" s="11" t="str">
        <f t="shared" si="10"/>
        <v>个</v>
      </c>
      <c r="D36" s="18">
        <f t="shared" si="10"/>
        <v>2</v>
      </c>
      <c r="E36" s="18">
        <v>2900</v>
      </c>
      <c r="F36" s="18">
        <f t="shared" si="7"/>
        <v>5800</v>
      </c>
      <c r="G36" s="18">
        <f t="shared" si="8"/>
        <v>232</v>
      </c>
      <c r="H36" s="18">
        <f t="shared" si="9"/>
        <v>464</v>
      </c>
      <c r="I36" s="18"/>
      <c r="J36" s="21" t="s">
        <v>161</v>
      </c>
      <c r="K36" s="21" t="s">
        <v>162</v>
      </c>
      <c r="L36" s="5" t="s">
        <v>103</v>
      </c>
      <c r="M36" s="3" t="s">
        <v>112</v>
      </c>
      <c r="N36" s="3">
        <v>2</v>
      </c>
    </row>
    <row r="37" s="23" customFormat="1" ht="16.5" customHeight="1" spans="1:14">
      <c r="A37" s="11">
        <v>20</v>
      </c>
      <c r="B37" s="17" t="str">
        <f t="shared" si="6"/>
        <v>手动闸阀 DN100 PN10</v>
      </c>
      <c r="C37" s="11" t="str">
        <f t="shared" si="10"/>
        <v>个</v>
      </c>
      <c r="D37" s="18">
        <f t="shared" si="10"/>
        <v>4</v>
      </c>
      <c r="E37" s="18">
        <v>1700</v>
      </c>
      <c r="F37" s="18">
        <f t="shared" si="7"/>
        <v>6800</v>
      </c>
      <c r="G37" s="18">
        <f t="shared" si="8"/>
        <v>136</v>
      </c>
      <c r="H37" s="18">
        <f t="shared" si="9"/>
        <v>544</v>
      </c>
      <c r="I37" s="18"/>
      <c r="J37" s="21" t="s">
        <v>161</v>
      </c>
      <c r="K37" s="24" t="s">
        <v>163</v>
      </c>
      <c r="L37" s="5" t="s">
        <v>103</v>
      </c>
      <c r="M37" s="3" t="s">
        <v>112</v>
      </c>
      <c r="N37" s="3">
        <v>4</v>
      </c>
    </row>
    <row r="38" s="23" customFormat="1" ht="16.5" customHeight="1" spans="1:14">
      <c r="A38" s="11">
        <v>21</v>
      </c>
      <c r="B38" s="17" t="str">
        <f t="shared" si="6"/>
        <v>微阻缓闭止回阀 DN300 PN10</v>
      </c>
      <c r="C38" s="11" t="str">
        <f t="shared" si="10"/>
        <v>个</v>
      </c>
      <c r="D38" s="18">
        <f t="shared" si="10"/>
        <v>2</v>
      </c>
      <c r="E38" s="18">
        <v>18000</v>
      </c>
      <c r="F38" s="18">
        <f t="shared" si="7"/>
        <v>36000</v>
      </c>
      <c r="G38" s="18">
        <f t="shared" si="8"/>
        <v>1440</v>
      </c>
      <c r="H38" s="18">
        <f t="shared" si="9"/>
        <v>2880</v>
      </c>
      <c r="I38" s="18"/>
      <c r="J38" s="21" t="s">
        <v>164</v>
      </c>
      <c r="K38" s="21" t="s">
        <v>149</v>
      </c>
      <c r="L38" s="5" t="s">
        <v>103</v>
      </c>
      <c r="M38" s="3" t="s">
        <v>112</v>
      </c>
      <c r="N38" s="3">
        <v>2</v>
      </c>
    </row>
    <row r="39" s="23" customFormat="1" ht="16.5" customHeight="1" spans="1:14">
      <c r="A39" s="11">
        <v>22</v>
      </c>
      <c r="B39" s="17" t="str">
        <f t="shared" si="6"/>
        <v>微阻缓闭止回阀 DN150 PN10</v>
      </c>
      <c r="C39" s="11" t="str">
        <f t="shared" si="10"/>
        <v>个</v>
      </c>
      <c r="D39" s="18">
        <f t="shared" si="10"/>
        <v>2</v>
      </c>
      <c r="E39" s="18">
        <v>8000</v>
      </c>
      <c r="F39" s="18">
        <f t="shared" si="7"/>
        <v>16000</v>
      </c>
      <c r="G39" s="18">
        <f t="shared" si="8"/>
        <v>640</v>
      </c>
      <c r="H39" s="18">
        <f t="shared" si="9"/>
        <v>1280</v>
      </c>
      <c r="I39" s="18"/>
      <c r="J39" s="21" t="s">
        <v>164</v>
      </c>
      <c r="K39" s="24" t="s">
        <v>162</v>
      </c>
      <c r="L39" s="5" t="s">
        <v>103</v>
      </c>
      <c r="M39" s="3" t="s">
        <v>112</v>
      </c>
      <c r="N39" s="3">
        <v>2</v>
      </c>
    </row>
    <row r="40" s="23" customFormat="1" ht="16.5" customHeight="1" spans="1:14">
      <c r="A40" s="11">
        <v>23</v>
      </c>
      <c r="B40" s="17" t="str">
        <f t="shared" si="6"/>
        <v>风用蝶式止回阀 DN300 PN10</v>
      </c>
      <c r="C40" s="11" t="str">
        <f t="shared" si="10"/>
        <v>个</v>
      </c>
      <c r="D40" s="18">
        <f t="shared" si="10"/>
        <v>2</v>
      </c>
      <c r="E40" s="18">
        <v>4000</v>
      </c>
      <c r="F40" s="18">
        <f t="shared" si="7"/>
        <v>8000</v>
      </c>
      <c r="G40" s="18">
        <f t="shared" si="8"/>
        <v>320</v>
      </c>
      <c r="H40" s="18">
        <f t="shared" si="9"/>
        <v>640</v>
      </c>
      <c r="I40" s="18"/>
      <c r="J40" s="21" t="s">
        <v>165</v>
      </c>
      <c r="K40" s="21" t="s">
        <v>149</v>
      </c>
      <c r="L40" s="5" t="s">
        <v>103</v>
      </c>
      <c r="M40" s="3" t="s">
        <v>112</v>
      </c>
      <c r="N40" s="3">
        <v>2</v>
      </c>
    </row>
    <row r="41" s="23" customFormat="1" ht="16.5" customHeight="1" spans="1:14">
      <c r="A41" s="11">
        <v>24</v>
      </c>
      <c r="B41" s="17" t="str">
        <f t="shared" si="6"/>
        <v>气水分布块 每格35m2</v>
      </c>
      <c r="C41" s="11" t="str">
        <f t="shared" si="10"/>
        <v>池</v>
      </c>
      <c r="D41" s="18">
        <f t="shared" si="10"/>
        <v>4</v>
      </c>
      <c r="E41" s="18">
        <f>10000*35</f>
        <v>350000</v>
      </c>
      <c r="F41" s="18">
        <f t="shared" si="7"/>
        <v>1400000</v>
      </c>
      <c r="G41" s="18">
        <f t="shared" si="8"/>
        <v>28000</v>
      </c>
      <c r="H41" s="18">
        <f t="shared" si="9"/>
        <v>112000</v>
      </c>
      <c r="I41" s="18"/>
      <c r="J41" s="21" t="s">
        <v>166</v>
      </c>
      <c r="K41" s="21" t="s">
        <v>167</v>
      </c>
      <c r="L41" s="5" t="s">
        <v>103</v>
      </c>
      <c r="M41" s="3" t="s">
        <v>168</v>
      </c>
      <c r="N41" s="3">
        <v>4</v>
      </c>
    </row>
    <row r="42" s="23" customFormat="1" ht="16.5" customHeight="1" spans="1:14">
      <c r="A42" s="11">
        <v>25</v>
      </c>
      <c r="B42" s="17" t="str">
        <f t="shared" si="6"/>
        <v>卵石 鹅卵石五种级配分布粒径8~40mm</v>
      </c>
      <c r="C42" s="11" t="str">
        <f t="shared" si="10"/>
        <v>m3</v>
      </c>
      <c r="D42" s="18">
        <f t="shared" si="10"/>
        <v>64</v>
      </c>
      <c r="E42" s="18">
        <v>300</v>
      </c>
      <c r="F42" s="18">
        <f t="shared" si="7"/>
        <v>19200</v>
      </c>
      <c r="G42" s="18">
        <f t="shared" si="8"/>
        <v>24</v>
      </c>
      <c r="H42" s="18">
        <f t="shared" si="9"/>
        <v>1536</v>
      </c>
      <c r="I42" s="18"/>
      <c r="J42" s="21" t="s">
        <v>169</v>
      </c>
      <c r="K42" s="21" t="s">
        <v>170</v>
      </c>
      <c r="L42" s="5" t="s">
        <v>103</v>
      </c>
      <c r="M42" s="3" t="s">
        <v>120</v>
      </c>
      <c r="N42" s="3">
        <v>64</v>
      </c>
    </row>
    <row r="43" s="23" customFormat="1" ht="16.5" customHeight="1" spans="1:14">
      <c r="A43" s="11">
        <v>26</v>
      </c>
      <c r="B43" s="17" t="str">
        <f t="shared" si="6"/>
        <v>石英砂滤料 有效粒径2~4mm，均匀系数：1.4，球形度不小于0.8，莫氏硬度：6-7，比重：大于或等于2.6</v>
      </c>
      <c r="C43" s="11" t="str">
        <f t="shared" si="10"/>
        <v>m3</v>
      </c>
      <c r="D43" s="18">
        <f t="shared" si="10"/>
        <v>260</v>
      </c>
      <c r="E43" s="18">
        <v>1200</v>
      </c>
      <c r="F43" s="18">
        <f t="shared" si="7"/>
        <v>312000</v>
      </c>
      <c r="G43" s="18">
        <f t="shared" si="8"/>
        <v>96</v>
      </c>
      <c r="H43" s="18">
        <f t="shared" si="9"/>
        <v>24960</v>
      </c>
      <c r="I43" s="18"/>
      <c r="J43" s="21" t="s">
        <v>171</v>
      </c>
      <c r="K43" s="24" t="s">
        <v>172</v>
      </c>
      <c r="L43" s="5" t="s">
        <v>103</v>
      </c>
      <c r="M43" s="3" t="s">
        <v>120</v>
      </c>
      <c r="N43" s="3">
        <v>260</v>
      </c>
    </row>
    <row r="44" s="23" customFormat="1" ht="16.5" customHeight="1" spans="1:14">
      <c r="A44" s="11">
        <v>27</v>
      </c>
      <c r="B44" s="17" t="s">
        <v>121</v>
      </c>
      <c r="C44" s="11" t="s">
        <v>104</v>
      </c>
      <c r="D44" s="18">
        <v>1</v>
      </c>
      <c r="E44" s="18"/>
      <c r="F44" s="18"/>
      <c r="G44" s="18">
        <f>F17*12%</f>
        <v>397080</v>
      </c>
      <c r="H44" s="18">
        <f t="shared" si="9"/>
        <v>397080</v>
      </c>
      <c r="I44" s="18"/>
      <c r="J44" s="5"/>
      <c r="K44" s="5"/>
      <c r="L44" s="5"/>
      <c r="M44" s="3"/>
      <c r="N44" s="3"/>
    </row>
    <row r="45" s="1" customFormat="1" ht="16.5" customHeight="1" spans="1:12">
      <c r="A45" s="14" t="s">
        <v>173</v>
      </c>
      <c r="B45" s="15" t="s">
        <v>28</v>
      </c>
      <c r="C45" s="14"/>
      <c r="D45" s="16"/>
      <c r="E45" s="16"/>
      <c r="F45" s="16">
        <f>SUM(F46:F48)</f>
        <v>195600</v>
      </c>
      <c r="G45" s="16"/>
      <c r="H45" s="16">
        <f>SUM(H46:H48)</f>
        <v>39120</v>
      </c>
      <c r="I45" s="16"/>
      <c r="J45" s="20"/>
      <c r="K45" s="20"/>
      <c r="L45" s="20"/>
    </row>
    <row r="46" s="23" customFormat="1" ht="16.5" customHeight="1" spans="1:14">
      <c r="A46" s="11">
        <v>1</v>
      </c>
      <c r="B46" s="17" t="str">
        <f>J46&amp;" "&amp;K46</f>
        <v>垂架式中心传动浓缩机 Φ=10m，N=0.37KW</v>
      </c>
      <c r="C46" s="11" t="str">
        <f>M46</f>
        <v>台</v>
      </c>
      <c r="D46" s="18">
        <f>N46</f>
        <v>1</v>
      </c>
      <c r="E46" s="18">
        <v>180000</v>
      </c>
      <c r="F46" s="18">
        <f>E46*D46</f>
        <v>180000</v>
      </c>
      <c r="G46" s="18">
        <f>E46*0.08</f>
        <v>14400</v>
      </c>
      <c r="H46" s="18">
        <f>D46*G46</f>
        <v>14400</v>
      </c>
      <c r="I46" s="18"/>
      <c r="J46" s="21" t="s">
        <v>174</v>
      </c>
      <c r="K46" s="21" t="s">
        <v>175</v>
      </c>
      <c r="L46" s="5" t="s">
        <v>103</v>
      </c>
      <c r="M46" s="3" t="s">
        <v>125</v>
      </c>
      <c r="N46" s="3">
        <v>1</v>
      </c>
    </row>
    <row r="47" s="23" customFormat="1" ht="16.5" customHeight="1" spans="1:14">
      <c r="A47" s="11">
        <v>2</v>
      </c>
      <c r="B47" s="17" t="str">
        <f>J47&amp;" "&amp;K47</f>
        <v>出水三角堰 L=2m B=220mm</v>
      </c>
      <c r="C47" s="11" t="str">
        <f>M47</f>
        <v>块</v>
      </c>
      <c r="D47" s="18">
        <f>N47</f>
        <v>13</v>
      </c>
      <c r="E47" s="18">
        <v>1200</v>
      </c>
      <c r="F47" s="18">
        <f>E47*D47</f>
        <v>15600</v>
      </c>
      <c r="G47" s="18">
        <f>E47*0.08</f>
        <v>96</v>
      </c>
      <c r="H47" s="18">
        <f>D47*G47</f>
        <v>1248</v>
      </c>
      <c r="I47" s="18"/>
      <c r="J47" s="21" t="s">
        <v>176</v>
      </c>
      <c r="K47" s="21" t="s">
        <v>177</v>
      </c>
      <c r="L47" s="5" t="s">
        <v>115</v>
      </c>
      <c r="M47" s="3" t="s">
        <v>178</v>
      </c>
      <c r="N47" s="3">
        <v>13</v>
      </c>
    </row>
    <row r="48" s="23" customFormat="1" ht="16.5" customHeight="1" spans="1:14">
      <c r="A48" s="11">
        <v>3</v>
      </c>
      <c r="B48" s="17" t="s">
        <v>121</v>
      </c>
      <c r="C48" s="11" t="s">
        <v>104</v>
      </c>
      <c r="D48" s="18">
        <v>1</v>
      </c>
      <c r="E48" s="18"/>
      <c r="F48" s="18"/>
      <c r="G48" s="18">
        <f>F45*12%</f>
        <v>23472</v>
      </c>
      <c r="H48" s="18">
        <f>D48*G48</f>
        <v>23472</v>
      </c>
      <c r="I48" s="18"/>
      <c r="J48" s="5"/>
      <c r="K48" s="5"/>
      <c r="L48" s="5"/>
      <c r="M48" s="3"/>
      <c r="N48" s="3"/>
    </row>
    <row r="49" s="1" customFormat="1" ht="16.5" customHeight="1" spans="1:12">
      <c r="A49" s="14" t="s">
        <v>179</v>
      </c>
      <c r="B49" s="15" t="s">
        <v>29</v>
      </c>
      <c r="C49" s="14"/>
      <c r="D49" s="16"/>
      <c r="E49" s="16"/>
      <c r="F49" s="16">
        <f>SUM(F50:F61)</f>
        <v>2257000</v>
      </c>
      <c r="G49" s="16"/>
      <c r="H49" s="16">
        <f>SUM(H50:H61)</f>
        <v>406260</v>
      </c>
      <c r="I49" s="16"/>
      <c r="J49" s="20"/>
      <c r="K49" s="20"/>
      <c r="L49" s="20"/>
    </row>
    <row r="50" s="23" customFormat="1" ht="16.5" customHeight="1" spans="1:14">
      <c r="A50" s="11">
        <v>1</v>
      </c>
      <c r="B50" s="17" t="str">
        <f>J50&amp;" "&amp;K50</f>
        <v>高压隔膜压滤机 过滤面积200m2，滤室容积3.0m3单片滤布厚度，0.7mm，滤板1250x1250x78,工作压力≤25Mpa,压榨压力≤2.0Mpa，进料压力≤1.2Mpa</v>
      </c>
      <c r="C50" s="11" t="str">
        <f t="shared" ref="C50:D60" si="11">M50</f>
        <v>套</v>
      </c>
      <c r="D50" s="18">
        <f t="shared" si="11"/>
        <v>2</v>
      </c>
      <c r="E50" s="18">
        <v>700000</v>
      </c>
      <c r="F50" s="18">
        <f>E50*D50</f>
        <v>1400000</v>
      </c>
      <c r="G50" s="18">
        <f>E50*0.08</f>
        <v>56000</v>
      </c>
      <c r="H50" s="18">
        <f>D50*G50</f>
        <v>112000</v>
      </c>
      <c r="I50" s="18"/>
      <c r="J50" s="21" t="s">
        <v>180</v>
      </c>
      <c r="K50" s="24" t="s">
        <v>181</v>
      </c>
      <c r="L50" s="5" t="s">
        <v>103</v>
      </c>
      <c r="M50" s="3" t="s">
        <v>104</v>
      </c>
      <c r="N50" s="3">
        <v>2</v>
      </c>
    </row>
    <row r="51" s="23" customFormat="1" ht="16.5" customHeight="1" spans="1:14">
      <c r="A51" s="11">
        <v>2</v>
      </c>
      <c r="B51" s="17" t="str">
        <f t="shared" ref="B51:B60" si="12">J51&amp;" "&amp;K51</f>
        <v>低压进料螺杆泵 Q=40m3/h，压力0.6Mpa,N=30Kw</v>
      </c>
      <c r="C51" s="11" t="str">
        <f t="shared" si="11"/>
        <v>台</v>
      </c>
      <c r="D51" s="18">
        <f t="shared" si="11"/>
        <v>2</v>
      </c>
      <c r="E51" s="18">
        <v>120000</v>
      </c>
      <c r="F51" s="18">
        <f t="shared" ref="F51:F60" si="13">E51*D51</f>
        <v>240000</v>
      </c>
      <c r="G51" s="18">
        <f t="shared" ref="G51:G60" si="14">E51*0.08</f>
        <v>9600</v>
      </c>
      <c r="H51" s="18">
        <f t="shared" ref="H51:H61" si="15">D51*G51</f>
        <v>19200</v>
      </c>
      <c r="I51" s="18"/>
      <c r="J51" s="21" t="s">
        <v>182</v>
      </c>
      <c r="K51" s="21" t="s">
        <v>183</v>
      </c>
      <c r="L51" s="5" t="s">
        <v>103</v>
      </c>
      <c r="M51" s="3" t="s">
        <v>125</v>
      </c>
      <c r="N51" s="3">
        <v>2</v>
      </c>
    </row>
    <row r="52" s="23" customFormat="1" ht="16.5" customHeight="1" spans="1:14">
      <c r="A52" s="11">
        <v>3</v>
      </c>
      <c r="B52" s="17" t="str">
        <f t="shared" si="12"/>
        <v>高压进料螺杆泵 Q=20m3/h，压力1.2Mpa,N=22Kw</v>
      </c>
      <c r="C52" s="11" t="str">
        <f t="shared" si="11"/>
        <v>台</v>
      </c>
      <c r="D52" s="18">
        <f t="shared" si="11"/>
        <v>2</v>
      </c>
      <c r="E52" s="18">
        <v>100000</v>
      </c>
      <c r="F52" s="18">
        <f t="shared" si="13"/>
        <v>200000</v>
      </c>
      <c r="G52" s="18">
        <f t="shared" si="14"/>
        <v>8000</v>
      </c>
      <c r="H52" s="18">
        <f t="shared" si="15"/>
        <v>16000</v>
      </c>
      <c r="I52" s="18"/>
      <c r="J52" s="21" t="s">
        <v>184</v>
      </c>
      <c r="K52" s="21" t="s">
        <v>185</v>
      </c>
      <c r="L52" s="5" t="s">
        <v>103</v>
      </c>
      <c r="M52" s="3" t="s">
        <v>125</v>
      </c>
      <c r="N52" s="3">
        <v>2</v>
      </c>
    </row>
    <row r="53" s="23" customFormat="1" ht="16.5" customHeight="1" spans="1:14">
      <c r="A53" s="11">
        <v>4</v>
      </c>
      <c r="B53" s="17" t="str">
        <f t="shared" si="12"/>
        <v>洗布水箱 V=5m3</v>
      </c>
      <c r="C53" s="11" t="str">
        <f t="shared" si="11"/>
        <v>套</v>
      </c>
      <c r="D53" s="18">
        <f t="shared" si="11"/>
        <v>1</v>
      </c>
      <c r="E53" s="18">
        <v>2000</v>
      </c>
      <c r="F53" s="18">
        <f t="shared" si="13"/>
        <v>2000</v>
      </c>
      <c r="G53" s="18">
        <f t="shared" si="14"/>
        <v>160</v>
      </c>
      <c r="H53" s="18">
        <f t="shared" si="15"/>
        <v>160</v>
      </c>
      <c r="I53" s="18"/>
      <c r="J53" s="21" t="s">
        <v>186</v>
      </c>
      <c r="K53" s="21" t="s">
        <v>187</v>
      </c>
      <c r="L53" s="5" t="s">
        <v>188</v>
      </c>
      <c r="M53" s="3" t="s">
        <v>104</v>
      </c>
      <c r="N53" s="3">
        <v>1</v>
      </c>
    </row>
    <row r="54" s="23" customFormat="1" ht="16.5" customHeight="1" spans="1:14">
      <c r="A54" s="11">
        <v>5</v>
      </c>
      <c r="B54" s="17" t="str">
        <f t="shared" si="12"/>
        <v>高压柱塞泵 Q=205L/min 排出压力6MPa N=30kw</v>
      </c>
      <c r="C54" s="11" t="str">
        <f t="shared" si="11"/>
        <v>台</v>
      </c>
      <c r="D54" s="18">
        <f t="shared" si="11"/>
        <v>1</v>
      </c>
      <c r="E54" s="18">
        <v>100000</v>
      </c>
      <c r="F54" s="18">
        <f t="shared" si="13"/>
        <v>100000</v>
      </c>
      <c r="G54" s="18">
        <f t="shared" si="14"/>
        <v>8000</v>
      </c>
      <c r="H54" s="18">
        <f t="shared" si="15"/>
        <v>8000</v>
      </c>
      <c r="I54" s="18"/>
      <c r="J54" s="21" t="s">
        <v>189</v>
      </c>
      <c r="K54" s="24" t="s">
        <v>190</v>
      </c>
      <c r="L54" s="5" t="s">
        <v>103</v>
      </c>
      <c r="M54" s="3" t="s">
        <v>125</v>
      </c>
      <c r="N54" s="3">
        <v>1</v>
      </c>
    </row>
    <row r="55" s="23" customFormat="1" ht="16.5" customHeight="1" spans="1:14">
      <c r="A55" s="11">
        <v>6</v>
      </c>
      <c r="B55" s="17" t="str">
        <f t="shared" si="12"/>
        <v>螺杆式空压机 Q=2.3m3/min，排气压力0.85Mpa，N=15Kw</v>
      </c>
      <c r="C55" s="11" t="str">
        <f t="shared" si="11"/>
        <v>台</v>
      </c>
      <c r="D55" s="18">
        <f t="shared" si="11"/>
        <v>1</v>
      </c>
      <c r="E55" s="18">
        <v>80000</v>
      </c>
      <c r="F55" s="18">
        <f t="shared" si="13"/>
        <v>80000</v>
      </c>
      <c r="G55" s="18">
        <f t="shared" si="14"/>
        <v>6400</v>
      </c>
      <c r="H55" s="18">
        <f t="shared" si="15"/>
        <v>6400</v>
      </c>
      <c r="I55" s="18"/>
      <c r="J55" s="21" t="s">
        <v>141</v>
      </c>
      <c r="K55" s="21" t="s">
        <v>191</v>
      </c>
      <c r="L55" s="5" t="s">
        <v>103</v>
      </c>
      <c r="M55" s="3" t="s">
        <v>125</v>
      </c>
      <c r="N55" s="3">
        <v>1</v>
      </c>
    </row>
    <row r="56" s="23" customFormat="1" ht="16.5" customHeight="1" spans="1:14">
      <c r="A56" s="11">
        <v>7</v>
      </c>
      <c r="B56" s="17" t="str">
        <f t="shared" si="12"/>
        <v>三氯化铁储罐 V=10m3</v>
      </c>
      <c r="C56" s="11" t="str">
        <f t="shared" si="11"/>
        <v>套</v>
      </c>
      <c r="D56" s="18">
        <f t="shared" si="11"/>
        <v>1</v>
      </c>
      <c r="E56" s="18">
        <v>40000</v>
      </c>
      <c r="F56" s="18">
        <f t="shared" si="13"/>
        <v>40000</v>
      </c>
      <c r="G56" s="18">
        <f t="shared" si="14"/>
        <v>3200</v>
      </c>
      <c r="H56" s="18">
        <f t="shared" si="15"/>
        <v>3200</v>
      </c>
      <c r="I56" s="18"/>
      <c r="J56" s="21" t="s">
        <v>192</v>
      </c>
      <c r="K56" s="21" t="s">
        <v>193</v>
      </c>
      <c r="L56" s="5" t="s">
        <v>145</v>
      </c>
      <c r="M56" s="3" t="s">
        <v>104</v>
      </c>
      <c r="N56" s="3">
        <v>1</v>
      </c>
    </row>
    <row r="57" s="23" customFormat="1" ht="16.5" customHeight="1" spans="1:14">
      <c r="A57" s="11">
        <v>8</v>
      </c>
      <c r="B57" s="17" t="str">
        <f t="shared" si="12"/>
        <v>三氯化铁投加泵 V=6.0m3/h，H=20m,N=3.0Kw</v>
      </c>
      <c r="C57" s="11" t="str">
        <f t="shared" si="11"/>
        <v>台</v>
      </c>
      <c r="D57" s="18">
        <f t="shared" si="11"/>
        <v>2</v>
      </c>
      <c r="E57" s="18">
        <v>22000</v>
      </c>
      <c r="F57" s="18">
        <f t="shared" si="13"/>
        <v>44000</v>
      </c>
      <c r="G57" s="18">
        <f t="shared" si="14"/>
        <v>1760</v>
      </c>
      <c r="H57" s="18">
        <f t="shared" si="15"/>
        <v>3520</v>
      </c>
      <c r="I57" s="18"/>
      <c r="J57" s="21" t="s">
        <v>194</v>
      </c>
      <c r="K57" s="21" t="s">
        <v>195</v>
      </c>
      <c r="L57" s="5" t="s">
        <v>103</v>
      </c>
      <c r="M57" s="3" t="s">
        <v>125</v>
      </c>
      <c r="N57" s="3">
        <v>2</v>
      </c>
    </row>
    <row r="58" s="23" customFormat="1" ht="16.5" customHeight="1" spans="1:14">
      <c r="A58" s="11">
        <v>9</v>
      </c>
      <c r="B58" s="17" t="str">
        <f t="shared" si="12"/>
        <v>三氯化铁卸料泵 V=30m3/h，H=30m,N=5.5Kw</v>
      </c>
      <c r="C58" s="11" t="str">
        <f t="shared" si="11"/>
        <v>台</v>
      </c>
      <c r="D58" s="18">
        <f t="shared" si="11"/>
        <v>1</v>
      </c>
      <c r="E58" s="18">
        <v>15000</v>
      </c>
      <c r="F58" s="18">
        <f t="shared" si="13"/>
        <v>15000</v>
      </c>
      <c r="G58" s="18">
        <f t="shared" si="14"/>
        <v>1200</v>
      </c>
      <c r="H58" s="18">
        <f t="shared" si="15"/>
        <v>1200</v>
      </c>
      <c r="I58" s="18"/>
      <c r="J58" s="21" t="s">
        <v>196</v>
      </c>
      <c r="K58" s="24" t="s">
        <v>197</v>
      </c>
      <c r="L58" s="5" t="s">
        <v>103</v>
      </c>
      <c r="M58" s="3" t="s">
        <v>125</v>
      </c>
      <c r="N58" s="3">
        <v>1</v>
      </c>
    </row>
    <row r="59" s="23" customFormat="1" ht="16.5" customHeight="1" spans="1:14">
      <c r="A59" s="11">
        <v>10</v>
      </c>
      <c r="B59" s="17" t="str">
        <f t="shared" si="12"/>
        <v>PAM制备装置 1000L/h V=3m3,N=2.2Kw</v>
      </c>
      <c r="C59" s="11" t="str">
        <f t="shared" si="11"/>
        <v>套</v>
      </c>
      <c r="D59" s="18">
        <f t="shared" si="11"/>
        <v>1</v>
      </c>
      <c r="E59" s="18">
        <v>100000</v>
      </c>
      <c r="F59" s="18">
        <f t="shared" si="13"/>
        <v>100000</v>
      </c>
      <c r="G59" s="18">
        <f t="shared" si="14"/>
        <v>8000</v>
      </c>
      <c r="H59" s="18">
        <f t="shared" si="15"/>
        <v>8000</v>
      </c>
      <c r="I59" s="18"/>
      <c r="J59" s="21" t="s">
        <v>198</v>
      </c>
      <c r="K59" s="21" t="s">
        <v>199</v>
      </c>
      <c r="L59" s="5" t="s">
        <v>103</v>
      </c>
      <c r="M59" s="3" t="s">
        <v>104</v>
      </c>
      <c r="N59" s="3">
        <v>1</v>
      </c>
    </row>
    <row r="60" s="23" customFormat="1" ht="16.5" customHeight="1" spans="1:14">
      <c r="A60" s="11">
        <v>11</v>
      </c>
      <c r="B60" s="17" t="str">
        <f t="shared" si="12"/>
        <v>PAM投加泵 Q=2.0m3/h，H=30m,N=1.5Kw</v>
      </c>
      <c r="C60" s="11" t="str">
        <f t="shared" si="11"/>
        <v>台</v>
      </c>
      <c r="D60" s="18">
        <f t="shared" si="11"/>
        <v>2</v>
      </c>
      <c r="E60" s="18">
        <v>18000</v>
      </c>
      <c r="F60" s="18">
        <f t="shared" si="13"/>
        <v>36000</v>
      </c>
      <c r="G60" s="18">
        <f t="shared" si="14"/>
        <v>1440</v>
      </c>
      <c r="H60" s="18">
        <f t="shared" si="15"/>
        <v>2880</v>
      </c>
      <c r="I60" s="18"/>
      <c r="J60" s="21" t="s">
        <v>200</v>
      </c>
      <c r="K60" s="21" t="s">
        <v>201</v>
      </c>
      <c r="L60" s="5" t="s">
        <v>103</v>
      </c>
      <c r="M60" s="3" t="s">
        <v>125</v>
      </c>
      <c r="N60" s="3">
        <v>2</v>
      </c>
    </row>
    <row r="61" s="23" customFormat="1" ht="16.5" customHeight="1" spans="1:14">
      <c r="A61" s="11">
        <v>12</v>
      </c>
      <c r="B61" s="17" t="s">
        <v>121</v>
      </c>
      <c r="C61" s="11" t="s">
        <v>104</v>
      </c>
      <c r="D61" s="18">
        <v>1</v>
      </c>
      <c r="E61" s="18"/>
      <c r="F61" s="18"/>
      <c r="G61" s="18">
        <f>F49*10%</f>
        <v>225700</v>
      </c>
      <c r="H61" s="18">
        <f t="shared" si="15"/>
        <v>225700</v>
      </c>
      <c r="I61" s="18"/>
      <c r="J61" s="5"/>
      <c r="K61" s="5"/>
      <c r="L61" s="5"/>
      <c r="M61" s="3"/>
      <c r="N61" s="3"/>
    </row>
    <row r="62" s="1" customFormat="1" ht="16.5" customHeight="1" spans="1:12">
      <c r="A62" s="14" t="s">
        <v>202</v>
      </c>
      <c r="B62" s="15" t="s">
        <v>203</v>
      </c>
      <c r="C62" s="14"/>
      <c r="D62" s="16"/>
      <c r="E62" s="16"/>
      <c r="F62" s="16">
        <f>SUM(F63:F64)</f>
        <v>500000</v>
      </c>
      <c r="G62" s="16"/>
      <c r="H62" s="16">
        <f>SUM(H63:H64)</f>
        <v>90000</v>
      </c>
      <c r="I62" s="16"/>
      <c r="J62" s="20"/>
      <c r="K62" s="20"/>
      <c r="L62" s="20"/>
    </row>
    <row r="63" s="23" customFormat="1" ht="16.5" customHeight="1" spans="1:14">
      <c r="A63" s="11">
        <v>1</v>
      </c>
      <c r="B63" s="17" t="str">
        <f>J63&amp;" "&amp;K63</f>
        <v>一体化除臭设备 Q=15000m3/h 4.0mx9.0mx3.6m</v>
      </c>
      <c r="C63" s="11" t="str">
        <f>M63</f>
        <v>套</v>
      </c>
      <c r="D63" s="18">
        <f>N63</f>
        <v>1</v>
      </c>
      <c r="E63" s="18">
        <v>500000</v>
      </c>
      <c r="F63" s="18">
        <f>E63*D63</f>
        <v>500000</v>
      </c>
      <c r="G63" s="18">
        <f>E63*0.08</f>
        <v>40000</v>
      </c>
      <c r="H63" s="18">
        <f>D63*G63</f>
        <v>40000</v>
      </c>
      <c r="I63" s="18"/>
      <c r="J63" s="21" t="s">
        <v>204</v>
      </c>
      <c r="K63" s="24" t="s">
        <v>205</v>
      </c>
      <c r="L63" s="5" t="s">
        <v>103</v>
      </c>
      <c r="M63" s="3" t="s">
        <v>104</v>
      </c>
      <c r="N63" s="3">
        <v>1</v>
      </c>
    </row>
    <row r="64" s="23" customFormat="1" ht="16.5" customHeight="1" spans="1:14">
      <c r="A64" s="11">
        <v>2</v>
      </c>
      <c r="B64" s="17" t="s">
        <v>121</v>
      </c>
      <c r="C64" s="11" t="s">
        <v>104</v>
      </c>
      <c r="D64" s="18">
        <v>1</v>
      </c>
      <c r="E64" s="18"/>
      <c r="F64" s="18"/>
      <c r="G64" s="18">
        <f>F62*10%</f>
        <v>50000</v>
      </c>
      <c r="H64" s="18">
        <f>D64*G64</f>
        <v>50000</v>
      </c>
      <c r="I64" s="18"/>
      <c r="J64" s="5"/>
      <c r="K64" s="5"/>
      <c r="L64" s="5"/>
      <c r="M64" s="3"/>
      <c r="N64" s="3"/>
    </row>
  </sheetData>
  <mergeCells count="13">
    <mergeCell ref="A1:D1"/>
    <mergeCell ref="E1:F1"/>
    <mergeCell ref="G1:H1"/>
    <mergeCell ref="A2:I2"/>
    <mergeCell ref="A3:D3"/>
    <mergeCell ref="E3:F3"/>
    <mergeCell ref="G3:H3"/>
    <mergeCell ref="C4:D4"/>
    <mergeCell ref="E4:F4"/>
    <mergeCell ref="G4:H4"/>
    <mergeCell ref="A4:A5"/>
    <mergeCell ref="B4:B5"/>
    <mergeCell ref="I4:I5"/>
  </mergeCells>
  <pageMargins left="0.7" right="0.7" top="0.75" bottom="0.75" header="0.3" footer="0.3"/>
  <pageSetup paperSize="9" orientation="portrait" horizontalDpi="1200" verticalDpi="12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17"/>
  <sheetViews>
    <sheetView topLeftCell="A8" workbookViewId="0">
      <selection activeCell="F19" sqref="F19"/>
    </sheetView>
  </sheetViews>
  <sheetFormatPr defaultColWidth="8" defaultRowHeight="11.25"/>
  <cols>
    <col min="1" max="1" width="5.625" style="2" customWidth="1"/>
    <col min="2" max="2" width="25.625" style="3" customWidth="1"/>
    <col min="3" max="3" width="6.25" style="2" customWidth="1"/>
    <col min="4" max="4" width="7.5" style="4" customWidth="1"/>
    <col min="5" max="5" width="12.125" style="3" customWidth="1"/>
    <col min="6" max="6" width="12.875" style="3" customWidth="1"/>
    <col min="7" max="7" width="12.125" style="3" customWidth="1"/>
    <col min="8" max="8" width="12.875" style="3" customWidth="1"/>
    <col min="9" max="9" width="11.625" style="3" customWidth="1"/>
    <col min="10" max="10" width="14.5" style="5" customWidth="1"/>
    <col min="11" max="11" width="18" style="5" customWidth="1"/>
    <col min="12" max="12" width="8" style="5" customWidth="1"/>
    <col min="13" max="16384" width="8" style="3"/>
  </cols>
  <sheetData>
    <row r="1" ht="14.25" customHeight="1" spans="1:9">
      <c r="A1" s="6" t="s">
        <v>92</v>
      </c>
      <c r="B1" s="6" t="s">
        <v>92</v>
      </c>
      <c r="C1" s="6" t="s">
        <v>92</v>
      </c>
      <c r="D1" s="6" t="s">
        <v>92</v>
      </c>
      <c r="E1" s="7" t="s">
        <v>92</v>
      </c>
      <c r="F1" s="7" t="s">
        <v>92</v>
      </c>
      <c r="G1" s="7" t="s">
        <v>92</v>
      </c>
      <c r="H1" s="7" t="s">
        <v>92</v>
      </c>
      <c r="I1" s="7"/>
    </row>
    <row r="2" ht="23.25" customHeight="1" spans="1:9">
      <c r="A2" s="8" t="s">
        <v>93</v>
      </c>
      <c r="B2" s="8"/>
      <c r="C2" s="8"/>
      <c r="D2" s="8"/>
      <c r="E2" s="8"/>
      <c r="F2" s="8"/>
      <c r="G2" s="8"/>
      <c r="H2" s="8"/>
      <c r="I2" s="8"/>
    </row>
    <row r="3" ht="14.25" customHeight="1" spans="1:9">
      <c r="A3" s="9" t="s">
        <v>206</v>
      </c>
      <c r="B3" s="9" t="s">
        <v>92</v>
      </c>
      <c r="C3" s="9" t="s">
        <v>92</v>
      </c>
      <c r="D3" s="9" t="s">
        <v>92</v>
      </c>
      <c r="E3" s="10" t="s">
        <v>92</v>
      </c>
      <c r="F3" s="10" t="s">
        <v>92</v>
      </c>
      <c r="G3" s="10" t="s">
        <v>92</v>
      </c>
      <c r="H3" s="10" t="s">
        <v>92</v>
      </c>
      <c r="I3" s="10"/>
    </row>
    <row r="4" ht="16.5" customHeight="1" spans="1:12">
      <c r="A4" s="11" t="s">
        <v>1</v>
      </c>
      <c r="B4" s="11" t="s">
        <v>95</v>
      </c>
      <c r="C4" s="11" t="s">
        <v>96</v>
      </c>
      <c r="D4" s="11" t="s">
        <v>92</v>
      </c>
      <c r="E4" s="12" t="s">
        <v>7</v>
      </c>
      <c r="F4" s="13"/>
      <c r="G4" s="12" t="s">
        <v>8</v>
      </c>
      <c r="H4" s="13"/>
      <c r="I4" s="11" t="s">
        <v>97</v>
      </c>
      <c r="J4" s="19"/>
      <c r="K4" s="19"/>
      <c r="L4" s="19"/>
    </row>
    <row r="5" ht="16.5" customHeight="1" spans="1:9">
      <c r="A5" s="11" t="s">
        <v>92</v>
      </c>
      <c r="B5" s="11" t="s">
        <v>92</v>
      </c>
      <c r="C5" s="11" t="s">
        <v>11</v>
      </c>
      <c r="D5" s="11" t="s">
        <v>12</v>
      </c>
      <c r="E5" s="11" t="s">
        <v>98</v>
      </c>
      <c r="F5" s="11" t="s">
        <v>99</v>
      </c>
      <c r="G5" s="11" t="s">
        <v>98</v>
      </c>
      <c r="H5" s="11" t="s">
        <v>99</v>
      </c>
      <c r="I5" s="11"/>
    </row>
    <row r="6" s="1" customFormat="1" ht="16.5" customHeight="1" spans="1:12">
      <c r="A6" s="14" t="s">
        <v>100</v>
      </c>
      <c r="B6" s="15" t="s">
        <v>37</v>
      </c>
      <c r="C6" s="14"/>
      <c r="D6" s="16"/>
      <c r="E6" s="16"/>
      <c r="F6" s="16">
        <f>SUM(F7:F11)</f>
        <v>423000</v>
      </c>
      <c r="G6" s="16"/>
      <c r="H6" s="16">
        <f>SUM(H7:H11)</f>
        <v>84600</v>
      </c>
      <c r="I6" s="16"/>
      <c r="J6" s="20"/>
      <c r="K6" s="20"/>
      <c r="L6" s="20"/>
    </row>
    <row r="7" s="23" customFormat="1" ht="27" customHeight="1" spans="1:14">
      <c r="A7" s="11">
        <v>1</v>
      </c>
      <c r="B7" s="17" t="str">
        <f>J7&amp;" "&amp;K7</f>
        <v>回转式格栅除污机 B=900mm,P=1.1kw,60°</v>
      </c>
      <c r="C7" s="11" t="str">
        <f t="shared" ref="C7:D10" si="0">M7</f>
        <v>套</v>
      </c>
      <c r="D7" s="18">
        <f t="shared" si="0"/>
        <v>2</v>
      </c>
      <c r="E7" s="18">
        <v>125000</v>
      </c>
      <c r="F7" s="18">
        <f>E7*D7</f>
        <v>250000</v>
      </c>
      <c r="G7" s="18">
        <f>E7*0.08</f>
        <v>10000</v>
      </c>
      <c r="H7" s="18">
        <f>D7*G7</f>
        <v>20000</v>
      </c>
      <c r="I7" s="18"/>
      <c r="J7" s="21" t="s">
        <v>207</v>
      </c>
      <c r="K7" s="24" t="s">
        <v>208</v>
      </c>
      <c r="L7" s="5" t="s">
        <v>103</v>
      </c>
      <c r="M7" s="3" t="s">
        <v>104</v>
      </c>
      <c r="N7" s="3">
        <v>2</v>
      </c>
    </row>
    <row r="8" s="23" customFormat="1" ht="25" customHeight="1" spans="1:14">
      <c r="A8" s="11">
        <v>2</v>
      </c>
      <c r="B8" s="17" t="str">
        <f>J8&amp;" "&amp;K8</f>
        <v>沉砂池搅拌器 12~20rpm，N=1.5Kw</v>
      </c>
      <c r="C8" s="11" t="str">
        <f t="shared" si="0"/>
        <v>套</v>
      </c>
      <c r="D8" s="18">
        <f t="shared" si="0"/>
        <v>2</v>
      </c>
      <c r="E8" s="18">
        <v>38000</v>
      </c>
      <c r="F8" s="18">
        <f>E8*D8</f>
        <v>76000</v>
      </c>
      <c r="G8" s="18">
        <f>E8*0.08</f>
        <v>3040</v>
      </c>
      <c r="H8" s="18">
        <f>D8*G8</f>
        <v>6080</v>
      </c>
      <c r="I8" s="18"/>
      <c r="J8" s="21" t="s">
        <v>209</v>
      </c>
      <c r="K8" s="21" t="s">
        <v>210</v>
      </c>
      <c r="L8" s="5" t="s">
        <v>103</v>
      </c>
      <c r="M8" s="3" t="s">
        <v>104</v>
      </c>
      <c r="N8" s="3">
        <v>2</v>
      </c>
    </row>
    <row r="9" s="23" customFormat="1" ht="24" customHeight="1" spans="1:14">
      <c r="A9" s="11">
        <v>3</v>
      </c>
      <c r="B9" s="17" t="str">
        <f>J9&amp;" "&amp;K9</f>
        <v>砂水分离器 Q=12~20L/s,N=1.5kw</v>
      </c>
      <c r="C9" s="11" t="str">
        <f t="shared" si="0"/>
        <v>套</v>
      </c>
      <c r="D9" s="18">
        <f t="shared" si="0"/>
        <v>1</v>
      </c>
      <c r="E9" s="18">
        <v>65000</v>
      </c>
      <c r="F9" s="18">
        <f>E9*D9</f>
        <v>65000</v>
      </c>
      <c r="G9" s="18">
        <f>E9*0.08</f>
        <v>5200</v>
      </c>
      <c r="H9" s="18">
        <f>D9*G9</f>
        <v>5200</v>
      </c>
      <c r="I9" s="18"/>
      <c r="J9" s="21" t="s">
        <v>211</v>
      </c>
      <c r="K9" s="21" t="s">
        <v>108</v>
      </c>
      <c r="L9" s="5" t="s">
        <v>109</v>
      </c>
      <c r="M9" s="3" t="s">
        <v>104</v>
      </c>
      <c r="N9" s="3">
        <v>1</v>
      </c>
    </row>
    <row r="10" s="23" customFormat="1" ht="24" customHeight="1" spans="1:14">
      <c r="A10" s="11">
        <v>4</v>
      </c>
      <c r="B10" s="17" t="str">
        <f>J10&amp;" "&amp;K10</f>
        <v>吸砂泵 Q=20~35m3/h,H=6m N=1.4KW</v>
      </c>
      <c r="C10" s="11" t="str">
        <f t="shared" si="0"/>
        <v>个</v>
      </c>
      <c r="D10" s="18">
        <f t="shared" si="0"/>
        <v>4</v>
      </c>
      <c r="E10" s="18">
        <v>8000</v>
      </c>
      <c r="F10" s="18">
        <f>E10*D10</f>
        <v>32000</v>
      </c>
      <c r="G10" s="18">
        <f>E10*0.08</f>
        <v>640</v>
      </c>
      <c r="H10" s="18">
        <f>D10*G10</f>
        <v>2560</v>
      </c>
      <c r="I10" s="18"/>
      <c r="J10" s="21" t="s">
        <v>212</v>
      </c>
      <c r="K10" s="21" t="s">
        <v>111</v>
      </c>
      <c r="L10" s="5" t="s">
        <v>103</v>
      </c>
      <c r="M10" s="3" t="s">
        <v>112</v>
      </c>
      <c r="N10" s="3">
        <v>4</v>
      </c>
    </row>
    <row r="11" s="23" customFormat="1" ht="24" customHeight="1" spans="1:14">
      <c r="A11" s="11">
        <v>5</v>
      </c>
      <c r="B11" s="17" t="s">
        <v>121</v>
      </c>
      <c r="C11" s="11" t="s">
        <v>104</v>
      </c>
      <c r="D11" s="18">
        <v>1</v>
      </c>
      <c r="E11" s="18"/>
      <c r="F11" s="18"/>
      <c r="G11" s="18">
        <f>F6*12%</f>
        <v>50760</v>
      </c>
      <c r="H11" s="18">
        <f>D11*G11</f>
        <v>50760</v>
      </c>
      <c r="I11" s="18"/>
      <c r="J11" s="5"/>
      <c r="K11" s="5"/>
      <c r="L11" s="5"/>
      <c r="M11" s="3"/>
      <c r="N11" s="3"/>
    </row>
    <row r="12" s="1" customFormat="1" ht="26" customHeight="1" spans="1:12">
      <c r="A12" s="14" t="s">
        <v>122</v>
      </c>
      <c r="B12" s="15" t="s">
        <v>213</v>
      </c>
      <c r="C12" s="14"/>
      <c r="D12" s="16"/>
      <c r="E12" s="16"/>
      <c r="F12" s="16">
        <f>SUM(F13:F17)</f>
        <v>1618000</v>
      </c>
      <c r="G12" s="16"/>
      <c r="H12" s="16">
        <f>SUM(H13:H17)</f>
        <v>695740</v>
      </c>
      <c r="I12" s="16"/>
      <c r="J12" s="20"/>
      <c r="K12" s="20"/>
      <c r="L12" s="20"/>
    </row>
    <row r="13" s="23" customFormat="1" ht="27" customHeight="1" spans="1:14">
      <c r="A13" s="11">
        <v>1</v>
      </c>
      <c r="B13" s="17" t="str">
        <f>J13&amp;" "&amp;K13</f>
        <v>底部曝气系统 φ63mm Q=10m3/min</v>
      </c>
      <c r="C13" s="11" t="str">
        <f t="shared" ref="C13:D16" si="1">M13</f>
        <v>套</v>
      </c>
      <c r="D13" s="18">
        <f t="shared" si="1"/>
        <v>900</v>
      </c>
      <c r="E13" s="18">
        <v>380</v>
      </c>
      <c r="F13" s="18">
        <f>E13*D13</f>
        <v>342000</v>
      </c>
      <c r="G13" s="18">
        <f>E13*0.08</f>
        <v>30.4</v>
      </c>
      <c r="H13" s="18">
        <f>D13*G13</f>
        <v>27360</v>
      </c>
      <c r="I13" s="18"/>
      <c r="J13" s="21" t="s">
        <v>214</v>
      </c>
      <c r="K13" s="24" t="s">
        <v>215</v>
      </c>
      <c r="L13" s="5" t="s">
        <v>103</v>
      </c>
      <c r="M13" s="3" t="s">
        <v>104</v>
      </c>
      <c r="N13" s="3">
        <v>900</v>
      </c>
    </row>
    <row r="14" s="23" customFormat="1" ht="40" customHeight="1" spans="1:14">
      <c r="A14" s="11">
        <v>2</v>
      </c>
      <c r="B14" s="17" t="str">
        <f>J14&amp;" "&amp;K14</f>
        <v>内回流泵 Q=400L/S，H=1.5m，P=10kw，变频控制</v>
      </c>
      <c r="C14" s="11" t="str">
        <f t="shared" si="1"/>
        <v>台</v>
      </c>
      <c r="D14" s="18">
        <f t="shared" si="1"/>
        <v>2</v>
      </c>
      <c r="E14" s="18">
        <v>88000</v>
      </c>
      <c r="F14" s="18">
        <f>E14*D14</f>
        <v>176000</v>
      </c>
      <c r="G14" s="18">
        <f>E14*0.08</f>
        <v>7040</v>
      </c>
      <c r="H14" s="18">
        <f>D14*G14</f>
        <v>14080</v>
      </c>
      <c r="I14" s="18"/>
      <c r="J14" s="21" t="s">
        <v>216</v>
      </c>
      <c r="K14" s="21" t="s">
        <v>217</v>
      </c>
      <c r="L14" s="5" t="s">
        <v>103</v>
      </c>
      <c r="M14" s="3" t="s">
        <v>125</v>
      </c>
      <c r="N14" s="3">
        <v>2</v>
      </c>
    </row>
    <row r="15" s="23" customFormat="1" ht="33" customHeight="1" spans="1:14">
      <c r="A15" s="11">
        <v>3</v>
      </c>
      <c r="B15" s="17" t="str">
        <f>J15&amp;" "&amp;K15</f>
        <v>桁车式刮泥机 L=8m，V=1.2m/min</v>
      </c>
      <c r="C15" s="11" t="str">
        <f t="shared" si="1"/>
        <v>套</v>
      </c>
      <c r="D15" s="18">
        <f t="shared" si="1"/>
        <v>2</v>
      </c>
      <c r="E15" s="18">
        <v>250000</v>
      </c>
      <c r="F15" s="18">
        <f>E15*D15</f>
        <v>500000</v>
      </c>
      <c r="G15" s="18">
        <f>E15*0.08</f>
        <v>20000</v>
      </c>
      <c r="H15" s="18">
        <f>D15*G15</f>
        <v>40000</v>
      </c>
      <c r="I15" s="18"/>
      <c r="J15" s="21" t="s">
        <v>218</v>
      </c>
      <c r="K15" s="21" t="s">
        <v>219</v>
      </c>
      <c r="L15" s="5" t="s">
        <v>103</v>
      </c>
      <c r="M15" s="3" t="s">
        <v>104</v>
      </c>
      <c r="N15" s="3">
        <v>2</v>
      </c>
    </row>
    <row r="16" s="23" customFormat="1" ht="34" customHeight="1" spans="1:14">
      <c r="A16" s="11">
        <v>4</v>
      </c>
      <c r="B16" s="17" t="str">
        <f>J16&amp;" "&amp;K16</f>
        <v>磁悬浮风机 Q=90m3/min，H=75KPa，P=132kw</v>
      </c>
      <c r="C16" s="11" t="str">
        <f t="shared" si="1"/>
        <v>台</v>
      </c>
      <c r="D16" s="18">
        <f t="shared" si="1"/>
        <v>1</v>
      </c>
      <c r="E16" s="18">
        <v>600000</v>
      </c>
      <c r="F16" s="18">
        <f>E16*D16</f>
        <v>600000</v>
      </c>
      <c r="G16" s="18">
        <f>E16*0.08</f>
        <v>48000</v>
      </c>
      <c r="H16" s="18">
        <f>D16*G16</f>
        <v>48000</v>
      </c>
      <c r="I16" s="18"/>
      <c r="J16" s="21" t="s">
        <v>220</v>
      </c>
      <c r="K16" s="21" t="s">
        <v>221</v>
      </c>
      <c r="L16" s="5" t="s">
        <v>103</v>
      </c>
      <c r="M16" s="3" t="s">
        <v>125</v>
      </c>
      <c r="N16" s="3">
        <v>1</v>
      </c>
    </row>
    <row r="17" s="23" customFormat="1" ht="31" customHeight="1" spans="1:14">
      <c r="A17" s="11">
        <v>5</v>
      </c>
      <c r="B17" s="17" t="s">
        <v>121</v>
      </c>
      <c r="C17" s="11" t="s">
        <v>104</v>
      </c>
      <c r="D17" s="18">
        <v>1</v>
      </c>
      <c r="E17" s="18"/>
      <c r="F17" s="18"/>
      <c r="G17" s="18">
        <f>F12*35%</f>
        <v>566300</v>
      </c>
      <c r="H17" s="18">
        <f>D17*G17</f>
        <v>566300</v>
      </c>
      <c r="I17" s="18"/>
      <c r="J17" s="5"/>
      <c r="K17" s="5"/>
      <c r="L17" s="5"/>
      <c r="M17" s="3"/>
      <c r="N17" s="3"/>
    </row>
  </sheetData>
  <mergeCells count="13">
    <mergeCell ref="A1:D1"/>
    <mergeCell ref="E1:F1"/>
    <mergeCell ref="G1:H1"/>
    <mergeCell ref="A2:I2"/>
    <mergeCell ref="A3:D3"/>
    <mergeCell ref="E3:F3"/>
    <mergeCell ref="G3:H3"/>
    <mergeCell ref="C4:D4"/>
    <mergeCell ref="E4:F4"/>
    <mergeCell ref="G4:H4"/>
    <mergeCell ref="A4:A5"/>
    <mergeCell ref="B4:B5"/>
    <mergeCell ref="I4:I5"/>
  </mergeCells>
  <pageMargins left="0.7" right="0.7" top="0.75" bottom="0.75" header="0.3" footer="0.3"/>
  <pageSetup paperSize="9" orientation="portrait" horizontalDpi="1200" verticalDpi="12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70"/>
  <sheetViews>
    <sheetView workbookViewId="0">
      <selection activeCell="G7" sqref="G7"/>
    </sheetView>
  </sheetViews>
  <sheetFormatPr defaultColWidth="8" defaultRowHeight="11.25"/>
  <cols>
    <col min="1" max="1" width="5.625" style="2" customWidth="1"/>
    <col min="2" max="2" width="25.625" style="3" customWidth="1"/>
    <col min="3" max="3" width="6.25" style="2" customWidth="1"/>
    <col min="4" max="4" width="7.5" style="4" customWidth="1"/>
    <col min="5" max="5" width="12.125" style="3" customWidth="1"/>
    <col min="6" max="6" width="12.875" style="3" customWidth="1"/>
    <col min="7" max="7" width="12.125" style="3" customWidth="1"/>
    <col min="8" max="8" width="12.875" style="3" customWidth="1"/>
    <col min="9" max="9" width="11.625" style="3" customWidth="1"/>
    <col min="10" max="10" width="14.5" style="5" customWidth="1"/>
    <col min="11" max="11" width="18" style="5" customWidth="1"/>
    <col min="12" max="12" width="8" style="5" customWidth="1"/>
    <col min="13" max="16384" width="8" style="3"/>
  </cols>
  <sheetData>
    <row r="1" ht="14.25" customHeight="1" spans="1:9">
      <c r="A1" s="6" t="s">
        <v>92</v>
      </c>
      <c r="B1" s="6" t="s">
        <v>92</v>
      </c>
      <c r="C1" s="6" t="s">
        <v>92</v>
      </c>
      <c r="D1" s="6" t="s">
        <v>92</v>
      </c>
      <c r="E1" s="7" t="s">
        <v>92</v>
      </c>
      <c r="F1" s="7" t="s">
        <v>92</v>
      </c>
      <c r="G1" s="7" t="s">
        <v>92</v>
      </c>
      <c r="H1" s="7" t="s">
        <v>92</v>
      </c>
      <c r="I1" s="7"/>
    </row>
    <row r="2" ht="23.25" customHeight="1" spans="1:9">
      <c r="A2" s="8" t="s">
        <v>93</v>
      </c>
      <c r="B2" s="8"/>
      <c r="C2" s="8"/>
      <c r="D2" s="8"/>
      <c r="E2" s="8"/>
      <c r="F2" s="8"/>
      <c r="G2" s="8"/>
      <c r="H2" s="8"/>
      <c r="I2" s="8"/>
    </row>
    <row r="3" ht="14.25" customHeight="1" spans="1:9">
      <c r="A3" s="9" t="s">
        <v>222</v>
      </c>
      <c r="B3" s="9" t="s">
        <v>92</v>
      </c>
      <c r="C3" s="9" t="s">
        <v>92</v>
      </c>
      <c r="D3" s="9" t="s">
        <v>92</v>
      </c>
      <c r="E3" s="10" t="s">
        <v>92</v>
      </c>
      <c r="F3" s="10" t="s">
        <v>92</v>
      </c>
      <c r="G3" s="10" t="s">
        <v>92</v>
      </c>
      <c r="H3" s="10" t="s">
        <v>92</v>
      </c>
      <c r="I3" s="10"/>
    </row>
    <row r="4" ht="16.5" customHeight="1" spans="1:12">
      <c r="A4" s="11" t="s">
        <v>1</v>
      </c>
      <c r="B4" s="11" t="s">
        <v>95</v>
      </c>
      <c r="C4" s="11" t="s">
        <v>96</v>
      </c>
      <c r="D4" s="11" t="s">
        <v>92</v>
      </c>
      <c r="E4" s="12" t="s">
        <v>7</v>
      </c>
      <c r="F4" s="13"/>
      <c r="G4" s="12" t="s">
        <v>8</v>
      </c>
      <c r="H4" s="13"/>
      <c r="I4" s="11" t="s">
        <v>97</v>
      </c>
      <c r="J4" s="19"/>
      <c r="K4" s="19">
        <f>2.8*0.1*0.01*7850*30</f>
        <v>659.4</v>
      </c>
      <c r="L4" s="19"/>
    </row>
    <row r="5" ht="16.5" customHeight="1" spans="1:9">
      <c r="A5" s="11" t="s">
        <v>92</v>
      </c>
      <c r="B5" s="11" t="s">
        <v>92</v>
      </c>
      <c r="C5" s="11" t="s">
        <v>11</v>
      </c>
      <c r="D5" s="11" t="s">
        <v>12</v>
      </c>
      <c r="E5" s="11" t="s">
        <v>98</v>
      </c>
      <c r="F5" s="11" t="s">
        <v>99</v>
      </c>
      <c r="G5" s="11" t="s">
        <v>98</v>
      </c>
      <c r="H5" s="11" t="s">
        <v>99</v>
      </c>
      <c r="I5" s="11"/>
    </row>
    <row r="6" s="1" customFormat="1" ht="16.5" customHeight="1" spans="1:12">
      <c r="A6" s="14" t="s">
        <v>100</v>
      </c>
      <c r="B6" s="15" t="s">
        <v>56</v>
      </c>
      <c r="C6" s="14"/>
      <c r="D6" s="16"/>
      <c r="E6" s="16"/>
      <c r="F6" s="16">
        <f>SUM(F7:F42)</f>
        <v>1864500</v>
      </c>
      <c r="G6" s="16"/>
      <c r="H6" s="16">
        <f>SUM(H7:H42)</f>
        <v>984610</v>
      </c>
      <c r="I6" s="16"/>
      <c r="J6" s="20"/>
      <c r="K6" s="20"/>
      <c r="L6" s="20"/>
    </row>
    <row r="7" ht="16.5" customHeight="1" spans="1:13">
      <c r="A7" s="11">
        <v>1</v>
      </c>
      <c r="B7" s="17" t="str">
        <f t="shared" ref="B7:B42" si="0">J7&amp;" "&amp;K7</f>
        <v>高压柜 KYN28A-12</v>
      </c>
      <c r="C7" s="11" t="str">
        <f t="shared" ref="C7:D22" si="1">L7</f>
        <v>面</v>
      </c>
      <c r="D7" s="18">
        <f t="shared" si="1"/>
        <v>4</v>
      </c>
      <c r="E7" s="18">
        <v>80000</v>
      </c>
      <c r="F7" s="18">
        <f>E7*D7</f>
        <v>320000</v>
      </c>
      <c r="G7" s="18">
        <f>E7*0.08</f>
        <v>6400</v>
      </c>
      <c r="H7" s="18">
        <f>D7*G7</f>
        <v>25600</v>
      </c>
      <c r="I7" s="18"/>
      <c r="J7" s="21" t="s">
        <v>223</v>
      </c>
      <c r="K7" s="21" t="s">
        <v>224</v>
      </c>
      <c r="L7" s="5" t="s">
        <v>225</v>
      </c>
      <c r="M7" s="3">
        <v>4</v>
      </c>
    </row>
    <row r="8" ht="16.5" customHeight="1" spans="1:13">
      <c r="A8" s="11">
        <v>2</v>
      </c>
      <c r="B8" s="17" t="str">
        <f t="shared" si="0"/>
        <v>干式变压器 SCB13-10/0.4kV 400kVA</v>
      </c>
      <c r="C8" s="11" t="str">
        <f t="shared" si="1"/>
        <v>台</v>
      </c>
      <c r="D8" s="18">
        <f t="shared" si="1"/>
        <v>2</v>
      </c>
      <c r="E8" s="18">
        <v>100000</v>
      </c>
      <c r="F8" s="18">
        <f>E8*D8</f>
        <v>200000</v>
      </c>
      <c r="G8" s="18">
        <f t="shared" ref="G8:G22" si="2">E8*0.08</f>
        <v>8000</v>
      </c>
      <c r="H8" s="18">
        <f t="shared" ref="H8:H42" si="3">D8*G8</f>
        <v>16000</v>
      </c>
      <c r="I8" s="18"/>
      <c r="J8" s="5" t="s">
        <v>226</v>
      </c>
      <c r="K8" s="21" t="s">
        <v>227</v>
      </c>
      <c r="L8" s="5" t="s">
        <v>125</v>
      </c>
      <c r="M8" s="3">
        <v>2</v>
      </c>
    </row>
    <row r="9" ht="16.5" customHeight="1" spans="1:13">
      <c r="A9" s="11">
        <v>3</v>
      </c>
      <c r="B9" s="17" t="str">
        <f t="shared" si="0"/>
        <v>组合式0.4kV配电柜 MNS 抽出固定组合型</v>
      </c>
      <c r="C9" s="11" t="str">
        <f t="shared" si="1"/>
        <v>面</v>
      </c>
      <c r="D9" s="18">
        <f t="shared" si="1"/>
        <v>2</v>
      </c>
      <c r="E9" s="18">
        <v>95000</v>
      </c>
      <c r="F9" s="18">
        <f>E9*D9</f>
        <v>190000</v>
      </c>
      <c r="G9" s="18">
        <f t="shared" si="2"/>
        <v>7600</v>
      </c>
      <c r="H9" s="18">
        <f t="shared" si="3"/>
        <v>15200</v>
      </c>
      <c r="I9" s="22" t="s">
        <v>228</v>
      </c>
      <c r="J9" s="5" t="s">
        <v>229</v>
      </c>
      <c r="K9" s="21" t="s">
        <v>230</v>
      </c>
      <c r="L9" s="5" t="s">
        <v>225</v>
      </c>
      <c r="M9" s="3">
        <v>2</v>
      </c>
    </row>
    <row r="10" ht="16.5" customHeight="1" spans="1:13">
      <c r="A10" s="11">
        <v>4</v>
      </c>
      <c r="B10" s="17" t="str">
        <f t="shared" si="0"/>
        <v>组合式0.4kV配电柜 MNS 抽出固定组合型</v>
      </c>
      <c r="C10" s="11" t="str">
        <f t="shared" si="1"/>
        <v>面</v>
      </c>
      <c r="D10" s="18">
        <f t="shared" si="1"/>
        <v>1</v>
      </c>
      <c r="E10" s="18">
        <v>80000</v>
      </c>
      <c r="F10" s="18">
        <f>E10*D10</f>
        <v>80000</v>
      </c>
      <c r="G10" s="18">
        <f t="shared" si="2"/>
        <v>6400</v>
      </c>
      <c r="H10" s="18">
        <f t="shared" si="3"/>
        <v>6400</v>
      </c>
      <c r="I10" s="22" t="s">
        <v>231</v>
      </c>
      <c r="J10" s="5" t="s">
        <v>229</v>
      </c>
      <c r="K10" s="21" t="s">
        <v>230</v>
      </c>
      <c r="L10" s="5" t="s">
        <v>225</v>
      </c>
      <c r="M10" s="3">
        <v>1</v>
      </c>
    </row>
    <row r="11" ht="16.5" customHeight="1" spans="1:13">
      <c r="A11" s="11">
        <v>5</v>
      </c>
      <c r="B11" s="17" t="str">
        <f t="shared" si="0"/>
        <v>组合式0.4kV配电柜 MNS 抽出固定组合型</v>
      </c>
      <c r="C11" s="11" t="str">
        <f>L11</f>
        <v>面</v>
      </c>
      <c r="D11" s="18">
        <f t="shared" si="1"/>
        <v>4</v>
      </c>
      <c r="E11" s="18">
        <v>60000</v>
      </c>
      <c r="F11" s="18">
        <f t="shared" ref="F11:F22" si="4">E11*D11</f>
        <v>240000</v>
      </c>
      <c r="G11" s="18">
        <f t="shared" si="2"/>
        <v>4800</v>
      </c>
      <c r="H11" s="18">
        <f t="shared" si="3"/>
        <v>19200</v>
      </c>
      <c r="I11" s="22" t="s">
        <v>232</v>
      </c>
      <c r="J11" s="5" t="s">
        <v>229</v>
      </c>
      <c r="K11" s="21" t="s">
        <v>230</v>
      </c>
      <c r="L11" s="5" t="s">
        <v>225</v>
      </c>
      <c r="M11" s="3">
        <v>4</v>
      </c>
    </row>
    <row r="12" ht="16.5" customHeight="1" spans="1:13">
      <c r="A12" s="11">
        <v>6</v>
      </c>
      <c r="B12" s="17" t="str">
        <f t="shared" si="0"/>
        <v>无功补偿柜 120kVar/面</v>
      </c>
      <c r="C12" s="11" t="str">
        <f t="shared" si="1"/>
        <v>面</v>
      </c>
      <c r="D12" s="18">
        <f t="shared" si="1"/>
        <v>2</v>
      </c>
      <c r="E12" s="18">
        <v>66000</v>
      </c>
      <c r="F12" s="18">
        <f t="shared" si="4"/>
        <v>132000</v>
      </c>
      <c r="G12" s="18">
        <f t="shared" si="2"/>
        <v>5280</v>
      </c>
      <c r="H12" s="18">
        <f t="shared" si="3"/>
        <v>10560</v>
      </c>
      <c r="I12" s="18"/>
      <c r="J12" s="21" t="s">
        <v>233</v>
      </c>
      <c r="K12" s="21" t="s">
        <v>234</v>
      </c>
      <c r="L12" s="5" t="s">
        <v>225</v>
      </c>
      <c r="M12" s="3">
        <v>2</v>
      </c>
    </row>
    <row r="13" ht="16.5" customHeight="1" spans="1:13">
      <c r="A13" s="11">
        <v>7</v>
      </c>
      <c r="B13" s="17" t="str">
        <f t="shared" si="0"/>
        <v>有源滤波柜 120A</v>
      </c>
      <c r="C13" s="11" t="str">
        <f t="shared" si="1"/>
        <v>面</v>
      </c>
      <c r="D13" s="18">
        <f t="shared" si="1"/>
        <v>2</v>
      </c>
      <c r="E13" s="18">
        <v>100000</v>
      </c>
      <c r="F13" s="18">
        <f t="shared" si="4"/>
        <v>200000</v>
      </c>
      <c r="G13" s="18">
        <f t="shared" si="2"/>
        <v>8000</v>
      </c>
      <c r="H13" s="18">
        <f t="shared" si="3"/>
        <v>16000</v>
      </c>
      <c r="I13" s="18"/>
      <c r="J13" s="5" t="s">
        <v>235</v>
      </c>
      <c r="K13" s="21" t="s">
        <v>236</v>
      </c>
      <c r="L13" s="5" t="s">
        <v>225</v>
      </c>
      <c r="M13" s="3">
        <v>2</v>
      </c>
    </row>
    <row r="14" ht="16.5" customHeight="1" spans="1:13">
      <c r="A14" s="11">
        <v>8</v>
      </c>
      <c r="B14" s="17" t="str">
        <f t="shared" si="0"/>
        <v>直流电源屏 65Ah  DC220V </v>
      </c>
      <c r="C14" s="11" t="str">
        <f t="shared" si="1"/>
        <v>套</v>
      </c>
      <c r="D14" s="18">
        <f t="shared" si="1"/>
        <v>1</v>
      </c>
      <c r="E14" s="18">
        <v>60000</v>
      </c>
      <c r="F14" s="18">
        <f t="shared" si="4"/>
        <v>60000</v>
      </c>
      <c r="G14" s="18">
        <f t="shared" si="2"/>
        <v>4800</v>
      </c>
      <c r="H14" s="18">
        <f t="shared" si="3"/>
        <v>4800</v>
      </c>
      <c r="I14" s="18"/>
      <c r="J14" s="21" t="s">
        <v>237</v>
      </c>
      <c r="K14" s="21" t="s">
        <v>238</v>
      </c>
      <c r="L14" s="5" t="s">
        <v>104</v>
      </c>
      <c r="M14" s="3">
        <v>1</v>
      </c>
    </row>
    <row r="15" ht="16.5" customHeight="1" spans="1:13">
      <c r="A15" s="11">
        <v>9</v>
      </c>
      <c r="B15" s="17" t="str">
        <f t="shared" si="0"/>
        <v>组合式0.4kV配电柜 MNS 抽出固定组合型</v>
      </c>
      <c r="C15" s="11" t="str">
        <f t="shared" si="1"/>
        <v>面</v>
      </c>
      <c r="D15" s="18">
        <f t="shared" si="1"/>
        <v>2</v>
      </c>
      <c r="E15" s="18">
        <v>48000</v>
      </c>
      <c r="F15" s="18">
        <f t="shared" si="4"/>
        <v>96000</v>
      </c>
      <c r="G15" s="18">
        <f t="shared" si="2"/>
        <v>3840</v>
      </c>
      <c r="H15" s="18">
        <f t="shared" si="3"/>
        <v>7680</v>
      </c>
      <c r="I15" s="22" t="s">
        <v>239</v>
      </c>
      <c r="J15" s="5" t="s">
        <v>229</v>
      </c>
      <c r="K15" s="21" t="s">
        <v>230</v>
      </c>
      <c r="L15" s="5" t="s">
        <v>225</v>
      </c>
      <c r="M15" s="3">
        <v>2</v>
      </c>
    </row>
    <row r="16" ht="16.5" customHeight="1" spans="1:13">
      <c r="A16" s="11">
        <v>10</v>
      </c>
      <c r="B16" s="17" t="str">
        <f t="shared" si="0"/>
        <v>组合式0.4kV配电柜 MNS 抽出固定组合型</v>
      </c>
      <c r="C16" s="11" t="str">
        <f t="shared" si="1"/>
        <v>面</v>
      </c>
      <c r="D16" s="18">
        <f t="shared" si="1"/>
        <v>2</v>
      </c>
      <c r="E16" s="18">
        <v>32000</v>
      </c>
      <c r="F16" s="18">
        <f t="shared" si="4"/>
        <v>64000</v>
      </c>
      <c r="G16" s="18">
        <f t="shared" si="2"/>
        <v>2560</v>
      </c>
      <c r="H16" s="18">
        <f t="shared" si="3"/>
        <v>5120</v>
      </c>
      <c r="I16" s="22" t="s">
        <v>240</v>
      </c>
      <c r="J16" s="21" t="s">
        <v>229</v>
      </c>
      <c r="K16" s="21" t="s">
        <v>230</v>
      </c>
      <c r="L16" s="5" t="s">
        <v>225</v>
      </c>
      <c r="M16" s="3">
        <v>2</v>
      </c>
    </row>
    <row r="17" ht="16.5" customHeight="1" spans="1:13">
      <c r="A17" s="11">
        <v>11</v>
      </c>
      <c r="B17" s="17" t="str">
        <f t="shared" si="0"/>
        <v>变频器 132kW</v>
      </c>
      <c r="C17" s="11" t="str">
        <f t="shared" si="1"/>
        <v>台</v>
      </c>
      <c r="D17" s="18">
        <f t="shared" si="1"/>
        <v>3</v>
      </c>
      <c r="E17" s="18">
        <v>50000</v>
      </c>
      <c r="F17" s="18">
        <f t="shared" si="4"/>
        <v>150000</v>
      </c>
      <c r="G17" s="18">
        <f t="shared" si="2"/>
        <v>4000</v>
      </c>
      <c r="H17" s="18">
        <f t="shared" si="3"/>
        <v>12000</v>
      </c>
      <c r="I17" s="18"/>
      <c r="J17" s="5" t="s">
        <v>241</v>
      </c>
      <c r="K17" s="21" t="s">
        <v>242</v>
      </c>
      <c r="L17" s="5" t="s">
        <v>125</v>
      </c>
      <c r="M17" s="3">
        <v>3</v>
      </c>
    </row>
    <row r="18" ht="16.5" customHeight="1" spans="1:13">
      <c r="A18" s="11">
        <v>12</v>
      </c>
      <c r="B18" s="17" t="str">
        <f t="shared" si="0"/>
        <v>变频器 30kW</v>
      </c>
      <c r="C18" s="11" t="str">
        <f t="shared" si="1"/>
        <v>台</v>
      </c>
      <c r="D18" s="18">
        <f t="shared" si="1"/>
        <v>2</v>
      </c>
      <c r="E18" s="18">
        <v>12000</v>
      </c>
      <c r="F18" s="18">
        <f t="shared" si="4"/>
        <v>24000</v>
      </c>
      <c r="G18" s="18">
        <f t="shared" si="2"/>
        <v>960</v>
      </c>
      <c r="H18" s="18">
        <f t="shared" si="3"/>
        <v>1920</v>
      </c>
      <c r="I18" s="18"/>
      <c r="J18" s="5" t="s">
        <v>241</v>
      </c>
      <c r="K18" s="21" t="s">
        <v>243</v>
      </c>
      <c r="L18" s="5" t="s">
        <v>125</v>
      </c>
      <c r="M18" s="3">
        <v>2</v>
      </c>
    </row>
    <row r="19" ht="16.5" customHeight="1" spans="1:13">
      <c r="A19" s="11">
        <v>13</v>
      </c>
      <c r="B19" s="17" t="str">
        <f t="shared" si="0"/>
        <v>变频器 22kW</v>
      </c>
      <c r="C19" s="11" t="str">
        <f t="shared" si="1"/>
        <v>台</v>
      </c>
      <c r="D19" s="18">
        <f t="shared" si="1"/>
        <v>4</v>
      </c>
      <c r="E19" s="18">
        <v>8000</v>
      </c>
      <c r="F19" s="18">
        <f t="shared" si="4"/>
        <v>32000</v>
      </c>
      <c r="G19" s="18">
        <f t="shared" si="2"/>
        <v>640</v>
      </c>
      <c r="H19" s="18">
        <f t="shared" si="3"/>
        <v>2560</v>
      </c>
      <c r="I19" s="18"/>
      <c r="J19" s="5" t="s">
        <v>241</v>
      </c>
      <c r="K19" s="21" t="s">
        <v>244</v>
      </c>
      <c r="L19" s="5" t="s">
        <v>125</v>
      </c>
      <c r="M19" s="3">
        <v>4</v>
      </c>
    </row>
    <row r="20" ht="16.5" customHeight="1" spans="1:13">
      <c r="A20" s="11">
        <v>14</v>
      </c>
      <c r="B20" s="17" t="str">
        <f t="shared" si="0"/>
        <v>变频器 1.5kW</v>
      </c>
      <c r="C20" s="11" t="str">
        <f t="shared" si="1"/>
        <v>台</v>
      </c>
      <c r="D20" s="18">
        <f t="shared" si="1"/>
        <v>2</v>
      </c>
      <c r="E20" s="18">
        <v>2000</v>
      </c>
      <c r="F20" s="18">
        <f t="shared" si="4"/>
        <v>4000</v>
      </c>
      <c r="G20" s="18">
        <f t="shared" si="2"/>
        <v>160</v>
      </c>
      <c r="H20" s="18">
        <f t="shared" si="3"/>
        <v>320</v>
      </c>
      <c r="I20" s="18"/>
      <c r="J20" s="21" t="s">
        <v>241</v>
      </c>
      <c r="K20" s="21" t="s">
        <v>245</v>
      </c>
      <c r="L20" s="5" t="s">
        <v>125</v>
      </c>
      <c r="M20" s="3">
        <v>2</v>
      </c>
    </row>
    <row r="21" ht="16.5" customHeight="1" spans="1:13">
      <c r="A21" s="11">
        <v>15</v>
      </c>
      <c r="B21" s="17" t="str">
        <f t="shared" si="0"/>
        <v>密集型插接式母线槽 800A</v>
      </c>
      <c r="C21" s="11" t="str">
        <f t="shared" si="1"/>
        <v>米</v>
      </c>
      <c r="D21" s="18">
        <f t="shared" si="1"/>
        <v>15</v>
      </c>
      <c r="E21" s="18">
        <v>3500</v>
      </c>
      <c r="F21" s="18">
        <f t="shared" si="4"/>
        <v>52500</v>
      </c>
      <c r="G21" s="18">
        <f t="shared" si="2"/>
        <v>280</v>
      </c>
      <c r="H21" s="18">
        <f t="shared" si="3"/>
        <v>4200</v>
      </c>
      <c r="I21" s="18"/>
      <c r="J21" s="5" t="s">
        <v>246</v>
      </c>
      <c r="K21" s="21" t="s">
        <v>247</v>
      </c>
      <c r="L21" s="5" t="s">
        <v>248</v>
      </c>
      <c r="M21" s="3">
        <v>15</v>
      </c>
    </row>
    <row r="22" ht="16.5" customHeight="1" spans="1:13">
      <c r="A22" s="11">
        <v>16</v>
      </c>
      <c r="B22" s="17" t="str">
        <f t="shared" si="0"/>
        <v>动力、照明配电箱 TXA系列，嵌墙暗装</v>
      </c>
      <c r="C22" s="11" t="str">
        <f t="shared" si="1"/>
        <v>个</v>
      </c>
      <c r="D22" s="18">
        <f t="shared" si="1"/>
        <v>5</v>
      </c>
      <c r="E22" s="18">
        <v>4000</v>
      </c>
      <c r="F22" s="18">
        <f t="shared" si="4"/>
        <v>20000</v>
      </c>
      <c r="G22" s="18">
        <f t="shared" si="2"/>
        <v>320</v>
      </c>
      <c r="H22" s="18">
        <f t="shared" si="3"/>
        <v>1600</v>
      </c>
      <c r="I22" s="18"/>
      <c r="J22" s="5" t="s">
        <v>249</v>
      </c>
      <c r="K22" s="21" t="s">
        <v>250</v>
      </c>
      <c r="L22" s="5" t="s">
        <v>112</v>
      </c>
      <c r="M22" s="3">
        <v>5</v>
      </c>
    </row>
    <row r="23" ht="16.5" customHeight="1" spans="1:14">
      <c r="A23" s="11">
        <v>17</v>
      </c>
      <c r="B23" s="17" t="str">
        <f t="shared" si="0"/>
        <v>电力电缆 YJV-1kV-3x240+1x120</v>
      </c>
      <c r="C23" s="11" t="str">
        <f t="shared" ref="C23:D40" si="5">L23</f>
        <v>米</v>
      </c>
      <c r="D23" s="18">
        <f t="shared" si="5"/>
        <v>150</v>
      </c>
      <c r="E23" s="18"/>
      <c r="F23" s="18"/>
      <c r="G23" s="18">
        <v>720</v>
      </c>
      <c r="H23" s="18">
        <f t="shared" si="3"/>
        <v>108000</v>
      </c>
      <c r="I23" s="18"/>
      <c r="J23" s="5" t="s">
        <v>251</v>
      </c>
      <c r="K23" s="21" t="s">
        <v>252</v>
      </c>
      <c r="L23" s="5" t="s">
        <v>248</v>
      </c>
      <c r="M23" s="3">
        <v>150</v>
      </c>
      <c r="N23" s="3">
        <f>3*240+120</f>
        <v>840</v>
      </c>
    </row>
    <row r="24" ht="16.5" customHeight="1" spans="1:14">
      <c r="A24" s="11">
        <v>18</v>
      </c>
      <c r="B24" s="17" t="str">
        <f t="shared" si="0"/>
        <v>电力电缆 YJV-1kV-3x185+2x95</v>
      </c>
      <c r="C24" s="11" t="str">
        <f t="shared" si="5"/>
        <v>米</v>
      </c>
      <c r="D24" s="18">
        <f t="shared" si="5"/>
        <v>250</v>
      </c>
      <c r="E24" s="18"/>
      <c r="F24" s="18"/>
      <c r="G24" s="18">
        <v>650</v>
      </c>
      <c r="H24" s="18">
        <f t="shared" si="3"/>
        <v>162500</v>
      </c>
      <c r="I24" s="18"/>
      <c r="J24" s="5" t="s">
        <v>251</v>
      </c>
      <c r="K24" s="21" t="s">
        <v>253</v>
      </c>
      <c r="L24" s="5" t="s">
        <v>248</v>
      </c>
      <c r="M24" s="3">
        <v>250</v>
      </c>
      <c r="N24" s="3">
        <f>3*185+2*95</f>
        <v>745</v>
      </c>
    </row>
    <row r="25" ht="16.5" customHeight="1" spans="1:13">
      <c r="A25" s="11">
        <v>19</v>
      </c>
      <c r="B25" s="17" t="str">
        <f t="shared" si="0"/>
        <v>电力电缆 YJV-1kV-3x150+2x70</v>
      </c>
      <c r="C25" s="11" t="str">
        <f t="shared" si="5"/>
        <v>米</v>
      </c>
      <c r="D25" s="18">
        <f>M25</f>
        <v>200</v>
      </c>
      <c r="E25" s="18"/>
      <c r="F25" s="18"/>
      <c r="G25" s="18">
        <v>550</v>
      </c>
      <c r="H25" s="18">
        <f t="shared" si="3"/>
        <v>110000</v>
      </c>
      <c r="I25" s="18"/>
      <c r="J25" s="5" t="s">
        <v>251</v>
      </c>
      <c r="K25" s="21" t="s">
        <v>254</v>
      </c>
      <c r="L25" s="5" t="s">
        <v>248</v>
      </c>
      <c r="M25" s="3">
        <v>200</v>
      </c>
    </row>
    <row r="26" ht="16.5" customHeight="1" spans="1:13">
      <c r="A26" s="11">
        <v>20</v>
      </c>
      <c r="B26" s="17" t="str">
        <f t="shared" si="0"/>
        <v>电力电缆 YJV-1kV-3x70+1x35</v>
      </c>
      <c r="C26" s="11" t="str">
        <f t="shared" si="5"/>
        <v>米</v>
      </c>
      <c r="D26" s="18">
        <f t="shared" si="5"/>
        <v>250</v>
      </c>
      <c r="E26" s="18"/>
      <c r="F26" s="18"/>
      <c r="G26" s="18">
        <v>235</v>
      </c>
      <c r="H26" s="18">
        <f t="shared" si="3"/>
        <v>58750</v>
      </c>
      <c r="I26" s="18"/>
      <c r="J26" s="21" t="s">
        <v>251</v>
      </c>
      <c r="K26" s="21" t="s">
        <v>255</v>
      </c>
      <c r="L26" s="5" t="s">
        <v>248</v>
      </c>
      <c r="M26" s="3">
        <v>250</v>
      </c>
    </row>
    <row r="27" ht="16.5" customHeight="1" spans="1:13">
      <c r="A27" s="11">
        <v>21</v>
      </c>
      <c r="B27" s="17" t="str">
        <f t="shared" si="0"/>
        <v>电力电缆 YJV-1kV-3x50+1x25</v>
      </c>
      <c r="C27" s="11" t="str">
        <f t="shared" si="5"/>
        <v>米</v>
      </c>
      <c r="D27" s="18">
        <f t="shared" si="5"/>
        <v>350</v>
      </c>
      <c r="E27" s="18"/>
      <c r="F27" s="18"/>
      <c r="G27" s="18">
        <v>180</v>
      </c>
      <c r="H27" s="18">
        <f t="shared" si="3"/>
        <v>63000</v>
      </c>
      <c r="I27" s="18"/>
      <c r="J27" s="5" t="s">
        <v>251</v>
      </c>
      <c r="K27" s="21" t="s">
        <v>256</v>
      </c>
      <c r="L27" s="5" t="s">
        <v>248</v>
      </c>
      <c r="M27" s="3">
        <v>350</v>
      </c>
    </row>
    <row r="28" ht="16.5" customHeight="1" spans="1:13">
      <c r="A28" s="11">
        <v>22</v>
      </c>
      <c r="B28" s="17" t="str">
        <f t="shared" si="0"/>
        <v>电力电缆 YJV-1kV-5x10</v>
      </c>
      <c r="C28" s="11" t="str">
        <f t="shared" si="5"/>
        <v>米</v>
      </c>
      <c r="D28" s="18">
        <f>M28</f>
        <v>500</v>
      </c>
      <c r="E28" s="18"/>
      <c r="F28" s="18"/>
      <c r="G28" s="18">
        <v>60</v>
      </c>
      <c r="H28" s="18">
        <f t="shared" si="3"/>
        <v>30000</v>
      </c>
      <c r="I28" s="18"/>
      <c r="J28" s="5" t="s">
        <v>251</v>
      </c>
      <c r="K28" s="21" t="s">
        <v>257</v>
      </c>
      <c r="L28" s="5" t="s">
        <v>248</v>
      </c>
      <c r="M28" s="3">
        <v>500</v>
      </c>
    </row>
    <row r="29" ht="16.5" customHeight="1" spans="1:13">
      <c r="A29" s="11">
        <v>23</v>
      </c>
      <c r="B29" s="17" t="str">
        <f t="shared" si="0"/>
        <v>电力电缆 YJV-1kV-5x6</v>
      </c>
      <c r="C29" s="11" t="str">
        <f t="shared" si="5"/>
        <v>米</v>
      </c>
      <c r="D29" s="18">
        <f>M29</f>
        <v>500</v>
      </c>
      <c r="E29" s="18"/>
      <c r="F29" s="18"/>
      <c r="G29" s="18">
        <v>40</v>
      </c>
      <c r="H29" s="18">
        <f t="shared" si="3"/>
        <v>20000</v>
      </c>
      <c r="I29" s="18"/>
      <c r="J29" s="5" t="s">
        <v>251</v>
      </c>
      <c r="K29" s="21" t="s">
        <v>258</v>
      </c>
      <c r="L29" s="5" t="s">
        <v>248</v>
      </c>
      <c r="M29" s="3">
        <v>500</v>
      </c>
    </row>
    <row r="30" ht="16.5" customHeight="1" spans="1:13">
      <c r="A30" s="11">
        <v>24</v>
      </c>
      <c r="B30" s="17" t="str">
        <f t="shared" si="0"/>
        <v>电力电缆 YJV-1kV-4x6</v>
      </c>
      <c r="C30" s="11" t="str">
        <f t="shared" si="5"/>
        <v>米</v>
      </c>
      <c r="D30" s="18">
        <f>M30</f>
        <v>500</v>
      </c>
      <c r="E30" s="18"/>
      <c r="F30" s="18"/>
      <c r="G30" s="18">
        <v>30</v>
      </c>
      <c r="H30" s="18">
        <f t="shared" si="3"/>
        <v>15000</v>
      </c>
      <c r="I30" s="18"/>
      <c r="J30" s="5" t="s">
        <v>251</v>
      </c>
      <c r="K30" s="21" t="s">
        <v>259</v>
      </c>
      <c r="L30" s="5" t="s">
        <v>248</v>
      </c>
      <c r="M30" s="3">
        <v>500</v>
      </c>
    </row>
    <row r="31" ht="16.5" customHeight="1" spans="1:13">
      <c r="A31" s="11">
        <v>25</v>
      </c>
      <c r="B31" s="17" t="str">
        <f t="shared" si="0"/>
        <v>电力电缆 YJV-1kV-4x4</v>
      </c>
      <c r="C31" s="11" t="str">
        <f t="shared" si="5"/>
        <v>米</v>
      </c>
      <c r="D31" s="18">
        <f>M31</f>
        <v>1000</v>
      </c>
      <c r="E31" s="18"/>
      <c r="F31" s="18"/>
      <c r="G31" s="18">
        <v>25</v>
      </c>
      <c r="H31" s="18">
        <f t="shared" si="3"/>
        <v>25000</v>
      </c>
      <c r="I31" s="18"/>
      <c r="J31" s="5" t="s">
        <v>251</v>
      </c>
      <c r="K31" s="21" t="s">
        <v>260</v>
      </c>
      <c r="L31" s="5" t="s">
        <v>248</v>
      </c>
      <c r="M31" s="3">
        <v>1000</v>
      </c>
    </row>
    <row r="32" ht="16.5" customHeight="1" spans="1:13">
      <c r="A32" s="11">
        <v>26</v>
      </c>
      <c r="B32" s="17" t="str">
        <f t="shared" si="0"/>
        <v>控制电缆 KVV-0.45kV-14x1.5</v>
      </c>
      <c r="C32" s="11" t="str">
        <f t="shared" si="5"/>
        <v>米</v>
      </c>
      <c r="D32" s="18">
        <f t="shared" si="5"/>
        <v>2000</v>
      </c>
      <c r="E32" s="18"/>
      <c r="F32" s="18"/>
      <c r="G32" s="18">
        <v>36</v>
      </c>
      <c r="H32" s="18">
        <f t="shared" si="3"/>
        <v>72000</v>
      </c>
      <c r="I32" s="18"/>
      <c r="J32" s="5" t="s">
        <v>261</v>
      </c>
      <c r="K32" s="21" t="s">
        <v>262</v>
      </c>
      <c r="L32" s="5" t="s">
        <v>248</v>
      </c>
      <c r="M32" s="3">
        <v>2000</v>
      </c>
    </row>
    <row r="33" ht="16.5" customHeight="1" spans="1:13">
      <c r="A33" s="11">
        <v>27</v>
      </c>
      <c r="B33" s="17" t="str">
        <f t="shared" si="0"/>
        <v>BV导线 2.5mm2</v>
      </c>
      <c r="C33" s="11" t="str">
        <f t="shared" si="5"/>
        <v>米</v>
      </c>
      <c r="D33" s="18">
        <f t="shared" si="5"/>
        <v>600</v>
      </c>
      <c r="E33" s="18"/>
      <c r="F33" s="18"/>
      <c r="G33" s="18">
        <v>4</v>
      </c>
      <c r="H33" s="18">
        <f t="shared" si="3"/>
        <v>2400</v>
      </c>
      <c r="I33" s="18"/>
      <c r="J33" s="5" t="s">
        <v>263</v>
      </c>
      <c r="K33" s="21" t="s">
        <v>264</v>
      </c>
      <c r="L33" s="5" t="s">
        <v>248</v>
      </c>
      <c r="M33" s="3">
        <v>600</v>
      </c>
    </row>
    <row r="34" ht="16.5" customHeight="1" spans="1:13">
      <c r="A34" s="11">
        <v>28</v>
      </c>
      <c r="B34" s="17" t="str">
        <f t="shared" si="0"/>
        <v>BV导线 4mm2</v>
      </c>
      <c r="C34" s="11" t="str">
        <f t="shared" si="5"/>
        <v>米</v>
      </c>
      <c r="D34" s="18">
        <f t="shared" si="5"/>
        <v>300</v>
      </c>
      <c r="E34" s="18"/>
      <c r="F34" s="18"/>
      <c r="G34" s="18">
        <v>6</v>
      </c>
      <c r="H34" s="18">
        <f t="shared" si="3"/>
        <v>1800</v>
      </c>
      <c r="I34" s="18"/>
      <c r="J34" s="5" t="s">
        <v>263</v>
      </c>
      <c r="K34" s="21" t="s">
        <v>265</v>
      </c>
      <c r="L34" s="5" t="s">
        <v>248</v>
      </c>
      <c r="M34" s="3">
        <v>300</v>
      </c>
    </row>
    <row r="35" ht="16.5" customHeight="1" spans="1:13">
      <c r="A35" s="11">
        <v>29</v>
      </c>
      <c r="B35" s="17" t="str">
        <f t="shared" si="0"/>
        <v>镀锌电缆保护管 SC15/20</v>
      </c>
      <c r="C35" s="11" t="str">
        <f t="shared" si="5"/>
        <v>米</v>
      </c>
      <c r="D35" s="18">
        <f t="shared" si="5"/>
        <v>500</v>
      </c>
      <c r="E35" s="18"/>
      <c r="F35" s="18"/>
      <c r="G35" s="18">
        <v>20</v>
      </c>
      <c r="H35" s="18">
        <f t="shared" si="3"/>
        <v>10000</v>
      </c>
      <c r="I35" s="18"/>
      <c r="J35" s="21" t="s">
        <v>266</v>
      </c>
      <c r="K35" s="21" t="s">
        <v>267</v>
      </c>
      <c r="L35" s="5" t="s">
        <v>248</v>
      </c>
      <c r="M35" s="3">
        <v>500</v>
      </c>
    </row>
    <row r="36" ht="16.5" customHeight="1" spans="1:13">
      <c r="A36" s="11">
        <v>30</v>
      </c>
      <c r="B36" s="17" t="str">
        <f t="shared" si="0"/>
        <v>镀锌电缆保护管 SC32</v>
      </c>
      <c r="C36" s="11" t="str">
        <f t="shared" si="5"/>
        <v>米</v>
      </c>
      <c r="D36" s="18">
        <f t="shared" si="5"/>
        <v>500</v>
      </c>
      <c r="E36" s="18"/>
      <c r="F36" s="18"/>
      <c r="G36" s="18">
        <v>30</v>
      </c>
      <c r="H36" s="18">
        <f t="shared" si="3"/>
        <v>15000</v>
      </c>
      <c r="I36" s="18"/>
      <c r="J36" s="5" t="s">
        <v>266</v>
      </c>
      <c r="K36" s="21" t="s">
        <v>268</v>
      </c>
      <c r="L36" s="5" t="s">
        <v>248</v>
      </c>
      <c r="M36" s="3">
        <v>500</v>
      </c>
    </row>
    <row r="37" ht="16.5" customHeight="1" spans="1:13">
      <c r="A37" s="11">
        <v>31</v>
      </c>
      <c r="B37" s="17" t="str">
        <f t="shared" si="0"/>
        <v>镀锌电缆保护管 SC40</v>
      </c>
      <c r="C37" s="11" t="str">
        <f t="shared" si="5"/>
        <v>米</v>
      </c>
      <c r="D37" s="18">
        <f t="shared" si="5"/>
        <v>500</v>
      </c>
      <c r="E37" s="18"/>
      <c r="F37" s="18"/>
      <c r="G37" s="18">
        <v>40</v>
      </c>
      <c r="H37" s="18">
        <f t="shared" si="3"/>
        <v>20000</v>
      </c>
      <c r="I37" s="18"/>
      <c r="J37" s="21" t="s">
        <v>266</v>
      </c>
      <c r="K37" s="21" t="s">
        <v>269</v>
      </c>
      <c r="L37" s="5" t="s">
        <v>248</v>
      </c>
      <c r="M37" s="3">
        <v>500</v>
      </c>
    </row>
    <row r="38" ht="16.5" customHeight="1" spans="1:13">
      <c r="A38" s="11">
        <v>32</v>
      </c>
      <c r="B38" s="17" t="str">
        <f t="shared" si="0"/>
        <v>镀锌电缆保护管 SC80</v>
      </c>
      <c r="C38" s="11" t="str">
        <f t="shared" si="5"/>
        <v>米</v>
      </c>
      <c r="D38" s="18">
        <f t="shared" si="5"/>
        <v>200</v>
      </c>
      <c r="E38" s="18"/>
      <c r="F38" s="18"/>
      <c r="G38" s="18">
        <v>80</v>
      </c>
      <c r="H38" s="18">
        <f t="shared" si="3"/>
        <v>16000</v>
      </c>
      <c r="I38" s="18"/>
      <c r="J38" s="21" t="s">
        <v>266</v>
      </c>
      <c r="K38" s="21" t="s">
        <v>270</v>
      </c>
      <c r="L38" s="5" t="s">
        <v>248</v>
      </c>
      <c r="M38" s="3">
        <v>200</v>
      </c>
    </row>
    <row r="39" ht="16.5" customHeight="1" spans="1:13">
      <c r="A39" s="11">
        <v>33</v>
      </c>
      <c r="B39" s="17" t="str">
        <f t="shared" si="0"/>
        <v>镀锌电缆保护管 SC100</v>
      </c>
      <c r="C39" s="11" t="str">
        <f t="shared" si="5"/>
        <v>米</v>
      </c>
      <c r="D39" s="18">
        <f t="shared" si="5"/>
        <v>200</v>
      </c>
      <c r="E39" s="18"/>
      <c r="F39" s="18"/>
      <c r="G39" s="18">
        <v>100</v>
      </c>
      <c r="H39" s="18">
        <f t="shared" si="3"/>
        <v>20000</v>
      </c>
      <c r="I39" s="18"/>
      <c r="J39" s="5" t="s">
        <v>266</v>
      </c>
      <c r="K39" s="21" t="s">
        <v>271</v>
      </c>
      <c r="L39" s="5" t="s">
        <v>248</v>
      </c>
      <c r="M39" s="3">
        <v>200</v>
      </c>
    </row>
    <row r="40" ht="16.5" customHeight="1" spans="1:13">
      <c r="A40" s="11">
        <v>34</v>
      </c>
      <c r="B40" s="17" t="str">
        <f t="shared" si="0"/>
        <v>镀锌电缆保护管 SC150</v>
      </c>
      <c r="C40" s="11" t="str">
        <f t="shared" si="5"/>
        <v>米</v>
      </c>
      <c r="D40" s="18">
        <f t="shared" si="5"/>
        <v>200</v>
      </c>
      <c r="E40" s="18"/>
      <c r="F40" s="18"/>
      <c r="G40" s="18">
        <v>150</v>
      </c>
      <c r="H40" s="18">
        <f t="shared" si="3"/>
        <v>30000</v>
      </c>
      <c r="I40" s="18"/>
      <c r="J40" s="21" t="s">
        <v>266</v>
      </c>
      <c r="K40" s="21" t="s">
        <v>272</v>
      </c>
      <c r="L40" s="5" t="s">
        <v>248</v>
      </c>
      <c r="M40" s="3">
        <v>200</v>
      </c>
    </row>
    <row r="41" ht="16.5" customHeight="1" spans="1:13">
      <c r="A41" s="11">
        <v>35</v>
      </c>
      <c r="B41" s="17" t="str">
        <f t="shared" si="0"/>
        <v>庭院灯 钢制灯杆 LED灯 40W</v>
      </c>
      <c r="C41" s="11" t="str">
        <f t="shared" ref="C41:C42" si="6">L41</f>
        <v>套</v>
      </c>
      <c r="D41" s="18">
        <f>M41</f>
        <v>10</v>
      </c>
      <c r="E41" s="18"/>
      <c r="F41" s="18"/>
      <c r="G41" s="18">
        <v>4000</v>
      </c>
      <c r="H41" s="18">
        <f t="shared" si="3"/>
        <v>40000</v>
      </c>
      <c r="I41" s="22" t="s">
        <v>273</v>
      </c>
      <c r="J41" s="5" t="s">
        <v>274</v>
      </c>
      <c r="K41" s="21" t="s">
        <v>275</v>
      </c>
      <c r="L41" s="5" t="s">
        <v>104</v>
      </c>
      <c r="M41" s="3">
        <v>10</v>
      </c>
    </row>
    <row r="42" ht="16.5" customHeight="1" spans="1:13">
      <c r="A42" s="11">
        <v>36</v>
      </c>
      <c r="B42" s="17" t="str">
        <f t="shared" si="0"/>
        <v>各种镀锌型钢 槽钢 角钢 扁钢</v>
      </c>
      <c r="C42" s="11" t="str">
        <f t="shared" si="6"/>
        <v>吨</v>
      </c>
      <c r="D42" s="18">
        <f>M42</f>
        <v>2</v>
      </c>
      <c r="E42" s="18"/>
      <c r="F42" s="18"/>
      <c r="G42" s="18">
        <v>8000</v>
      </c>
      <c r="H42" s="18">
        <f t="shared" si="3"/>
        <v>16000</v>
      </c>
      <c r="I42" s="18"/>
      <c r="J42" s="5" t="s">
        <v>276</v>
      </c>
      <c r="K42" s="21" t="s">
        <v>277</v>
      </c>
      <c r="L42" s="5" t="s">
        <v>278</v>
      </c>
      <c r="M42" s="3">
        <v>2</v>
      </c>
    </row>
    <row r="43" s="1" customFormat="1" ht="16.5" customHeight="1" spans="1:12">
      <c r="A43" s="14" t="s">
        <v>122</v>
      </c>
      <c r="B43" s="15" t="s">
        <v>57</v>
      </c>
      <c r="C43" s="14"/>
      <c r="D43" s="16"/>
      <c r="E43" s="16"/>
      <c r="F43" s="16">
        <f>SUM(F44:F70)</f>
        <v>1632000</v>
      </c>
      <c r="G43" s="16"/>
      <c r="H43" s="16">
        <f>SUM(H44:H70)</f>
        <v>293760</v>
      </c>
      <c r="I43" s="16"/>
      <c r="J43" s="20"/>
      <c r="K43" s="20"/>
      <c r="L43" s="20"/>
    </row>
    <row r="44" ht="16.5" customHeight="1" spans="1:13">
      <c r="A44" s="11">
        <v>1</v>
      </c>
      <c r="B44" s="17" t="str">
        <f t="shared" ref="B44:B69" si="7">J44&amp;" "&amp;K44</f>
        <v>超声波液位差计 0～500mm</v>
      </c>
      <c r="C44" s="11" t="str">
        <f t="shared" ref="C44:D62" si="8">L44</f>
        <v>套</v>
      </c>
      <c r="D44" s="18">
        <f t="shared" si="8"/>
        <v>1</v>
      </c>
      <c r="E44" s="18">
        <v>12000</v>
      </c>
      <c r="F44" s="18">
        <f t="shared" ref="F44:F69" si="9">E44*D44</f>
        <v>12000</v>
      </c>
      <c r="G44" s="18">
        <f t="shared" ref="G44:G69" si="10">E44*0.08</f>
        <v>960</v>
      </c>
      <c r="H44" s="18">
        <f t="shared" ref="H44:H70" si="11">D44*G44</f>
        <v>960</v>
      </c>
      <c r="I44" s="16"/>
      <c r="J44" s="5" t="s">
        <v>279</v>
      </c>
      <c r="K44" s="5" t="s">
        <v>280</v>
      </c>
      <c r="L44" s="5" t="s">
        <v>104</v>
      </c>
      <c r="M44" s="3">
        <v>1</v>
      </c>
    </row>
    <row r="45" ht="16.5" customHeight="1" spans="1:13">
      <c r="A45" s="11">
        <v>2</v>
      </c>
      <c r="B45" s="17" t="str">
        <f t="shared" si="7"/>
        <v>pH电极 0~14</v>
      </c>
      <c r="C45" s="11" t="str">
        <f t="shared" si="8"/>
        <v>套</v>
      </c>
      <c r="D45" s="18">
        <f t="shared" si="8"/>
        <v>2</v>
      </c>
      <c r="E45" s="18">
        <v>7000</v>
      </c>
      <c r="F45" s="18">
        <f t="shared" si="9"/>
        <v>14000</v>
      </c>
      <c r="G45" s="18">
        <f t="shared" si="10"/>
        <v>560</v>
      </c>
      <c r="H45" s="18">
        <f t="shared" si="11"/>
        <v>1120</v>
      </c>
      <c r="I45" s="16"/>
      <c r="J45" s="5" t="s">
        <v>281</v>
      </c>
      <c r="K45" s="5" t="s">
        <v>282</v>
      </c>
      <c r="L45" s="5" t="s">
        <v>104</v>
      </c>
      <c r="M45" s="3">
        <v>2</v>
      </c>
    </row>
    <row r="46" ht="16.5" customHeight="1" spans="1:13">
      <c r="A46" s="11">
        <v>3</v>
      </c>
      <c r="B46" s="17" t="str">
        <f t="shared" si="7"/>
        <v>SS传感器 0～300g/l</v>
      </c>
      <c r="C46" s="11" t="str">
        <f t="shared" si="8"/>
        <v>套</v>
      </c>
      <c r="D46" s="18">
        <f t="shared" si="8"/>
        <v>2</v>
      </c>
      <c r="E46" s="18">
        <v>18000</v>
      </c>
      <c r="F46" s="18">
        <f t="shared" si="9"/>
        <v>36000</v>
      </c>
      <c r="G46" s="18">
        <f t="shared" si="10"/>
        <v>1440</v>
      </c>
      <c r="H46" s="18">
        <f t="shared" si="11"/>
        <v>2880</v>
      </c>
      <c r="I46" s="16"/>
      <c r="J46" s="5" t="s">
        <v>283</v>
      </c>
      <c r="K46" s="5" t="s">
        <v>284</v>
      </c>
      <c r="L46" s="5" t="s">
        <v>104</v>
      </c>
      <c r="M46" s="3">
        <v>2</v>
      </c>
    </row>
    <row r="47" ht="16.5" customHeight="1" spans="1:13">
      <c r="A47" s="11">
        <v>4</v>
      </c>
      <c r="B47" s="17" t="str">
        <f t="shared" si="7"/>
        <v>SS传感器 0～4g/l</v>
      </c>
      <c r="C47" s="11" t="str">
        <f t="shared" si="8"/>
        <v>套</v>
      </c>
      <c r="D47" s="18">
        <f t="shared" si="8"/>
        <v>4</v>
      </c>
      <c r="E47" s="18">
        <v>16000</v>
      </c>
      <c r="F47" s="18">
        <f t="shared" si="9"/>
        <v>64000</v>
      </c>
      <c r="G47" s="18">
        <f t="shared" si="10"/>
        <v>1280</v>
      </c>
      <c r="H47" s="18">
        <f t="shared" si="11"/>
        <v>5120</v>
      </c>
      <c r="I47" s="16"/>
      <c r="J47" s="5" t="s">
        <v>283</v>
      </c>
      <c r="K47" s="5" t="s">
        <v>285</v>
      </c>
      <c r="L47" s="5" t="s">
        <v>104</v>
      </c>
      <c r="M47" s="3">
        <v>4</v>
      </c>
    </row>
    <row r="48" ht="16.5" customHeight="1" spans="1:13">
      <c r="A48" s="11">
        <v>5</v>
      </c>
      <c r="B48" s="17" t="str">
        <f t="shared" si="7"/>
        <v>总磷分析仪 0.1～15mg/l</v>
      </c>
      <c r="C48" s="11" t="str">
        <f t="shared" si="8"/>
        <v>套</v>
      </c>
      <c r="D48" s="18">
        <f t="shared" si="8"/>
        <v>2</v>
      </c>
      <c r="E48" s="18">
        <v>55000</v>
      </c>
      <c r="F48" s="18">
        <f t="shared" si="9"/>
        <v>110000</v>
      </c>
      <c r="G48" s="18">
        <f t="shared" si="10"/>
        <v>4400</v>
      </c>
      <c r="H48" s="18">
        <f t="shared" si="11"/>
        <v>8800</v>
      </c>
      <c r="I48" s="16"/>
      <c r="J48" s="5" t="s">
        <v>286</v>
      </c>
      <c r="K48" s="21" t="s">
        <v>287</v>
      </c>
      <c r="L48" s="5" t="s">
        <v>104</v>
      </c>
      <c r="M48" s="3">
        <v>2</v>
      </c>
    </row>
    <row r="49" ht="16.5" customHeight="1" spans="1:13">
      <c r="A49" s="11">
        <v>6</v>
      </c>
      <c r="B49" s="17" t="str">
        <f t="shared" si="7"/>
        <v>总氮分析仪 5～100mg/l</v>
      </c>
      <c r="C49" s="11" t="str">
        <f t="shared" si="8"/>
        <v>套</v>
      </c>
      <c r="D49" s="18">
        <f t="shared" si="8"/>
        <v>2</v>
      </c>
      <c r="E49" s="18">
        <v>52000</v>
      </c>
      <c r="F49" s="18">
        <f t="shared" si="9"/>
        <v>104000</v>
      </c>
      <c r="G49" s="18">
        <f t="shared" si="10"/>
        <v>4160</v>
      </c>
      <c r="H49" s="18">
        <f t="shared" si="11"/>
        <v>8320</v>
      </c>
      <c r="I49" s="16"/>
      <c r="J49" s="5" t="s">
        <v>288</v>
      </c>
      <c r="K49" s="21" t="s">
        <v>289</v>
      </c>
      <c r="L49" s="5" t="s">
        <v>104</v>
      </c>
      <c r="M49" s="3">
        <v>2</v>
      </c>
    </row>
    <row r="50" ht="16.5" customHeight="1" spans="1:13">
      <c r="A50" s="11">
        <v>7</v>
      </c>
      <c r="B50" s="17" t="str">
        <f t="shared" si="7"/>
        <v>电磁流量计 DN1000</v>
      </c>
      <c r="C50" s="11" t="str">
        <f t="shared" si="8"/>
        <v>套</v>
      </c>
      <c r="D50" s="18">
        <f t="shared" si="8"/>
        <v>1</v>
      </c>
      <c r="E50" s="18">
        <v>80000</v>
      </c>
      <c r="F50" s="18">
        <f t="shared" si="9"/>
        <v>80000</v>
      </c>
      <c r="G50" s="18">
        <f t="shared" si="10"/>
        <v>6400</v>
      </c>
      <c r="H50" s="18">
        <f t="shared" si="11"/>
        <v>6400</v>
      </c>
      <c r="I50" s="16"/>
      <c r="J50" s="5" t="s">
        <v>290</v>
      </c>
      <c r="K50" s="5" t="s">
        <v>291</v>
      </c>
      <c r="L50" s="5" t="s">
        <v>104</v>
      </c>
      <c r="M50" s="3">
        <v>1</v>
      </c>
    </row>
    <row r="51" ht="16.5" customHeight="1" spans="1:13">
      <c r="A51" s="11">
        <v>8</v>
      </c>
      <c r="B51" s="17" t="str">
        <f t="shared" si="7"/>
        <v>电磁流量计 DN500</v>
      </c>
      <c r="C51" s="11" t="str">
        <f t="shared" si="8"/>
        <v>套</v>
      </c>
      <c r="D51" s="18">
        <f t="shared" si="8"/>
        <v>1</v>
      </c>
      <c r="E51" s="18">
        <v>40000</v>
      </c>
      <c r="F51" s="18">
        <f t="shared" si="9"/>
        <v>40000</v>
      </c>
      <c r="G51" s="18">
        <f t="shared" si="10"/>
        <v>3200</v>
      </c>
      <c r="H51" s="18">
        <f t="shared" si="11"/>
        <v>3200</v>
      </c>
      <c r="I51" s="16"/>
      <c r="J51" s="5" t="s">
        <v>290</v>
      </c>
      <c r="K51" s="5" t="s">
        <v>292</v>
      </c>
      <c r="L51" s="5" t="s">
        <v>104</v>
      </c>
      <c r="M51" s="3">
        <v>1</v>
      </c>
    </row>
    <row r="52" ht="16.5" customHeight="1" spans="1:13">
      <c r="A52" s="11">
        <v>9</v>
      </c>
      <c r="B52" s="17" t="str">
        <f t="shared" si="7"/>
        <v>电磁流量计 DN400</v>
      </c>
      <c r="C52" s="11" t="str">
        <f t="shared" si="8"/>
        <v>套</v>
      </c>
      <c r="D52" s="18">
        <f t="shared" si="8"/>
        <v>1</v>
      </c>
      <c r="E52" s="18">
        <v>35000</v>
      </c>
      <c r="F52" s="18">
        <f t="shared" si="9"/>
        <v>35000</v>
      </c>
      <c r="G52" s="18">
        <f t="shared" si="10"/>
        <v>2800</v>
      </c>
      <c r="H52" s="18">
        <f t="shared" si="11"/>
        <v>2800</v>
      </c>
      <c r="I52" s="16"/>
      <c r="J52" s="5" t="s">
        <v>290</v>
      </c>
      <c r="K52" s="21" t="s">
        <v>293</v>
      </c>
      <c r="L52" s="5" t="s">
        <v>104</v>
      </c>
      <c r="M52" s="3">
        <v>1</v>
      </c>
    </row>
    <row r="53" ht="16.5" customHeight="1" spans="1:13">
      <c r="A53" s="11">
        <v>10</v>
      </c>
      <c r="B53" s="17" t="str">
        <f t="shared" si="7"/>
        <v>电磁流量计 DN150</v>
      </c>
      <c r="C53" s="11" t="str">
        <f t="shared" si="8"/>
        <v>套</v>
      </c>
      <c r="D53" s="18">
        <f t="shared" si="8"/>
        <v>2</v>
      </c>
      <c r="E53" s="18">
        <v>15000</v>
      </c>
      <c r="F53" s="18">
        <f t="shared" si="9"/>
        <v>30000</v>
      </c>
      <c r="G53" s="18">
        <f t="shared" si="10"/>
        <v>1200</v>
      </c>
      <c r="H53" s="18">
        <f t="shared" si="11"/>
        <v>2400</v>
      </c>
      <c r="I53" s="16"/>
      <c r="J53" s="5" t="s">
        <v>290</v>
      </c>
      <c r="K53" s="5" t="s">
        <v>294</v>
      </c>
      <c r="L53" s="5" t="s">
        <v>104</v>
      </c>
      <c r="M53" s="3">
        <v>2</v>
      </c>
    </row>
    <row r="54" ht="16.5" customHeight="1" spans="1:13">
      <c r="A54" s="11">
        <v>11</v>
      </c>
      <c r="B54" s="17" t="str">
        <f t="shared" si="7"/>
        <v>硝氮分析仪 0～10mg/l</v>
      </c>
      <c r="C54" s="11" t="str">
        <f t="shared" si="8"/>
        <v>套</v>
      </c>
      <c r="D54" s="18">
        <f t="shared" si="8"/>
        <v>2</v>
      </c>
      <c r="E54" s="18">
        <v>46000</v>
      </c>
      <c r="F54" s="18">
        <f t="shared" si="9"/>
        <v>92000</v>
      </c>
      <c r="G54" s="18">
        <f t="shared" si="10"/>
        <v>3680</v>
      </c>
      <c r="H54" s="18">
        <f t="shared" si="11"/>
        <v>7360</v>
      </c>
      <c r="I54" s="16"/>
      <c r="J54" s="5" t="s">
        <v>295</v>
      </c>
      <c r="K54" s="5" t="s">
        <v>296</v>
      </c>
      <c r="L54" s="5" t="s">
        <v>104</v>
      </c>
      <c r="M54" s="3">
        <v>2</v>
      </c>
    </row>
    <row r="55" ht="16.5" customHeight="1" spans="1:13">
      <c r="A55" s="11">
        <v>12</v>
      </c>
      <c r="B55" s="17" t="str">
        <f t="shared" si="7"/>
        <v>超声波液位计 0～10m</v>
      </c>
      <c r="C55" s="11" t="str">
        <f t="shared" si="8"/>
        <v>套</v>
      </c>
      <c r="D55" s="18">
        <f t="shared" si="8"/>
        <v>4</v>
      </c>
      <c r="E55" s="18">
        <v>8000</v>
      </c>
      <c r="F55" s="18">
        <f t="shared" si="9"/>
        <v>32000</v>
      </c>
      <c r="G55" s="18">
        <f t="shared" si="10"/>
        <v>640</v>
      </c>
      <c r="H55" s="18">
        <f t="shared" si="11"/>
        <v>2560</v>
      </c>
      <c r="I55" s="16"/>
      <c r="J55" s="5" t="s">
        <v>297</v>
      </c>
      <c r="K55" s="21" t="s">
        <v>298</v>
      </c>
      <c r="L55" s="5" t="s">
        <v>104</v>
      </c>
      <c r="M55" s="3">
        <v>4</v>
      </c>
    </row>
    <row r="56" ht="16.5" customHeight="1" spans="1:13">
      <c r="A56" s="11">
        <v>13</v>
      </c>
      <c r="B56" s="17" t="str">
        <f t="shared" si="7"/>
        <v>超声波污泥界面仪 0～10m</v>
      </c>
      <c r="C56" s="11" t="str">
        <f t="shared" si="8"/>
        <v>套</v>
      </c>
      <c r="D56" s="18">
        <f t="shared" si="8"/>
        <v>1</v>
      </c>
      <c r="E56" s="18">
        <v>45000</v>
      </c>
      <c r="F56" s="18">
        <f t="shared" si="9"/>
        <v>45000</v>
      </c>
      <c r="G56" s="18">
        <f t="shared" si="10"/>
        <v>3600</v>
      </c>
      <c r="H56" s="18">
        <f t="shared" si="11"/>
        <v>3600</v>
      </c>
      <c r="I56" s="16"/>
      <c r="J56" s="5" t="s">
        <v>299</v>
      </c>
      <c r="K56" s="5" t="s">
        <v>298</v>
      </c>
      <c r="L56" s="5" t="s">
        <v>104</v>
      </c>
      <c r="M56" s="3">
        <v>1</v>
      </c>
    </row>
    <row r="57" ht="16.5" customHeight="1" spans="1:13">
      <c r="A57" s="11">
        <v>14</v>
      </c>
      <c r="B57" s="17" t="str">
        <f t="shared" si="7"/>
        <v>热式气体质量流量计 DN500 </v>
      </c>
      <c r="C57" s="11" t="str">
        <f t="shared" si="8"/>
        <v>套</v>
      </c>
      <c r="D57" s="18">
        <f t="shared" si="8"/>
        <v>1</v>
      </c>
      <c r="E57" s="18">
        <v>42000</v>
      </c>
      <c r="F57" s="18">
        <f t="shared" si="9"/>
        <v>42000</v>
      </c>
      <c r="G57" s="18">
        <f t="shared" si="10"/>
        <v>3360</v>
      </c>
      <c r="H57" s="18">
        <f t="shared" si="11"/>
        <v>3360</v>
      </c>
      <c r="I57" s="16"/>
      <c r="J57" s="5" t="s">
        <v>300</v>
      </c>
      <c r="K57" s="5" t="s">
        <v>301</v>
      </c>
      <c r="L57" s="5" t="s">
        <v>104</v>
      </c>
      <c r="M57" s="3">
        <v>1</v>
      </c>
    </row>
    <row r="58" ht="16.5" customHeight="1" spans="1:13">
      <c r="A58" s="11">
        <v>15</v>
      </c>
      <c r="B58" s="17" t="str">
        <f t="shared" si="7"/>
        <v>压力变送器 2.5～250kPa</v>
      </c>
      <c r="C58" s="11" t="str">
        <f t="shared" si="8"/>
        <v>套</v>
      </c>
      <c r="D58" s="18">
        <f t="shared" si="8"/>
        <v>1</v>
      </c>
      <c r="E58" s="18">
        <v>3000</v>
      </c>
      <c r="F58" s="18">
        <f t="shared" si="9"/>
        <v>3000</v>
      </c>
      <c r="G58" s="18">
        <f t="shared" si="10"/>
        <v>240</v>
      </c>
      <c r="H58" s="18">
        <f t="shared" si="11"/>
        <v>240</v>
      </c>
      <c r="I58" s="16"/>
      <c r="J58" s="21" t="s">
        <v>302</v>
      </c>
      <c r="K58" s="5" t="s">
        <v>303</v>
      </c>
      <c r="L58" s="5" t="s">
        <v>104</v>
      </c>
      <c r="M58" s="3">
        <v>1</v>
      </c>
    </row>
    <row r="59" ht="16.5" customHeight="1" spans="1:13">
      <c r="A59" s="11">
        <v>16</v>
      </c>
      <c r="B59" s="17" t="str">
        <f t="shared" si="7"/>
        <v>现场控制站（PLC） AB公司1769系列产品或同档次进口品牌</v>
      </c>
      <c r="C59" s="11" t="str">
        <f t="shared" si="8"/>
        <v>套</v>
      </c>
      <c r="D59" s="18">
        <f t="shared" si="8"/>
        <v>2</v>
      </c>
      <c r="E59" s="18">
        <v>120000</v>
      </c>
      <c r="F59" s="18">
        <f t="shared" si="9"/>
        <v>240000</v>
      </c>
      <c r="G59" s="18">
        <f t="shared" si="10"/>
        <v>9600</v>
      </c>
      <c r="H59" s="18">
        <f t="shared" si="11"/>
        <v>19200</v>
      </c>
      <c r="I59" s="16"/>
      <c r="J59" s="5" t="s">
        <v>304</v>
      </c>
      <c r="K59" s="5" t="s">
        <v>305</v>
      </c>
      <c r="L59" s="5" t="s">
        <v>104</v>
      </c>
      <c r="M59" s="3">
        <v>2</v>
      </c>
    </row>
    <row r="60" ht="16.5" customHeight="1" spans="1:13">
      <c r="A60" s="11">
        <v>17</v>
      </c>
      <c r="B60" s="17" t="str">
        <f t="shared" si="7"/>
        <v>UPS 2KVA 30分钟</v>
      </c>
      <c r="C60" s="11" t="str">
        <f t="shared" si="8"/>
        <v>套</v>
      </c>
      <c r="D60" s="18">
        <f t="shared" si="8"/>
        <v>1</v>
      </c>
      <c r="E60" s="18">
        <v>6000</v>
      </c>
      <c r="F60" s="18">
        <f t="shared" si="9"/>
        <v>6000</v>
      </c>
      <c r="G60" s="18">
        <f t="shared" si="10"/>
        <v>480</v>
      </c>
      <c r="H60" s="18">
        <f t="shared" si="11"/>
        <v>480</v>
      </c>
      <c r="I60" s="16"/>
      <c r="J60" s="5" t="s">
        <v>306</v>
      </c>
      <c r="K60" s="5" t="s">
        <v>307</v>
      </c>
      <c r="L60" s="5" t="s">
        <v>104</v>
      </c>
      <c r="M60" s="3">
        <v>1</v>
      </c>
    </row>
    <row r="61" ht="16.5" customHeight="1" spans="1:13">
      <c r="A61" s="11">
        <v>18</v>
      </c>
      <c r="B61" s="17" t="str">
        <f t="shared" si="7"/>
        <v>工业以太网交换机 2光4电</v>
      </c>
      <c r="C61" s="11" t="str">
        <f t="shared" si="8"/>
        <v>套</v>
      </c>
      <c r="D61" s="18">
        <f t="shared" si="8"/>
        <v>1</v>
      </c>
      <c r="E61" s="18">
        <v>5000</v>
      </c>
      <c r="F61" s="18">
        <f t="shared" si="9"/>
        <v>5000</v>
      </c>
      <c r="G61" s="18">
        <f t="shared" si="10"/>
        <v>400</v>
      </c>
      <c r="H61" s="18">
        <f t="shared" si="11"/>
        <v>400</v>
      </c>
      <c r="I61" s="16"/>
      <c r="J61" s="5" t="s">
        <v>308</v>
      </c>
      <c r="K61" s="5" t="s">
        <v>309</v>
      </c>
      <c r="L61" s="5" t="s">
        <v>104</v>
      </c>
      <c r="M61" s="3">
        <v>1</v>
      </c>
    </row>
    <row r="62" ht="16.5" customHeight="1" spans="1:13">
      <c r="A62" s="11">
        <v>19</v>
      </c>
      <c r="B62" s="17" t="str">
        <f t="shared" si="7"/>
        <v>监控管理计算机 </v>
      </c>
      <c r="C62" s="11" t="str">
        <f t="shared" si="8"/>
        <v>套</v>
      </c>
      <c r="D62" s="18">
        <f t="shared" si="8"/>
        <v>1</v>
      </c>
      <c r="E62" s="18">
        <v>15000</v>
      </c>
      <c r="F62" s="18">
        <f t="shared" si="9"/>
        <v>15000</v>
      </c>
      <c r="G62" s="18">
        <f t="shared" si="10"/>
        <v>1200</v>
      </c>
      <c r="H62" s="18">
        <f t="shared" si="11"/>
        <v>1200</v>
      </c>
      <c r="I62" s="16"/>
      <c r="J62" s="5" t="s">
        <v>310</v>
      </c>
      <c r="L62" s="5" t="s">
        <v>104</v>
      </c>
      <c r="M62" s="3">
        <v>1</v>
      </c>
    </row>
    <row r="63" ht="16.5" customHeight="1" spans="1:13">
      <c r="A63" s="11">
        <v>20</v>
      </c>
      <c r="B63" s="17" t="str">
        <f t="shared" si="7"/>
        <v>工业以太网交换机 6光24电</v>
      </c>
      <c r="C63" s="11" t="str">
        <f t="shared" ref="C63:D69" si="12">L63</f>
        <v>套</v>
      </c>
      <c r="D63" s="18">
        <f t="shared" si="12"/>
        <v>1</v>
      </c>
      <c r="E63" s="18">
        <v>8000</v>
      </c>
      <c r="F63" s="18">
        <f t="shared" si="9"/>
        <v>8000</v>
      </c>
      <c r="G63" s="18">
        <f t="shared" si="10"/>
        <v>640</v>
      </c>
      <c r="H63" s="18">
        <f t="shared" si="11"/>
        <v>640</v>
      </c>
      <c r="I63" s="16"/>
      <c r="J63" s="5" t="s">
        <v>308</v>
      </c>
      <c r="K63" s="5" t="s">
        <v>311</v>
      </c>
      <c r="L63" s="5" t="s">
        <v>104</v>
      </c>
      <c r="M63" s="3">
        <v>1</v>
      </c>
    </row>
    <row r="64" ht="16.5" customHeight="1" spans="1:13">
      <c r="A64" s="11">
        <v>21</v>
      </c>
      <c r="B64" s="17" t="str">
        <f t="shared" si="7"/>
        <v>系统软件 WINDOWS 10企业版</v>
      </c>
      <c r="C64" s="11" t="str">
        <f t="shared" si="12"/>
        <v>套</v>
      </c>
      <c r="D64" s="18">
        <f t="shared" si="12"/>
        <v>1</v>
      </c>
      <c r="E64" s="18">
        <v>3000</v>
      </c>
      <c r="F64" s="18">
        <f t="shared" si="9"/>
        <v>3000</v>
      </c>
      <c r="G64" s="18">
        <f t="shared" si="10"/>
        <v>240</v>
      </c>
      <c r="H64" s="18">
        <f t="shared" si="11"/>
        <v>240</v>
      </c>
      <c r="I64" s="16"/>
      <c r="J64" s="5" t="s">
        <v>312</v>
      </c>
      <c r="K64" s="5" t="s">
        <v>313</v>
      </c>
      <c r="L64" s="5" t="s">
        <v>104</v>
      </c>
      <c r="M64" s="3">
        <v>1</v>
      </c>
    </row>
    <row r="65" ht="16.5" customHeight="1" spans="1:13">
      <c r="A65" s="11">
        <v>22</v>
      </c>
      <c r="B65" s="17" t="str">
        <f t="shared" si="7"/>
        <v>控制系统软件 KingScada Development unlimited Tag v3.0</v>
      </c>
      <c r="C65" s="11" t="str">
        <f t="shared" si="12"/>
        <v>套</v>
      </c>
      <c r="D65" s="18">
        <f t="shared" si="12"/>
        <v>1</v>
      </c>
      <c r="E65" s="18">
        <v>35000</v>
      </c>
      <c r="F65" s="18">
        <f t="shared" si="9"/>
        <v>35000</v>
      </c>
      <c r="G65" s="18">
        <f t="shared" si="10"/>
        <v>2800</v>
      </c>
      <c r="H65" s="18">
        <f t="shared" si="11"/>
        <v>2800</v>
      </c>
      <c r="I65" s="16"/>
      <c r="J65" s="5" t="s">
        <v>314</v>
      </c>
      <c r="K65" s="5" t="s">
        <v>315</v>
      </c>
      <c r="L65" s="5" t="s">
        <v>104</v>
      </c>
      <c r="M65" s="3">
        <v>1</v>
      </c>
    </row>
    <row r="66" ht="16.5" customHeight="1" spans="1:13">
      <c r="A66" s="11">
        <v>23</v>
      </c>
      <c r="B66" s="17" t="str">
        <f t="shared" si="7"/>
        <v>操作台 2000X1000X800</v>
      </c>
      <c r="C66" s="11" t="str">
        <f t="shared" si="12"/>
        <v>套</v>
      </c>
      <c r="D66" s="18">
        <f t="shared" si="12"/>
        <v>2</v>
      </c>
      <c r="E66" s="18">
        <v>8000</v>
      </c>
      <c r="F66" s="18">
        <f t="shared" si="9"/>
        <v>16000</v>
      </c>
      <c r="G66" s="18">
        <f t="shared" si="10"/>
        <v>640</v>
      </c>
      <c r="H66" s="18">
        <f t="shared" si="11"/>
        <v>1280</v>
      </c>
      <c r="I66" s="16"/>
      <c r="J66" s="5" t="s">
        <v>316</v>
      </c>
      <c r="K66" s="21" t="s">
        <v>317</v>
      </c>
      <c r="L66" s="5" t="s">
        <v>104</v>
      </c>
      <c r="M66" s="3">
        <v>2</v>
      </c>
    </row>
    <row r="67" ht="16.5" customHeight="1" spans="1:13">
      <c r="A67" s="11">
        <v>24</v>
      </c>
      <c r="B67" s="17" t="str">
        <f t="shared" si="7"/>
        <v>视频监控计算机 </v>
      </c>
      <c r="C67" s="11" t="str">
        <f t="shared" si="12"/>
        <v>套</v>
      </c>
      <c r="D67" s="18">
        <f t="shared" si="12"/>
        <v>1</v>
      </c>
      <c r="E67" s="18">
        <v>15000</v>
      </c>
      <c r="F67" s="18">
        <f t="shared" si="9"/>
        <v>15000</v>
      </c>
      <c r="G67" s="18">
        <f t="shared" si="10"/>
        <v>1200</v>
      </c>
      <c r="H67" s="18">
        <f t="shared" si="11"/>
        <v>1200</v>
      </c>
      <c r="I67" s="16"/>
      <c r="J67" s="5" t="s">
        <v>318</v>
      </c>
      <c r="K67" s="21"/>
      <c r="L67" s="5" t="s">
        <v>104</v>
      </c>
      <c r="M67" s="3">
        <v>1</v>
      </c>
    </row>
    <row r="68" ht="16.5" customHeight="1" spans="1:13">
      <c r="A68" s="11">
        <v>25</v>
      </c>
      <c r="B68" s="17" t="str">
        <f t="shared" si="7"/>
        <v>工业电视监控系统 15个室外球机，25个室内枪机、2个视频NVR服务器及2个监视器、硬盘录像机、交换机、软件等</v>
      </c>
      <c r="C68" s="11" t="str">
        <f t="shared" si="12"/>
        <v>套</v>
      </c>
      <c r="D68" s="18">
        <f t="shared" si="12"/>
        <v>1</v>
      </c>
      <c r="E68" s="18">
        <v>250000</v>
      </c>
      <c r="F68" s="18">
        <f t="shared" si="9"/>
        <v>250000</v>
      </c>
      <c r="G68" s="18">
        <f t="shared" si="10"/>
        <v>20000</v>
      </c>
      <c r="H68" s="18">
        <f t="shared" si="11"/>
        <v>20000</v>
      </c>
      <c r="I68" s="16"/>
      <c r="J68" s="5" t="s">
        <v>319</v>
      </c>
      <c r="K68" s="5" t="s">
        <v>320</v>
      </c>
      <c r="L68" s="5" t="s">
        <v>104</v>
      </c>
      <c r="M68" s="3">
        <v>1</v>
      </c>
    </row>
    <row r="69" ht="16.5" customHeight="1" spans="1:13">
      <c r="A69" s="11">
        <v>26</v>
      </c>
      <c r="B69" s="17" t="str">
        <f t="shared" si="7"/>
        <v>现状自控系统改造 </v>
      </c>
      <c r="C69" s="11" t="str">
        <f t="shared" si="12"/>
        <v>套</v>
      </c>
      <c r="D69" s="18">
        <f t="shared" si="12"/>
        <v>1</v>
      </c>
      <c r="E69" s="18">
        <v>300000</v>
      </c>
      <c r="F69" s="18">
        <f t="shared" si="9"/>
        <v>300000</v>
      </c>
      <c r="G69" s="18">
        <f t="shared" si="10"/>
        <v>24000</v>
      </c>
      <c r="H69" s="18">
        <f t="shared" si="11"/>
        <v>24000</v>
      </c>
      <c r="I69" s="22" t="s">
        <v>34</v>
      </c>
      <c r="J69" s="5" t="s">
        <v>321</v>
      </c>
      <c r="L69" s="5" t="s">
        <v>104</v>
      </c>
      <c r="M69" s="3">
        <v>1</v>
      </c>
    </row>
    <row r="70" ht="16.5" customHeight="1" spans="1:11">
      <c r="A70" s="11">
        <v>27</v>
      </c>
      <c r="B70" s="17" t="s">
        <v>322</v>
      </c>
      <c r="C70" s="11" t="s">
        <v>104</v>
      </c>
      <c r="D70" s="18">
        <v>1</v>
      </c>
      <c r="E70" s="18"/>
      <c r="F70" s="18"/>
      <c r="G70" s="18">
        <f>F43*10%</f>
        <v>163200</v>
      </c>
      <c r="H70" s="18">
        <f t="shared" si="11"/>
        <v>163200</v>
      </c>
      <c r="I70" s="16"/>
      <c r="J70" s="21"/>
      <c r="K70" s="21"/>
    </row>
  </sheetData>
  <mergeCells count="13">
    <mergeCell ref="A1:D1"/>
    <mergeCell ref="E1:F1"/>
    <mergeCell ref="G1:H1"/>
    <mergeCell ref="A2:I2"/>
    <mergeCell ref="A3:D3"/>
    <mergeCell ref="E3:F3"/>
    <mergeCell ref="G3:H3"/>
    <mergeCell ref="C4:D4"/>
    <mergeCell ref="E4:F4"/>
    <mergeCell ref="G4:H4"/>
    <mergeCell ref="A4:A5"/>
    <mergeCell ref="B4:B5"/>
    <mergeCell ref="I4:I5"/>
  </mergeCells>
  <pageMargins left="0.7" right="0.7" top="0.75" bottom="0.75" header="0.3" footer="0.3"/>
  <pageSetup paperSize="9" orientation="portrait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估算总表</vt:lpstr>
      <vt:lpstr>新建</vt:lpstr>
      <vt:lpstr>改造</vt:lpstr>
      <vt:lpstr>电仪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mawenbao</dc:creator>
  <cp:lastModifiedBy>Administrator</cp:lastModifiedBy>
  <dcterms:created xsi:type="dcterms:W3CDTF">2022-12-05T03:37:00Z</dcterms:created>
  <dcterms:modified xsi:type="dcterms:W3CDTF">2022-12-06T08:52:40Z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DB29D51892194356A81282B00BC95788</vt:lpwstr>
  </property>
  <property fmtid="{D5CDD505-2E9C-101B-9397-08002B2CF9AE}" pid="3" name="KSOProductBuildVer">
    <vt:lpwstr>2052-11.1.0.12763</vt:lpwstr>
  </property>
</Properties>
</file>