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3" firstSheet="1" activeTab="2"/>
  </bookViews>
  <sheets>
    <sheet name="总概算表 " sheetId="1" state="hidden" r:id="rId1"/>
    <sheet name="汇总表" sheetId="2" r:id="rId2"/>
    <sheet name="估算表" sheetId="3" r:id="rId3"/>
  </sheets>
  <definedNames>
    <definedName name="_xlnm.Print_Titles" localSheetId="2">'估算表'!$1:$4</definedName>
  </definedNames>
  <calcPr fullCalcOnLoad="1"/>
</workbook>
</file>

<file path=xl/sharedStrings.xml><?xml version="1.0" encoding="utf-8"?>
<sst xmlns="http://schemas.openxmlformats.org/spreadsheetml/2006/main" count="150" uniqueCount="93">
  <si>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</si>
  <si>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</si>
  <si>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</si>
  <si>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</si>
  <si>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</si>
  <si>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</si>
  <si>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</si>
  <si>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</si>
  <si>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</si>
  <si>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</si>
  <si>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</si>
  <si>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</si>
  <si>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</si>
  <si>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</si>
  <si>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</si>
  <si>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</si>
  <si>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</si>
  <si>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</si>
  <si>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</si>
  <si>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</si>
  <si>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</si>
  <si>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</si>
  <si>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</si>
  <si>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    估算价值  （万元）</t>
  </si>
  <si>
    <r>
      <t>占投资额(</t>
    </r>
    <r>
      <rPr>
        <sz val="11"/>
        <rFont val="Times New Roman"/>
        <family val="1"/>
      </rPr>
      <t>%)</t>
    </r>
  </si>
  <si>
    <t>工程费用</t>
  </si>
  <si>
    <t>三</t>
  </si>
  <si>
    <t>预备费</t>
  </si>
  <si>
    <t>总投资</t>
  </si>
  <si>
    <t>投资估算审定表</t>
  </si>
  <si>
    <t>项目名称：平罗县崇岗煤炭集中区雨污水综合利用工程</t>
  </si>
  <si>
    <t>估算价值（万元）</t>
  </si>
  <si>
    <t>技术经济指标（元）</t>
  </si>
  <si>
    <t>占投
资额（%）</t>
  </si>
  <si>
    <t>单位</t>
  </si>
  <si>
    <t>数量</t>
  </si>
  <si>
    <t>单位价值</t>
  </si>
  <si>
    <t>（一）</t>
  </si>
  <si>
    <t>雨水工程</t>
  </si>
  <si>
    <t>混凝土边沟（500*500-600*600mm）</t>
  </si>
  <si>
    <t>m</t>
  </si>
  <si>
    <t>朝胜路</t>
  </si>
  <si>
    <t>万元</t>
  </si>
  <si>
    <t>末端初雨调蓄池</t>
  </si>
  <si>
    <t>m3</t>
  </si>
  <si>
    <t>其他四条路</t>
  </si>
  <si>
    <t>高效沉淀池</t>
  </si>
  <si>
    <t>合计工程费：</t>
  </si>
  <si>
    <t>前置溏</t>
  </si>
  <si>
    <t>回用水池</t>
  </si>
  <si>
    <t>湿地</t>
  </si>
  <si>
    <t>m2</t>
  </si>
  <si>
    <t>(二)</t>
  </si>
  <si>
    <t>污水工程</t>
  </si>
  <si>
    <t>处理站（1000立方米/d）</t>
  </si>
  <si>
    <t>座</t>
  </si>
  <si>
    <t>高密度双壁波纹管dn400</t>
  </si>
  <si>
    <t>高密度双壁波纹管dn315</t>
  </si>
  <si>
    <t>聚乙烯管（PE）dn110</t>
  </si>
  <si>
    <t>矩形检测井(含污水检测设备)</t>
  </si>
  <si>
    <t>一体化提升泵站10m³/h</t>
  </si>
  <si>
    <t>一体化提升泵站25m³/h</t>
  </si>
  <si>
    <t>一体化提升泵站46m³/h</t>
  </si>
  <si>
    <t>(三)</t>
  </si>
  <si>
    <t>道路工程</t>
  </si>
  <si>
    <t>加铺沥青混凝土路面</t>
  </si>
  <si>
    <t>水泥混凝土路面挖除恢复</t>
  </si>
  <si>
    <t>抗裂贴</t>
  </si>
  <si>
    <t>水泥路缘石抬高（破损率为20%）</t>
  </si>
  <si>
    <t>道路标线</t>
  </si>
  <si>
    <t>(四)</t>
  </si>
  <si>
    <t>绿化工程</t>
  </si>
  <si>
    <t>道路两侧绿化</t>
  </si>
  <si>
    <t>km</t>
  </si>
  <si>
    <t>道路节点绿化</t>
  </si>
  <si>
    <t>裸露空地绿化</t>
  </si>
  <si>
    <t>亩</t>
  </si>
  <si>
    <t>项目建设管理费</t>
  </si>
  <si>
    <t>可研编制费</t>
  </si>
  <si>
    <t>工程勘察、设计费</t>
  </si>
  <si>
    <t>施工图设计审查费</t>
  </si>
  <si>
    <t>工程监理费</t>
  </si>
  <si>
    <t>清单及招标控制价编制费</t>
  </si>
  <si>
    <t>清单及招标控制价审核费</t>
  </si>
  <si>
    <t>竣工结算审核费</t>
  </si>
  <si>
    <t>招标代理服务费</t>
  </si>
  <si>
    <t>环境影响编制及评审费</t>
  </si>
  <si>
    <t>水土保持方案编制费</t>
  </si>
  <si>
    <t>水土保持监理、检测费</t>
  </si>
  <si>
    <t>社会稳定风险评估</t>
  </si>
  <si>
    <t>工程保险费</t>
  </si>
  <si>
    <t>竣工财务决算审核费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</si>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</sst>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.0_ "/>
    <numFmt numFmtId="180" formatCode="0.0;[Red]0.0"/>
    <numFmt numFmtId="181" formatCode="0;[Red]0"/>
    <numFmt numFmtId="182" formatCode="0.0_);[Red]\(0.0\)"/>
    <numFmt numFmtId="183" formatCode="0.0"/>
    <numFmt numFmtId="184" formatCode="0;_搀"/>
    <numFmt numFmtId="185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1"/>
      <name val="Times New Roman"/>
      <family val="1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7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19" borderId="0" xfId="0" applyFont="1" applyFill="1" applyAlignment="1">
      <alignment vertical="center"/>
    </xf>
    <xf numFmtId="0" fontId="1" fillId="19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19" borderId="9" xfId="64" applyFont="1" applyFill="1" applyBorder="1" applyAlignment="1">
      <alignment horizontal="center" vertical="center"/>
      <protection/>
    </xf>
    <xf numFmtId="0" fontId="1" fillId="19" borderId="9" xfId="64" applyFont="1" applyFill="1" applyBorder="1" applyAlignment="1">
      <alignment vertical="center" wrapText="1"/>
      <protection/>
    </xf>
    <xf numFmtId="176" fontId="1" fillId="19" borderId="9" xfId="64" applyNumberFormat="1" applyFont="1" applyFill="1" applyBorder="1" applyAlignment="1">
      <alignment horizontal="center" vertical="center" wrapText="1"/>
      <protection/>
    </xf>
    <xf numFmtId="0" fontId="1" fillId="19" borderId="9" xfId="64" applyFont="1" applyFill="1" applyBorder="1" applyAlignment="1">
      <alignment horizontal="center" vertical="center" wrapText="1"/>
      <protection/>
    </xf>
    <xf numFmtId="0" fontId="1" fillId="19" borderId="12" xfId="64" applyFont="1" applyFill="1" applyBorder="1" applyAlignment="1">
      <alignment horizontal="center" vertical="center"/>
      <protection/>
    </xf>
    <xf numFmtId="177" fontId="1" fillId="19" borderId="9" xfId="0" applyNumberFormat="1" applyFont="1" applyFill="1" applyBorder="1" applyAlignment="1">
      <alignment horizontal="left" vertical="center" wrapText="1"/>
    </xf>
    <xf numFmtId="0" fontId="1" fillId="19" borderId="13" xfId="0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177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 shrinkToFi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177" fontId="1" fillId="19" borderId="9" xfId="0" applyNumberFormat="1" applyFon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 wrapText="1"/>
    </xf>
    <xf numFmtId="178" fontId="1" fillId="19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shrinkToFit="1"/>
    </xf>
    <xf numFmtId="17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1" fillId="19" borderId="9" xfId="64" applyNumberFormat="1" applyFont="1" applyFill="1" applyBorder="1" applyAlignment="1">
      <alignment horizontal="center" vertical="center" wrapText="1"/>
      <protection/>
    </xf>
    <xf numFmtId="176" fontId="5" fillId="19" borderId="15" xfId="0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177" fontId="1" fillId="19" borderId="9" xfId="0" applyNumberFormat="1" applyFont="1" applyFill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/>
    </xf>
    <xf numFmtId="180" fontId="1" fillId="19" borderId="15" xfId="0" applyNumberFormat="1" applyFont="1" applyFill="1" applyBorder="1" applyAlignment="1">
      <alignment horizontal="center" vertical="center"/>
    </xf>
    <xf numFmtId="178" fontId="5" fillId="19" borderId="15" xfId="0" applyNumberFormat="1" applyFont="1" applyFill="1" applyBorder="1" applyAlignment="1">
      <alignment horizontal="center" vertical="center"/>
    </xf>
    <xf numFmtId="177" fontId="1" fillId="19" borderId="0" xfId="0" applyNumberFormat="1" applyFont="1" applyFill="1" applyAlignment="1">
      <alignment horizontal="center" vertical="center"/>
    </xf>
    <xf numFmtId="177" fontId="6" fillId="19" borderId="9" xfId="0" applyNumberFormat="1" applyFont="1" applyFill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 wrapText="1"/>
    </xf>
    <xf numFmtId="178" fontId="5" fillId="19" borderId="16" xfId="0" applyNumberFormat="1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vertical="center"/>
    </xf>
    <xf numFmtId="178" fontId="5" fillId="19" borderId="18" xfId="0" applyNumberFormat="1" applyFon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center" vertical="center" wrapText="1"/>
    </xf>
    <xf numFmtId="181" fontId="1" fillId="19" borderId="9" xfId="0" applyNumberFormat="1" applyFont="1" applyFill="1" applyBorder="1" applyAlignment="1">
      <alignment horizontal="center" vertical="center"/>
    </xf>
    <xf numFmtId="2" fontId="1" fillId="19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185" fontId="1" fillId="0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85" fontId="9" fillId="0" borderId="9" xfId="0" applyNumberFormat="1" applyFont="1" applyFill="1" applyBorder="1" applyAlignment="1">
      <alignment horizontal="center" vertical="center"/>
    </xf>
    <xf numFmtId="185" fontId="9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85" fontId="6" fillId="0" borderId="9" xfId="0" applyNumberFormat="1" applyFont="1" applyBorder="1" applyAlignment="1">
      <alignment horizontal="center" vertical="center"/>
    </xf>
    <xf numFmtId="183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85" fontId="1" fillId="0" borderId="9" xfId="0" applyNumberFormat="1" applyFont="1" applyBorder="1" applyAlignment="1">
      <alignment horizontal="center" vertical="center"/>
    </xf>
    <xf numFmtId="183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136" customWidth="1"/>
    <col min="2" max="2" width="24.50390625" style="137" customWidth="1"/>
    <col min="3" max="3" width="9.875" style="137" customWidth="1"/>
    <col min="4" max="4" width="9.25390625" style="137" customWidth="1"/>
    <col min="5" max="5" width="8.625" style="137" customWidth="1"/>
    <col min="6" max="6" width="9.625" style="137" customWidth="1"/>
    <col min="7" max="7" width="14.50390625" style="137" customWidth="1"/>
    <col min="8" max="8" width="6.375" style="137" customWidth="1"/>
    <col min="9" max="9" width="9.50390625" style="137" customWidth="1"/>
    <col min="10" max="10" width="6.375" style="137" customWidth="1"/>
    <col min="11" max="11" width="5.375" style="137" customWidth="1"/>
    <col min="12" max="12" width="18.25390625" style="137" customWidth="1"/>
    <col min="13" max="15" width="9.00390625" style="137" bestFit="1" customWidth="1"/>
    <col min="16" max="16" width="7.625" style="137" customWidth="1"/>
    <col min="17" max="17" width="5.625" style="137" customWidth="1"/>
    <col min="18" max="18" width="9.00390625" style="137" bestFit="1" customWidth="1"/>
    <col min="19" max="19" width="9.25390625" style="137" customWidth="1"/>
    <col min="20" max="20" width="4.25390625" style="137" customWidth="1"/>
    <col min="21" max="32" width="9.00390625" style="137" bestFit="1" customWidth="1"/>
    <col min="33" max="16384" width="8.75390625" style="137" customWidth="1"/>
  </cols>
  <sheetData>
    <row r="1" spans="1:20" ht="65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6"/>
      <c r="J1" s="136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30.75" customHeight="1">
      <c r="A2" s="45" t="str">
        <f>'估算表'!A2</f>
        <v>项目名称：平罗县崇岗煤炭集中区雨污水综合利用工程</v>
      </c>
      <c r="B2" s="45"/>
      <c r="C2" s="45"/>
      <c r="D2" s="45"/>
      <c r="E2" s="45"/>
      <c r="F2" s="45"/>
      <c r="G2" s="45"/>
      <c r="H2" s="45"/>
      <c r="I2" s="136"/>
      <c r="J2" s="136"/>
      <c r="K2" s="153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30" customHeight="1">
      <c r="A3" s="139" t="s">
        <v>1</v>
      </c>
      <c r="B3" s="140" t="s">
        <v>2</v>
      </c>
      <c r="C3" s="139" t="s">
        <v>3</v>
      </c>
      <c r="D3" s="139"/>
      <c r="E3" s="139"/>
      <c r="F3" s="139"/>
      <c r="G3" s="139"/>
      <c r="H3" s="141" t="s">
        <v>4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ht="30" customHeight="1">
      <c r="A4" s="140"/>
      <c r="B4" s="140"/>
      <c r="C4" s="142" t="s">
        <v>5</v>
      </c>
      <c r="D4" s="142" t="s">
        <v>6</v>
      </c>
      <c r="E4" s="142" t="s">
        <v>7</v>
      </c>
      <c r="F4" s="142" t="s">
        <v>8</v>
      </c>
      <c r="G4" s="143" t="s">
        <v>9</v>
      </c>
      <c r="H4" s="141"/>
      <c r="I4" s="136"/>
      <c r="J4" s="136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s="8" customFormat="1" ht="27.75" customHeight="1">
      <c r="A5" s="144" t="s">
        <v>10</v>
      </c>
      <c r="B5" s="145" t="s">
        <v>11</v>
      </c>
      <c r="C5" s="146" t="e">
        <f>SUM(C6:C7)</f>
        <v>#REF!</v>
      </c>
      <c r="D5" s="146"/>
      <c r="E5" s="146"/>
      <c r="F5" s="146"/>
      <c r="G5" s="146" t="e">
        <f>C5+D5+E5+F5</f>
        <v>#REF!</v>
      </c>
      <c r="H5" s="147" t="e">
        <f>G5/G13*100</f>
        <v>#REF!</v>
      </c>
      <c r="I5" s="7"/>
      <c r="J5" s="7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s="8" customFormat="1" ht="27.75" customHeight="1">
      <c r="A6" s="142" t="s">
        <v>12</v>
      </c>
      <c r="B6" s="148" t="e">
        <f>估算表!#REF!</f>
        <v>#REF!</v>
      </c>
      <c r="C6" s="149" t="e">
        <f>估算表!#REF!</f>
        <v>#REF!</v>
      </c>
      <c r="D6" s="149"/>
      <c r="E6" s="149"/>
      <c r="F6" s="149"/>
      <c r="G6" s="149" t="e">
        <f>C6+D6+E6+F6</f>
        <v>#REF!</v>
      </c>
      <c r="H6" s="150"/>
      <c r="I6" s="7"/>
      <c r="J6" s="7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s="8" customFormat="1" ht="27.75" customHeight="1">
      <c r="A7" s="142" t="s">
        <v>13</v>
      </c>
      <c r="B7" s="148" t="e">
        <f>估算表!#REF!</f>
        <v>#REF!</v>
      </c>
      <c r="C7" s="149" t="e">
        <f>估算表!#REF!</f>
        <v>#REF!</v>
      </c>
      <c r="D7" s="149"/>
      <c r="E7" s="149"/>
      <c r="F7" s="149"/>
      <c r="G7" s="149" t="e">
        <f>C7+D7+E7+F7</f>
        <v>#REF!</v>
      </c>
      <c r="H7" s="150"/>
      <c r="I7" s="7"/>
      <c r="J7" s="7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s="8" customFormat="1" ht="27.75" customHeight="1">
      <c r="A8" s="14"/>
      <c r="B8" s="38"/>
      <c r="C8" s="37"/>
      <c r="D8" s="149"/>
      <c r="E8" s="149"/>
      <c r="F8" s="149"/>
      <c r="G8" s="149"/>
      <c r="H8" s="147"/>
      <c r="I8" s="7"/>
      <c r="J8" s="7"/>
      <c r="K8" s="155"/>
      <c r="L8" s="155"/>
      <c r="M8" s="155"/>
      <c r="N8" s="155"/>
      <c r="O8" s="155"/>
      <c r="P8" s="155"/>
      <c r="Q8" s="155"/>
      <c r="R8" s="155"/>
      <c r="S8" s="155"/>
      <c r="T8" s="155"/>
    </row>
    <row r="9" spans="1:8" s="8" customFormat="1" ht="27.75" customHeight="1">
      <c r="A9" s="144" t="s">
        <v>14</v>
      </c>
      <c r="B9" s="151" t="s">
        <v>15</v>
      </c>
      <c r="C9" s="146"/>
      <c r="D9" s="146"/>
      <c r="E9" s="146"/>
      <c r="F9" s="146" t="e">
        <f>估算表!#REF!</f>
        <v>#REF!</v>
      </c>
      <c r="G9" s="146" t="e">
        <f>F9</f>
        <v>#REF!</v>
      </c>
      <c r="H9" s="147" t="e">
        <f>G9/G13*100</f>
        <v>#REF!</v>
      </c>
    </row>
    <row r="10" spans="1:8" s="8" customFormat="1" ht="27.75" customHeight="1">
      <c r="A10" s="144"/>
      <c r="B10" s="151"/>
      <c r="C10" s="146"/>
      <c r="D10" s="146"/>
      <c r="E10" s="146"/>
      <c r="F10" s="146"/>
      <c r="G10" s="146" t="s">
        <v>16</v>
      </c>
      <c r="H10" s="147"/>
    </row>
    <row r="11" spans="1:8" s="8" customFormat="1" ht="27.75" customHeight="1">
      <c r="A11" s="144" t="s">
        <v>17</v>
      </c>
      <c r="B11" s="151" t="s">
        <v>18</v>
      </c>
      <c r="C11" s="146"/>
      <c r="D11" s="146"/>
      <c r="E11" s="146"/>
      <c r="F11" s="146">
        <f>'估算表'!G48</f>
        <v>1429.9030414571212</v>
      </c>
      <c r="G11" s="146">
        <f>F11</f>
        <v>1429.9030414571212</v>
      </c>
      <c r="H11" s="147" t="e">
        <f>G11/G13*100</f>
        <v>#REF!</v>
      </c>
    </row>
    <row r="12" spans="1:8" s="8" customFormat="1" ht="27.75" customHeight="1">
      <c r="A12" s="144"/>
      <c r="B12" s="151"/>
      <c r="C12" s="146"/>
      <c r="D12" s="146"/>
      <c r="E12" s="146"/>
      <c r="F12" s="146"/>
      <c r="G12" s="146"/>
      <c r="H12" s="147"/>
    </row>
    <row r="13" spans="1:8" s="8" customFormat="1" ht="27.75" customHeight="1">
      <c r="A13" s="144"/>
      <c r="B13" s="144" t="s">
        <v>19</v>
      </c>
      <c r="C13" s="146" t="e">
        <f>C5</f>
        <v>#REF!</v>
      </c>
      <c r="D13" s="146">
        <f>D5</f>
        <v>0</v>
      </c>
      <c r="E13" s="146">
        <f>E5</f>
        <v>0</v>
      </c>
      <c r="F13" s="146" t="e">
        <f>SUM(F9:F12)</f>
        <v>#REF!</v>
      </c>
      <c r="G13" s="146" t="e">
        <f>SUM(C13:F13)</f>
        <v>#REF!</v>
      </c>
      <c r="H13" s="152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3">
      <selection activeCell="K21" sqref="K21"/>
    </sheetView>
  </sheetViews>
  <sheetFormatPr defaultColWidth="9.00390625" defaultRowHeight="14.25"/>
  <cols>
    <col min="1" max="1" width="6.00390625" style="0" customWidth="1"/>
    <col min="2" max="2" width="17.50390625" style="0" customWidth="1"/>
    <col min="3" max="3" width="9.375" style="0" bestFit="1" customWidth="1"/>
    <col min="5" max="6" width="9.375" style="0" bestFit="1" customWidth="1"/>
    <col min="7" max="7" width="10.375" style="0" bestFit="1" customWidth="1"/>
    <col min="11" max="11" width="12.625" style="0" bestFit="1" customWidth="1"/>
  </cols>
  <sheetData>
    <row r="1" spans="1:8" s="114" customFormat="1" ht="22.5">
      <c r="A1" s="116" t="s">
        <v>20</v>
      </c>
      <c r="B1" s="117"/>
      <c r="C1" s="117"/>
      <c r="D1" s="117"/>
      <c r="E1" s="117"/>
      <c r="F1" s="117"/>
      <c r="G1" s="117"/>
      <c r="H1" s="117"/>
    </row>
    <row r="2" spans="1:8" s="115" customFormat="1" ht="45.75" customHeight="1">
      <c r="A2" s="12" t="str">
        <f>'估算表'!A2</f>
        <v>项目名称：平罗县崇岗煤炭集中区雨污水综合利用工程</v>
      </c>
      <c r="B2" s="12"/>
      <c r="C2" s="12"/>
      <c r="D2" s="12"/>
      <c r="E2" s="12"/>
      <c r="F2" s="12"/>
      <c r="G2" s="12"/>
      <c r="H2" s="12"/>
    </row>
    <row r="3" spans="1:8" s="115" customFormat="1" ht="24.75" customHeight="1">
      <c r="A3" s="118" t="s">
        <v>21</v>
      </c>
      <c r="B3" s="119" t="s">
        <v>22</v>
      </c>
      <c r="C3" s="120" t="s">
        <v>23</v>
      </c>
      <c r="D3" s="121"/>
      <c r="E3" s="121"/>
      <c r="F3" s="121"/>
      <c r="G3" s="122"/>
      <c r="H3" s="118" t="s">
        <v>24</v>
      </c>
    </row>
    <row r="4" spans="1:8" s="115" customFormat="1" ht="24.75" customHeight="1">
      <c r="A4" s="123"/>
      <c r="B4" s="123"/>
      <c r="C4" s="124" t="s">
        <v>5</v>
      </c>
      <c r="D4" s="124" t="s">
        <v>6</v>
      </c>
      <c r="E4" s="124" t="s">
        <v>7</v>
      </c>
      <c r="F4" s="124" t="s">
        <v>8</v>
      </c>
      <c r="G4" s="125" t="s">
        <v>9</v>
      </c>
      <c r="H4" s="123"/>
    </row>
    <row r="5" spans="1:9" s="115" customFormat="1" ht="24.75" customHeight="1">
      <c r="A5" s="124" t="s">
        <v>12</v>
      </c>
      <c r="B5" s="126" t="s">
        <v>25</v>
      </c>
      <c r="C5" s="127">
        <f>'估算表'!C5</f>
        <v>13133.67677854</v>
      </c>
      <c r="D5" s="127"/>
      <c r="E5" s="127">
        <f>'估算表'!E5</f>
        <v>3669.1</v>
      </c>
      <c r="F5" s="127"/>
      <c r="G5" s="127">
        <f>C5+D5+E5</f>
        <v>16802.77677854</v>
      </c>
      <c r="H5" s="128">
        <f>G5/G20*100</f>
        <v>87.04437263629859</v>
      </c>
      <c r="I5" s="62"/>
    </row>
    <row r="6" spans="1:9" s="115" customFormat="1" ht="24.75" customHeight="1">
      <c r="A6" s="124" t="s">
        <v>13</v>
      </c>
      <c r="B6" s="126" t="s">
        <v>8</v>
      </c>
      <c r="C6" s="129"/>
      <c r="D6" s="129"/>
      <c r="E6" s="129"/>
      <c r="F6" s="129">
        <f>'估算表'!G32</f>
        <v>1071.011239674017</v>
      </c>
      <c r="G6" s="127">
        <f>F6</f>
        <v>1071.011239674017</v>
      </c>
      <c r="H6" s="128">
        <f>G6/G20*100</f>
        <v>5.548219956294012</v>
      </c>
      <c r="I6" s="62"/>
    </row>
    <row r="7" spans="1:9" s="115" customFormat="1" ht="24.75" customHeight="1">
      <c r="A7" s="124" t="s">
        <v>26</v>
      </c>
      <c r="B7" s="130" t="s">
        <v>27</v>
      </c>
      <c r="C7" s="129"/>
      <c r="D7" s="129"/>
      <c r="E7" s="129"/>
      <c r="F7" s="129">
        <f>'估算表'!G48</f>
        <v>1429.9030414571212</v>
      </c>
      <c r="G7" s="127">
        <f>F7</f>
        <v>1429.9030414571212</v>
      </c>
      <c r="H7" s="128">
        <f>G7/G20*100</f>
        <v>7.4074074074074066</v>
      </c>
      <c r="I7" s="62"/>
    </row>
    <row r="8" spans="1:9" s="115" customFormat="1" ht="24.75" customHeight="1">
      <c r="A8" s="124"/>
      <c r="B8" s="131"/>
      <c r="C8" s="132"/>
      <c r="D8" s="132"/>
      <c r="E8" s="133"/>
      <c r="F8" s="133"/>
      <c r="G8" s="133"/>
      <c r="H8" s="134"/>
      <c r="I8" s="62"/>
    </row>
    <row r="9" spans="1:9" s="115" customFormat="1" ht="24.75" customHeight="1">
      <c r="A9" s="124"/>
      <c r="B9" s="131"/>
      <c r="C9" s="132"/>
      <c r="D9" s="132"/>
      <c r="E9" s="133"/>
      <c r="F9" s="133"/>
      <c r="G9" s="133"/>
      <c r="H9" s="134"/>
      <c r="I9" s="62"/>
    </row>
    <row r="10" spans="1:9" s="115" customFormat="1" ht="24.75" customHeight="1">
      <c r="A10" s="124"/>
      <c r="B10" s="131"/>
      <c r="C10" s="132"/>
      <c r="D10" s="132"/>
      <c r="E10" s="133"/>
      <c r="F10" s="133"/>
      <c r="G10" s="133"/>
      <c r="H10" s="134"/>
      <c r="I10" s="62"/>
    </row>
    <row r="11" spans="1:9" s="115" customFormat="1" ht="24.75" customHeight="1">
      <c r="A11" s="124"/>
      <c r="B11" s="131"/>
      <c r="C11" s="132"/>
      <c r="D11" s="132"/>
      <c r="E11" s="133"/>
      <c r="F11" s="133"/>
      <c r="G11" s="133"/>
      <c r="H11" s="134"/>
      <c r="I11" s="62"/>
    </row>
    <row r="12" spans="1:9" s="115" customFormat="1" ht="24.75" customHeight="1">
      <c r="A12" s="124"/>
      <c r="B12" s="131"/>
      <c r="C12" s="132"/>
      <c r="D12" s="132"/>
      <c r="E12" s="133"/>
      <c r="F12" s="133"/>
      <c r="G12" s="133"/>
      <c r="H12" s="134"/>
      <c r="I12" s="62"/>
    </row>
    <row r="13" spans="1:9" s="115" customFormat="1" ht="24.75" customHeight="1">
      <c r="A13" s="124"/>
      <c r="B13" s="131"/>
      <c r="C13" s="132"/>
      <c r="D13" s="132"/>
      <c r="E13" s="133"/>
      <c r="F13" s="133"/>
      <c r="G13" s="133"/>
      <c r="H13" s="134"/>
      <c r="I13" s="62"/>
    </row>
    <row r="14" spans="1:9" s="115" customFormat="1" ht="24.75" customHeight="1">
      <c r="A14" s="124"/>
      <c r="B14" s="131"/>
      <c r="C14" s="132"/>
      <c r="D14" s="132"/>
      <c r="E14" s="133"/>
      <c r="F14" s="133"/>
      <c r="G14" s="133"/>
      <c r="H14" s="134"/>
      <c r="I14" s="62"/>
    </row>
    <row r="15" spans="1:9" s="115" customFormat="1" ht="24.75" customHeight="1">
      <c r="A15" s="124"/>
      <c r="B15" s="131"/>
      <c r="C15" s="132"/>
      <c r="D15" s="132"/>
      <c r="E15" s="133"/>
      <c r="F15" s="133"/>
      <c r="G15" s="133"/>
      <c r="H15" s="134"/>
      <c r="I15" s="62"/>
    </row>
    <row r="16" spans="1:9" s="115" customFormat="1" ht="24.75" customHeight="1">
      <c r="A16" s="124"/>
      <c r="B16" s="131"/>
      <c r="C16" s="132"/>
      <c r="D16" s="132"/>
      <c r="E16" s="133"/>
      <c r="F16" s="133"/>
      <c r="G16" s="133"/>
      <c r="H16" s="134"/>
      <c r="I16" s="62"/>
    </row>
    <row r="17" spans="1:9" s="115" customFormat="1" ht="24.75" customHeight="1">
      <c r="A17" s="124"/>
      <c r="B17" s="131"/>
      <c r="C17" s="132"/>
      <c r="D17" s="132"/>
      <c r="E17" s="133"/>
      <c r="F17" s="133"/>
      <c r="G17" s="133"/>
      <c r="H17" s="134"/>
      <c r="I17" s="62"/>
    </row>
    <row r="18" spans="1:9" s="115" customFormat="1" ht="24.75" customHeight="1">
      <c r="A18" s="124"/>
      <c r="B18" s="131"/>
      <c r="C18" s="132"/>
      <c r="D18" s="132"/>
      <c r="E18" s="133"/>
      <c r="F18" s="133"/>
      <c r="G18" s="133"/>
      <c r="H18" s="134"/>
      <c r="I18" s="62"/>
    </row>
    <row r="19" spans="1:9" s="115" customFormat="1" ht="24.75" customHeight="1">
      <c r="A19" s="124"/>
      <c r="B19" s="131"/>
      <c r="C19" s="132"/>
      <c r="D19" s="132"/>
      <c r="E19" s="133"/>
      <c r="F19" s="133"/>
      <c r="G19" s="133"/>
      <c r="H19" s="134"/>
      <c r="I19" s="62"/>
    </row>
    <row r="20" spans="1:9" s="115" customFormat="1" ht="24.75" customHeight="1">
      <c r="A20" s="15" t="s">
        <v>28</v>
      </c>
      <c r="B20" s="135"/>
      <c r="C20" s="129">
        <f>C5</f>
        <v>13133.67677854</v>
      </c>
      <c r="D20" s="129"/>
      <c r="E20" s="129">
        <f>E5</f>
        <v>3669.1</v>
      </c>
      <c r="F20" s="129">
        <f>F6+F7</f>
        <v>2500.914281131138</v>
      </c>
      <c r="G20" s="129">
        <f>SUM(G5:G19)</f>
        <v>19303.691059671135</v>
      </c>
      <c r="H20" s="81">
        <f>SUM(H5:H19)</f>
        <v>100.00000000000001</v>
      </c>
      <c r="I20" s="62"/>
    </row>
    <row r="21" s="115" customFormat="1" ht="24.75" customHeight="1"/>
    <row r="22" s="115" customFormat="1" ht="14.25">
      <c r="A22" s="114"/>
    </row>
  </sheetData>
  <sheetProtection/>
  <mergeCells count="7">
    <mergeCell ref="A1:H1"/>
    <mergeCell ref="A2:H2"/>
    <mergeCell ref="C3:G3"/>
    <mergeCell ref="A20:B20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4"/>
  <sheetViews>
    <sheetView tabSelected="1" workbookViewId="0" topLeftCell="A1">
      <selection activeCell="D8" sqref="D8"/>
    </sheetView>
  </sheetViews>
  <sheetFormatPr defaultColWidth="8.75390625" defaultRowHeight="14.25"/>
  <cols>
    <col min="1" max="1" width="4.75390625" style="7" customWidth="1"/>
    <col min="2" max="2" width="14.875" style="8" customWidth="1"/>
    <col min="3" max="3" width="9.25390625" style="8" customWidth="1"/>
    <col min="4" max="4" width="7.875" style="8" customWidth="1"/>
    <col min="5" max="5" width="8.25390625" style="8" customWidth="1"/>
    <col min="6" max="6" width="7.875" style="8" customWidth="1"/>
    <col min="7" max="7" width="10.125" style="8" customWidth="1"/>
    <col min="8" max="8" width="4.125" style="8" customWidth="1"/>
    <col min="9" max="9" width="9.375" style="8" customWidth="1"/>
    <col min="10" max="10" width="9.875" style="8" customWidth="1"/>
    <col min="11" max="11" width="6.375" style="8" customWidth="1"/>
    <col min="12" max="12" width="16.625" style="8" hidden="1" customWidth="1"/>
    <col min="13" max="13" width="13.375" style="8" hidden="1" customWidth="1"/>
    <col min="14" max="14" width="9.25390625" style="7" hidden="1" customWidth="1"/>
    <col min="15" max="15" width="9.00390625" style="7" hidden="1" customWidth="1"/>
    <col min="16" max="16" width="14.125" style="9" bestFit="1" customWidth="1"/>
    <col min="17" max="17" width="14.125" style="8" bestFit="1" customWidth="1"/>
    <col min="18" max="18" width="12.625" style="8" bestFit="1" customWidth="1"/>
    <col min="19" max="24" width="9.00390625" style="8" bestFit="1" customWidth="1"/>
    <col min="25" max="16384" width="8.75390625" style="8" customWidth="1"/>
  </cols>
  <sheetData>
    <row r="1" spans="1:11" ht="33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 s="1" customFormat="1" ht="24.7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N2" s="59"/>
      <c r="O2" s="59"/>
      <c r="P2" s="60"/>
    </row>
    <row r="3" spans="1:16" ht="22.5" customHeight="1">
      <c r="A3" s="13" t="s">
        <v>21</v>
      </c>
      <c r="B3" s="13" t="s">
        <v>22</v>
      </c>
      <c r="C3" s="14" t="s">
        <v>31</v>
      </c>
      <c r="D3" s="14"/>
      <c r="E3" s="14"/>
      <c r="F3" s="14"/>
      <c r="G3" s="15"/>
      <c r="H3" s="14" t="s">
        <v>32</v>
      </c>
      <c r="I3" s="14"/>
      <c r="J3" s="14"/>
      <c r="K3" s="13" t="s">
        <v>33</v>
      </c>
      <c r="L3" s="4"/>
      <c r="M3" s="4"/>
      <c r="N3" s="61"/>
      <c r="O3" s="61"/>
      <c r="P3" s="62"/>
    </row>
    <row r="4" spans="1:16" ht="22.5" customHeight="1">
      <c r="A4" s="14"/>
      <c r="B4" s="14"/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4" t="s">
        <v>34</v>
      </c>
      <c r="I4" s="14" t="s">
        <v>35</v>
      </c>
      <c r="J4" s="14" t="s">
        <v>36</v>
      </c>
      <c r="K4" s="14"/>
      <c r="L4" s="4"/>
      <c r="M4" s="4"/>
      <c r="N4" s="61"/>
      <c r="O4" s="61"/>
      <c r="P4" s="62"/>
    </row>
    <row r="5" spans="1:15" s="2" customFormat="1" ht="24" customHeight="1">
      <c r="A5" s="16" t="s">
        <v>12</v>
      </c>
      <c r="B5" s="17" t="s">
        <v>25</v>
      </c>
      <c r="C5" s="18">
        <f>C6+C13+C22+C28</f>
        <v>13133.67677854</v>
      </c>
      <c r="D5" s="18"/>
      <c r="E5" s="18">
        <f>E6+E13+E22+E28</f>
        <v>3669.1</v>
      </c>
      <c r="F5" s="18"/>
      <c r="G5" s="18">
        <f>C5+D5+E5</f>
        <v>16802.77677854</v>
      </c>
      <c r="H5" s="19"/>
      <c r="I5" s="19"/>
      <c r="J5" s="63"/>
      <c r="K5" s="64">
        <f>G5/G50*100</f>
        <v>87.04437263629859</v>
      </c>
      <c r="N5" s="65"/>
      <c r="O5" s="65"/>
    </row>
    <row r="6" spans="1:15" s="2" customFormat="1" ht="24" customHeight="1">
      <c r="A6" s="20" t="s">
        <v>37</v>
      </c>
      <c r="B6" s="21" t="s">
        <v>38</v>
      </c>
      <c r="C6" s="18">
        <f>SUM(C7:C12)</f>
        <v>4527.24</v>
      </c>
      <c r="D6" s="18"/>
      <c r="E6" s="18">
        <f>SUM(E7:E12)</f>
        <v>578</v>
      </c>
      <c r="F6" s="18"/>
      <c r="G6" s="18">
        <f>C6+D6+E6</f>
        <v>5105.24</v>
      </c>
      <c r="H6" s="19"/>
      <c r="I6" s="19"/>
      <c r="J6" s="63"/>
      <c r="K6" s="64"/>
      <c r="N6" s="65"/>
      <c r="O6" s="65"/>
    </row>
    <row r="7" spans="1:15" s="2" customFormat="1" ht="42" customHeight="1">
      <c r="A7" s="22">
        <v>1</v>
      </c>
      <c r="B7" s="21" t="s">
        <v>39</v>
      </c>
      <c r="C7" s="23">
        <f>I7*J7/10000</f>
        <v>3660.24</v>
      </c>
      <c r="D7" s="18"/>
      <c r="E7" s="23"/>
      <c r="F7" s="18"/>
      <c r="G7" s="18">
        <f>SUM(C7:F7)</f>
        <v>3660.24</v>
      </c>
      <c r="H7" s="24" t="s">
        <v>40</v>
      </c>
      <c r="I7" s="66">
        <v>36240</v>
      </c>
      <c r="J7" s="67">
        <v>1010</v>
      </c>
      <c r="K7" s="68"/>
      <c r="M7" s="2" t="s">
        <v>41</v>
      </c>
      <c r="N7" s="65">
        <v>1292</v>
      </c>
      <c r="O7" s="65" t="s">
        <v>42</v>
      </c>
    </row>
    <row r="8" spans="1:15" s="2" customFormat="1" ht="24" customHeight="1">
      <c r="A8" s="22">
        <v>2</v>
      </c>
      <c r="B8" s="25" t="s">
        <v>43</v>
      </c>
      <c r="C8" s="23">
        <f>I8*J8/10000*0.6</f>
        <v>117.48</v>
      </c>
      <c r="D8" s="18"/>
      <c r="E8" s="23">
        <f aca="true" t="shared" si="0" ref="E7:E12">I8*J8/10000*0.4</f>
        <v>78.32000000000001</v>
      </c>
      <c r="F8" s="18"/>
      <c r="G8" s="18">
        <f>C8+D8+E8</f>
        <v>195.8</v>
      </c>
      <c r="H8" s="24" t="s">
        <v>44</v>
      </c>
      <c r="I8" s="24">
        <v>890</v>
      </c>
      <c r="J8" s="67">
        <v>2200</v>
      </c>
      <c r="K8" s="69"/>
      <c r="M8" s="2" t="s">
        <v>45</v>
      </c>
      <c r="N8" s="70" t="e">
        <f>#REF!</f>
        <v>#REF!</v>
      </c>
      <c r="O8" s="65" t="s">
        <v>42</v>
      </c>
    </row>
    <row r="9" spans="1:15" s="2" customFormat="1" ht="24" customHeight="1">
      <c r="A9" s="22">
        <v>3</v>
      </c>
      <c r="B9" s="25" t="s">
        <v>46</v>
      </c>
      <c r="C9" s="23">
        <f>I9*J9/10000*0.6</f>
        <v>64.8</v>
      </c>
      <c r="D9" s="18"/>
      <c r="E9" s="23">
        <f t="shared" si="0"/>
        <v>43.2</v>
      </c>
      <c r="F9" s="18"/>
      <c r="G9" s="18">
        <f>C9+D9+E9</f>
        <v>108</v>
      </c>
      <c r="H9" s="24" t="s">
        <v>44</v>
      </c>
      <c r="I9" s="24">
        <v>432</v>
      </c>
      <c r="J9" s="67">
        <v>2500</v>
      </c>
      <c r="K9" s="69"/>
      <c r="M9" s="2" t="s">
        <v>47</v>
      </c>
      <c r="N9" s="70" t="e">
        <f>N7+N8</f>
        <v>#REF!</v>
      </c>
      <c r="O9" s="65" t="s">
        <v>42</v>
      </c>
    </row>
    <row r="10" spans="1:15" s="2" customFormat="1" ht="24" customHeight="1">
      <c r="A10" s="22">
        <v>4</v>
      </c>
      <c r="B10" s="25" t="s">
        <v>48</v>
      </c>
      <c r="C10" s="23">
        <f>I10*J10/10000*0.6</f>
        <v>61.92</v>
      </c>
      <c r="D10" s="18"/>
      <c r="E10" s="23">
        <f t="shared" si="0"/>
        <v>41.28</v>
      </c>
      <c r="F10" s="18"/>
      <c r="G10" s="18">
        <f>C10+D10+E10</f>
        <v>103.2</v>
      </c>
      <c r="H10" s="24" t="s">
        <v>44</v>
      </c>
      <c r="I10" s="24">
        <v>1290</v>
      </c>
      <c r="J10" s="67">
        <v>800</v>
      </c>
      <c r="K10" s="69"/>
      <c r="N10" s="70"/>
      <c r="O10" s="65"/>
    </row>
    <row r="11" spans="1:15" s="2" customFormat="1" ht="24" customHeight="1">
      <c r="A11" s="22">
        <v>5</v>
      </c>
      <c r="B11" s="25" t="s">
        <v>49</v>
      </c>
      <c r="C11" s="23">
        <f>I11*J11/10000*0.6</f>
        <v>207.6</v>
      </c>
      <c r="D11" s="18"/>
      <c r="E11" s="23">
        <f t="shared" si="0"/>
        <v>138.4</v>
      </c>
      <c r="F11" s="18"/>
      <c r="G11" s="18">
        <f>C11+D11+E11</f>
        <v>346</v>
      </c>
      <c r="H11" s="24" t="s">
        <v>44</v>
      </c>
      <c r="I11" s="24">
        <v>1730</v>
      </c>
      <c r="J11" s="67">
        <v>2000</v>
      </c>
      <c r="K11" s="69"/>
      <c r="N11" s="70"/>
      <c r="O11" s="65"/>
    </row>
    <row r="12" spans="1:15" s="2" customFormat="1" ht="24" customHeight="1">
      <c r="A12" s="22">
        <v>6</v>
      </c>
      <c r="B12" s="25" t="s">
        <v>50</v>
      </c>
      <c r="C12" s="23">
        <f>I12*J12/10000*0.6</f>
        <v>415.2</v>
      </c>
      <c r="D12" s="18"/>
      <c r="E12" s="23">
        <f t="shared" si="0"/>
        <v>276.8</v>
      </c>
      <c r="F12" s="18"/>
      <c r="G12" s="18">
        <f>SUM(C12:F12)</f>
        <v>692</v>
      </c>
      <c r="H12" s="24" t="s">
        <v>51</v>
      </c>
      <c r="I12" s="24">
        <v>17300</v>
      </c>
      <c r="J12" s="67">
        <v>400</v>
      </c>
      <c r="K12" s="69"/>
      <c r="N12" s="65"/>
      <c r="O12" s="65"/>
    </row>
    <row r="13" spans="1:15" s="2" customFormat="1" ht="24" customHeight="1">
      <c r="A13" s="22" t="s">
        <v>52</v>
      </c>
      <c r="B13" s="25" t="s">
        <v>53</v>
      </c>
      <c r="C13" s="26">
        <f>C14+C15+C16+C17+C18+C19+C20+C21</f>
        <v>1479.45</v>
      </c>
      <c r="D13" s="26"/>
      <c r="E13" s="26">
        <f>E14+E15+E16+E17+E18+E19+E20+E21</f>
        <v>3091.1</v>
      </c>
      <c r="F13" s="18"/>
      <c r="G13" s="18">
        <f>C13+D13+E13</f>
        <v>4570.55</v>
      </c>
      <c r="H13" s="24"/>
      <c r="I13" s="24"/>
      <c r="J13" s="71"/>
      <c r="K13" s="69"/>
      <c r="N13" s="65"/>
      <c r="O13" s="65"/>
    </row>
    <row r="14" spans="1:15" s="2" customFormat="1" ht="33.75" customHeight="1">
      <c r="A14" s="22">
        <v>1</v>
      </c>
      <c r="B14" s="21" t="s">
        <v>54</v>
      </c>
      <c r="C14" s="26">
        <f>1000*29580/10000*0.4</f>
        <v>1183.2</v>
      </c>
      <c r="D14" s="18"/>
      <c r="E14" s="27">
        <f>1000*29580/10000*0.6</f>
        <v>1774.8</v>
      </c>
      <c r="F14" s="18"/>
      <c r="G14" s="18">
        <f>SUM(C14:F14)</f>
        <v>2958</v>
      </c>
      <c r="H14" s="28" t="s">
        <v>55</v>
      </c>
      <c r="I14" s="66">
        <v>1</v>
      </c>
      <c r="J14" s="66">
        <f>G14*I14*10000</f>
        <v>29580000</v>
      </c>
      <c r="K14" s="69"/>
      <c r="N14" s="65"/>
      <c r="O14" s="65"/>
    </row>
    <row r="15" spans="1:15" s="2" customFormat="1" ht="33.75" customHeight="1">
      <c r="A15" s="22">
        <v>2</v>
      </c>
      <c r="B15" s="21" t="s">
        <v>56</v>
      </c>
      <c r="C15" s="26"/>
      <c r="D15" s="18"/>
      <c r="E15" s="23">
        <f aca="true" t="shared" si="1" ref="E15:E17">I15*J15/10000</f>
        <v>420.8</v>
      </c>
      <c r="F15" s="18"/>
      <c r="G15" s="18">
        <f>C15+D15+E15</f>
        <v>420.8</v>
      </c>
      <c r="H15" s="24" t="s">
        <v>40</v>
      </c>
      <c r="I15" s="66">
        <v>5260</v>
      </c>
      <c r="J15" s="67">
        <v>800</v>
      </c>
      <c r="K15" s="69"/>
      <c r="N15" s="65"/>
      <c r="O15" s="65"/>
    </row>
    <row r="16" spans="1:15" s="2" customFormat="1" ht="33.75" customHeight="1">
      <c r="A16" s="22">
        <v>3</v>
      </c>
      <c r="B16" s="21" t="s">
        <v>57</v>
      </c>
      <c r="C16" s="26"/>
      <c r="D16" s="18"/>
      <c r="E16" s="23">
        <f t="shared" si="1"/>
        <v>450</v>
      </c>
      <c r="F16" s="18"/>
      <c r="G16" s="18">
        <f>C16+D16+E16</f>
        <v>450</v>
      </c>
      <c r="H16" s="24" t="s">
        <v>40</v>
      </c>
      <c r="I16" s="66">
        <v>6250</v>
      </c>
      <c r="J16" s="67">
        <v>720</v>
      </c>
      <c r="K16" s="69"/>
      <c r="N16" s="65"/>
      <c r="O16" s="65"/>
    </row>
    <row r="17" spans="1:15" s="2" customFormat="1" ht="33.75" customHeight="1">
      <c r="A17" s="22">
        <v>4</v>
      </c>
      <c r="B17" s="21" t="s">
        <v>58</v>
      </c>
      <c r="C17" s="26"/>
      <c r="D17" s="18"/>
      <c r="E17" s="23">
        <f t="shared" si="1"/>
        <v>96.75</v>
      </c>
      <c r="F17" s="18"/>
      <c r="G17" s="18">
        <f>C17+D17+E17</f>
        <v>96.75</v>
      </c>
      <c r="H17" s="24" t="s">
        <v>40</v>
      </c>
      <c r="I17" s="66">
        <v>2150</v>
      </c>
      <c r="J17" s="67">
        <v>450</v>
      </c>
      <c r="K17" s="69"/>
      <c r="N17" s="65"/>
      <c r="O17" s="65"/>
    </row>
    <row r="18" spans="1:15" s="2" customFormat="1" ht="33.75" customHeight="1">
      <c r="A18" s="22">
        <v>5</v>
      </c>
      <c r="B18" s="21" t="s">
        <v>59</v>
      </c>
      <c r="C18" s="26">
        <f>I18*J18/10000*0.7</f>
        <v>210</v>
      </c>
      <c r="D18" s="18"/>
      <c r="E18" s="27">
        <f>I18*J18/10000*0.3</f>
        <v>90</v>
      </c>
      <c r="F18" s="18"/>
      <c r="G18" s="18">
        <f>C18+D18+E18</f>
        <v>300</v>
      </c>
      <c r="H18" s="28" t="s">
        <v>55</v>
      </c>
      <c r="I18" s="66">
        <v>250</v>
      </c>
      <c r="J18" s="72">
        <v>12000</v>
      </c>
      <c r="K18" s="69"/>
      <c r="N18" s="65"/>
      <c r="O18" s="65"/>
    </row>
    <row r="19" spans="1:15" s="2" customFormat="1" ht="33.75" customHeight="1">
      <c r="A19" s="22">
        <v>6</v>
      </c>
      <c r="B19" s="21" t="s">
        <v>60</v>
      </c>
      <c r="C19" s="26">
        <f>I19*J19/10000*0.25</f>
        <v>48.75</v>
      </c>
      <c r="D19" s="18"/>
      <c r="E19" s="27">
        <f aca="true" t="shared" si="2" ref="E19:E21">I19*J19/10000*0.75</f>
        <v>146.25</v>
      </c>
      <c r="F19" s="18"/>
      <c r="G19" s="18">
        <f>SUM(C19:F19)</f>
        <v>195</v>
      </c>
      <c r="H19" s="28" t="s">
        <v>55</v>
      </c>
      <c r="I19" s="66">
        <v>3</v>
      </c>
      <c r="J19" s="66">
        <v>650000</v>
      </c>
      <c r="K19" s="69"/>
      <c r="N19" s="65"/>
      <c r="O19" s="65"/>
    </row>
    <row r="20" spans="1:15" s="2" customFormat="1" ht="33.75" customHeight="1">
      <c r="A20" s="22">
        <v>7</v>
      </c>
      <c r="B20" s="21" t="s">
        <v>61</v>
      </c>
      <c r="C20" s="26">
        <f>I20*J20/10000*0.25</f>
        <v>17.5</v>
      </c>
      <c r="D20" s="18"/>
      <c r="E20" s="27">
        <f t="shared" si="2"/>
        <v>52.5</v>
      </c>
      <c r="F20" s="18"/>
      <c r="G20" s="18">
        <f aca="true" t="shared" si="3" ref="G20:G31">C20+D20+E20</f>
        <v>70</v>
      </c>
      <c r="H20" s="28" t="s">
        <v>55</v>
      </c>
      <c r="I20" s="66">
        <v>1</v>
      </c>
      <c r="J20" s="66">
        <v>700000</v>
      </c>
      <c r="K20" s="69"/>
      <c r="N20" s="65"/>
      <c r="O20" s="65"/>
    </row>
    <row r="21" spans="1:15" s="2" customFormat="1" ht="33.75" customHeight="1">
      <c r="A21" s="22">
        <v>8</v>
      </c>
      <c r="B21" s="21" t="s">
        <v>62</v>
      </c>
      <c r="C21" s="26">
        <f>I21*J21/10000*0.25</f>
        <v>20</v>
      </c>
      <c r="D21" s="18"/>
      <c r="E21" s="27">
        <f t="shared" si="2"/>
        <v>60</v>
      </c>
      <c r="F21" s="18"/>
      <c r="G21" s="18">
        <f t="shared" si="3"/>
        <v>80</v>
      </c>
      <c r="H21" s="28" t="s">
        <v>55</v>
      </c>
      <c r="I21" s="66">
        <v>1</v>
      </c>
      <c r="J21" s="66">
        <v>800000</v>
      </c>
      <c r="K21" s="69"/>
      <c r="N21" s="65"/>
      <c r="O21" s="65"/>
    </row>
    <row r="22" spans="1:15" s="2" customFormat="1" ht="24" customHeight="1">
      <c r="A22" s="22" t="s">
        <v>63</v>
      </c>
      <c r="B22" s="25" t="s">
        <v>64</v>
      </c>
      <c r="C22" s="26">
        <f>C23+C24+C25+C26+C27</f>
        <v>1841.3967785400002</v>
      </c>
      <c r="D22" s="18"/>
      <c r="E22" s="26"/>
      <c r="F22" s="18"/>
      <c r="G22" s="18">
        <f t="shared" si="3"/>
        <v>1841.3967785400002</v>
      </c>
      <c r="H22" s="24"/>
      <c r="I22" s="24"/>
      <c r="J22" s="71"/>
      <c r="K22" s="73"/>
      <c r="N22" s="65"/>
      <c r="O22" s="65"/>
    </row>
    <row r="23" spans="1:79" s="3" customFormat="1" ht="33.75" customHeight="1">
      <c r="A23" s="22">
        <v>1</v>
      </c>
      <c r="B23" s="21" t="s">
        <v>65</v>
      </c>
      <c r="C23" s="29">
        <f>I23*J23/10000</f>
        <v>1290.8375</v>
      </c>
      <c r="D23" s="18"/>
      <c r="E23" s="26"/>
      <c r="F23" s="18"/>
      <c r="G23" s="18">
        <f t="shared" si="3"/>
        <v>1290.8375</v>
      </c>
      <c r="H23" s="28" t="s">
        <v>51</v>
      </c>
      <c r="I23" s="74">
        <v>103267</v>
      </c>
      <c r="J23" s="75">
        <v>125</v>
      </c>
      <c r="K23" s="69"/>
      <c r="N23" s="32"/>
      <c r="O23" s="32"/>
      <c r="P23" s="7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</row>
    <row r="24" spans="1:79" s="3" customFormat="1" ht="33.75" customHeight="1">
      <c r="A24" s="22">
        <v>2</v>
      </c>
      <c r="B24" s="21" t="s">
        <v>66</v>
      </c>
      <c r="C24" s="29">
        <f>I24*J24/10000</f>
        <v>382.08789999999993</v>
      </c>
      <c r="D24" s="18"/>
      <c r="E24" s="26"/>
      <c r="F24" s="18"/>
      <c r="G24" s="18">
        <f t="shared" si="3"/>
        <v>382.08789999999993</v>
      </c>
      <c r="H24" s="28" t="s">
        <v>51</v>
      </c>
      <c r="I24" s="74">
        <v>20653.399999999998</v>
      </c>
      <c r="J24" s="75">
        <v>185</v>
      </c>
      <c r="K24" s="69"/>
      <c r="N24" s="32"/>
      <c r="O24" s="32"/>
      <c r="P24" s="7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</row>
    <row r="25" spans="1:15" s="2" customFormat="1" ht="24" customHeight="1">
      <c r="A25" s="22">
        <v>3</v>
      </c>
      <c r="B25" s="21" t="s">
        <v>67</v>
      </c>
      <c r="C25" s="29">
        <f>I25*J25/10000</f>
        <v>37.39</v>
      </c>
      <c r="D25" s="18"/>
      <c r="E25" s="26"/>
      <c r="F25" s="18"/>
      <c r="G25" s="18">
        <f t="shared" si="3"/>
        <v>37.39</v>
      </c>
      <c r="H25" s="28" t="s">
        <v>40</v>
      </c>
      <c r="I25" s="74">
        <v>14956</v>
      </c>
      <c r="J25" s="75">
        <v>25</v>
      </c>
      <c r="K25" s="77"/>
      <c r="N25" s="65"/>
      <c r="O25" s="65"/>
    </row>
    <row r="26" spans="1:15" s="2" customFormat="1" ht="33.75" customHeight="1">
      <c r="A26" s="22">
        <v>4</v>
      </c>
      <c r="B26" s="21" t="s">
        <v>68</v>
      </c>
      <c r="C26" s="29">
        <f>I26*J26/10000</f>
        <v>104.1755</v>
      </c>
      <c r="D26" s="18"/>
      <c r="E26" s="26"/>
      <c r="F26" s="18"/>
      <c r="G26" s="18">
        <f t="shared" si="3"/>
        <v>104.1755</v>
      </c>
      <c r="H26" s="28" t="s">
        <v>40</v>
      </c>
      <c r="I26" s="74">
        <v>16027</v>
      </c>
      <c r="J26" s="75">
        <v>65</v>
      </c>
      <c r="K26" s="69"/>
      <c r="N26" s="65"/>
      <c r="O26" s="65"/>
    </row>
    <row r="27" spans="1:15" s="2" customFormat="1" ht="24" customHeight="1">
      <c r="A27" s="22">
        <v>5</v>
      </c>
      <c r="B27" s="21" t="s">
        <v>69</v>
      </c>
      <c r="C27" s="29">
        <f>I27*J27/10000</f>
        <v>26.90587854</v>
      </c>
      <c r="D27" s="18"/>
      <c r="E27" s="26"/>
      <c r="F27" s="18"/>
      <c r="G27" s="18">
        <f t="shared" si="3"/>
        <v>26.90587854</v>
      </c>
      <c r="H27" s="28" t="s">
        <v>51</v>
      </c>
      <c r="I27" s="78">
        <v>5979.0841199999995</v>
      </c>
      <c r="J27" s="75">
        <v>45</v>
      </c>
      <c r="K27" s="69"/>
      <c r="N27" s="65"/>
      <c r="O27" s="65"/>
    </row>
    <row r="28" spans="1:15" s="2" customFormat="1" ht="24" customHeight="1">
      <c r="A28" s="22" t="s">
        <v>70</v>
      </c>
      <c r="B28" s="30" t="s">
        <v>71</v>
      </c>
      <c r="C28" s="29">
        <f>C29+C30+C31</f>
        <v>5285.59</v>
      </c>
      <c r="D28" s="18"/>
      <c r="E28" s="26"/>
      <c r="F28" s="18"/>
      <c r="G28" s="18">
        <f t="shared" si="3"/>
        <v>5285.59</v>
      </c>
      <c r="H28" s="24"/>
      <c r="I28" s="24"/>
      <c r="J28" s="71"/>
      <c r="K28" s="69"/>
      <c r="N28" s="65"/>
      <c r="O28" s="65"/>
    </row>
    <row r="29" spans="1:15" s="2" customFormat="1" ht="24" customHeight="1">
      <c r="A29" s="22">
        <v>1</v>
      </c>
      <c r="B29" s="21" t="s">
        <v>72</v>
      </c>
      <c r="C29" s="31">
        <f>2240.5</f>
        <v>2240.5</v>
      </c>
      <c r="D29" s="18"/>
      <c r="E29" s="26"/>
      <c r="F29" s="18"/>
      <c r="G29" s="18">
        <f t="shared" si="3"/>
        <v>2240.5</v>
      </c>
      <c r="H29" s="28" t="s">
        <v>73</v>
      </c>
      <c r="I29" s="78">
        <v>26.94</v>
      </c>
      <c r="J29" s="72">
        <f aca="true" t="shared" si="4" ref="J29:J31">G29/I29*10000</f>
        <v>831662.9547141796</v>
      </c>
      <c r="K29" s="69"/>
      <c r="N29" s="65"/>
      <c r="O29" s="65"/>
    </row>
    <row r="30" spans="1:15" s="2" customFormat="1" ht="24" customHeight="1">
      <c r="A30" s="22">
        <v>2</v>
      </c>
      <c r="B30" s="21" t="s">
        <v>74</v>
      </c>
      <c r="C30" s="31">
        <f>I30*J30/10000</f>
        <v>90.9</v>
      </c>
      <c r="D30" s="18"/>
      <c r="E30" s="26"/>
      <c r="F30" s="18"/>
      <c r="G30" s="18">
        <f t="shared" si="3"/>
        <v>90.9</v>
      </c>
      <c r="H30" s="28" t="s">
        <v>51</v>
      </c>
      <c r="I30" s="78">
        <v>5050</v>
      </c>
      <c r="J30" s="72">
        <v>180</v>
      </c>
      <c r="K30" s="69"/>
      <c r="N30" s="65"/>
      <c r="O30" s="65"/>
    </row>
    <row r="31" spans="1:15" s="2" customFormat="1" ht="24" customHeight="1">
      <c r="A31" s="22">
        <v>3</v>
      </c>
      <c r="B31" s="21" t="s">
        <v>75</v>
      </c>
      <c r="C31" s="31">
        <v>2954.19</v>
      </c>
      <c r="D31" s="18"/>
      <c r="E31" s="26"/>
      <c r="F31" s="18"/>
      <c r="G31" s="18">
        <f t="shared" si="3"/>
        <v>2954.19</v>
      </c>
      <c r="H31" s="28" t="s">
        <v>76</v>
      </c>
      <c r="I31" s="74">
        <v>3890.5600000000004</v>
      </c>
      <c r="J31" s="72">
        <f t="shared" si="4"/>
        <v>7593.225653890442</v>
      </c>
      <c r="K31" s="69"/>
      <c r="N31" s="65"/>
      <c r="O31" s="65"/>
    </row>
    <row r="32" spans="1:15" s="2" customFormat="1" ht="24" customHeight="1">
      <c r="A32" s="32" t="s">
        <v>13</v>
      </c>
      <c r="B32" s="33" t="s">
        <v>8</v>
      </c>
      <c r="C32" s="34"/>
      <c r="D32" s="34"/>
      <c r="E32" s="34"/>
      <c r="F32" s="34">
        <f>SUM(F33:F47)</f>
        <v>1071.011239674017</v>
      </c>
      <c r="G32" s="34">
        <f>F32</f>
        <v>1071.011239674017</v>
      </c>
      <c r="H32" s="32"/>
      <c r="I32" s="79"/>
      <c r="J32" s="79"/>
      <c r="K32" s="80">
        <f>G32/G50*100</f>
        <v>5.548219956294012</v>
      </c>
      <c r="N32" s="65"/>
      <c r="O32" s="65"/>
    </row>
    <row r="33" spans="1:16" s="4" customFormat="1" ht="24" customHeight="1">
      <c r="A33" s="14">
        <v>1</v>
      </c>
      <c r="B33" s="35" t="s">
        <v>77</v>
      </c>
      <c r="C33" s="36"/>
      <c r="D33" s="36"/>
      <c r="E33" s="36"/>
      <c r="F33" s="37">
        <f>I33*J33</f>
        <v>84.0138838927</v>
      </c>
      <c r="G33" s="37">
        <f>SUM(C33:F33)</f>
        <v>84.0138838927</v>
      </c>
      <c r="H33" s="14" t="s">
        <v>42</v>
      </c>
      <c r="I33" s="81">
        <f>G5</f>
        <v>16802.77677854</v>
      </c>
      <c r="J33" s="82">
        <v>0.005</v>
      </c>
      <c r="K33" s="83"/>
      <c r="N33" s="61"/>
      <c r="O33" s="61"/>
      <c r="P33" s="62"/>
    </row>
    <row r="34" spans="1:16" s="4" customFormat="1" ht="24" customHeight="1">
      <c r="A34" s="14">
        <v>2</v>
      </c>
      <c r="B34" s="35" t="s">
        <v>78</v>
      </c>
      <c r="C34" s="36"/>
      <c r="D34" s="36"/>
      <c r="E34" s="36"/>
      <c r="F34" s="37">
        <f>(28+(75-28)/(50000-10000)*(I34-10000))*0.7*0.8*0.7</f>
        <v>14.109358984195524</v>
      </c>
      <c r="G34" s="37">
        <f>SUM(C34:F34)</f>
        <v>14.109358984195524</v>
      </c>
      <c r="H34" s="14" t="s">
        <v>42</v>
      </c>
      <c r="I34" s="81">
        <f>I33</f>
        <v>16802.77677854</v>
      </c>
      <c r="J34" s="82">
        <f>G34/I34</f>
        <v>0.0008397040066743951</v>
      </c>
      <c r="K34" s="83"/>
      <c r="N34" s="61"/>
      <c r="O34" s="61"/>
      <c r="P34" s="62"/>
    </row>
    <row r="35" spans="1:16" s="4" customFormat="1" ht="33.75" customHeight="1">
      <c r="A35" s="14">
        <v>3</v>
      </c>
      <c r="B35" s="38" t="s">
        <v>79</v>
      </c>
      <c r="C35" s="36"/>
      <c r="D35" s="36"/>
      <c r="E35" s="36"/>
      <c r="F35" s="37">
        <f aca="true" t="shared" si="5" ref="F35:F40">I35*J35</f>
        <v>420.0694194635</v>
      </c>
      <c r="G35" s="37">
        <f aca="true" t="shared" si="6" ref="G35:G48">SUM(C35:F35)</f>
        <v>420.0694194635</v>
      </c>
      <c r="H35" s="14" t="s">
        <v>42</v>
      </c>
      <c r="I35" s="81">
        <f>I33</f>
        <v>16802.77677854</v>
      </c>
      <c r="J35" s="82">
        <v>0.025</v>
      </c>
      <c r="K35" s="83"/>
      <c r="N35" s="61"/>
      <c r="O35" s="61"/>
      <c r="P35" s="62"/>
    </row>
    <row r="36" spans="1:16" s="4" customFormat="1" ht="33.75" customHeight="1">
      <c r="A36" s="14">
        <v>4</v>
      </c>
      <c r="B36" s="38" t="s">
        <v>80</v>
      </c>
      <c r="C36" s="36"/>
      <c r="D36" s="36"/>
      <c r="E36" s="36"/>
      <c r="F36" s="37">
        <f t="shared" si="5"/>
        <v>27.304512265127503</v>
      </c>
      <c r="G36" s="37">
        <f t="shared" si="6"/>
        <v>27.304512265127503</v>
      </c>
      <c r="H36" s="14" t="s">
        <v>42</v>
      </c>
      <c r="I36" s="81">
        <f>G35</f>
        <v>420.0694194635</v>
      </c>
      <c r="J36" s="82">
        <v>0.065</v>
      </c>
      <c r="K36" s="83"/>
      <c r="N36" s="61"/>
      <c r="O36" s="61"/>
      <c r="P36" s="62"/>
    </row>
    <row r="37" spans="1:21" s="4" customFormat="1" ht="24" customHeight="1">
      <c r="A37" s="14">
        <v>5</v>
      </c>
      <c r="B37" s="35" t="s">
        <v>81</v>
      </c>
      <c r="C37" s="36"/>
      <c r="D37" s="36"/>
      <c r="E37" s="36"/>
      <c r="F37" s="37">
        <f>(218.6+(393.4-218.6)/(20000-10000)*(I41-10000))*0.85*0.8</f>
        <v>229.50852590043783</v>
      </c>
      <c r="G37" s="37">
        <f t="shared" si="6"/>
        <v>229.50852590043783</v>
      </c>
      <c r="H37" s="14" t="s">
        <v>42</v>
      </c>
      <c r="I37" s="81">
        <f>I33</f>
        <v>16802.77677854</v>
      </c>
      <c r="J37" s="82">
        <f>G37/I37</f>
        <v>0.013658964165587156</v>
      </c>
      <c r="K37" s="83"/>
      <c r="N37" s="61"/>
      <c r="O37" s="61"/>
      <c r="P37" s="62"/>
      <c r="Q37" s="61"/>
      <c r="R37" s="61"/>
      <c r="S37" s="61"/>
      <c r="T37" s="61"/>
      <c r="U37" s="61"/>
    </row>
    <row r="38" spans="1:16" s="4" customFormat="1" ht="31.5" customHeight="1">
      <c r="A38" s="14">
        <v>6</v>
      </c>
      <c r="B38" s="38" t="s">
        <v>82</v>
      </c>
      <c r="C38" s="36"/>
      <c r="D38" s="36"/>
      <c r="E38" s="36"/>
      <c r="F38" s="37">
        <f>(I38*5/1000)*0.8</f>
        <v>67.21110711416</v>
      </c>
      <c r="G38" s="37">
        <f t="shared" si="6"/>
        <v>67.21110711416</v>
      </c>
      <c r="H38" s="14" t="s">
        <v>42</v>
      </c>
      <c r="I38" s="81">
        <f>I33</f>
        <v>16802.77677854</v>
      </c>
      <c r="J38" s="82">
        <f>G38/I38</f>
        <v>0.004</v>
      </c>
      <c r="K38" s="83"/>
      <c r="N38" s="61"/>
      <c r="O38" s="61"/>
      <c r="P38" s="62"/>
    </row>
    <row r="39" spans="1:16" s="4" customFormat="1" ht="31.5" customHeight="1">
      <c r="A39" s="14">
        <v>7</v>
      </c>
      <c r="B39" s="38" t="s">
        <v>83</v>
      </c>
      <c r="C39" s="36"/>
      <c r="D39" s="36"/>
      <c r="E39" s="36"/>
      <c r="F39" s="37">
        <f>(I39*1.8/1000)*0.8</f>
        <v>24.1959985610976</v>
      </c>
      <c r="G39" s="37">
        <f t="shared" si="6"/>
        <v>24.1959985610976</v>
      </c>
      <c r="H39" s="14" t="s">
        <v>42</v>
      </c>
      <c r="I39" s="81">
        <f>I33</f>
        <v>16802.77677854</v>
      </c>
      <c r="J39" s="82">
        <f>G39/I39</f>
        <v>0.00144</v>
      </c>
      <c r="K39" s="83"/>
      <c r="N39" s="61"/>
      <c r="O39" s="61"/>
      <c r="P39" s="62"/>
    </row>
    <row r="40" spans="1:16" s="4" customFormat="1" ht="24" customHeight="1">
      <c r="A40" s="14">
        <v>8</v>
      </c>
      <c r="B40" s="35" t="s">
        <v>84</v>
      </c>
      <c r="C40" s="36"/>
      <c r="D40" s="36"/>
      <c r="E40" s="36"/>
      <c r="F40" s="37">
        <f t="shared" si="5"/>
        <v>30.244998201372</v>
      </c>
      <c r="G40" s="37">
        <f t="shared" si="6"/>
        <v>30.244998201372</v>
      </c>
      <c r="H40" s="14" t="s">
        <v>42</v>
      </c>
      <c r="I40" s="81">
        <f>I33</f>
        <v>16802.77677854</v>
      </c>
      <c r="J40" s="82">
        <v>0.0018</v>
      </c>
      <c r="K40" s="83"/>
      <c r="N40" s="61"/>
      <c r="O40" s="61"/>
      <c r="P40" s="62"/>
    </row>
    <row r="41" spans="1:16" s="4" customFormat="1" ht="24" customHeight="1">
      <c r="A41" s="14">
        <v>9</v>
      </c>
      <c r="B41" s="35" t="s">
        <v>85</v>
      </c>
      <c r="C41" s="36"/>
      <c r="D41" s="36"/>
      <c r="E41" s="36"/>
      <c r="F41" s="37">
        <f>(1+2.8+2.75+14+10+(I41-10000)*0.05/100)*0.8</f>
        <v>27.161110711416</v>
      </c>
      <c r="G41" s="37">
        <f t="shared" si="6"/>
        <v>27.161110711416</v>
      </c>
      <c r="H41" s="14" t="s">
        <v>42</v>
      </c>
      <c r="I41" s="81">
        <f>I33</f>
        <v>16802.77677854</v>
      </c>
      <c r="J41" s="82">
        <f>G41/I41</f>
        <v>0.001616465603834323</v>
      </c>
      <c r="K41" s="83"/>
      <c r="N41" s="61"/>
      <c r="O41" s="61"/>
      <c r="P41" s="62"/>
    </row>
    <row r="42" spans="1:16" s="4" customFormat="1" ht="33.75" customHeight="1">
      <c r="A42" s="14">
        <v>10</v>
      </c>
      <c r="B42" s="38" t="s">
        <v>86</v>
      </c>
      <c r="C42" s="36"/>
      <c r="D42" s="36"/>
      <c r="E42" s="36"/>
      <c r="F42" s="37">
        <f aca="true" t="shared" si="7" ref="F42:F48">I42*J42</f>
        <v>20.163332134247998</v>
      </c>
      <c r="G42" s="37">
        <f t="shared" si="6"/>
        <v>20.163332134247998</v>
      </c>
      <c r="H42" s="14" t="s">
        <v>42</v>
      </c>
      <c r="I42" s="81">
        <f>I33</f>
        <v>16802.77677854</v>
      </c>
      <c r="J42" s="82">
        <v>0.0012</v>
      </c>
      <c r="K42" s="83"/>
      <c r="N42" s="61"/>
      <c r="O42" s="61"/>
      <c r="P42" s="62"/>
    </row>
    <row r="43" spans="1:16" s="4" customFormat="1" ht="33.75" customHeight="1">
      <c r="A43" s="14">
        <v>11</v>
      </c>
      <c r="B43" s="38" t="s">
        <v>87</v>
      </c>
      <c r="C43" s="36"/>
      <c r="D43" s="36"/>
      <c r="E43" s="36"/>
      <c r="F43" s="37">
        <f t="shared" si="7"/>
        <v>33.60555355708</v>
      </c>
      <c r="G43" s="37">
        <f t="shared" si="6"/>
        <v>33.60555355708</v>
      </c>
      <c r="H43" s="14" t="s">
        <v>42</v>
      </c>
      <c r="I43" s="81">
        <f>I33</f>
        <v>16802.77677854</v>
      </c>
      <c r="J43" s="82">
        <v>0.002</v>
      </c>
      <c r="K43" s="83"/>
      <c r="N43" s="61"/>
      <c r="O43" s="61"/>
      <c r="P43" s="62"/>
    </row>
    <row r="44" spans="1:16" s="5" customFormat="1" ht="33.75" customHeight="1">
      <c r="A44" s="14">
        <v>12</v>
      </c>
      <c r="B44" s="38" t="s">
        <v>88</v>
      </c>
      <c r="C44" s="39"/>
      <c r="D44" s="39"/>
      <c r="E44" s="39"/>
      <c r="F44" s="37">
        <f t="shared" si="7"/>
        <v>16.80277677854</v>
      </c>
      <c r="G44" s="37">
        <f t="shared" si="6"/>
        <v>16.80277677854</v>
      </c>
      <c r="H44" s="14" t="s">
        <v>42</v>
      </c>
      <c r="I44" s="84">
        <f>I33</f>
        <v>16802.77677854</v>
      </c>
      <c r="J44" s="82">
        <v>0.001</v>
      </c>
      <c r="K44" s="85"/>
      <c r="L44" s="4"/>
      <c r="M44" s="4"/>
      <c r="N44" s="61"/>
      <c r="O44" s="61"/>
      <c r="P44" s="62"/>
    </row>
    <row r="45" spans="1:12" s="6" customFormat="1" ht="24" customHeight="1">
      <c r="A45" s="14">
        <v>13</v>
      </c>
      <c r="B45" s="40" t="s">
        <v>89</v>
      </c>
      <c r="C45" s="41"/>
      <c r="D45" s="41"/>
      <c r="E45" s="42"/>
      <c r="F45" s="37">
        <f t="shared" si="7"/>
        <v>16.80277677854</v>
      </c>
      <c r="G45" s="37">
        <f t="shared" si="6"/>
        <v>16.80277677854</v>
      </c>
      <c r="H45" s="14" t="s">
        <v>42</v>
      </c>
      <c r="I45" s="84">
        <f>I34</f>
        <v>16802.77677854</v>
      </c>
      <c r="J45" s="82">
        <v>0.001</v>
      </c>
      <c r="K45" s="86"/>
      <c r="L45" s="87"/>
    </row>
    <row r="46" spans="1:16" s="4" customFormat="1" ht="24" customHeight="1">
      <c r="A46" s="14">
        <v>14</v>
      </c>
      <c r="B46" s="38" t="s">
        <v>90</v>
      </c>
      <c r="C46" s="36"/>
      <c r="D46" s="36"/>
      <c r="E46" s="36"/>
      <c r="F46" s="37">
        <f t="shared" si="7"/>
        <v>50.40833033562</v>
      </c>
      <c r="G46" s="37">
        <f t="shared" si="6"/>
        <v>50.40833033562</v>
      </c>
      <c r="H46" s="14" t="s">
        <v>42</v>
      </c>
      <c r="I46" s="81">
        <f>I33</f>
        <v>16802.77677854</v>
      </c>
      <c r="J46" s="82">
        <v>0.003</v>
      </c>
      <c r="K46" s="83"/>
      <c r="N46" s="61"/>
      <c r="O46" s="61"/>
      <c r="P46" s="62"/>
    </row>
    <row r="47" spans="1:16" s="4" customFormat="1" ht="33.75" customHeight="1">
      <c r="A47" s="14">
        <v>15</v>
      </c>
      <c r="B47" s="38" t="s">
        <v>91</v>
      </c>
      <c r="C47" s="36"/>
      <c r="D47" s="36"/>
      <c r="E47" s="36"/>
      <c r="F47" s="37">
        <f t="shared" si="7"/>
        <v>9.4095549959824</v>
      </c>
      <c r="G47" s="37">
        <f t="shared" si="6"/>
        <v>9.4095549959824</v>
      </c>
      <c r="H47" s="14" t="s">
        <v>42</v>
      </c>
      <c r="I47" s="81">
        <f>I33</f>
        <v>16802.77677854</v>
      </c>
      <c r="J47" s="82">
        <v>0.0005600000000000001</v>
      </c>
      <c r="K47" s="83"/>
      <c r="N47" s="61"/>
      <c r="O47" s="61"/>
      <c r="P47" s="62"/>
    </row>
    <row r="48" spans="1:16" s="4" customFormat="1" ht="24" customHeight="1">
      <c r="A48" s="14" t="s">
        <v>26</v>
      </c>
      <c r="B48" s="35" t="s">
        <v>27</v>
      </c>
      <c r="C48" s="36"/>
      <c r="D48" s="36"/>
      <c r="E48" s="36"/>
      <c r="F48" s="37">
        <f t="shared" si="7"/>
        <v>1429.9030414571212</v>
      </c>
      <c r="G48" s="37">
        <f t="shared" si="6"/>
        <v>1429.9030414571212</v>
      </c>
      <c r="H48" s="14" t="s">
        <v>42</v>
      </c>
      <c r="I48" s="88">
        <f>I33+G32</f>
        <v>17873.788018214014</v>
      </c>
      <c r="J48" s="82">
        <v>0.08</v>
      </c>
      <c r="K48" s="81">
        <f>G48/G50*100</f>
        <v>7.4074074074074066</v>
      </c>
      <c r="N48" s="61"/>
      <c r="O48" s="61"/>
      <c r="P48" s="62"/>
    </row>
    <row r="49" spans="1:16" s="4" customFormat="1" ht="24" customHeight="1">
      <c r="A49" s="14"/>
      <c r="B49" s="35"/>
      <c r="C49" s="36"/>
      <c r="D49" s="36"/>
      <c r="E49" s="36"/>
      <c r="F49" s="37"/>
      <c r="G49" s="37"/>
      <c r="H49" s="14"/>
      <c r="I49" s="88"/>
      <c r="J49" s="82"/>
      <c r="K49" s="81"/>
      <c r="N49" s="61"/>
      <c r="O49" s="61"/>
      <c r="P49" s="62"/>
    </row>
    <row r="50" spans="1:16" s="4" customFormat="1" ht="24" customHeight="1">
      <c r="A50" s="15" t="s">
        <v>28</v>
      </c>
      <c r="B50" s="43"/>
      <c r="C50" s="36">
        <f>C5</f>
        <v>13133.67677854</v>
      </c>
      <c r="D50" s="36"/>
      <c r="E50" s="36">
        <f>E5</f>
        <v>3669.1</v>
      </c>
      <c r="F50" s="36">
        <f>F32+F48</f>
        <v>2500.914281131138</v>
      </c>
      <c r="G50" s="37">
        <f>G5+G32+G48</f>
        <v>19303.691059671135</v>
      </c>
      <c r="H50" s="14" t="s">
        <v>16</v>
      </c>
      <c r="I50" s="14"/>
      <c r="J50" s="14"/>
      <c r="K50" s="81">
        <f>K48+K32+K5</f>
        <v>100.00000000000001</v>
      </c>
      <c r="N50" s="61"/>
      <c r="O50" s="61"/>
      <c r="P50" s="62"/>
    </row>
    <row r="51" spans="1:16" s="4" customFormat="1" ht="24" customHeight="1">
      <c r="A51" s="44"/>
      <c r="B51" s="45"/>
      <c r="C51" s="46"/>
      <c r="D51" s="46"/>
      <c r="E51" s="46"/>
      <c r="F51" s="46"/>
      <c r="G51" s="47"/>
      <c r="H51" s="44"/>
      <c r="I51" s="44"/>
      <c r="J51" s="44"/>
      <c r="K51" s="89"/>
      <c r="N51" s="61"/>
      <c r="O51" s="61"/>
      <c r="P51" s="62"/>
    </row>
    <row r="52" spans="1:16" s="4" customFormat="1" ht="24.75" customHeight="1">
      <c r="A52" s="44"/>
      <c r="B52" s="45"/>
      <c r="C52" s="46"/>
      <c r="D52" s="46"/>
      <c r="E52" s="46"/>
      <c r="F52" s="46"/>
      <c r="G52" s="47"/>
      <c r="H52" s="44"/>
      <c r="I52" s="44"/>
      <c r="J52" s="44"/>
      <c r="K52" s="89"/>
      <c r="N52" s="61"/>
      <c r="O52" s="61"/>
      <c r="P52" s="62"/>
    </row>
    <row r="53" spans="1:16" s="4" customFormat="1" ht="24.75" customHeight="1">
      <c r="A53" s="44"/>
      <c r="B53" s="45"/>
      <c r="C53" s="46"/>
      <c r="D53" s="46"/>
      <c r="E53" s="46"/>
      <c r="F53" s="46"/>
      <c r="G53" s="47"/>
      <c r="H53" s="44"/>
      <c r="I53" s="44"/>
      <c r="J53" s="44"/>
      <c r="K53" s="89"/>
      <c r="N53" s="61"/>
      <c r="O53" s="61"/>
      <c r="P53" s="62"/>
    </row>
    <row r="54" spans="1:16" s="4" customFormat="1" ht="24.75" customHeight="1">
      <c r="A54" s="48"/>
      <c r="B54" s="49"/>
      <c r="C54" s="50"/>
      <c r="D54" s="50"/>
      <c r="E54" s="50"/>
      <c r="F54" s="50"/>
      <c r="G54" s="51"/>
      <c r="H54" s="48"/>
      <c r="I54" s="48"/>
      <c r="J54" s="48"/>
      <c r="K54" s="90"/>
      <c r="N54" s="61"/>
      <c r="O54" s="61"/>
      <c r="P54" s="62"/>
    </row>
    <row r="55" spans="1:11" ht="24.75" customHeight="1">
      <c r="A55" s="48"/>
      <c r="B55" s="49"/>
      <c r="C55" s="50"/>
      <c r="D55" s="50"/>
      <c r="E55" s="50"/>
      <c r="F55" s="50"/>
      <c r="J55" s="48"/>
      <c r="K55" s="90"/>
    </row>
    <row r="56" spans="1:11" ht="13.5" customHeight="1">
      <c r="A56" s="48"/>
      <c r="B56" s="49"/>
      <c r="C56" s="50"/>
      <c r="D56" s="50"/>
      <c r="E56" s="50"/>
      <c r="F56" s="50"/>
      <c r="G56" s="51"/>
      <c r="H56" s="48"/>
      <c r="I56" s="48"/>
      <c r="J56" s="48"/>
      <c r="K56" s="89"/>
    </row>
    <row r="57" spans="1:11" ht="13.5" customHeight="1">
      <c r="A57" s="48"/>
      <c r="B57" s="52"/>
      <c r="C57" s="50"/>
      <c r="D57" s="50"/>
      <c r="E57" s="50"/>
      <c r="F57" s="50"/>
      <c r="G57" s="51"/>
      <c r="H57" s="48"/>
      <c r="I57" s="48"/>
      <c r="J57" s="48"/>
      <c r="K57" s="89"/>
    </row>
    <row r="58" spans="1:11" ht="13.5" customHeight="1">
      <c r="A58" s="48"/>
      <c r="B58" s="52"/>
      <c r="C58" s="50"/>
      <c r="D58" s="50"/>
      <c r="E58" s="50"/>
      <c r="F58" s="50"/>
      <c r="G58" s="51"/>
      <c r="H58" s="48"/>
      <c r="I58" s="48"/>
      <c r="J58" s="48"/>
      <c r="K58" s="89"/>
    </row>
    <row r="59" spans="1:11" ht="13.5" customHeight="1">
      <c r="A59" s="48"/>
      <c r="B59" s="52"/>
      <c r="C59" s="53"/>
      <c r="D59" s="53"/>
      <c r="E59" s="53"/>
      <c r="F59" s="53"/>
      <c r="G59" s="53"/>
      <c r="H59" s="48"/>
      <c r="I59" s="48"/>
      <c r="J59" s="48"/>
      <c r="K59" s="91"/>
    </row>
    <row r="60" spans="1:11" ht="13.5" customHeight="1">
      <c r="A60" s="44"/>
      <c r="B60" s="54"/>
      <c r="C60" s="55"/>
      <c r="D60" s="55"/>
      <c r="E60" s="55"/>
      <c r="F60" s="55"/>
      <c r="G60" s="55"/>
      <c r="H60" s="44"/>
      <c r="I60" s="44"/>
      <c r="J60" s="44"/>
      <c r="K60" s="91"/>
    </row>
    <row r="61" spans="1:11" ht="13.5" customHeight="1">
      <c r="A61" s="44"/>
      <c r="B61" s="54"/>
      <c r="C61" s="55"/>
      <c r="D61" s="55"/>
      <c r="E61" s="55"/>
      <c r="F61" s="55"/>
      <c r="G61" s="55"/>
      <c r="H61" s="44"/>
      <c r="I61" s="44"/>
      <c r="J61" s="44"/>
      <c r="K61" s="92"/>
    </row>
    <row r="62" spans="1:11" ht="14.25">
      <c r="A62" s="44"/>
      <c r="B62" s="54"/>
      <c r="C62" s="55"/>
      <c r="D62" s="55"/>
      <c r="E62" s="55"/>
      <c r="F62" s="55"/>
      <c r="G62" s="55"/>
      <c r="H62" s="44"/>
      <c r="I62" s="44"/>
      <c r="J62" s="44"/>
      <c r="K62" s="93"/>
    </row>
    <row r="63" spans="1:11" ht="14.25">
      <c r="A63" s="56"/>
      <c r="B63" s="57"/>
      <c r="C63" s="58"/>
      <c r="D63" s="58"/>
      <c r="E63" s="58"/>
      <c r="F63" s="58"/>
      <c r="G63" s="58"/>
      <c r="H63" s="56"/>
      <c r="I63" s="56"/>
      <c r="J63" s="56"/>
      <c r="K63" s="94"/>
    </row>
    <row r="64" spans="1:11" ht="14.25">
      <c r="A64" s="56"/>
      <c r="B64" s="57"/>
      <c r="C64" s="58"/>
      <c r="D64" s="58"/>
      <c r="E64" s="58"/>
      <c r="F64" s="58"/>
      <c r="G64" s="58"/>
      <c r="H64" s="56"/>
      <c r="I64" s="56"/>
      <c r="J64" s="56"/>
      <c r="K64" s="95"/>
    </row>
    <row r="65" spans="1:11" ht="22.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1"/>
    </row>
    <row r="66" spans="1:11" ht="14.25">
      <c r="A66" s="57"/>
      <c r="B66" s="57"/>
      <c r="C66" s="56"/>
      <c r="D66" s="56"/>
      <c r="E66" s="56"/>
      <c r="F66" s="56"/>
      <c r="G66" s="56"/>
      <c r="H66" s="93"/>
      <c r="I66" s="93"/>
      <c r="J66" s="93"/>
      <c r="K66" s="56"/>
    </row>
    <row r="67" spans="1:11" ht="14.25">
      <c r="A67" s="97"/>
      <c r="B67" s="97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4.25">
      <c r="A68" s="56"/>
      <c r="B68" s="56"/>
      <c r="C68" s="95"/>
      <c r="D68" s="95"/>
      <c r="E68" s="95"/>
      <c r="F68" s="95"/>
      <c r="G68" s="95"/>
      <c r="H68" s="95"/>
      <c r="I68" s="95"/>
      <c r="J68" s="95"/>
      <c r="K68" s="56"/>
    </row>
    <row r="69" spans="1:11" ht="14.25">
      <c r="A69" s="56"/>
      <c r="B69" s="57"/>
      <c r="C69" s="58"/>
      <c r="D69" s="58"/>
      <c r="E69" s="58" t="s">
        <v>92</v>
      </c>
      <c r="F69" s="58"/>
      <c r="G69" s="98"/>
      <c r="H69" s="56"/>
      <c r="I69" s="56"/>
      <c r="J69" s="56"/>
      <c r="K69" s="56"/>
    </row>
    <row r="70" spans="1:11" ht="14.25">
      <c r="A70" s="56"/>
      <c r="B70" s="57"/>
      <c r="C70" s="58"/>
      <c r="D70" s="58"/>
      <c r="E70" s="58"/>
      <c r="F70" s="58"/>
      <c r="G70" s="58"/>
      <c r="H70" s="56"/>
      <c r="I70" s="106"/>
      <c r="J70" s="56"/>
      <c r="K70" s="56"/>
    </row>
    <row r="71" spans="1:11" ht="14.25">
      <c r="A71" s="56"/>
      <c r="B71" s="57"/>
      <c r="C71" s="58"/>
      <c r="D71" s="58"/>
      <c r="E71" s="58"/>
      <c r="F71" s="58"/>
      <c r="G71" s="58"/>
      <c r="H71" s="56"/>
      <c r="I71" s="106"/>
      <c r="J71" s="91"/>
      <c r="K71" s="56"/>
    </row>
    <row r="72" spans="1:11" ht="14.25">
      <c r="A72" s="95"/>
      <c r="B72" s="57"/>
      <c r="C72" s="58"/>
      <c r="D72" s="58"/>
      <c r="E72" s="58"/>
      <c r="F72" s="58"/>
      <c r="G72" s="58"/>
      <c r="H72" s="56"/>
      <c r="I72" s="106"/>
      <c r="J72" s="91"/>
      <c r="K72" s="56"/>
    </row>
    <row r="73" spans="1:11" ht="14.25">
      <c r="A73" s="95"/>
      <c r="B73" s="57"/>
      <c r="C73" s="58"/>
      <c r="D73" s="58"/>
      <c r="E73" s="58"/>
      <c r="F73" s="58"/>
      <c r="G73" s="58"/>
      <c r="H73" s="56"/>
      <c r="I73" s="106"/>
      <c r="J73" s="91"/>
      <c r="K73" s="56"/>
    </row>
    <row r="74" spans="1:11" ht="14.25">
      <c r="A74" s="95"/>
      <c r="B74" s="57"/>
      <c r="C74" s="58"/>
      <c r="D74" s="58"/>
      <c r="E74" s="58"/>
      <c r="F74" s="58"/>
      <c r="G74" s="58"/>
      <c r="H74" s="56"/>
      <c r="I74" s="106"/>
      <c r="J74" s="91"/>
      <c r="K74" s="56"/>
    </row>
    <row r="75" spans="1:11" ht="14.25">
      <c r="A75" s="56"/>
      <c r="B75" s="57"/>
      <c r="C75" s="58"/>
      <c r="D75" s="58"/>
      <c r="E75" s="58"/>
      <c r="F75" s="58"/>
      <c r="G75" s="58"/>
      <c r="H75" s="56"/>
      <c r="I75" s="106"/>
      <c r="J75" s="91"/>
      <c r="K75" s="56"/>
    </row>
    <row r="76" spans="1:11" ht="14.25">
      <c r="A76" s="95"/>
      <c r="B76" s="57"/>
      <c r="C76" s="58"/>
      <c r="D76" s="58"/>
      <c r="E76" s="58"/>
      <c r="F76" s="58"/>
      <c r="G76" s="58"/>
      <c r="H76" s="56"/>
      <c r="I76" s="106"/>
      <c r="J76" s="91"/>
      <c r="K76" s="56"/>
    </row>
    <row r="77" spans="1:11" ht="14.25">
      <c r="A77" s="95"/>
      <c r="B77" s="57"/>
      <c r="C77" s="58"/>
      <c r="D77" s="58"/>
      <c r="E77" s="58"/>
      <c r="F77" s="58"/>
      <c r="G77" s="58"/>
      <c r="H77" s="56"/>
      <c r="I77" s="106"/>
      <c r="J77" s="91"/>
      <c r="K77" s="56"/>
    </row>
    <row r="78" spans="1:11" ht="14.25">
      <c r="A78" s="56"/>
      <c r="B78" s="57"/>
      <c r="C78" s="58"/>
      <c r="D78" s="58"/>
      <c r="E78" s="58"/>
      <c r="F78" s="58"/>
      <c r="G78" s="58"/>
      <c r="H78" s="56"/>
      <c r="I78" s="106"/>
      <c r="J78" s="91"/>
      <c r="K78" s="56"/>
    </row>
    <row r="79" spans="1:11" ht="14.25">
      <c r="A79" s="56"/>
      <c r="B79" s="57"/>
      <c r="C79" s="58"/>
      <c r="D79" s="58"/>
      <c r="E79" s="58"/>
      <c r="F79" s="58"/>
      <c r="G79" s="58"/>
      <c r="H79" s="56"/>
      <c r="I79" s="106"/>
      <c r="J79" s="91"/>
      <c r="K79" s="56"/>
    </row>
    <row r="80" spans="1:11" ht="14.25">
      <c r="A80" s="56"/>
      <c r="B80" s="57"/>
      <c r="C80" s="58"/>
      <c r="D80" s="58"/>
      <c r="E80" s="58"/>
      <c r="F80" s="58"/>
      <c r="G80" s="58"/>
      <c r="H80" s="56"/>
      <c r="I80" s="106"/>
      <c r="J80" s="91"/>
      <c r="K80" s="56"/>
    </row>
    <row r="81" spans="1:11" ht="14.25">
      <c r="A81" s="56"/>
      <c r="B81" s="57"/>
      <c r="C81" s="58"/>
      <c r="D81" s="58"/>
      <c r="E81" s="58"/>
      <c r="F81" s="58"/>
      <c r="G81" s="58"/>
      <c r="H81" s="56"/>
      <c r="I81" s="106"/>
      <c r="J81" s="91"/>
      <c r="K81" s="56"/>
    </row>
    <row r="82" spans="1:11" ht="14.25">
      <c r="A82" s="56"/>
      <c r="B82" s="57"/>
      <c r="C82" s="58"/>
      <c r="D82" s="58"/>
      <c r="E82" s="58"/>
      <c r="F82" s="58"/>
      <c r="G82" s="58"/>
      <c r="H82" s="56"/>
      <c r="I82" s="106"/>
      <c r="J82" s="91"/>
      <c r="K82" s="56"/>
    </row>
    <row r="83" spans="1:11" ht="14.25">
      <c r="A83" s="56"/>
      <c r="B83" s="57"/>
      <c r="C83" s="58"/>
      <c r="D83" s="58"/>
      <c r="E83" s="58"/>
      <c r="F83" s="58"/>
      <c r="G83" s="58"/>
      <c r="H83" s="56"/>
      <c r="I83" s="106"/>
      <c r="J83" s="91"/>
      <c r="K83" s="56"/>
    </row>
    <row r="84" spans="1:11" ht="14.25">
      <c r="A84" s="56"/>
      <c r="B84" s="57"/>
      <c r="C84" s="58"/>
      <c r="D84" s="58"/>
      <c r="E84" s="58"/>
      <c r="F84" s="58"/>
      <c r="G84" s="58"/>
      <c r="H84" s="56"/>
      <c r="I84" s="106"/>
      <c r="J84" s="91"/>
      <c r="K84" s="56"/>
    </row>
    <row r="85" spans="1:11" ht="14.25">
      <c r="A85" s="56"/>
      <c r="B85" s="57"/>
      <c r="C85" s="58"/>
      <c r="D85" s="58"/>
      <c r="E85" s="58"/>
      <c r="F85" s="58"/>
      <c r="G85" s="58"/>
      <c r="H85" s="56"/>
      <c r="I85" s="106"/>
      <c r="J85" s="91"/>
      <c r="K85" s="56"/>
    </row>
    <row r="86" spans="1:11" ht="14.25">
      <c r="A86" s="56"/>
      <c r="B86" s="57"/>
      <c r="C86" s="58"/>
      <c r="D86" s="58"/>
      <c r="E86" s="58"/>
      <c r="F86" s="58"/>
      <c r="G86" s="58"/>
      <c r="H86" s="56"/>
      <c r="I86" s="106"/>
      <c r="J86" s="91"/>
      <c r="K86" s="56"/>
    </row>
    <row r="87" spans="1:11" ht="14.25">
      <c r="A87" s="56"/>
      <c r="B87" s="57"/>
      <c r="C87" s="58"/>
      <c r="D87" s="58"/>
      <c r="E87" s="58"/>
      <c r="F87" s="58"/>
      <c r="G87" s="58"/>
      <c r="H87" s="56"/>
      <c r="I87" s="106"/>
      <c r="J87" s="91"/>
      <c r="K87" s="56"/>
    </row>
    <row r="88" spans="1:11" ht="14.25">
      <c r="A88" s="56"/>
      <c r="B88" s="57"/>
      <c r="C88" s="58"/>
      <c r="D88" s="58"/>
      <c r="E88" s="58"/>
      <c r="F88" s="58"/>
      <c r="G88" s="58"/>
      <c r="H88" s="56"/>
      <c r="I88" s="106"/>
      <c r="J88" s="91"/>
      <c r="K88" s="57"/>
    </row>
    <row r="89" spans="1:11" ht="14.25">
      <c r="A89" s="56"/>
      <c r="B89" s="57"/>
      <c r="C89" s="58"/>
      <c r="D89" s="58"/>
      <c r="E89" s="58"/>
      <c r="F89" s="58"/>
      <c r="G89" s="58"/>
      <c r="H89" s="56"/>
      <c r="I89" s="106"/>
      <c r="J89" s="91"/>
      <c r="K89" s="57"/>
    </row>
    <row r="90" spans="1:11" ht="14.25">
      <c r="A90" s="56"/>
      <c r="B90" s="99"/>
      <c r="C90" s="58"/>
      <c r="D90" s="58"/>
      <c r="E90" s="58"/>
      <c r="F90" s="58"/>
      <c r="G90" s="58"/>
      <c r="H90" s="56"/>
      <c r="I90" s="106"/>
      <c r="J90" s="91"/>
      <c r="K90" s="57"/>
    </row>
    <row r="91" spans="1:11" ht="14.25">
      <c r="A91" s="56"/>
      <c r="B91" s="57"/>
      <c r="C91" s="58"/>
      <c r="D91" s="58"/>
      <c r="E91" s="58"/>
      <c r="F91" s="58"/>
      <c r="G91" s="58"/>
      <c r="H91" s="56"/>
      <c r="I91" s="106"/>
      <c r="J91" s="91"/>
      <c r="K91" s="57"/>
    </row>
    <row r="92" spans="1:11" ht="14.25">
      <c r="A92" s="56"/>
      <c r="B92" s="57"/>
      <c r="C92" s="100"/>
      <c r="D92" s="100"/>
      <c r="E92" s="100"/>
      <c r="F92" s="100"/>
      <c r="G92" s="100"/>
      <c r="H92" s="56"/>
      <c r="I92" s="107"/>
      <c r="J92" s="108"/>
      <c r="K92" s="57"/>
    </row>
    <row r="93" spans="1:11" ht="14.25">
      <c r="A93" s="56"/>
      <c r="B93" s="57"/>
      <c r="C93" s="101"/>
      <c r="D93" s="101"/>
      <c r="E93" s="100"/>
      <c r="F93" s="100"/>
      <c r="G93" s="100"/>
      <c r="H93" s="56"/>
      <c r="I93" s="107"/>
      <c r="J93" s="108"/>
      <c r="K93" s="57"/>
    </row>
    <row r="94" spans="1:11" ht="14.25">
      <c r="A94" s="56"/>
      <c r="B94" s="57"/>
      <c r="C94" s="101"/>
      <c r="D94" s="101"/>
      <c r="E94" s="100"/>
      <c r="F94" s="100"/>
      <c r="G94" s="100"/>
      <c r="H94" s="56"/>
      <c r="I94" s="107"/>
      <c r="J94" s="108"/>
      <c r="K94" s="57"/>
    </row>
    <row r="95" spans="1:11" ht="14.25">
      <c r="A95" s="56"/>
      <c r="B95" s="57"/>
      <c r="C95" s="100"/>
      <c r="D95" s="100"/>
      <c r="E95" s="100"/>
      <c r="F95" s="100"/>
      <c r="G95" s="100"/>
      <c r="H95" s="56"/>
      <c r="I95" s="107"/>
      <c r="J95" s="108"/>
      <c r="K95" s="57"/>
    </row>
    <row r="96" spans="1:11" ht="14.25">
      <c r="A96" s="56"/>
      <c r="B96" s="57"/>
      <c r="C96" s="100"/>
      <c r="D96" s="100"/>
      <c r="E96" s="100"/>
      <c r="F96" s="100"/>
      <c r="G96" s="100"/>
      <c r="H96" s="56"/>
      <c r="I96" s="107"/>
      <c r="J96" s="108"/>
      <c r="K96" s="57"/>
    </row>
    <row r="97" spans="1:11" ht="14.25">
      <c r="A97" s="56"/>
      <c r="B97" s="57"/>
      <c r="C97" s="100"/>
      <c r="D97" s="100"/>
      <c r="E97" s="100"/>
      <c r="F97" s="100"/>
      <c r="G97" s="100"/>
      <c r="H97" s="56"/>
      <c r="I97" s="107"/>
      <c r="J97" s="108"/>
      <c r="K97" s="57"/>
    </row>
    <row r="98" spans="1:11" ht="14.25">
      <c r="A98" s="56"/>
      <c r="B98" s="57"/>
      <c r="C98" s="100"/>
      <c r="D98" s="100"/>
      <c r="E98" s="100"/>
      <c r="F98" s="100"/>
      <c r="G98" s="100"/>
      <c r="H98" s="56"/>
      <c r="I98" s="107"/>
      <c r="J98" s="108"/>
      <c r="K98" s="57"/>
    </row>
    <row r="99" spans="1:11" ht="14.25">
      <c r="A99" s="56"/>
      <c r="B99" s="99"/>
      <c r="C99" s="100"/>
      <c r="D99" s="100"/>
      <c r="E99" s="100"/>
      <c r="F99" s="100"/>
      <c r="G99" s="100"/>
      <c r="H99" s="56"/>
      <c r="I99" s="107"/>
      <c r="J99" s="108"/>
      <c r="K99" s="109"/>
    </row>
    <row r="100" spans="1:11" ht="14.25">
      <c r="A100" s="56"/>
      <c r="B100" s="99"/>
      <c r="C100" s="100"/>
      <c r="D100" s="100"/>
      <c r="E100" s="100"/>
      <c r="F100" s="100"/>
      <c r="G100" s="100"/>
      <c r="H100" s="56"/>
      <c r="I100" s="107"/>
      <c r="J100" s="108"/>
      <c r="K100" s="57"/>
    </row>
    <row r="101" spans="1:11" ht="14.25">
      <c r="A101" s="56"/>
      <c r="B101" s="99"/>
      <c r="C101" s="100"/>
      <c r="D101" s="100"/>
      <c r="E101" s="100"/>
      <c r="F101" s="100"/>
      <c r="G101" s="100"/>
      <c r="H101" s="56"/>
      <c r="I101" s="107"/>
      <c r="J101" s="108"/>
      <c r="K101" s="57"/>
    </row>
    <row r="102" spans="1:11" ht="14.25">
      <c r="A102" s="56"/>
      <c r="B102" s="99"/>
      <c r="C102" s="100"/>
      <c r="D102" s="100"/>
      <c r="E102" s="100"/>
      <c r="F102" s="100"/>
      <c r="G102" s="100"/>
      <c r="H102" s="56"/>
      <c r="I102" s="107"/>
      <c r="J102" s="108"/>
      <c r="K102" s="57"/>
    </row>
    <row r="103" spans="1:11" ht="14.25">
      <c r="A103" s="56"/>
      <c r="B103" s="57"/>
      <c r="C103" s="100"/>
      <c r="D103" s="100"/>
      <c r="E103" s="100"/>
      <c r="F103" s="100"/>
      <c r="G103" s="100"/>
      <c r="H103" s="56"/>
      <c r="I103" s="107"/>
      <c r="J103" s="108"/>
      <c r="K103" s="57"/>
    </row>
    <row r="104" spans="1:11" ht="14.25">
      <c r="A104" s="56"/>
      <c r="B104" s="57"/>
      <c r="C104" s="100"/>
      <c r="D104" s="100"/>
      <c r="E104" s="100"/>
      <c r="F104" s="102"/>
      <c r="G104" s="100"/>
      <c r="H104" s="56"/>
      <c r="I104" s="107"/>
      <c r="J104" s="108"/>
      <c r="K104" s="109"/>
    </row>
    <row r="105" spans="1:11" ht="14.25">
      <c r="A105" s="56"/>
      <c r="B105" s="57"/>
      <c r="C105" s="100"/>
      <c r="D105" s="100"/>
      <c r="E105" s="100"/>
      <c r="F105" s="102"/>
      <c r="G105" s="100"/>
      <c r="H105" s="56"/>
      <c r="I105" s="110"/>
      <c r="J105" s="57"/>
      <c r="K105" s="111"/>
    </row>
    <row r="106" spans="1:11" ht="14.25">
      <c r="A106" s="56"/>
      <c r="B106" s="57"/>
      <c r="C106" s="100"/>
      <c r="D106" s="100"/>
      <c r="E106" s="100"/>
      <c r="F106" s="102"/>
      <c r="G106" s="100"/>
      <c r="H106" s="56"/>
      <c r="I106" s="112"/>
      <c r="J106" s="113"/>
      <c r="K106" s="111"/>
    </row>
    <row r="107" spans="1:11" ht="14.25">
      <c r="A107" s="56"/>
      <c r="B107" s="57"/>
      <c r="C107" s="100"/>
      <c r="D107" s="100"/>
      <c r="E107" s="100"/>
      <c r="F107" s="102"/>
      <c r="G107" s="100"/>
      <c r="H107" s="56"/>
      <c r="I107" s="91"/>
      <c r="J107" s="57"/>
      <c r="K107" s="111"/>
    </row>
    <row r="108" spans="1:11" ht="14.25">
      <c r="A108" s="56"/>
      <c r="B108" s="57"/>
      <c r="C108" s="100"/>
      <c r="D108" s="100"/>
      <c r="E108" s="100"/>
      <c r="F108" s="102"/>
      <c r="G108" s="100"/>
      <c r="H108" s="56"/>
      <c r="I108" s="57"/>
      <c r="J108" s="57"/>
      <c r="K108" s="111"/>
    </row>
    <row r="109" spans="1:11" ht="14.25">
      <c r="A109" s="56"/>
      <c r="B109" s="57"/>
      <c r="C109" s="100"/>
      <c r="D109" s="100"/>
      <c r="E109" s="100"/>
      <c r="F109" s="102"/>
      <c r="G109" s="100"/>
      <c r="H109" s="57"/>
      <c r="I109" s="57"/>
      <c r="J109" s="57"/>
      <c r="K109" s="111"/>
    </row>
    <row r="110" spans="1:11" ht="14.25">
      <c r="A110" s="56"/>
      <c r="B110" s="57"/>
      <c r="C110" s="100"/>
      <c r="D110" s="100"/>
      <c r="E110" s="100"/>
      <c r="F110" s="102"/>
      <c r="G110" s="100"/>
      <c r="H110" s="56"/>
      <c r="I110" s="57"/>
      <c r="J110" s="57"/>
      <c r="K110" s="111"/>
    </row>
    <row r="111" spans="1:11" ht="14.25">
      <c r="A111" s="56"/>
      <c r="B111" s="57"/>
      <c r="C111" s="100"/>
      <c r="D111" s="100"/>
      <c r="E111" s="100"/>
      <c r="F111" s="103"/>
      <c r="G111" s="100"/>
      <c r="H111" s="56"/>
      <c r="I111" s="57"/>
      <c r="J111" s="57"/>
      <c r="K111" s="111"/>
    </row>
    <row r="112" spans="1:11" ht="14.25">
      <c r="A112" s="56"/>
      <c r="B112" s="57"/>
      <c r="C112" s="100"/>
      <c r="D112" s="100"/>
      <c r="E112" s="100"/>
      <c r="F112" s="102"/>
      <c r="G112" s="100"/>
      <c r="H112" s="56"/>
      <c r="I112" s="57"/>
      <c r="J112" s="57"/>
      <c r="K112" s="109"/>
    </row>
    <row r="113" spans="1:11" ht="14.25">
      <c r="A113" s="56"/>
      <c r="B113" s="57"/>
      <c r="C113" s="100"/>
      <c r="D113" s="100"/>
      <c r="E113" s="100"/>
      <c r="F113" s="100"/>
      <c r="G113" s="100"/>
      <c r="H113" s="56"/>
      <c r="I113" s="57"/>
      <c r="J113" s="57"/>
      <c r="K113" s="111"/>
    </row>
    <row r="114" spans="1:11" ht="14.25">
      <c r="A114" s="56"/>
      <c r="B114" s="57"/>
      <c r="C114" s="100"/>
      <c r="D114" s="100"/>
      <c r="E114" s="100"/>
      <c r="F114" s="100"/>
      <c r="G114" s="100"/>
      <c r="H114" s="56"/>
      <c r="I114" s="57"/>
      <c r="J114" s="57"/>
      <c r="K114" s="109"/>
    </row>
    <row r="115" spans="1:11" ht="14.25">
      <c r="A115" s="56"/>
      <c r="B115" s="57"/>
      <c r="C115" s="100"/>
      <c r="D115" s="100"/>
      <c r="E115" s="100"/>
      <c r="F115" s="100"/>
      <c r="G115" s="100"/>
      <c r="H115" s="56"/>
      <c r="I115" s="57"/>
      <c r="J115" s="57"/>
      <c r="K115" s="101"/>
    </row>
    <row r="116" spans="1:11" ht="14.25">
      <c r="A116" s="56"/>
      <c r="B116" s="57"/>
      <c r="C116" s="100"/>
      <c r="D116" s="100"/>
      <c r="E116" s="100"/>
      <c r="F116" s="100"/>
      <c r="G116" s="100"/>
      <c r="H116" s="56"/>
      <c r="I116" s="57"/>
      <c r="J116" s="57"/>
      <c r="K116" s="101"/>
    </row>
    <row r="117" spans="1:11" ht="14.25">
      <c r="A117" s="104"/>
      <c r="B117" s="105"/>
      <c r="C117" s="100"/>
      <c r="D117" s="100"/>
      <c r="E117" s="100"/>
      <c r="F117" s="100"/>
      <c r="G117" s="100"/>
      <c r="H117" s="56"/>
      <c r="I117" s="57"/>
      <c r="J117" s="57"/>
      <c r="K117" s="101"/>
    </row>
    <row r="118" spans="1:11" ht="14.25">
      <c r="A118" s="56"/>
      <c r="B118" s="57"/>
      <c r="C118" s="100"/>
      <c r="D118" s="100"/>
      <c r="E118" s="100"/>
      <c r="F118" s="100"/>
      <c r="G118" s="100"/>
      <c r="H118" s="57"/>
      <c r="I118" s="57"/>
      <c r="J118" s="57"/>
      <c r="K118" s="101"/>
    </row>
    <row r="119" spans="1:11" ht="14.25">
      <c r="A119" s="93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4.25">
      <c r="A120" s="93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0" ht="14.25">
      <c r="A121" s="93"/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ht="14.25">
      <c r="A122" s="93"/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ht="14.25">
      <c r="A123" s="93"/>
      <c r="B123" s="101"/>
      <c r="C123" s="101"/>
      <c r="D123" s="101"/>
      <c r="E123" s="101"/>
      <c r="F123" s="101"/>
      <c r="G123" s="101"/>
      <c r="H123" s="101"/>
      <c r="I123" s="101"/>
      <c r="J123" s="101"/>
    </row>
    <row r="124" spans="1:10" ht="14.25">
      <c r="A124" s="93"/>
      <c r="B124" s="101"/>
      <c r="C124" s="101"/>
      <c r="D124" s="101"/>
      <c r="E124" s="101"/>
      <c r="F124" s="101"/>
      <c r="G124" s="101"/>
      <c r="H124" s="101"/>
      <c r="I124" s="101"/>
      <c r="J124" s="101"/>
    </row>
  </sheetData>
  <sheetProtection/>
  <mergeCells count="14">
    <mergeCell ref="A1:K1"/>
    <mergeCell ref="A2:K2"/>
    <mergeCell ref="C3:G3"/>
    <mergeCell ref="H3:J3"/>
    <mergeCell ref="Q37:U37"/>
    <mergeCell ref="A50:B50"/>
    <mergeCell ref="C67:G67"/>
    <mergeCell ref="H67:J67"/>
    <mergeCell ref="A3:A4"/>
    <mergeCell ref="A67:A68"/>
    <mergeCell ref="B3:B4"/>
    <mergeCell ref="B67:B68"/>
    <mergeCell ref="K3:K4"/>
    <mergeCell ref="K63:K64"/>
  </mergeCells>
  <printOptions/>
  <pageMargins left="0.25" right="0.25" top="0.39305555555555555" bottom="0.2361111111111111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2022-09-14T08:30:10Z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98C4CB9851114858B24CCF953E4B5A15</vt:lpwstr>
  </property>
</Properties>
</file>