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3" firstSheet="1" activeTab="2"/>
  </bookViews>
  <sheets>
    <sheet name="总概算表 " sheetId="1" state="hidden" r:id="rId1"/>
    <sheet name="汇总表" sheetId="2" r:id="rId2"/>
    <sheet name="估算表" sheetId="3" r:id="rId3"/>
  </sheets>
  <definedNames>
    <definedName name="_xlnm.Print_Titles" localSheetId="2">'估算表'!$1:$3</definedName>
  </definedNames>
  <calcPr fullCalcOnLoad="1"/>
</workbook>
</file>

<file path=xl/sharedStrings.xml><?xml version="1.0" encoding="utf-8"?>
<sst xmlns="http://schemas.openxmlformats.org/spreadsheetml/2006/main" count="143" uniqueCount="72">
  <si>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</si>
  <si>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</si>
  <si>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</si>
  <si>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</si>
  <si>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</si>
  <si>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</si>
  <si>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</si>
  <si>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</si>
  <si>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</si>
  <si>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</si>
  <si>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</si>
  <si>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</si>
  <si>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</si>
  <si>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</si>
  <si>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</si>
  <si>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</si>
  <si>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</si>
  <si>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</si>
  <si>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</si>
  <si>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</si>
  <si>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</si>
  <si>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</si>
  <si>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</si>
  <si>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   概算价值  （万元）</t>
  </si>
  <si>
    <r>
      <t>占投资额(</t>
    </r>
    <r>
      <rPr>
        <sz val="11"/>
        <rFont val="Times New Roman"/>
        <family val="1"/>
      </rPr>
      <t>%)</t>
    </r>
  </si>
  <si>
    <t>建筑安装工程</t>
  </si>
  <si>
    <t>建筑安装工程费</t>
  </si>
  <si>
    <t>土地使用及拆迁补偿费</t>
  </si>
  <si>
    <t>三</t>
  </si>
  <si>
    <t>工程建设其他费</t>
  </si>
  <si>
    <t>四</t>
  </si>
  <si>
    <t>预备费</t>
  </si>
  <si>
    <t>总投资</t>
  </si>
  <si>
    <t>工程审定概算表</t>
  </si>
  <si>
    <t>项目名称：2022年第二批平罗县农村公路改建项目</t>
  </si>
  <si>
    <t>概算价值（万元）</t>
  </si>
  <si>
    <t>技术经济指标（元）</t>
  </si>
  <si>
    <t>占投
资额    （%）</t>
  </si>
  <si>
    <t>单位</t>
  </si>
  <si>
    <t>数量</t>
  </si>
  <si>
    <t>单位价值</t>
  </si>
  <si>
    <t>第一部分 建筑安装工程费</t>
  </si>
  <si>
    <t>公路公里</t>
  </si>
  <si>
    <t>(一)</t>
  </si>
  <si>
    <t>平罗县头闸镇裕民中心路</t>
  </si>
  <si>
    <t>临时工程</t>
  </si>
  <si>
    <t>路基工程</t>
  </si>
  <si>
    <t>km</t>
  </si>
  <si>
    <t>路面工程</t>
  </si>
  <si>
    <t>桥梁涵洞工程</t>
  </si>
  <si>
    <t>交叉工程</t>
  </si>
  <si>
    <t>处</t>
  </si>
  <si>
    <t>交通工程及沿线设施</t>
  </si>
  <si>
    <t>专项费用</t>
  </si>
  <si>
    <t>（二）</t>
  </si>
  <si>
    <t>平罗县头闸镇裕民路</t>
  </si>
  <si>
    <t>（三）</t>
  </si>
  <si>
    <t>平罗县高庄乡东三路</t>
  </si>
  <si>
    <t>（四）</t>
  </si>
  <si>
    <t>平罗县渠口乡六羊至交济路</t>
  </si>
  <si>
    <t>第二部分 土地使用及拆迁补偿费</t>
  </si>
  <si>
    <t>第三部分 工程建设其他费</t>
  </si>
  <si>
    <t>建设项目管理费</t>
  </si>
  <si>
    <t>建设单位管理费</t>
  </si>
  <si>
    <t>万元</t>
  </si>
  <si>
    <t>工程监理费</t>
  </si>
  <si>
    <t>竣（交）工验收试验检测费</t>
  </si>
  <si>
    <t>设计文件审查费</t>
  </si>
  <si>
    <t>建设项目前期工作费</t>
  </si>
  <si>
    <t>专项评价（估）费</t>
  </si>
  <si>
    <t>工程保险费</t>
  </si>
  <si>
    <t>第四部分 预备费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</si>
</sst>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_);[Red]\(0\)"/>
    <numFmt numFmtId="180" formatCode="0.000"/>
    <numFmt numFmtId="181" formatCode="0.000_ "/>
    <numFmt numFmtId="182" formatCode="0_ "/>
    <numFmt numFmtId="183" formatCode="0.000%"/>
    <numFmt numFmtId="184" formatCode="0.0"/>
    <numFmt numFmtId="185" formatCode="0.00;[Red]0.00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rgb="FFFFFFFF"/>
      </top>
      <bottom>
        <color indexed="8"/>
      </bottom>
    </border>
    <border>
      <left style="thin">
        <color indexed="8"/>
      </left>
      <right>
        <color indexed="8"/>
      </right>
      <top/>
      <bottom/>
    </border>
    <border>
      <left style="thin">
        <color indexed="8"/>
      </left>
      <right/>
      <top style="thin">
        <color rgb="FFFFFFFF"/>
      </top>
      <bottom/>
    </border>
    <border>
      <left style="thin">
        <color indexed="8"/>
      </left>
      <right/>
      <top style="thin">
        <color rgb="FFFFFFFF"/>
      </top>
      <bottom style="thin">
        <color rgb="FFFFFFFF"/>
      </bottom>
    </border>
    <border>
      <left style="thin"/>
      <right/>
      <top style="thin">
        <color rgb="FFFFFFFF"/>
      </top>
      <bottom style="thin">
        <color rgb="FFFFFFFF"/>
      </bottom>
    </border>
    <border>
      <left style="thin"/>
      <right/>
      <top/>
      <bottom/>
    </border>
    <border>
      <left style="thin">
        <color indexed="8"/>
      </left>
      <right/>
      <top>
        <color indexed="8"/>
      </top>
      <bottom>
        <color indexed="8"/>
      </bottom>
    </border>
    <border>
      <left style="thin"/>
      <right/>
      <top/>
      <bottom style="thin">
        <color rgb="FFFFFFFF"/>
      </bottom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/>
      <top style="thin">
        <color rgb="FFFFFFFF"/>
      </top>
      <bottom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63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2" borderId="0" xfId="63" applyFont="1" applyFill="1" applyBorder="1" applyAlignment="1">
      <alignment horizontal="center" vertical="center" wrapText="1"/>
      <protection/>
    </xf>
    <xf numFmtId="0" fontId="4" fillId="2" borderId="0" xfId="63" applyFont="1" applyFill="1" applyBorder="1" applyAlignment="1">
      <alignment horizontal="center" vertical="center" wrapText="1"/>
      <protection/>
    </xf>
    <xf numFmtId="0" fontId="1" fillId="2" borderId="9" xfId="63" applyFont="1" applyFill="1" applyBorder="1" applyAlignment="1">
      <alignment horizontal="left" vertical="center" wrapText="1"/>
      <protection/>
    </xf>
    <xf numFmtId="0" fontId="1" fillId="2" borderId="10" xfId="63" applyFont="1" applyFill="1" applyBorder="1" applyAlignment="1">
      <alignment horizontal="center" vertical="center" wrapText="1"/>
      <protection/>
    </xf>
    <xf numFmtId="0" fontId="1" fillId="2" borderId="10" xfId="63" applyFont="1" applyFill="1" applyBorder="1" applyAlignment="1">
      <alignment horizontal="center" vertical="center"/>
      <protection/>
    </xf>
    <xf numFmtId="0" fontId="1" fillId="2" borderId="10" xfId="63" applyFont="1" applyFill="1" applyBorder="1" applyAlignment="1">
      <alignment horizontal="left" vertical="center" wrapText="1"/>
      <protection/>
    </xf>
    <xf numFmtId="176" fontId="1" fillId="2" borderId="10" xfId="63" applyNumberFormat="1" applyFont="1" applyFill="1" applyBorder="1" applyAlignment="1">
      <alignment horizontal="center" vertical="center"/>
      <protection/>
    </xf>
    <xf numFmtId="177" fontId="1" fillId="2" borderId="10" xfId="63" applyNumberFormat="1" applyFont="1" applyFill="1" applyBorder="1" applyAlignment="1">
      <alignment horizontal="center" vertical="center"/>
      <protection/>
    </xf>
    <xf numFmtId="0" fontId="1" fillId="2" borderId="11" xfId="63" applyFont="1" applyFill="1" applyBorder="1" applyAlignment="1">
      <alignment horizontal="left" vertical="center" wrapText="1"/>
      <protection/>
    </xf>
    <xf numFmtId="176" fontId="1" fillId="2" borderId="11" xfId="63" applyNumberFormat="1" applyFont="1" applyFill="1" applyBorder="1" applyAlignment="1">
      <alignment horizontal="center" vertical="center"/>
      <protection/>
    </xf>
    <xf numFmtId="0" fontId="1" fillId="19" borderId="11" xfId="66" applyFont="1" applyFill="1" applyBorder="1" applyAlignment="1">
      <alignment horizontal="left" vertical="center" wrapText="1"/>
      <protection/>
    </xf>
    <xf numFmtId="178" fontId="1" fillId="19" borderId="11" xfId="66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left" vertical="center" wrapText="1"/>
      <protection/>
    </xf>
    <xf numFmtId="178" fontId="1" fillId="19" borderId="11" xfId="66" applyNumberFormat="1" applyFont="1" applyFill="1" applyBorder="1" applyAlignment="1">
      <alignment horizontal="center" vertical="center" wrapText="1"/>
      <protection/>
    </xf>
    <xf numFmtId="0" fontId="1" fillId="19" borderId="10" xfId="66" applyFont="1" applyFill="1" applyBorder="1" applyAlignment="1">
      <alignment horizontal="left" vertical="center" wrapText="1"/>
      <protection/>
    </xf>
    <xf numFmtId="178" fontId="1" fillId="19" borderId="10" xfId="6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19" borderId="11" xfId="66" applyFont="1" applyFill="1" applyBorder="1" applyAlignment="1">
      <alignment horizontal="center" vertical="center" wrapText="1"/>
      <protection/>
    </xf>
    <xf numFmtId="180" fontId="1" fillId="2" borderId="10" xfId="0" applyNumberFormat="1" applyFont="1" applyFill="1" applyBorder="1" applyAlignment="1">
      <alignment horizontal="center" vertical="center"/>
    </xf>
    <xf numFmtId="0" fontId="1" fillId="2" borderId="10" xfId="63" applyFont="1" applyFill="1" applyBorder="1" applyAlignment="1">
      <alignment horizontal="left" vertical="center"/>
      <protection/>
    </xf>
    <xf numFmtId="2" fontId="1" fillId="2" borderId="10" xfId="63" applyNumberFormat="1" applyFont="1" applyFill="1" applyBorder="1" applyAlignment="1">
      <alignment horizontal="center" vertical="center"/>
      <protection/>
    </xf>
    <xf numFmtId="178" fontId="1" fillId="2" borderId="10" xfId="63" applyNumberFormat="1" applyFont="1" applyFill="1" applyBorder="1" applyAlignment="1">
      <alignment horizontal="center" vertical="center"/>
      <protection/>
    </xf>
    <xf numFmtId="0" fontId="5" fillId="2" borderId="12" xfId="0" applyFont="1" applyFill="1" applyBorder="1" applyAlignment="1" applyProtection="1">
      <alignment horizontal="left" vertical="center" wrapText="1"/>
      <protection/>
    </xf>
    <xf numFmtId="181" fontId="1" fillId="2" borderId="10" xfId="63" applyNumberFormat="1" applyFont="1" applyFill="1" applyBorder="1" applyAlignment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left" vertical="center" wrapText="1"/>
      <protection/>
    </xf>
    <xf numFmtId="2" fontId="1" fillId="2" borderId="10" xfId="63" applyNumberFormat="1" applyFont="1" applyFill="1" applyBorder="1" applyAlignment="1">
      <alignment horizontal="left" vertical="center"/>
      <protection/>
    </xf>
    <xf numFmtId="0" fontId="1" fillId="2" borderId="10" xfId="63" applyFont="1" applyFill="1" applyBorder="1" applyAlignment="1">
      <alignment horizontal="center" vertical="center"/>
      <protection/>
    </xf>
    <xf numFmtId="2" fontId="1" fillId="2" borderId="10" xfId="63" applyNumberFormat="1" applyFont="1" applyFill="1" applyBorder="1" applyAlignment="1">
      <alignment horizontal="left" vertical="center"/>
      <protection/>
    </xf>
    <xf numFmtId="0" fontId="1" fillId="2" borderId="14" xfId="63" applyFont="1" applyFill="1" applyBorder="1" applyAlignment="1">
      <alignment horizontal="center" vertical="center"/>
      <protection/>
    </xf>
    <xf numFmtId="0" fontId="1" fillId="2" borderId="15" xfId="63" applyFont="1" applyFill="1" applyBorder="1" applyAlignment="1">
      <alignment horizontal="center" vertical="center"/>
      <protection/>
    </xf>
    <xf numFmtId="0" fontId="1" fillId="2" borderId="0" xfId="63" applyFont="1" applyFill="1" applyAlignment="1">
      <alignment horizontal="center" vertical="center" wrapText="1"/>
      <protection/>
    </xf>
    <xf numFmtId="0" fontId="1" fillId="2" borderId="9" xfId="63" applyFont="1" applyFill="1" applyBorder="1" applyAlignment="1">
      <alignment horizontal="right" vertical="center" wrapText="1"/>
      <protection/>
    </xf>
    <xf numFmtId="0" fontId="1" fillId="2" borderId="16" xfId="63" applyFont="1" applyFill="1" applyBorder="1" applyAlignment="1">
      <alignment horizontal="center" vertical="center" wrapText="1"/>
      <protection/>
    </xf>
    <xf numFmtId="0" fontId="1" fillId="2" borderId="17" xfId="63" applyFont="1" applyFill="1" applyBorder="1" applyAlignment="1">
      <alignment horizontal="center" vertical="center" wrapText="1"/>
      <protection/>
    </xf>
    <xf numFmtId="182" fontId="1" fillId="2" borderId="10" xfId="63" applyNumberFormat="1" applyFont="1" applyFill="1" applyBorder="1" applyAlignment="1">
      <alignment horizontal="center" vertical="center"/>
      <protection/>
    </xf>
    <xf numFmtId="178" fontId="2" fillId="0" borderId="0" xfId="0" applyNumberFormat="1" applyFont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19" borderId="18" xfId="66" applyNumberFormat="1" applyFont="1" applyFill="1" applyBorder="1" applyAlignment="1">
      <alignment horizontal="center" vertical="center" wrapText="1"/>
      <protection/>
    </xf>
    <xf numFmtId="178" fontId="1" fillId="19" borderId="19" xfId="66" applyNumberFormat="1" applyFont="1" applyFill="1" applyBorder="1" applyAlignment="1">
      <alignment horizontal="center" vertical="center" wrapText="1"/>
      <protection/>
    </xf>
    <xf numFmtId="178" fontId="1" fillId="19" borderId="20" xfId="66" applyNumberFormat="1" applyFont="1" applyFill="1" applyBorder="1" applyAlignment="1">
      <alignment horizontal="center" vertical="center" wrapText="1"/>
      <protection/>
    </xf>
    <xf numFmtId="178" fontId="1" fillId="19" borderId="21" xfId="66" applyNumberFormat="1" applyFont="1" applyFill="1" applyBorder="1" applyAlignment="1">
      <alignment horizontal="center" vertical="center" wrapText="1"/>
      <protection/>
    </xf>
    <xf numFmtId="179" fontId="6" fillId="0" borderId="10" xfId="0" applyNumberFormat="1" applyFont="1" applyFill="1" applyBorder="1" applyAlignment="1">
      <alignment horizontal="center" vertical="center"/>
    </xf>
    <xf numFmtId="178" fontId="1" fillId="19" borderId="22" xfId="66" applyNumberFormat="1" applyFont="1" applyFill="1" applyBorder="1" applyAlignment="1">
      <alignment horizontal="center" vertical="center" wrapText="1"/>
      <protection/>
    </xf>
    <xf numFmtId="178" fontId="1" fillId="19" borderId="23" xfId="66" applyNumberFormat="1" applyFont="1" applyFill="1" applyBorder="1" applyAlignment="1">
      <alignment horizontal="center" vertical="center" wrapText="1"/>
      <protection/>
    </xf>
    <xf numFmtId="178" fontId="1" fillId="19" borderId="24" xfId="66" applyNumberFormat="1" applyFont="1" applyFill="1" applyBorder="1" applyAlignment="1">
      <alignment horizontal="center" vertical="center" wrapText="1"/>
      <protection/>
    </xf>
    <xf numFmtId="178" fontId="1" fillId="19" borderId="25" xfId="66" applyNumberFormat="1" applyFont="1" applyFill="1" applyBorder="1" applyAlignment="1">
      <alignment horizontal="center" vertical="center" wrapText="1"/>
      <protection/>
    </xf>
    <xf numFmtId="178" fontId="1" fillId="19" borderId="26" xfId="66" applyNumberFormat="1" applyFont="1" applyFill="1" applyBorder="1" applyAlignment="1">
      <alignment horizontal="center" vertical="center" wrapText="1"/>
      <protection/>
    </xf>
    <xf numFmtId="178" fontId="1" fillId="19" borderId="27" xfId="66" applyNumberFormat="1" applyFont="1" applyFill="1" applyBorder="1" applyAlignment="1">
      <alignment horizontal="center" vertical="center" wrapText="1"/>
      <protection/>
    </xf>
    <xf numFmtId="178" fontId="1" fillId="19" borderId="28" xfId="66" applyNumberFormat="1" applyFont="1" applyFill="1" applyBorder="1" applyAlignment="1">
      <alignment horizontal="center" vertical="center" wrapText="1"/>
      <protection/>
    </xf>
    <xf numFmtId="1" fontId="1" fillId="2" borderId="10" xfId="63" applyNumberFormat="1" applyFont="1" applyFill="1" applyBorder="1" applyAlignment="1">
      <alignment horizontal="center" vertical="center"/>
      <protection/>
    </xf>
    <xf numFmtId="10" fontId="1" fillId="2" borderId="10" xfId="63" applyNumberFormat="1" applyFont="1" applyFill="1" applyBorder="1" applyAlignment="1">
      <alignment horizontal="center" vertical="center"/>
      <protection/>
    </xf>
    <xf numFmtId="179" fontId="1" fillId="2" borderId="10" xfId="63" applyNumberFormat="1" applyFont="1" applyFill="1" applyBorder="1" applyAlignment="1">
      <alignment horizontal="center" vertical="center"/>
      <protection/>
    </xf>
    <xf numFmtId="0" fontId="1" fillId="2" borderId="10" xfId="63" applyNumberFormat="1" applyFont="1" applyFill="1" applyBorder="1" applyAlignment="1" applyProtection="1">
      <alignment horizontal="center" vertical="center"/>
      <protection/>
    </xf>
    <xf numFmtId="183" fontId="1" fillId="2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176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10000吨高纯硅概算" xfId="64"/>
    <cellStyle name="常规_GYWSH" xfId="65"/>
    <cellStyle name="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13" sqref="C13"/>
    </sheetView>
  </sheetViews>
  <sheetFormatPr defaultColWidth="8.75390625" defaultRowHeight="14.25"/>
  <cols>
    <col min="1" max="1" width="4.125" style="91" customWidth="1"/>
    <col min="2" max="2" width="24.50390625" style="92" customWidth="1"/>
    <col min="3" max="3" width="9.875" style="92" customWidth="1"/>
    <col min="4" max="4" width="9.25390625" style="92" customWidth="1"/>
    <col min="5" max="5" width="8.625" style="92" customWidth="1"/>
    <col min="6" max="6" width="9.625" style="92" customWidth="1"/>
    <col min="7" max="7" width="14.50390625" style="92" customWidth="1"/>
    <col min="8" max="8" width="6.375" style="92" customWidth="1"/>
    <col min="9" max="9" width="9.50390625" style="92" customWidth="1"/>
    <col min="10" max="10" width="6.375" style="92" customWidth="1"/>
    <col min="11" max="11" width="5.375" style="92" customWidth="1"/>
    <col min="12" max="12" width="18.25390625" style="92" customWidth="1"/>
    <col min="13" max="15" width="9.00390625" style="92" bestFit="1" customWidth="1"/>
    <col min="16" max="16" width="7.625" style="92" customWidth="1"/>
    <col min="17" max="17" width="5.625" style="92" customWidth="1"/>
    <col min="18" max="18" width="9.00390625" style="92" bestFit="1" customWidth="1"/>
    <col min="19" max="19" width="9.25390625" style="92" customWidth="1"/>
    <col min="20" max="20" width="4.25390625" style="92" customWidth="1"/>
    <col min="21" max="32" width="9.00390625" style="92" bestFit="1" customWidth="1"/>
    <col min="33" max="16384" width="8.75390625" style="92" customWidth="1"/>
  </cols>
  <sheetData>
    <row r="1" spans="1:20" ht="65.25" customHeight="1">
      <c r="A1" s="93" t="s">
        <v>0</v>
      </c>
      <c r="B1" s="93"/>
      <c r="C1" s="93"/>
      <c r="D1" s="93"/>
      <c r="E1" s="93"/>
      <c r="F1" s="93"/>
      <c r="G1" s="93"/>
      <c r="H1" s="93"/>
      <c r="I1" s="91"/>
      <c r="J1" s="9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30.75" customHeight="1">
      <c r="A2" s="94" t="e">
        <f>估算表!#REF!</f>
        <v>#REF!</v>
      </c>
      <c r="B2" s="94"/>
      <c r="C2" s="94"/>
      <c r="D2" s="94"/>
      <c r="E2" s="94"/>
      <c r="F2" s="94"/>
      <c r="G2" s="94"/>
      <c r="H2" s="94"/>
      <c r="I2" s="91"/>
      <c r="J2" s="91"/>
      <c r="K2" s="111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30" customHeight="1">
      <c r="A3" s="95" t="s">
        <v>1</v>
      </c>
      <c r="B3" s="96" t="s">
        <v>2</v>
      </c>
      <c r="C3" s="95" t="s">
        <v>3</v>
      </c>
      <c r="D3" s="95"/>
      <c r="E3" s="95"/>
      <c r="F3" s="95"/>
      <c r="G3" s="95"/>
      <c r="H3" s="97" t="s">
        <v>4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30" customHeight="1">
      <c r="A4" s="96"/>
      <c r="B4" s="96"/>
      <c r="C4" s="98" t="s">
        <v>5</v>
      </c>
      <c r="D4" s="98" t="s">
        <v>6</v>
      </c>
      <c r="E4" s="98" t="s">
        <v>7</v>
      </c>
      <c r="F4" s="98" t="s">
        <v>8</v>
      </c>
      <c r="G4" s="99" t="s">
        <v>9</v>
      </c>
      <c r="H4" s="97"/>
      <c r="I4" s="91"/>
      <c r="J4" s="9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s="5" customFormat="1" ht="27.75" customHeight="1">
      <c r="A5" s="100" t="s">
        <v>10</v>
      </c>
      <c r="B5" s="101" t="s">
        <v>11</v>
      </c>
      <c r="C5" s="102" t="e">
        <f>SUM(C6:C7)</f>
        <v>#REF!</v>
      </c>
      <c r="D5" s="102"/>
      <c r="E5" s="102"/>
      <c r="F5" s="102"/>
      <c r="G5" s="102" t="e">
        <f>C5+D5+E5+F5</f>
        <v>#REF!</v>
      </c>
      <c r="H5" s="103" t="e">
        <f>G5/G13*100</f>
        <v>#REF!</v>
      </c>
      <c r="I5" s="3"/>
      <c r="J5" s="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5" customFormat="1" ht="27.75" customHeight="1">
      <c r="A6" s="98" t="s">
        <v>12</v>
      </c>
      <c r="B6" s="104" t="e">
        <f>估算表!#REF!</f>
        <v>#REF!</v>
      </c>
      <c r="C6" s="105" t="e">
        <f>估算表!#REF!</f>
        <v>#REF!</v>
      </c>
      <c r="D6" s="105"/>
      <c r="E6" s="105"/>
      <c r="F6" s="105"/>
      <c r="G6" s="105" t="e">
        <f>C6+D6+E6+F6</f>
        <v>#REF!</v>
      </c>
      <c r="H6" s="106"/>
      <c r="I6" s="3"/>
      <c r="J6" s="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s="5" customFormat="1" ht="27.75" customHeight="1">
      <c r="A7" s="98" t="s">
        <v>13</v>
      </c>
      <c r="B7" s="104" t="e">
        <f>估算表!#REF!</f>
        <v>#REF!</v>
      </c>
      <c r="C7" s="105" t="e">
        <f>估算表!#REF!</f>
        <v>#REF!</v>
      </c>
      <c r="D7" s="105"/>
      <c r="E7" s="105"/>
      <c r="F7" s="105"/>
      <c r="G7" s="105" t="e">
        <f>C7+D7+E7+F7</f>
        <v>#REF!</v>
      </c>
      <c r="H7" s="106"/>
      <c r="I7" s="3"/>
      <c r="J7" s="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s="5" customFormat="1" ht="27.75" customHeight="1">
      <c r="A8" s="26"/>
      <c r="B8" s="107"/>
      <c r="C8" s="108"/>
      <c r="D8" s="105"/>
      <c r="E8" s="105"/>
      <c r="F8" s="105"/>
      <c r="G8" s="105"/>
      <c r="H8" s="103"/>
      <c r="I8" s="3"/>
      <c r="J8" s="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8" s="5" customFormat="1" ht="27.75" customHeight="1">
      <c r="A9" s="100" t="s">
        <v>14</v>
      </c>
      <c r="B9" s="109" t="s">
        <v>15</v>
      </c>
      <c r="C9" s="102"/>
      <c r="D9" s="102"/>
      <c r="E9" s="102"/>
      <c r="F9" s="102">
        <f>'估算表'!F12</f>
        <v>3.05</v>
      </c>
      <c r="G9" s="102">
        <f>F9</f>
        <v>3.05</v>
      </c>
      <c r="H9" s="103" t="e">
        <f>G9/G13*100</f>
        <v>#REF!</v>
      </c>
    </row>
    <row r="10" spans="1:8" s="5" customFormat="1" ht="27.75" customHeight="1">
      <c r="A10" s="100"/>
      <c r="B10" s="109"/>
      <c r="C10" s="102"/>
      <c r="D10" s="102"/>
      <c r="E10" s="102"/>
      <c r="F10" s="102"/>
      <c r="G10" s="102" t="s">
        <v>16</v>
      </c>
      <c r="H10" s="103"/>
    </row>
    <row r="11" spans="1:8" s="5" customFormat="1" ht="27.75" customHeight="1">
      <c r="A11" s="100" t="s">
        <v>17</v>
      </c>
      <c r="B11" s="109" t="s">
        <v>18</v>
      </c>
      <c r="C11" s="102"/>
      <c r="D11" s="102"/>
      <c r="E11" s="102"/>
      <c r="F11" s="102" t="e">
        <f>估算表!#REF!</f>
        <v>#REF!</v>
      </c>
      <c r="G11" s="102" t="e">
        <f>F11</f>
        <v>#REF!</v>
      </c>
      <c r="H11" s="103" t="e">
        <f>G11/G13*100</f>
        <v>#REF!</v>
      </c>
    </row>
    <row r="12" spans="1:8" s="5" customFormat="1" ht="27.75" customHeight="1">
      <c r="A12" s="100"/>
      <c r="B12" s="109"/>
      <c r="C12" s="102"/>
      <c r="D12" s="102"/>
      <c r="E12" s="102"/>
      <c r="F12" s="102"/>
      <c r="G12" s="102"/>
      <c r="H12" s="103"/>
    </row>
    <row r="13" spans="1:8" s="5" customFormat="1" ht="27.75" customHeight="1">
      <c r="A13" s="100"/>
      <c r="B13" s="100" t="s">
        <v>19</v>
      </c>
      <c r="C13" s="102" t="e">
        <f>C5</f>
        <v>#REF!</v>
      </c>
      <c r="D13" s="102">
        <f>D5</f>
        <v>0</v>
      </c>
      <c r="E13" s="102">
        <f>E5</f>
        <v>0</v>
      </c>
      <c r="F13" s="102" t="e">
        <f>SUM(F9:F12)</f>
        <v>#REF!</v>
      </c>
      <c r="G13" s="102" t="e">
        <f>SUM(C13:F13)</f>
        <v>#REF!</v>
      </c>
      <c r="H13" s="110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3">
      <selection activeCell="J8" sqref="J8"/>
    </sheetView>
  </sheetViews>
  <sheetFormatPr defaultColWidth="6.50390625" defaultRowHeight="14.25"/>
  <cols>
    <col min="1" max="1" width="5.375" style="64" customWidth="1"/>
    <col min="2" max="2" width="23.375" style="64" customWidth="1"/>
    <col min="3" max="3" width="12.75390625" style="64" customWidth="1"/>
    <col min="4" max="4" width="9.375" style="64" customWidth="1"/>
    <col min="5" max="5" width="9.625" style="64" customWidth="1"/>
    <col min="6" max="6" width="11.25390625" style="64" customWidth="1"/>
    <col min="7" max="7" width="9.25390625" style="64" customWidth="1"/>
    <col min="8" max="9" width="6.50390625" style="64" customWidth="1"/>
    <col min="10" max="10" width="10.375" style="64" bestFit="1" customWidth="1"/>
    <col min="11" max="16384" width="6.50390625" style="64" customWidth="1"/>
  </cols>
  <sheetData>
    <row r="1" spans="1:7" s="64" customFormat="1" ht="38.25" customHeight="1">
      <c r="A1" s="65" t="s">
        <v>20</v>
      </c>
      <c r="B1" s="66"/>
      <c r="C1" s="66"/>
      <c r="D1" s="66"/>
      <c r="E1" s="66"/>
      <c r="F1" s="66"/>
      <c r="G1" s="66"/>
    </row>
    <row r="2" spans="1:7" s="64" customFormat="1" ht="30.75" customHeight="1">
      <c r="A2" s="67" t="str">
        <f>'估算表'!A2</f>
        <v>项目名称：2022年第二批平罗县农村公路改建项目</v>
      </c>
      <c r="B2" s="67"/>
      <c r="C2" s="67"/>
      <c r="D2" s="67"/>
      <c r="E2" s="67"/>
      <c r="F2" s="67"/>
      <c r="G2" s="67"/>
    </row>
    <row r="3" spans="1:7" s="64" customFormat="1" ht="24" customHeight="1">
      <c r="A3" s="68" t="s">
        <v>21</v>
      </c>
      <c r="B3" s="69" t="s">
        <v>22</v>
      </c>
      <c r="C3" s="70" t="s">
        <v>23</v>
      </c>
      <c r="D3" s="71"/>
      <c r="E3" s="71"/>
      <c r="F3" s="72"/>
      <c r="G3" s="68" t="s">
        <v>24</v>
      </c>
    </row>
    <row r="4" spans="1:7" s="64" customFormat="1" ht="30" customHeight="1">
      <c r="A4" s="73"/>
      <c r="B4" s="73"/>
      <c r="C4" s="74" t="s">
        <v>25</v>
      </c>
      <c r="D4" s="74" t="s">
        <v>6</v>
      </c>
      <c r="E4" s="74" t="s">
        <v>8</v>
      </c>
      <c r="F4" s="75" t="s">
        <v>9</v>
      </c>
      <c r="G4" s="73"/>
    </row>
    <row r="5" spans="1:8" s="64" customFormat="1" ht="30" customHeight="1">
      <c r="A5" s="74" t="s">
        <v>12</v>
      </c>
      <c r="B5" s="76" t="s">
        <v>26</v>
      </c>
      <c r="C5" s="77">
        <f>'估算表'!C5</f>
        <v>631.8199999999999</v>
      </c>
      <c r="D5" s="77"/>
      <c r="E5" s="77"/>
      <c r="F5" s="77">
        <f>C5+D5</f>
        <v>631.8199999999999</v>
      </c>
      <c r="G5" s="78">
        <f>F5/F17*100</f>
        <v>87.56132794778897</v>
      </c>
      <c r="H5" s="79"/>
    </row>
    <row r="6" spans="1:8" s="64" customFormat="1" ht="30" customHeight="1">
      <c r="A6" s="74" t="s">
        <v>13</v>
      </c>
      <c r="B6" s="80" t="s">
        <v>27</v>
      </c>
      <c r="C6" s="81"/>
      <c r="D6" s="81"/>
      <c r="E6" s="81"/>
      <c r="F6" s="77"/>
      <c r="G6" s="78"/>
      <c r="H6" s="79"/>
    </row>
    <row r="7" spans="1:8" s="64" customFormat="1" ht="30" customHeight="1">
      <c r="A7" s="74" t="s">
        <v>28</v>
      </c>
      <c r="B7" s="76" t="s">
        <v>29</v>
      </c>
      <c r="C7" s="18"/>
      <c r="D7" s="18"/>
      <c r="E7" s="18">
        <f>'估算表'!F39</f>
        <v>55.3935764</v>
      </c>
      <c r="F7" s="77">
        <f>E7</f>
        <v>55.3935764</v>
      </c>
      <c r="G7" s="78">
        <f>F7/F17*100</f>
        <v>7.676767290306265</v>
      </c>
      <c r="H7" s="79"/>
    </row>
    <row r="8" spans="1:8" s="64" customFormat="1" ht="30" customHeight="1">
      <c r="A8" s="74" t="s">
        <v>30</v>
      </c>
      <c r="B8" s="82" t="s">
        <v>31</v>
      </c>
      <c r="C8" s="83"/>
      <c r="D8" s="83"/>
      <c r="E8" s="77">
        <f>'估算表'!F48</f>
        <v>34.36067882</v>
      </c>
      <c r="F8" s="77">
        <f>E8</f>
        <v>34.36067882</v>
      </c>
      <c r="G8" s="78">
        <f>F8/F17*100</f>
        <v>4.761904761904762</v>
      </c>
      <c r="H8" s="79"/>
    </row>
    <row r="9" spans="1:8" s="64" customFormat="1" ht="30" customHeight="1">
      <c r="A9" s="74"/>
      <c r="B9" s="84"/>
      <c r="C9" s="83"/>
      <c r="D9" s="83"/>
      <c r="E9" s="85"/>
      <c r="F9" s="85"/>
      <c r="G9" s="86"/>
      <c r="H9" s="79"/>
    </row>
    <row r="10" spans="1:8" s="64" customFormat="1" ht="30" customHeight="1">
      <c r="A10" s="74"/>
      <c r="B10" s="84"/>
      <c r="C10" s="83"/>
      <c r="D10" s="83"/>
      <c r="E10" s="85"/>
      <c r="F10" s="85"/>
      <c r="G10" s="86"/>
      <c r="H10" s="79"/>
    </row>
    <row r="11" spans="1:8" s="64" customFormat="1" ht="30" customHeight="1">
      <c r="A11" s="74"/>
      <c r="B11" s="84"/>
      <c r="C11" s="83"/>
      <c r="D11" s="83"/>
      <c r="E11" s="85"/>
      <c r="F11" s="85"/>
      <c r="G11" s="86"/>
      <c r="H11" s="79"/>
    </row>
    <row r="12" spans="1:8" s="64" customFormat="1" ht="30" customHeight="1">
      <c r="A12" s="74"/>
      <c r="B12" s="84"/>
      <c r="C12" s="83"/>
      <c r="D12" s="83"/>
      <c r="E12" s="85"/>
      <c r="F12" s="85"/>
      <c r="G12" s="86"/>
      <c r="H12" s="79"/>
    </row>
    <row r="13" spans="1:8" s="64" customFormat="1" ht="30" customHeight="1">
      <c r="A13" s="74"/>
      <c r="B13" s="84"/>
      <c r="C13" s="83"/>
      <c r="D13" s="83"/>
      <c r="E13" s="85"/>
      <c r="F13" s="85"/>
      <c r="G13" s="86"/>
      <c r="H13" s="79"/>
    </row>
    <row r="14" spans="1:8" s="64" customFormat="1" ht="30" customHeight="1">
      <c r="A14" s="74"/>
      <c r="B14" s="84"/>
      <c r="C14" s="83"/>
      <c r="D14" s="83"/>
      <c r="E14" s="85"/>
      <c r="F14" s="85"/>
      <c r="G14" s="86"/>
      <c r="H14" s="79"/>
    </row>
    <row r="15" spans="1:8" s="64" customFormat="1" ht="30" customHeight="1">
      <c r="A15" s="74"/>
      <c r="B15" s="84"/>
      <c r="C15" s="83"/>
      <c r="D15" s="83"/>
      <c r="E15" s="85"/>
      <c r="F15" s="85"/>
      <c r="G15" s="86"/>
      <c r="H15" s="79"/>
    </row>
    <row r="16" spans="1:8" s="64" customFormat="1" ht="30" customHeight="1">
      <c r="A16" s="74"/>
      <c r="B16" s="84"/>
      <c r="C16" s="83"/>
      <c r="D16" s="83"/>
      <c r="E16" s="85"/>
      <c r="F16" s="85"/>
      <c r="G16" s="86"/>
      <c r="H16" s="79"/>
    </row>
    <row r="17" spans="1:8" s="64" customFormat="1" ht="30" customHeight="1">
      <c r="A17" s="87" t="s">
        <v>32</v>
      </c>
      <c r="B17" s="88"/>
      <c r="C17" s="18">
        <f>C5+C7</f>
        <v>631.8199999999999</v>
      </c>
      <c r="D17" s="18"/>
      <c r="E17" s="18">
        <f>SUM(E6:E16)</f>
        <v>89.75425522</v>
      </c>
      <c r="F17" s="18">
        <f>SUM(F5:F16)</f>
        <v>721.5742552199999</v>
      </c>
      <c r="G17" s="89">
        <f>SUM(G5:G16)</f>
        <v>99.99999999999999</v>
      </c>
      <c r="H17" s="79"/>
    </row>
    <row r="18" spans="1:7" s="64" customFormat="1" ht="30" customHeight="1">
      <c r="A18" s="90"/>
      <c r="B18" s="90"/>
      <c r="C18" s="90"/>
      <c r="D18" s="90"/>
      <c r="E18" s="90"/>
      <c r="F18" s="90"/>
      <c r="G18" s="90"/>
    </row>
    <row r="19" spans="1:7" s="64" customFormat="1" ht="30" customHeight="1">
      <c r="A19" s="90"/>
      <c r="B19" s="90"/>
      <c r="C19" s="90"/>
      <c r="D19" s="90"/>
      <c r="E19" s="90"/>
      <c r="F19" s="90"/>
      <c r="G19" s="90"/>
    </row>
  </sheetData>
  <sheetProtection/>
  <mergeCells count="7">
    <mergeCell ref="A1:G1"/>
    <mergeCell ref="A2:G2"/>
    <mergeCell ref="C3:F3"/>
    <mergeCell ref="A17:B17"/>
    <mergeCell ref="A3:A4"/>
    <mergeCell ref="B3:B4"/>
    <mergeCell ref="G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0">
      <selection activeCell="O9" sqref="O9"/>
    </sheetView>
  </sheetViews>
  <sheetFormatPr defaultColWidth="8.75390625" defaultRowHeight="14.25"/>
  <cols>
    <col min="1" max="1" width="5.50390625" style="4" customWidth="1"/>
    <col min="2" max="2" width="19.625" style="4" customWidth="1"/>
    <col min="3" max="3" width="9.00390625" style="4" customWidth="1"/>
    <col min="4" max="5" width="8.625" style="4" customWidth="1"/>
    <col min="6" max="6" width="9.375" style="4" customWidth="1"/>
    <col min="7" max="7" width="5.625" style="4" customWidth="1"/>
    <col min="8" max="8" width="8.50390625" style="4" customWidth="1"/>
    <col min="9" max="9" width="9.875" style="4" customWidth="1"/>
    <col min="10" max="10" width="7.25390625" style="4" customWidth="1"/>
    <col min="11" max="11" width="12.625" style="5" hidden="1" customWidth="1"/>
    <col min="12" max="12" width="13.375" style="5" hidden="1" customWidth="1"/>
    <col min="13" max="13" width="9.25390625" style="3" hidden="1" customWidth="1"/>
    <col min="14" max="14" width="9.00390625" style="3" hidden="1" customWidth="1"/>
    <col min="15" max="15" width="21.00390625" style="5" customWidth="1"/>
    <col min="16" max="16" width="27.125" style="5" customWidth="1"/>
    <col min="17" max="17" width="9.00390625" style="5" bestFit="1" customWidth="1"/>
    <col min="18" max="18" width="14.125" style="5" bestFit="1" customWidth="1"/>
    <col min="19" max="19" width="9.25390625" style="5" bestFit="1" customWidth="1"/>
    <col min="20" max="27" width="9.00390625" style="5" bestFit="1" customWidth="1"/>
    <col min="28" max="16384" width="8.75390625" style="5" customWidth="1"/>
  </cols>
  <sheetData>
    <row r="1" spans="1:10" ht="24" customHeight="1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5.5" customHeight="1">
      <c r="A2" s="8" t="s">
        <v>34</v>
      </c>
      <c r="B2" s="8"/>
      <c r="C2" s="8"/>
      <c r="D2" s="8"/>
      <c r="E2" s="8"/>
      <c r="F2" s="8"/>
      <c r="G2" s="8"/>
      <c r="H2" s="8"/>
      <c r="I2" s="41"/>
      <c r="J2" s="41"/>
    </row>
    <row r="3" spans="1:10" s="1" customFormat="1" ht="24.75" customHeight="1">
      <c r="A3" s="9" t="s">
        <v>21</v>
      </c>
      <c r="B3" s="9" t="s">
        <v>22</v>
      </c>
      <c r="C3" s="9" t="s">
        <v>35</v>
      </c>
      <c r="D3" s="9"/>
      <c r="E3" s="9"/>
      <c r="F3" s="9"/>
      <c r="G3" s="9" t="s">
        <v>36</v>
      </c>
      <c r="H3" s="9"/>
      <c r="I3" s="9"/>
      <c r="J3" s="42" t="s">
        <v>37</v>
      </c>
    </row>
    <row r="4" spans="1:11" s="1" customFormat="1" ht="30.75" customHeight="1">
      <c r="A4" s="9"/>
      <c r="B4" s="9"/>
      <c r="C4" s="9" t="s">
        <v>25</v>
      </c>
      <c r="D4" s="9" t="s">
        <v>6</v>
      </c>
      <c r="E4" s="9" t="s">
        <v>8</v>
      </c>
      <c r="F4" s="9" t="s">
        <v>9</v>
      </c>
      <c r="G4" s="9" t="s">
        <v>38</v>
      </c>
      <c r="H4" s="9" t="s">
        <v>39</v>
      </c>
      <c r="I4" s="9" t="s">
        <v>40</v>
      </c>
      <c r="J4" s="43"/>
      <c r="K4" s="1" t="e">
        <f>#REF!+#REF!</f>
        <v>#REF!</v>
      </c>
    </row>
    <row r="5" spans="1:10" s="2" customFormat="1" ht="34.5" customHeight="1">
      <c r="A5" s="10" t="s">
        <v>12</v>
      </c>
      <c r="B5" s="11" t="s">
        <v>41</v>
      </c>
      <c r="C5" s="12">
        <f>C6+C14+C22+C30</f>
        <v>631.8199999999999</v>
      </c>
      <c r="D5" s="12"/>
      <c r="E5" s="12"/>
      <c r="F5" s="12">
        <f>C5+D5</f>
        <v>631.8199999999999</v>
      </c>
      <c r="G5" s="9" t="s">
        <v>42</v>
      </c>
      <c r="H5" s="13">
        <f>H6++H14+H22+H30</f>
        <v>7.635</v>
      </c>
      <c r="I5" s="44">
        <f>F5/H5*10000</f>
        <v>827531.106745252</v>
      </c>
      <c r="J5" s="12">
        <f>F5/F50*100</f>
        <v>87.56132794778897</v>
      </c>
    </row>
    <row r="6" spans="1:16" s="2" customFormat="1" ht="34.5" customHeight="1">
      <c r="A6" s="10" t="s">
        <v>43</v>
      </c>
      <c r="B6" s="14" t="s">
        <v>44</v>
      </c>
      <c r="C6" s="15">
        <f>SUM(C7:C13)</f>
        <v>124.04999999999998</v>
      </c>
      <c r="D6" s="12"/>
      <c r="E6" s="12"/>
      <c r="F6" s="12">
        <f>C6+D6</f>
        <v>124.04999999999998</v>
      </c>
      <c r="G6" s="9" t="s">
        <v>42</v>
      </c>
      <c r="H6" s="13">
        <v>1.655</v>
      </c>
      <c r="I6" s="44">
        <f>F6/H6*10000</f>
        <v>749546.8277945617</v>
      </c>
      <c r="J6" s="12"/>
      <c r="P6" s="45"/>
    </row>
    <row r="7" spans="1:10" s="2" customFormat="1" ht="27.75" customHeight="1">
      <c r="A7" s="10">
        <v>1</v>
      </c>
      <c r="B7" s="14" t="s">
        <v>45</v>
      </c>
      <c r="C7" s="15">
        <v>3.55</v>
      </c>
      <c r="D7" s="12"/>
      <c r="E7" s="12"/>
      <c r="F7" s="12">
        <f>C7+D7</f>
        <v>3.55</v>
      </c>
      <c r="G7" s="9" t="s">
        <v>42</v>
      </c>
      <c r="H7" s="13">
        <f>H6</f>
        <v>1.655</v>
      </c>
      <c r="I7" s="44">
        <f>F7/H7*10000</f>
        <v>21450.15105740181</v>
      </c>
      <c r="J7" s="12"/>
    </row>
    <row r="8" spans="1:16" s="2" customFormat="1" ht="24.75" customHeight="1">
      <c r="A8" s="10">
        <v>2</v>
      </c>
      <c r="B8" s="16" t="s">
        <v>46</v>
      </c>
      <c r="C8" s="17">
        <v>5.92</v>
      </c>
      <c r="D8" s="18"/>
      <c r="E8" s="18"/>
      <c r="F8" s="12">
        <f aca="true" t="shared" si="0" ref="F8:F15">C8+D8</f>
        <v>5.92</v>
      </c>
      <c r="G8" s="9" t="s">
        <v>47</v>
      </c>
      <c r="H8" s="13">
        <f>H6</f>
        <v>1.655</v>
      </c>
      <c r="I8" s="44">
        <f aca="true" t="shared" si="1" ref="I8:I13">C8/H8*10000</f>
        <v>35770.39274924471</v>
      </c>
      <c r="J8" s="46"/>
      <c r="O8" s="47"/>
      <c r="P8" s="45"/>
    </row>
    <row r="9" spans="1:15" s="2" customFormat="1" ht="24.75" customHeight="1">
      <c r="A9" s="10">
        <v>3</v>
      </c>
      <c r="B9" s="16" t="s">
        <v>48</v>
      </c>
      <c r="C9" s="17">
        <v>90.05</v>
      </c>
      <c r="D9" s="18"/>
      <c r="E9" s="18"/>
      <c r="F9" s="12">
        <f t="shared" si="0"/>
        <v>90.05</v>
      </c>
      <c r="G9" s="9" t="s">
        <v>47</v>
      </c>
      <c r="H9" s="13">
        <f>H6</f>
        <v>1.655</v>
      </c>
      <c r="I9" s="44">
        <f t="shared" si="1"/>
        <v>544108.7613293051</v>
      </c>
      <c r="J9" s="46"/>
      <c r="O9" s="48"/>
    </row>
    <row r="10" spans="1:15" s="2" customFormat="1" ht="24.75" customHeight="1">
      <c r="A10" s="10">
        <v>4</v>
      </c>
      <c r="B10" s="16" t="s">
        <v>49</v>
      </c>
      <c r="C10" s="17">
        <v>16.71</v>
      </c>
      <c r="D10" s="18"/>
      <c r="E10" s="18"/>
      <c r="F10" s="12">
        <f t="shared" si="0"/>
        <v>16.71</v>
      </c>
      <c r="G10" s="9" t="s">
        <v>47</v>
      </c>
      <c r="H10" s="13">
        <f>H6</f>
        <v>1.655</v>
      </c>
      <c r="I10" s="44">
        <f t="shared" si="1"/>
        <v>100966.76737160122</v>
      </c>
      <c r="J10" s="46"/>
      <c r="O10" s="49"/>
    </row>
    <row r="11" spans="1:15" s="2" customFormat="1" ht="24.75" customHeight="1">
      <c r="A11" s="10">
        <v>5</v>
      </c>
      <c r="B11" s="16" t="s">
        <v>50</v>
      </c>
      <c r="C11" s="17">
        <v>0.49</v>
      </c>
      <c r="D11" s="18"/>
      <c r="E11" s="18"/>
      <c r="F11" s="12">
        <f t="shared" si="0"/>
        <v>0.49</v>
      </c>
      <c r="G11" s="19" t="s">
        <v>51</v>
      </c>
      <c r="H11" s="20">
        <v>2</v>
      </c>
      <c r="I11" s="44">
        <f t="shared" si="1"/>
        <v>2450</v>
      </c>
      <c r="J11" s="46"/>
      <c r="O11" s="50"/>
    </row>
    <row r="12" spans="1:17" s="3" customFormat="1" ht="27.75" customHeight="1">
      <c r="A12" s="10">
        <v>6</v>
      </c>
      <c r="B12" s="16" t="s">
        <v>52</v>
      </c>
      <c r="C12" s="17">
        <v>3.05</v>
      </c>
      <c r="D12" s="18"/>
      <c r="E12" s="18"/>
      <c r="F12" s="12">
        <f t="shared" si="0"/>
        <v>3.05</v>
      </c>
      <c r="G12" s="9" t="s">
        <v>42</v>
      </c>
      <c r="H12" s="13">
        <f>H6</f>
        <v>1.655</v>
      </c>
      <c r="I12" s="44">
        <f t="shared" si="1"/>
        <v>18429.003021148033</v>
      </c>
      <c r="J12" s="51"/>
      <c r="O12" s="50"/>
      <c r="Q12" s="2"/>
    </row>
    <row r="13" spans="1:17" s="3" customFormat="1" ht="27" customHeight="1">
      <c r="A13" s="10">
        <v>7</v>
      </c>
      <c r="B13" s="16" t="s">
        <v>53</v>
      </c>
      <c r="C13" s="17">
        <v>4.28</v>
      </c>
      <c r="D13" s="18"/>
      <c r="E13" s="18"/>
      <c r="F13" s="12">
        <f t="shared" si="0"/>
        <v>4.28</v>
      </c>
      <c r="G13" s="9"/>
      <c r="H13" s="21"/>
      <c r="I13" s="44"/>
      <c r="J13" s="46"/>
      <c r="O13" s="50"/>
      <c r="Q13" s="2"/>
    </row>
    <row r="14" spans="1:17" s="3" customFormat="1" ht="27.75" customHeight="1">
      <c r="A14" s="10" t="s">
        <v>54</v>
      </c>
      <c r="B14" s="22" t="s">
        <v>55</v>
      </c>
      <c r="C14" s="23">
        <f>SUM(C15:C21)</f>
        <v>143.11999999999998</v>
      </c>
      <c r="D14" s="18"/>
      <c r="E14" s="18"/>
      <c r="F14" s="12">
        <f t="shared" si="0"/>
        <v>143.11999999999998</v>
      </c>
      <c r="G14" s="9" t="s">
        <v>42</v>
      </c>
      <c r="H14" s="21">
        <v>1.723</v>
      </c>
      <c r="I14" s="44">
        <f>C14/H14*10000</f>
        <v>830644.2251886243</v>
      </c>
      <c r="J14" s="46"/>
      <c r="O14" s="52"/>
      <c r="Q14" s="2"/>
    </row>
    <row r="15" spans="1:17" s="3" customFormat="1" ht="27.75" customHeight="1">
      <c r="A15" s="10">
        <v>1</v>
      </c>
      <c r="B15" s="14" t="s">
        <v>45</v>
      </c>
      <c r="C15" s="15">
        <v>3.55</v>
      </c>
      <c r="D15" s="18"/>
      <c r="E15" s="18"/>
      <c r="F15" s="12">
        <f t="shared" si="0"/>
        <v>3.55</v>
      </c>
      <c r="G15" s="9" t="s">
        <v>42</v>
      </c>
      <c r="H15" s="21">
        <f>H14</f>
        <v>1.723</v>
      </c>
      <c r="I15" s="44">
        <f>C15/H15*10000</f>
        <v>20603.59837492745</v>
      </c>
      <c r="J15" s="46"/>
      <c r="O15" s="53"/>
      <c r="Q15" s="2"/>
    </row>
    <row r="16" spans="1:17" s="3" customFormat="1" ht="24.75" customHeight="1">
      <c r="A16" s="10">
        <v>2</v>
      </c>
      <c r="B16" s="16" t="s">
        <v>46</v>
      </c>
      <c r="C16" s="17">
        <v>7.43</v>
      </c>
      <c r="D16" s="18"/>
      <c r="E16" s="18"/>
      <c r="F16" s="12">
        <f aca="true" t="shared" si="2" ref="F16:F23">C16+D16</f>
        <v>7.43</v>
      </c>
      <c r="G16" s="9" t="s">
        <v>47</v>
      </c>
      <c r="H16" s="13">
        <f>H14</f>
        <v>1.723</v>
      </c>
      <c r="I16" s="44">
        <f aca="true" t="shared" si="3" ref="I16:I21">C16/H16*10000</f>
        <v>43122.460824143935</v>
      </c>
      <c r="J16" s="46"/>
      <c r="O16" s="54"/>
      <c r="Q16" s="2"/>
    </row>
    <row r="17" spans="1:17" s="3" customFormat="1" ht="24.75" customHeight="1">
      <c r="A17" s="10">
        <v>3</v>
      </c>
      <c r="B17" s="16" t="s">
        <v>48</v>
      </c>
      <c r="C17" s="17">
        <v>104.35</v>
      </c>
      <c r="D17" s="18"/>
      <c r="E17" s="18"/>
      <c r="F17" s="12">
        <f t="shared" si="2"/>
        <v>104.35</v>
      </c>
      <c r="G17" s="9" t="s">
        <v>47</v>
      </c>
      <c r="H17" s="13">
        <f>H14</f>
        <v>1.723</v>
      </c>
      <c r="I17" s="44">
        <f t="shared" si="3"/>
        <v>605629.715612304</v>
      </c>
      <c r="J17" s="46"/>
      <c r="O17" s="54"/>
      <c r="Q17" s="2"/>
    </row>
    <row r="18" spans="1:17" s="3" customFormat="1" ht="24.75" customHeight="1">
      <c r="A18" s="10">
        <v>4</v>
      </c>
      <c r="B18" s="16" t="s">
        <v>49</v>
      </c>
      <c r="C18" s="17">
        <v>15.27</v>
      </c>
      <c r="D18" s="18"/>
      <c r="E18" s="18"/>
      <c r="F18" s="12">
        <f t="shared" si="2"/>
        <v>15.27</v>
      </c>
      <c r="G18" s="9" t="s">
        <v>47</v>
      </c>
      <c r="H18" s="13">
        <f>H14</f>
        <v>1.723</v>
      </c>
      <c r="I18" s="44">
        <f t="shared" si="3"/>
        <v>88624.49216482877</v>
      </c>
      <c r="J18" s="46"/>
      <c r="O18" s="54"/>
      <c r="Q18" s="2"/>
    </row>
    <row r="19" spans="1:17" s="3" customFormat="1" ht="24.75" customHeight="1">
      <c r="A19" s="10">
        <v>5</v>
      </c>
      <c r="B19" s="16" t="s">
        <v>50</v>
      </c>
      <c r="C19" s="17">
        <v>4.97</v>
      </c>
      <c r="D19" s="18"/>
      <c r="E19" s="18"/>
      <c r="F19" s="12">
        <f t="shared" si="2"/>
        <v>4.97</v>
      </c>
      <c r="G19" s="19" t="s">
        <v>51</v>
      </c>
      <c r="H19" s="20">
        <v>4</v>
      </c>
      <c r="I19" s="44">
        <f t="shared" si="3"/>
        <v>12425</v>
      </c>
      <c r="J19" s="46"/>
      <c r="O19" s="54"/>
      <c r="Q19" s="2"/>
    </row>
    <row r="20" spans="1:17" s="3" customFormat="1" ht="27.75" customHeight="1">
      <c r="A20" s="10">
        <v>6</v>
      </c>
      <c r="B20" s="16" t="s">
        <v>52</v>
      </c>
      <c r="C20" s="17">
        <v>2.66</v>
      </c>
      <c r="D20" s="18"/>
      <c r="E20" s="18"/>
      <c r="F20" s="12">
        <f t="shared" si="2"/>
        <v>2.66</v>
      </c>
      <c r="G20" s="9" t="s">
        <v>42</v>
      </c>
      <c r="H20" s="13">
        <f>H14</f>
        <v>1.723</v>
      </c>
      <c r="I20" s="44">
        <f t="shared" si="3"/>
        <v>15438.189204875216</v>
      </c>
      <c r="J20" s="46"/>
      <c r="O20" s="54"/>
      <c r="Q20" s="2"/>
    </row>
    <row r="21" spans="1:17" s="3" customFormat="1" ht="24.75" customHeight="1">
      <c r="A21" s="10">
        <v>7</v>
      </c>
      <c r="B21" s="16" t="s">
        <v>53</v>
      </c>
      <c r="C21" s="17">
        <v>4.89</v>
      </c>
      <c r="D21" s="18"/>
      <c r="E21" s="18"/>
      <c r="F21" s="12">
        <f t="shared" si="2"/>
        <v>4.89</v>
      </c>
      <c r="G21" s="9"/>
      <c r="H21" s="21"/>
      <c r="I21" s="44"/>
      <c r="J21" s="46"/>
      <c r="O21" s="54"/>
      <c r="Q21" s="2"/>
    </row>
    <row r="22" spans="1:17" s="3" customFormat="1" ht="27.75" customHeight="1">
      <c r="A22" s="10" t="s">
        <v>56</v>
      </c>
      <c r="B22" s="24" t="s">
        <v>57</v>
      </c>
      <c r="C22" s="25">
        <f>SUM(C23:C29)</f>
        <v>181.75000000000003</v>
      </c>
      <c r="D22" s="18"/>
      <c r="E22" s="18"/>
      <c r="F22" s="12">
        <f t="shared" si="2"/>
        <v>181.75000000000003</v>
      </c>
      <c r="G22" s="9" t="s">
        <v>42</v>
      </c>
      <c r="H22" s="21">
        <v>2.209</v>
      </c>
      <c r="I22" s="44">
        <f>C22/H22*10000</f>
        <v>822770.4843820734</v>
      </c>
      <c r="J22" s="46"/>
      <c r="O22" s="55"/>
      <c r="Q22" s="2"/>
    </row>
    <row r="23" spans="1:17" s="3" customFormat="1" ht="27.75" customHeight="1">
      <c r="A23" s="10">
        <v>1</v>
      </c>
      <c r="B23" s="14" t="s">
        <v>45</v>
      </c>
      <c r="C23" s="15">
        <v>2.21</v>
      </c>
      <c r="D23" s="18"/>
      <c r="E23" s="18"/>
      <c r="F23" s="12">
        <f t="shared" si="2"/>
        <v>2.21</v>
      </c>
      <c r="G23" s="9" t="s">
        <v>42</v>
      </c>
      <c r="H23" s="21">
        <f>H22</f>
        <v>2.209</v>
      </c>
      <c r="I23" s="44">
        <f>C23/H23*10000</f>
        <v>10004.526935264827</v>
      </c>
      <c r="J23" s="46"/>
      <c r="O23" s="53"/>
      <c r="Q23" s="2"/>
    </row>
    <row r="24" spans="1:17" s="3" customFormat="1" ht="24.75" customHeight="1">
      <c r="A24" s="10">
        <v>2</v>
      </c>
      <c r="B24" s="16" t="s">
        <v>46</v>
      </c>
      <c r="C24" s="17">
        <v>10.23</v>
      </c>
      <c r="D24" s="18"/>
      <c r="E24" s="18"/>
      <c r="F24" s="12">
        <f aca="true" t="shared" si="4" ref="F24:F31">C24+D24</f>
        <v>10.23</v>
      </c>
      <c r="G24" s="9" t="s">
        <v>47</v>
      </c>
      <c r="H24" s="13">
        <f>H22</f>
        <v>2.209</v>
      </c>
      <c r="I24" s="44">
        <f aca="true" t="shared" si="5" ref="I24:I29">C24/H24*10000</f>
        <v>46310.54775916704</v>
      </c>
      <c r="J24" s="46"/>
      <c r="O24" s="56"/>
      <c r="Q24" s="2"/>
    </row>
    <row r="25" spans="1:17" s="3" customFormat="1" ht="24.75" customHeight="1">
      <c r="A25" s="10">
        <v>3</v>
      </c>
      <c r="B25" s="16" t="s">
        <v>48</v>
      </c>
      <c r="C25" s="17">
        <f>162.05-27.98</f>
        <v>134.07000000000002</v>
      </c>
      <c r="D25" s="18"/>
      <c r="E25" s="18"/>
      <c r="F25" s="12">
        <f t="shared" si="4"/>
        <v>134.07000000000002</v>
      </c>
      <c r="G25" s="9" t="s">
        <v>47</v>
      </c>
      <c r="H25" s="13">
        <f>H22</f>
        <v>2.209</v>
      </c>
      <c r="I25" s="44">
        <f t="shared" si="5"/>
        <v>606926.2109551834</v>
      </c>
      <c r="J25" s="46"/>
      <c r="O25" s="49"/>
      <c r="Q25" s="2"/>
    </row>
    <row r="26" spans="1:17" s="3" customFormat="1" ht="24.75" customHeight="1">
      <c r="A26" s="10">
        <v>4</v>
      </c>
      <c r="B26" s="16" t="s">
        <v>49</v>
      </c>
      <c r="C26" s="17">
        <v>20.29</v>
      </c>
      <c r="D26" s="18"/>
      <c r="E26" s="18"/>
      <c r="F26" s="12">
        <f t="shared" si="4"/>
        <v>20.29</v>
      </c>
      <c r="G26" s="9" t="s">
        <v>47</v>
      </c>
      <c r="H26" s="13">
        <f>H22</f>
        <v>2.209</v>
      </c>
      <c r="I26" s="44">
        <f t="shared" si="5"/>
        <v>91851.51652331371</v>
      </c>
      <c r="J26" s="46"/>
      <c r="O26" s="57"/>
      <c r="Q26" s="2"/>
    </row>
    <row r="27" spans="1:17" s="3" customFormat="1" ht="24.75" customHeight="1">
      <c r="A27" s="10">
        <v>5</v>
      </c>
      <c r="B27" s="16" t="s">
        <v>50</v>
      </c>
      <c r="C27" s="17">
        <v>4.27</v>
      </c>
      <c r="D27" s="18"/>
      <c r="E27" s="18"/>
      <c r="F27" s="12">
        <f t="shared" si="4"/>
        <v>4.27</v>
      </c>
      <c r="G27" s="19" t="s">
        <v>51</v>
      </c>
      <c r="H27" s="20">
        <v>4</v>
      </c>
      <c r="I27" s="44">
        <f t="shared" si="5"/>
        <v>10674.999999999998</v>
      </c>
      <c r="J27" s="46"/>
      <c r="O27" s="58"/>
      <c r="Q27" s="2"/>
    </row>
    <row r="28" spans="1:17" s="3" customFormat="1" ht="27.75" customHeight="1">
      <c r="A28" s="10">
        <v>6</v>
      </c>
      <c r="B28" s="16" t="s">
        <v>52</v>
      </c>
      <c r="C28" s="17">
        <v>3.99</v>
      </c>
      <c r="D28" s="18"/>
      <c r="E28" s="18"/>
      <c r="F28" s="12">
        <f t="shared" si="4"/>
        <v>3.99</v>
      </c>
      <c r="G28" s="9" t="s">
        <v>42</v>
      </c>
      <c r="H28" s="13">
        <f>H22</f>
        <v>2.209</v>
      </c>
      <c r="I28" s="44">
        <f t="shared" si="5"/>
        <v>18062.471706654596</v>
      </c>
      <c r="J28" s="46"/>
      <c r="O28" s="50"/>
      <c r="Q28" s="2"/>
    </row>
    <row r="29" spans="1:17" s="3" customFormat="1" ht="24.75" customHeight="1">
      <c r="A29" s="10">
        <v>7</v>
      </c>
      <c r="B29" s="16" t="s">
        <v>53</v>
      </c>
      <c r="C29" s="17">
        <v>6.69</v>
      </c>
      <c r="D29" s="18"/>
      <c r="E29" s="18"/>
      <c r="F29" s="12">
        <f t="shared" si="4"/>
        <v>6.69</v>
      </c>
      <c r="G29" s="9"/>
      <c r="H29" s="21"/>
      <c r="I29" s="44"/>
      <c r="J29" s="46"/>
      <c r="O29" s="50"/>
      <c r="Q29" s="2"/>
    </row>
    <row r="30" spans="1:17" s="3" customFormat="1" ht="34.5" customHeight="1">
      <c r="A30" s="10" t="s">
        <v>58</v>
      </c>
      <c r="B30" s="24" t="s">
        <v>59</v>
      </c>
      <c r="C30" s="25">
        <f>SUM(C31:C37)</f>
        <v>182.9</v>
      </c>
      <c r="D30" s="18"/>
      <c r="E30" s="18"/>
      <c r="F30" s="12">
        <f t="shared" si="4"/>
        <v>182.9</v>
      </c>
      <c r="G30" s="9" t="s">
        <v>42</v>
      </c>
      <c r="H30" s="21">
        <v>2.048</v>
      </c>
      <c r="I30" s="44">
        <f>C30/H30*10000</f>
        <v>893066.40625</v>
      </c>
      <c r="J30" s="46"/>
      <c r="O30" s="52"/>
      <c r="Q30" s="2"/>
    </row>
    <row r="31" spans="1:17" s="3" customFormat="1" ht="27.75" customHeight="1">
      <c r="A31" s="10">
        <v>1</v>
      </c>
      <c r="B31" s="14" t="s">
        <v>45</v>
      </c>
      <c r="C31" s="15">
        <v>1.83</v>
      </c>
      <c r="D31" s="18"/>
      <c r="E31" s="18"/>
      <c r="F31" s="12">
        <f t="shared" si="4"/>
        <v>1.83</v>
      </c>
      <c r="G31" s="9" t="s">
        <v>42</v>
      </c>
      <c r="H31" s="21">
        <f>H30</f>
        <v>2.048</v>
      </c>
      <c r="I31" s="44">
        <f>C31/H31*10000</f>
        <v>8935.546875</v>
      </c>
      <c r="J31" s="46"/>
      <c r="O31" s="55"/>
      <c r="Q31" s="2"/>
    </row>
    <row r="32" spans="1:17" s="3" customFormat="1" ht="24.75" customHeight="1">
      <c r="A32" s="10">
        <v>2</v>
      </c>
      <c r="B32" s="16" t="s">
        <v>46</v>
      </c>
      <c r="C32" s="17">
        <v>5.29</v>
      </c>
      <c r="D32" s="18"/>
      <c r="E32" s="18"/>
      <c r="F32" s="12">
        <f aca="true" t="shared" si="6" ref="F32:F39">C32+D32</f>
        <v>5.29</v>
      </c>
      <c r="G32" s="9" t="s">
        <v>47</v>
      </c>
      <c r="H32" s="13">
        <f>H30</f>
        <v>2.048</v>
      </c>
      <c r="I32" s="44">
        <f aca="true" t="shared" si="7" ref="I32:I37">C32/H32*10000</f>
        <v>25830.078125</v>
      </c>
      <c r="J32" s="46"/>
      <c r="O32" s="58"/>
      <c r="Q32" s="2"/>
    </row>
    <row r="33" spans="1:17" s="3" customFormat="1" ht="24.75" customHeight="1">
      <c r="A33" s="10">
        <v>3</v>
      </c>
      <c r="B33" s="16" t="s">
        <v>48</v>
      </c>
      <c r="C33" s="17">
        <v>132.69</v>
      </c>
      <c r="D33" s="18"/>
      <c r="E33" s="18"/>
      <c r="F33" s="12">
        <f t="shared" si="6"/>
        <v>132.69</v>
      </c>
      <c r="G33" s="9" t="s">
        <v>47</v>
      </c>
      <c r="H33" s="13">
        <f>H30</f>
        <v>2.048</v>
      </c>
      <c r="I33" s="44">
        <f t="shared" si="7"/>
        <v>647900.390625</v>
      </c>
      <c r="J33" s="46"/>
      <c r="O33" s="54"/>
      <c r="Q33" s="2"/>
    </row>
    <row r="34" spans="1:17" s="3" customFormat="1" ht="24.75" customHeight="1">
      <c r="A34" s="10">
        <v>4</v>
      </c>
      <c r="B34" s="16" t="s">
        <v>49</v>
      </c>
      <c r="C34" s="17">
        <v>28.89</v>
      </c>
      <c r="D34" s="18"/>
      <c r="E34" s="18"/>
      <c r="F34" s="12">
        <f t="shared" si="6"/>
        <v>28.89</v>
      </c>
      <c r="G34" s="9" t="s">
        <v>47</v>
      </c>
      <c r="H34" s="13">
        <f>H30</f>
        <v>2.048</v>
      </c>
      <c r="I34" s="44">
        <f t="shared" si="7"/>
        <v>141064.453125</v>
      </c>
      <c r="J34" s="46"/>
      <c r="O34" s="54"/>
      <c r="Q34" s="2"/>
    </row>
    <row r="35" spans="1:17" s="3" customFormat="1" ht="24.75" customHeight="1">
      <c r="A35" s="10">
        <v>5</v>
      </c>
      <c r="B35" s="16" t="s">
        <v>50</v>
      </c>
      <c r="C35" s="17">
        <v>1.19</v>
      </c>
      <c r="D35" s="18"/>
      <c r="E35" s="18"/>
      <c r="F35" s="12">
        <f t="shared" si="6"/>
        <v>1.19</v>
      </c>
      <c r="G35" s="19" t="s">
        <v>51</v>
      </c>
      <c r="H35" s="20">
        <v>9</v>
      </c>
      <c r="I35" s="44">
        <f t="shared" si="7"/>
        <v>1322.2222222222222</v>
      </c>
      <c r="J35" s="46"/>
      <c r="O35" s="54"/>
      <c r="Q35" s="2"/>
    </row>
    <row r="36" spans="1:17" s="3" customFormat="1" ht="27.75" customHeight="1">
      <c r="A36" s="10">
        <v>6</v>
      </c>
      <c r="B36" s="16" t="s">
        <v>52</v>
      </c>
      <c r="C36" s="17">
        <v>6.8</v>
      </c>
      <c r="D36" s="18"/>
      <c r="E36" s="18"/>
      <c r="F36" s="12">
        <f t="shared" si="6"/>
        <v>6.8</v>
      </c>
      <c r="G36" s="9" t="s">
        <v>42</v>
      </c>
      <c r="H36" s="13">
        <f>H30</f>
        <v>2.048</v>
      </c>
      <c r="I36" s="44">
        <f t="shared" si="7"/>
        <v>33203.125</v>
      </c>
      <c r="J36" s="46"/>
      <c r="O36" s="54"/>
      <c r="Q36" s="2"/>
    </row>
    <row r="37" spans="1:17" s="3" customFormat="1" ht="24.75" customHeight="1">
      <c r="A37" s="10">
        <v>7</v>
      </c>
      <c r="B37" s="16" t="s">
        <v>53</v>
      </c>
      <c r="C37" s="17">
        <v>6.21</v>
      </c>
      <c r="D37" s="18"/>
      <c r="E37" s="18"/>
      <c r="F37" s="12">
        <f t="shared" si="6"/>
        <v>6.21</v>
      </c>
      <c r="G37" s="9"/>
      <c r="H37" s="21"/>
      <c r="I37" s="44"/>
      <c r="J37" s="46"/>
      <c r="O37" s="54"/>
      <c r="Q37" s="2"/>
    </row>
    <row r="38" spans="1:10" s="3" customFormat="1" ht="33.75" customHeight="1">
      <c r="A38" s="26" t="s">
        <v>13</v>
      </c>
      <c r="B38" s="22" t="s">
        <v>60</v>
      </c>
      <c r="C38" s="27"/>
      <c r="D38" s="18"/>
      <c r="E38" s="18"/>
      <c r="F38" s="12"/>
      <c r="G38" s="9"/>
      <c r="H38" s="28"/>
      <c r="I38" s="44"/>
      <c r="J38" s="18"/>
    </row>
    <row r="39" spans="1:10" s="3" customFormat="1" ht="30.75" customHeight="1">
      <c r="A39" s="10" t="s">
        <v>28</v>
      </c>
      <c r="B39" s="11" t="s">
        <v>61</v>
      </c>
      <c r="C39" s="12"/>
      <c r="D39" s="12"/>
      <c r="E39" s="12">
        <f>E40+E45+E47+E46</f>
        <v>55.3935764</v>
      </c>
      <c r="F39" s="12">
        <f aca="true" t="shared" si="8" ref="F39:F48">E39</f>
        <v>55.3935764</v>
      </c>
      <c r="G39" s="9" t="s">
        <v>42</v>
      </c>
      <c r="H39" s="10">
        <f>H5</f>
        <v>7.635</v>
      </c>
      <c r="I39" s="59">
        <f>F39/H39*10000</f>
        <v>72552.16293385724</v>
      </c>
      <c r="J39" s="12">
        <f>F39/F50*100</f>
        <v>7.676767290306265</v>
      </c>
    </row>
    <row r="40" spans="1:10" s="3" customFormat="1" ht="24.75" customHeight="1">
      <c r="A40" s="10">
        <v>1</v>
      </c>
      <c r="B40" s="29" t="s">
        <v>62</v>
      </c>
      <c r="C40" s="12"/>
      <c r="D40" s="12"/>
      <c r="E40" s="30">
        <f>E41+E42+E43+E44</f>
        <v>35.2030704</v>
      </c>
      <c r="F40" s="12">
        <f t="shared" si="8"/>
        <v>35.2030704</v>
      </c>
      <c r="G40" s="10"/>
      <c r="H40" s="31"/>
      <c r="I40" s="60"/>
      <c r="J40" s="61"/>
    </row>
    <row r="41" spans="1:10" s="3" customFormat="1" ht="24.75" customHeight="1">
      <c r="A41" s="10">
        <v>1.1</v>
      </c>
      <c r="B41" s="32" t="s">
        <v>63</v>
      </c>
      <c r="C41" s="12"/>
      <c r="D41" s="12"/>
      <c r="E41" s="30">
        <f>H41*I41</f>
        <v>15.795499999999999</v>
      </c>
      <c r="F41" s="12">
        <f t="shared" si="8"/>
        <v>15.795499999999999</v>
      </c>
      <c r="G41" s="10" t="s">
        <v>64</v>
      </c>
      <c r="H41" s="31">
        <f>F5</f>
        <v>631.8199999999999</v>
      </c>
      <c r="I41" s="60">
        <v>0.025</v>
      </c>
      <c r="J41" s="61"/>
    </row>
    <row r="42" spans="1:10" s="3" customFormat="1" ht="24.75" customHeight="1">
      <c r="A42" s="10">
        <v>1.2</v>
      </c>
      <c r="B42" s="32" t="s">
        <v>65</v>
      </c>
      <c r="C42" s="12"/>
      <c r="D42" s="12"/>
      <c r="E42" s="30">
        <f>(15+(H42-500)*2.4/100)*0.8</f>
        <v>14.530944</v>
      </c>
      <c r="F42" s="12">
        <f t="shared" si="8"/>
        <v>14.530944</v>
      </c>
      <c r="G42" s="10" t="s">
        <v>64</v>
      </c>
      <c r="H42" s="31">
        <f>H41</f>
        <v>631.8199999999999</v>
      </c>
      <c r="I42" s="60">
        <f>F42/H42</f>
        <v>0.02299855021999937</v>
      </c>
      <c r="J42" s="61"/>
    </row>
    <row r="43" spans="1:10" s="3" customFormat="1" ht="30.75" customHeight="1">
      <c r="A43" s="10">
        <v>1.3</v>
      </c>
      <c r="B43" s="32" t="s">
        <v>66</v>
      </c>
      <c r="C43" s="12"/>
      <c r="D43" s="12"/>
      <c r="E43" s="30">
        <f>H43*I43/10000</f>
        <v>4.390125</v>
      </c>
      <c r="F43" s="12">
        <f t="shared" si="8"/>
        <v>4.390125</v>
      </c>
      <c r="G43" s="9" t="s">
        <v>42</v>
      </c>
      <c r="H43" s="33">
        <f>H5</f>
        <v>7.635</v>
      </c>
      <c r="I43" s="62">
        <v>5750</v>
      </c>
      <c r="J43" s="61"/>
    </row>
    <row r="44" spans="1:10" s="3" customFormat="1" ht="24.75" customHeight="1">
      <c r="A44" s="10">
        <v>1.4</v>
      </c>
      <c r="B44" s="11" t="s">
        <v>67</v>
      </c>
      <c r="C44" s="12"/>
      <c r="D44" s="12"/>
      <c r="E44" s="30">
        <f>H44*I44</f>
        <v>0.4865013999999999</v>
      </c>
      <c r="F44" s="12">
        <f t="shared" si="8"/>
        <v>0.4865013999999999</v>
      </c>
      <c r="G44" s="10" t="s">
        <v>64</v>
      </c>
      <c r="H44" s="31">
        <f>H41</f>
        <v>631.8199999999999</v>
      </c>
      <c r="I44" s="63">
        <v>0.00077</v>
      </c>
      <c r="J44" s="61"/>
    </row>
    <row r="45" spans="1:10" s="3" customFormat="1" ht="24.75" customHeight="1">
      <c r="A45" s="10">
        <v>2</v>
      </c>
      <c r="B45" s="32" t="s">
        <v>68</v>
      </c>
      <c r="C45" s="12"/>
      <c r="D45" s="12"/>
      <c r="E45" s="30">
        <f>(15+(H45-500)*2.7/100)*0.9</f>
        <v>16.703226</v>
      </c>
      <c r="F45" s="12">
        <f t="shared" si="8"/>
        <v>16.703226</v>
      </c>
      <c r="G45" s="10" t="s">
        <v>64</v>
      </c>
      <c r="H45" s="31">
        <f>F5</f>
        <v>631.8199999999999</v>
      </c>
      <c r="I45" s="60">
        <f>F45/H45</f>
        <v>0.026436684498749648</v>
      </c>
      <c r="J45" s="61"/>
    </row>
    <row r="46" spans="1:10" s="3" customFormat="1" ht="24.75" customHeight="1">
      <c r="A46" s="10">
        <v>3</v>
      </c>
      <c r="B46" s="34" t="s">
        <v>69</v>
      </c>
      <c r="C46" s="12"/>
      <c r="D46" s="12"/>
      <c r="E46" s="30">
        <v>0.96</v>
      </c>
      <c r="F46" s="12">
        <f t="shared" si="8"/>
        <v>0.96</v>
      </c>
      <c r="G46" s="10" t="str">
        <f>G45</f>
        <v>万元</v>
      </c>
      <c r="H46" s="31">
        <f>H41</f>
        <v>631.8199999999999</v>
      </c>
      <c r="I46" s="60">
        <f>F46/H46</f>
        <v>0.0015194200879997469</v>
      </c>
      <c r="J46" s="61"/>
    </row>
    <row r="47" spans="1:10" s="3" customFormat="1" ht="24.75" customHeight="1">
      <c r="A47" s="10">
        <v>4</v>
      </c>
      <c r="B47" s="11" t="s">
        <v>70</v>
      </c>
      <c r="C47" s="12"/>
      <c r="D47" s="12"/>
      <c r="E47" s="30">
        <f>H47*I47</f>
        <v>2.5272799999999997</v>
      </c>
      <c r="F47" s="12">
        <f t="shared" si="8"/>
        <v>2.5272799999999997</v>
      </c>
      <c r="G47" s="10" t="s">
        <v>64</v>
      </c>
      <c r="H47" s="31">
        <f>H45</f>
        <v>631.8199999999999</v>
      </c>
      <c r="I47" s="60">
        <v>0.004</v>
      </c>
      <c r="J47" s="61"/>
    </row>
    <row r="48" spans="1:10" s="3" customFormat="1" ht="24.75" customHeight="1">
      <c r="A48" s="10" t="s">
        <v>30</v>
      </c>
      <c r="B48" s="35" t="s">
        <v>71</v>
      </c>
      <c r="C48" s="12"/>
      <c r="D48" s="12"/>
      <c r="E48" s="30">
        <f>H48*I48</f>
        <v>34.36067882</v>
      </c>
      <c r="F48" s="12">
        <f t="shared" si="8"/>
        <v>34.36067882</v>
      </c>
      <c r="G48" s="10" t="s">
        <v>64</v>
      </c>
      <c r="H48" s="31">
        <f>H41+F39+F38</f>
        <v>687.2135764</v>
      </c>
      <c r="I48" s="60">
        <v>0.05</v>
      </c>
      <c r="J48" s="12">
        <f>F48/F50*100</f>
        <v>4.761904761904762</v>
      </c>
    </row>
    <row r="49" spans="1:10" s="3" customFormat="1" ht="24.75" customHeight="1">
      <c r="A49" s="36"/>
      <c r="B49" s="37"/>
      <c r="C49" s="12"/>
      <c r="D49" s="12"/>
      <c r="E49" s="30"/>
      <c r="F49" s="12"/>
      <c r="G49" s="10"/>
      <c r="H49" s="31"/>
      <c r="I49" s="60"/>
      <c r="J49" s="12"/>
    </row>
    <row r="50" spans="1:10" s="3" customFormat="1" ht="25.5" customHeight="1">
      <c r="A50" s="38" t="s">
        <v>32</v>
      </c>
      <c r="B50" s="39"/>
      <c r="C50" s="12">
        <f>C5</f>
        <v>631.8199999999999</v>
      </c>
      <c r="D50" s="12"/>
      <c r="E50" s="12">
        <f>E38+E39+E48</f>
        <v>89.75425522</v>
      </c>
      <c r="F50" s="12">
        <f>F5+F38+F39+F48</f>
        <v>721.5742552199999</v>
      </c>
      <c r="G50" s="9" t="s">
        <v>42</v>
      </c>
      <c r="H50" s="10">
        <f>H5</f>
        <v>7.635</v>
      </c>
      <c r="I50" s="30">
        <f>F50/H50</f>
        <v>94.50874331630648</v>
      </c>
      <c r="J50" s="12">
        <f>J5+J39+J48+J38</f>
        <v>99.99999999999999</v>
      </c>
    </row>
    <row r="51" spans="1:10" s="3" customFormat="1" ht="24.7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3" customFormat="1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27.75" customHeight="1"/>
    <row r="54" spans="1:10" ht="27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27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ht="27.75" customHeight="1"/>
    <row r="57" ht="27.75" customHeight="1"/>
  </sheetData>
  <sheetProtection/>
  <mergeCells count="9">
    <mergeCell ref="A1:J1"/>
    <mergeCell ref="A2:H2"/>
    <mergeCell ref="I2:J2"/>
    <mergeCell ref="C3:F3"/>
    <mergeCell ref="G3:I3"/>
    <mergeCell ref="A50:B50"/>
    <mergeCell ref="A3:A4"/>
    <mergeCell ref="B3:B4"/>
    <mergeCell ref="J3:J4"/>
  </mergeCells>
  <printOptions/>
  <pageMargins left="0.23999999999999996" right="0.23999999999999996" top="0.75" bottom="0.5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2022-09-05T09:34:17Z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47EC1F15828746A7AEFF02682C77F6BD</vt:lpwstr>
  </property>
</Properties>
</file>