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<sst xmlns="http://schemas.openxmlformats.org/spreadsheetml/2006/main" count="102" uniqueCount="68">
  <si>
    <t>平罗县城关镇体育公园建设项目概算表</t>
  </si>
  <si>
    <t>序号</t>
  </si>
  <si>
    <t>工程或费用名称</t>
  </si>
  <si>
    <t>概算价值（万元）</t>
  </si>
  <si>
    <t>技术经济指标（元）</t>
  </si>
  <si>
    <t>占投资额(%)</t>
  </si>
  <si>
    <t>建筑工程</t>
  </si>
  <si>
    <t>设备购置</t>
  </si>
  <si>
    <t>安装工程</t>
  </si>
  <si>
    <t>其他费用</t>
  </si>
  <si>
    <t>合计</t>
  </si>
  <si>
    <t>单位</t>
  </si>
  <si>
    <t>数量</t>
  </si>
  <si>
    <t>单位价值</t>
  </si>
  <si>
    <r>
      <rPr>
        <b/>
        <sz val="12"/>
        <color theme="1"/>
        <rFont val="宋体"/>
        <charset val="134"/>
      </rPr>
      <t>一</t>
    </r>
  </si>
  <si>
    <r>
      <rPr>
        <b/>
        <sz val="12"/>
        <color theme="1"/>
        <rFont val="宋体"/>
        <charset val="134"/>
      </rPr>
      <t>工程费用</t>
    </r>
  </si>
  <si>
    <r>
      <rPr>
        <b/>
        <sz val="12"/>
        <color theme="1"/>
        <rFont val="宋体"/>
        <charset val="134"/>
      </rPr>
      <t>（一）</t>
    </r>
  </si>
  <si>
    <r>
      <rPr>
        <b/>
        <sz val="12"/>
        <color rgb="FF000000"/>
        <rFont val="宋体"/>
        <charset val="134"/>
      </rPr>
      <t>七人制足球场</t>
    </r>
  </si>
  <si>
    <r>
      <rPr>
        <sz val="12"/>
        <color rgb="FF000000"/>
        <rFont val="宋体"/>
        <charset val="134"/>
      </rPr>
      <t>人造草坪</t>
    </r>
  </si>
  <si>
    <r>
      <rPr>
        <sz val="12"/>
        <color rgb="FF000000"/>
        <rFont val="宋体"/>
        <charset val="134"/>
      </rPr>
      <t>㎡</t>
    </r>
  </si>
  <si>
    <r>
      <rPr>
        <sz val="12"/>
        <color rgb="FF000000"/>
        <rFont val="宋体"/>
        <charset val="134"/>
      </rPr>
      <t>安全围网</t>
    </r>
  </si>
  <si>
    <r>
      <rPr>
        <sz val="12"/>
        <color rgb="FF000000"/>
        <rFont val="宋体"/>
        <charset val="134"/>
      </rPr>
      <t>排水边沟</t>
    </r>
  </si>
  <si>
    <r>
      <rPr>
        <sz val="12"/>
        <color rgb="FF000000"/>
        <rFont val="宋体"/>
        <charset val="134"/>
      </rPr>
      <t>m</t>
    </r>
  </si>
  <si>
    <t>雨水管网</t>
  </si>
  <si>
    <t>混凝土道牙</t>
  </si>
  <si>
    <r>
      <rPr>
        <sz val="12"/>
        <color rgb="FF000000"/>
        <rFont val="宋体"/>
        <charset val="134"/>
      </rPr>
      <t>球场灯</t>
    </r>
  </si>
  <si>
    <r>
      <rPr>
        <sz val="12"/>
        <color rgb="FF000000"/>
        <rFont val="宋体"/>
        <charset val="134"/>
      </rPr>
      <t>盏</t>
    </r>
  </si>
  <si>
    <r>
      <rPr>
        <sz val="12"/>
        <color rgb="FF000000"/>
        <rFont val="宋体"/>
        <charset val="134"/>
      </rPr>
      <t>足球架</t>
    </r>
  </si>
  <si>
    <r>
      <rPr>
        <sz val="12"/>
        <color rgb="FF000000"/>
        <rFont val="宋体"/>
        <charset val="134"/>
      </rPr>
      <t>副</t>
    </r>
  </si>
  <si>
    <r>
      <rPr>
        <sz val="12"/>
        <color rgb="FF000000"/>
        <rFont val="宋体"/>
        <charset val="134"/>
      </rPr>
      <t>出入口面包砖</t>
    </r>
  </si>
  <si>
    <r>
      <rPr>
        <sz val="12"/>
        <color rgb="FF000000"/>
        <rFont val="宋体"/>
        <charset val="134"/>
      </rPr>
      <t>出入口道牙</t>
    </r>
  </si>
  <si>
    <r>
      <rPr>
        <sz val="12"/>
        <color rgb="FF000000"/>
        <rFont val="宋体"/>
        <charset val="134"/>
      </rPr>
      <t>园路面包砖</t>
    </r>
  </si>
  <si>
    <r>
      <rPr>
        <sz val="12"/>
        <color rgb="FF000000"/>
        <rFont val="宋体"/>
        <charset val="134"/>
      </rPr>
      <t>园路道牙</t>
    </r>
  </si>
  <si>
    <r>
      <rPr>
        <sz val="12"/>
        <color rgb="FF000000"/>
        <rFont val="宋体"/>
        <charset val="134"/>
      </rPr>
      <t>移除乔木</t>
    </r>
  </si>
  <si>
    <r>
      <rPr>
        <sz val="12"/>
        <color rgb="FF000000"/>
        <rFont val="宋体"/>
        <charset val="134"/>
      </rPr>
      <t>株</t>
    </r>
  </si>
  <si>
    <r>
      <rPr>
        <sz val="12"/>
        <color rgb="FF000000"/>
        <rFont val="宋体"/>
        <charset val="134"/>
      </rPr>
      <t>拆除面包砖园路</t>
    </r>
  </si>
  <si>
    <r>
      <rPr>
        <sz val="12"/>
        <color rgb="FF000000"/>
        <rFont val="宋体"/>
        <charset val="134"/>
      </rPr>
      <t>移植绿篱</t>
    </r>
  </si>
  <si>
    <r>
      <rPr>
        <sz val="12"/>
        <color rgb="FF000000"/>
        <rFont val="宋体"/>
        <charset val="134"/>
      </rPr>
      <t>拆除原有路灯</t>
    </r>
  </si>
  <si>
    <t xml:space="preserve"> </t>
  </si>
  <si>
    <t>平整场地</t>
  </si>
  <si>
    <t>㎡</t>
  </si>
  <si>
    <t>挖方</t>
  </si>
  <si>
    <t>m³</t>
  </si>
  <si>
    <t>填方</t>
  </si>
  <si>
    <r>
      <rPr>
        <b/>
        <sz val="12"/>
        <color theme="1"/>
        <rFont val="宋体"/>
        <charset val="134"/>
      </rPr>
      <t>（二）</t>
    </r>
  </si>
  <si>
    <r>
      <rPr>
        <b/>
        <sz val="12"/>
        <color rgb="FF000000"/>
        <rFont val="宋体"/>
        <charset val="134"/>
      </rPr>
      <t>笼式球场</t>
    </r>
  </si>
  <si>
    <r>
      <rPr>
        <sz val="12"/>
        <color rgb="FF000000"/>
        <rFont val="宋体"/>
        <charset val="134"/>
      </rPr>
      <t>硅PU</t>
    </r>
  </si>
  <si>
    <r>
      <rPr>
        <sz val="12"/>
        <color rgb="FF000000"/>
        <rFont val="宋体"/>
        <charset val="134"/>
      </rPr>
      <t>标线</t>
    </r>
  </si>
  <si>
    <r>
      <rPr>
        <sz val="12"/>
        <color rgb="FF000000"/>
        <rFont val="宋体"/>
        <charset val="134"/>
      </rPr>
      <t>混凝土道牙</t>
    </r>
  </si>
  <si>
    <r>
      <rPr>
        <sz val="12"/>
        <color rgb="FF000000"/>
        <rFont val="宋体"/>
        <charset val="134"/>
      </rPr>
      <t>篮球架</t>
    </r>
  </si>
  <si>
    <t>拆除汀步</t>
  </si>
  <si>
    <t>铺设面包砖园路</t>
  </si>
  <si>
    <t>台阶</t>
  </si>
  <si>
    <r>
      <rPr>
        <sz val="12"/>
        <color rgb="FF000000"/>
        <rFont val="宋体"/>
        <charset val="134"/>
      </rPr>
      <t>拆除停车场硬化</t>
    </r>
  </si>
  <si>
    <r>
      <rPr>
        <b/>
        <sz val="12"/>
        <color theme="1"/>
        <rFont val="宋体"/>
        <charset val="134"/>
      </rPr>
      <t>二</t>
    </r>
  </si>
  <si>
    <r>
      <rPr>
        <b/>
        <sz val="12"/>
        <color theme="1"/>
        <rFont val="宋体"/>
        <charset val="134"/>
      </rPr>
      <t>其他费用</t>
    </r>
  </si>
  <si>
    <t>建设项目管理费</t>
  </si>
  <si>
    <t>万元</t>
  </si>
  <si>
    <t>工程设计费</t>
  </si>
  <si>
    <t>工程监理费</t>
  </si>
  <si>
    <t>清单及招标控制价编制费</t>
  </si>
  <si>
    <t>清单及招标控制价审核费</t>
  </si>
  <si>
    <t>竣工结算审核费</t>
  </si>
  <si>
    <t>招标代理服务费</t>
  </si>
  <si>
    <t>三</t>
  </si>
  <si>
    <t>预备费</t>
  </si>
  <si>
    <r>
      <rPr>
        <b/>
        <sz val="12"/>
        <color theme="1"/>
        <rFont val="宋体"/>
        <charset val="134"/>
      </rPr>
      <t>总投资</t>
    </r>
  </si>
  <si>
    <r>
      <rPr>
        <b/>
        <sz val="12"/>
        <color theme="1"/>
        <rFont val="宋体"/>
        <charset val="13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</si>
</sst>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[Red]0.00"/>
    <numFmt numFmtId="178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47"/>
  <sheetViews>
    <sheetView tabSelected="1" zoomScale="70" zoomScaleNormal="70" workbookViewId="0">
      <selection activeCell="H6" sqref="H6"/>
    </sheetView>
  </sheetViews>
  <sheetFormatPr defaultColWidth="9" defaultRowHeight="13.5"/>
  <cols>
    <col min="2" max="2" width="15.7583333333333" customWidth="1"/>
    <col min="3" max="3" width="11.5" style="2"/>
    <col min="5" max="5" width="10.0166666666667" style="2" customWidth="1"/>
    <col min="6" max="6" width="9.54166666666667" style="2" customWidth="1"/>
    <col min="7" max="7" width="15.25" style="2"/>
    <col min="9" max="9" width="9.25"/>
    <col min="10" max="10" width="11.5" style="2"/>
    <col min="11" max="11" width="8.9" style="2" customWidth="1"/>
  </cols>
  <sheetData>
    <row r="1" ht="57" customHeight="1" spans="1:11">
      <c r="A1" s="3" t="s">
        <v>0</v>
      </c>
      <c r="B1" s="3"/>
      <c r="C1" s="4"/>
      <c r="D1" s="3"/>
      <c r="E1" s="4"/>
      <c r="F1" s="4"/>
      <c r="G1" s="4"/>
      <c r="H1" s="3"/>
      <c r="I1" s="3"/>
      <c r="J1" s="4"/>
      <c r="K1" s="4"/>
    </row>
    <row r="2" ht="30" customHeight="1" spans="1:11">
      <c r="A2" s="5" t="s">
        <v>1</v>
      </c>
      <c r="B2" s="5" t="s">
        <v>2</v>
      </c>
      <c r="C2" s="6" t="s">
        <v>3</v>
      </c>
      <c r="D2" s="7"/>
      <c r="E2" s="6"/>
      <c r="F2" s="6"/>
      <c r="G2" s="6"/>
      <c r="H2" s="7" t="s">
        <v>4</v>
      </c>
      <c r="I2" s="7"/>
      <c r="J2" s="6"/>
      <c r="K2" s="31" t="s">
        <v>5</v>
      </c>
    </row>
    <row r="3" spans="1:11">
      <c r="A3" s="8"/>
      <c r="B3" s="8"/>
      <c r="C3" s="6"/>
      <c r="D3" s="7"/>
      <c r="E3" s="6"/>
      <c r="F3" s="6"/>
      <c r="G3" s="6"/>
      <c r="H3" s="7"/>
      <c r="I3" s="7"/>
      <c r="J3" s="6"/>
      <c r="K3" s="32"/>
    </row>
    <row r="4" ht="25" customHeight="1" spans="1:11">
      <c r="A4" s="9"/>
      <c r="B4" s="9"/>
      <c r="C4" s="6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7" t="s">
        <v>11</v>
      </c>
      <c r="I4" s="7" t="s">
        <v>12</v>
      </c>
      <c r="J4" s="6" t="s">
        <v>13</v>
      </c>
      <c r="K4" s="33"/>
    </row>
    <row r="5" ht="25" customHeight="1" spans="1:11">
      <c r="A5" s="10" t="s">
        <v>14</v>
      </c>
      <c r="B5" s="11" t="s">
        <v>15</v>
      </c>
      <c r="C5" s="12">
        <f>C6+C25</f>
        <v>176.091976</v>
      </c>
      <c r="D5" s="10"/>
      <c r="E5" s="12">
        <f>E6+E25</f>
        <v>13.09467</v>
      </c>
      <c r="F5" s="12"/>
      <c r="G5" s="12">
        <f>C5+E5</f>
        <v>189.186646</v>
      </c>
      <c r="H5" s="10"/>
      <c r="I5" s="10"/>
      <c r="J5" s="12"/>
      <c r="K5" s="6">
        <f>G5/G47*100</f>
        <v>92.2548373823982</v>
      </c>
    </row>
    <row r="6" ht="25" customHeight="1" spans="1:11">
      <c r="A6" s="10" t="s">
        <v>16</v>
      </c>
      <c r="B6" s="13" t="s">
        <v>17</v>
      </c>
      <c r="C6" s="12">
        <f>SUM(C7:C24)</f>
        <v>113.507744</v>
      </c>
      <c r="D6" s="10"/>
      <c r="E6" s="12">
        <f>E12+E21</f>
        <v>6.560985</v>
      </c>
      <c r="F6" s="12"/>
      <c r="G6" s="12">
        <f>C6+E6</f>
        <v>120.068729</v>
      </c>
      <c r="H6" s="14"/>
      <c r="I6" s="14"/>
      <c r="J6" s="34"/>
      <c r="K6" s="6"/>
    </row>
    <row r="7" ht="25" customHeight="1" spans="1:11">
      <c r="A7" s="15">
        <v>1</v>
      </c>
      <c r="B7" s="16" t="s">
        <v>18</v>
      </c>
      <c r="C7" s="17">
        <f>760100.65/10000</f>
        <v>76.010065</v>
      </c>
      <c r="D7" s="18"/>
      <c r="E7" s="19"/>
      <c r="F7" s="17"/>
      <c r="G7" s="17">
        <f>C7</f>
        <v>76.010065</v>
      </c>
      <c r="H7" s="20" t="s">
        <v>19</v>
      </c>
      <c r="I7" s="20">
        <v>3528</v>
      </c>
      <c r="J7" s="35">
        <f>C7/I7*10000</f>
        <v>215.448030045351</v>
      </c>
      <c r="K7" s="36"/>
    </row>
    <row r="8" ht="25" customHeight="1" spans="1:11">
      <c r="A8" s="15">
        <v>2</v>
      </c>
      <c r="B8" s="16" t="s">
        <v>20</v>
      </c>
      <c r="C8" s="17">
        <f>94238.26/10000</f>
        <v>9.423826</v>
      </c>
      <c r="D8" s="15"/>
      <c r="E8" s="19"/>
      <c r="F8" s="17"/>
      <c r="G8" s="17">
        <f>C8</f>
        <v>9.423826</v>
      </c>
      <c r="H8" s="20" t="s">
        <v>19</v>
      </c>
      <c r="I8" s="37">
        <v>992</v>
      </c>
      <c r="J8" s="35">
        <f>C8/I8*10000</f>
        <v>94.9982459677419</v>
      </c>
      <c r="K8" s="36"/>
    </row>
    <row r="9" ht="25" customHeight="1" spans="1:11">
      <c r="A9" s="15">
        <v>3</v>
      </c>
      <c r="B9" s="16" t="s">
        <v>21</v>
      </c>
      <c r="C9" s="17">
        <f>123321.68/10000</f>
        <v>12.332168</v>
      </c>
      <c r="D9" s="15"/>
      <c r="E9" s="17"/>
      <c r="F9" s="17"/>
      <c r="G9" s="17">
        <f>C9</f>
        <v>12.332168</v>
      </c>
      <c r="H9" s="20" t="s">
        <v>22</v>
      </c>
      <c r="I9" s="37">
        <v>245</v>
      </c>
      <c r="J9" s="35">
        <f>C9/I9*10000</f>
        <v>503.353795918367</v>
      </c>
      <c r="K9" s="36"/>
    </row>
    <row r="10" ht="25" customHeight="1" spans="1:11">
      <c r="A10" s="15">
        <v>4</v>
      </c>
      <c r="B10" s="16" t="s">
        <v>23</v>
      </c>
      <c r="C10" s="17">
        <f>26498.18/10000</f>
        <v>2.649818</v>
      </c>
      <c r="D10" s="15"/>
      <c r="E10" s="17"/>
      <c r="F10" s="17"/>
      <c r="G10" s="17">
        <f>C10</f>
        <v>2.649818</v>
      </c>
      <c r="H10" s="20" t="s">
        <v>22</v>
      </c>
      <c r="I10" s="37">
        <v>86</v>
      </c>
      <c r="J10" s="35">
        <f>C10/I10*10000</f>
        <v>308.118372093023</v>
      </c>
      <c r="K10" s="36"/>
    </row>
    <row r="11" ht="25" customHeight="1" spans="1:11">
      <c r="A11" s="15">
        <v>5</v>
      </c>
      <c r="B11" s="16" t="s">
        <v>24</v>
      </c>
      <c r="C11" s="17">
        <f>9208.73/10000</f>
        <v>0.920873</v>
      </c>
      <c r="D11" s="18"/>
      <c r="E11" s="19"/>
      <c r="F11" s="17"/>
      <c r="G11" s="17">
        <f>C11</f>
        <v>0.920873</v>
      </c>
      <c r="H11" s="20" t="s">
        <v>22</v>
      </c>
      <c r="I11" s="20">
        <v>245</v>
      </c>
      <c r="J11" s="35">
        <f>C11/I11*10000</f>
        <v>37.5866530612245</v>
      </c>
      <c r="K11" s="36"/>
    </row>
    <row r="12" ht="25" customHeight="1" spans="1:11">
      <c r="A12" s="15">
        <v>6</v>
      </c>
      <c r="B12" s="16" t="s">
        <v>25</v>
      </c>
      <c r="C12" s="17"/>
      <c r="D12" s="15"/>
      <c r="E12" s="19">
        <f>64789.85/10000</f>
        <v>6.478985</v>
      </c>
      <c r="F12" s="17"/>
      <c r="G12" s="17">
        <f>E12</f>
        <v>6.478985</v>
      </c>
      <c r="H12" s="20" t="s">
        <v>26</v>
      </c>
      <c r="I12" s="20">
        <v>8</v>
      </c>
      <c r="J12" s="35">
        <f>E12/I12*10000</f>
        <v>8098.73125</v>
      </c>
      <c r="K12" s="36"/>
    </row>
    <row r="13" ht="25" customHeight="1" spans="1:11">
      <c r="A13" s="15">
        <v>7</v>
      </c>
      <c r="B13" s="16" t="s">
        <v>27</v>
      </c>
      <c r="C13" s="17">
        <f>3270/10000</f>
        <v>0.327</v>
      </c>
      <c r="D13" s="15"/>
      <c r="E13" s="17"/>
      <c r="F13" s="17"/>
      <c r="G13" s="17">
        <f>C13</f>
        <v>0.327</v>
      </c>
      <c r="H13" s="20" t="s">
        <v>28</v>
      </c>
      <c r="I13" s="20">
        <v>1</v>
      </c>
      <c r="J13" s="35">
        <f>C13/I13*10000</f>
        <v>3270</v>
      </c>
      <c r="K13" s="36"/>
    </row>
    <row r="14" ht="25" customHeight="1" spans="1:11">
      <c r="A14" s="15">
        <v>8</v>
      </c>
      <c r="B14" s="16" t="s">
        <v>29</v>
      </c>
      <c r="C14" s="17">
        <f>9660.96/10000</f>
        <v>0.966096</v>
      </c>
      <c r="D14" s="15"/>
      <c r="E14" s="19"/>
      <c r="F14" s="17"/>
      <c r="G14" s="17">
        <f t="shared" ref="G14:G20" si="0">C14</f>
        <v>0.966096</v>
      </c>
      <c r="H14" s="20" t="s">
        <v>19</v>
      </c>
      <c r="I14" s="20">
        <v>57</v>
      </c>
      <c r="J14" s="35">
        <f t="shared" ref="J14:J24" si="1">C14/I14*10000</f>
        <v>169.490526315789</v>
      </c>
      <c r="K14" s="36"/>
    </row>
    <row r="15" ht="25" customHeight="1" spans="1:11">
      <c r="A15" s="15">
        <v>9</v>
      </c>
      <c r="B15" s="16" t="s">
        <v>30</v>
      </c>
      <c r="C15" s="17">
        <f>2180.02/10000</f>
        <v>0.218002</v>
      </c>
      <c r="D15" s="15"/>
      <c r="E15" s="17"/>
      <c r="F15" s="17"/>
      <c r="G15" s="17">
        <f t="shared" si="0"/>
        <v>0.218002</v>
      </c>
      <c r="H15" s="20" t="s">
        <v>22</v>
      </c>
      <c r="I15" s="20">
        <v>58</v>
      </c>
      <c r="J15" s="35">
        <f t="shared" si="1"/>
        <v>37.5865517241379</v>
      </c>
      <c r="K15" s="36"/>
    </row>
    <row r="16" ht="25" customHeight="1" spans="1:11">
      <c r="A16" s="15">
        <v>10</v>
      </c>
      <c r="B16" s="16" t="s">
        <v>31</v>
      </c>
      <c r="C16" s="17">
        <f>15762.56/10000</f>
        <v>1.576256</v>
      </c>
      <c r="D16" s="15"/>
      <c r="E16" s="17"/>
      <c r="F16" s="17"/>
      <c r="G16" s="17">
        <f t="shared" si="0"/>
        <v>1.576256</v>
      </c>
      <c r="H16" s="20" t="s">
        <v>19</v>
      </c>
      <c r="I16" s="20">
        <v>93</v>
      </c>
      <c r="J16" s="35">
        <f t="shared" si="1"/>
        <v>169.489892473118</v>
      </c>
      <c r="K16" s="36"/>
    </row>
    <row r="17" ht="25" customHeight="1" spans="1:11">
      <c r="A17" s="15">
        <v>11</v>
      </c>
      <c r="B17" s="16" t="s">
        <v>32</v>
      </c>
      <c r="C17" s="17">
        <f>4660.73/10000</f>
        <v>0.466073</v>
      </c>
      <c r="D17" s="15"/>
      <c r="E17" s="17"/>
      <c r="F17" s="17"/>
      <c r="G17" s="17">
        <f t="shared" si="0"/>
        <v>0.466073</v>
      </c>
      <c r="H17" s="20" t="s">
        <v>22</v>
      </c>
      <c r="I17" s="20">
        <v>124</v>
      </c>
      <c r="J17" s="35">
        <f t="shared" si="1"/>
        <v>37.5865322580645</v>
      </c>
      <c r="K17" s="36"/>
    </row>
    <row r="18" ht="25" customHeight="1" spans="1:11">
      <c r="A18" s="15">
        <v>12</v>
      </c>
      <c r="B18" s="16" t="s">
        <v>33</v>
      </c>
      <c r="C18" s="17">
        <f>29118/10000</f>
        <v>2.9118</v>
      </c>
      <c r="D18" s="15"/>
      <c r="E18" s="17"/>
      <c r="F18" s="17"/>
      <c r="G18" s="17">
        <f t="shared" si="0"/>
        <v>2.9118</v>
      </c>
      <c r="H18" s="20" t="s">
        <v>34</v>
      </c>
      <c r="I18" s="20">
        <v>210</v>
      </c>
      <c r="J18" s="35">
        <f t="shared" si="1"/>
        <v>138.657142857143</v>
      </c>
      <c r="K18" s="36"/>
    </row>
    <row r="19" ht="25" customHeight="1" spans="1:11">
      <c r="A19" s="15">
        <v>13</v>
      </c>
      <c r="B19" s="16" t="s">
        <v>35</v>
      </c>
      <c r="C19" s="17">
        <f>4925/10000</f>
        <v>0.4925</v>
      </c>
      <c r="D19" s="15"/>
      <c r="E19" s="17"/>
      <c r="F19" s="17"/>
      <c r="G19" s="17">
        <f t="shared" si="0"/>
        <v>0.4925</v>
      </c>
      <c r="H19" s="20" t="s">
        <v>19</v>
      </c>
      <c r="I19" s="20">
        <v>178.5</v>
      </c>
      <c r="J19" s="35">
        <f t="shared" si="1"/>
        <v>27.5910364145658</v>
      </c>
      <c r="K19" s="36"/>
    </row>
    <row r="20" ht="25" customHeight="1" spans="1:11">
      <c r="A20" s="15">
        <v>14</v>
      </c>
      <c r="B20" s="16" t="s">
        <v>36</v>
      </c>
      <c r="C20" s="17">
        <f>28580/10000</f>
        <v>2.858</v>
      </c>
      <c r="D20" s="15"/>
      <c r="E20" s="17"/>
      <c r="F20" s="17"/>
      <c r="G20" s="17">
        <f t="shared" si="0"/>
        <v>2.858</v>
      </c>
      <c r="H20" s="20" t="s">
        <v>19</v>
      </c>
      <c r="I20" s="20">
        <v>618</v>
      </c>
      <c r="J20" s="35">
        <f t="shared" si="1"/>
        <v>46.2459546925566</v>
      </c>
      <c r="K20" s="36"/>
    </row>
    <row r="21" ht="25" customHeight="1" spans="1:11">
      <c r="A21" s="15">
        <v>15</v>
      </c>
      <c r="B21" s="16" t="s">
        <v>37</v>
      </c>
      <c r="C21" s="17" t="s">
        <v>38</v>
      </c>
      <c r="D21" s="15"/>
      <c r="E21" s="17">
        <f>820/10000</f>
        <v>0.082</v>
      </c>
      <c r="F21" s="17"/>
      <c r="G21" s="17">
        <f>E21</f>
        <v>0.082</v>
      </c>
      <c r="H21" s="20" t="s">
        <v>26</v>
      </c>
      <c r="I21" s="20">
        <v>6</v>
      </c>
      <c r="J21" s="35">
        <f>E21/I21*10000</f>
        <v>136.666666666667</v>
      </c>
      <c r="K21" s="36"/>
    </row>
    <row r="22" ht="25" customHeight="1" spans="1:11">
      <c r="A22" s="15">
        <v>16</v>
      </c>
      <c r="B22" s="16" t="s">
        <v>39</v>
      </c>
      <c r="C22" s="17">
        <f>8601.4/10000</f>
        <v>0.86014</v>
      </c>
      <c r="D22" s="15"/>
      <c r="E22" s="17"/>
      <c r="F22" s="17"/>
      <c r="G22" s="17"/>
      <c r="H22" s="20" t="s">
        <v>40</v>
      </c>
      <c r="I22" s="20">
        <v>3503.5</v>
      </c>
      <c r="J22" s="35">
        <f t="shared" si="1"/>
        <v>2.45508776937348</v>
      </c>
      <c r="K22" s="36"/>
    </row>
    <row r="23" ht="25" customHeight="1" spans="1:11">
      <c r="A23" s="15">
        <v>17</v>
      </c>
      <c r="B23" s="16" t="s">
        <v>41</v>
      </c>
      <c r="C23" s="17">
        <f>1012.27/10000</f>
        <v>0.101227</v>
      </c>
      <c r="D23" s="15"/>
      <c r="E23" s="17"/>
      <c r="F23" s="17"/>
      <c r="G23" s="17"/>
      <c r="H23" s="20" t="s">
        <v>42</v>
      </c>
      <c r="I23" s="20">
        <v>215.2</v>
      </c>
      <c r="J23" s="35">
        <f t="shared" si="1"/>
        <v>4.70385687732342</v>
      </c>
      <c r="K23" s="36"/>
    </row>
    <row r="24" ht="25" customHeight="1" spans="1:11">
      <c r="A24" s="15">
        <v>18</v>
      </c>
      <c r="B24" s="16" t="s">
        <v>43</v>
      </c>
      <c r="C24" s="17">
        <f>13939/10000</f>
        <v>1.3939</v>
      </c>
      <c r="D24" s="15"/>
      <c r="E24" s="17"/>
      <c r="F24" s="17"/>
      <c r="G24" s="17"/>
      <c r="H24" s="20" t="s">
        <v>42</v>
      </c>
      <c r="I24" s="20">
        <v>538.9</v>
      </c>
      <c r="J24" s="35">
        <f t="shared" si="1"/>
        <v>25.8656522545927</v>
      </c>
      <c r="K24" s="36"/>
    </row>
    <row r="25" ht="25" customHeight="1" spans="1:11">
      <c r="A25" s="10" t="s">
        <v>44</v>
      </c>
      <c r="B25" s="13" t="s">
        <v>45</v>
      </c>
      <c r="C25" s="12">
        <f>SUM(C26:C37)</f>
        <v>62.584232</v>
      </c>
      <c r="D25" s="10"/>
      <c r="E25" s="12">
        <f>E37+E30</f>
        <v>6.533685</v>
      </c>
      <c r="F25" s="12"/>
      <c r="G25" s="12">
        <f>C25+E25</f>
        <v>69.117917</v>
      </c>
      <c r="H25" s="21"/>
      <c r="I25" s="21"/>
      <c r="J25" s="38"/>
      <c r="K25" s="6"/>
    </row>
    <row r="26" ht="25" customHeight="1" spans="1:11">
      <c r="A26" s="20">
        <v>1</v>
      </c>
      <c r="B26" s="16" t="s">
        <v>46</v>
      </c>
      <c r="C26" s="17">
        <f>499760.42/10000</f>
        <v>49.976042</v>
      </c>
      <c r="D26" s="15"/>
      <c r="E26" s="17"/>
      <c r="F26" s="17"/>
      <c r="G26" s="17">
        <f>C26</f>
        <v>49.976042</v>
      </c>
      <c r="H26" s="20" t="s">
        <v>19</v>
      </c>
      <c r="I26" s="20">
        <v>1216</v>
      </c>
      <c r="J26" s="35">
        <f>C26/I26*10000</f>
        <v>410.9871875</v>
      </c>
      <c r="K26" s="36"/>
    </row>
    <row r="27" ht="25" customHeight="1" spans="1:11">
      <c r="A27" s="20">
        <v>2</v>
      </c>
      <c r="B27" s="16" t="s">
        <v>47</v>
      </c>
      <c r="C27" s="17">
        <f>1543.69/10000</f>
        <v>0.154369</v>
      </c>
      <c r="D27" s="15"/>
      <c r="E27" s="17"/>
      <c r="F27" s="17"/>
      <c r="G27" s="17">
        <f t="shared" ref="G27:G37" si="2">C27</f>
        <v>0.154369</v>
      </c>
      <c r="H27" s="20" t="s">
        <v>19</v>
      </c>
      <c r="I27" s="20">
        <v>32</v>
      </c>
      <c r="J27" s="35">
        <f t="shared" ref="J27:J36" si="3">C27/I27*10000</f>
        <v>48.2403125</v>
      </c>
      <c r="K27" s="36"/>
    </row>
    <row r="28" ht="25" customHeight="1" spans="1:11">
      <c r="A28" s="20">
        <v>3</v>
      </c>
      <c r="B28" s="16" t="s">
        <v>20</v>
      </c>
      <c r="C28" s="17">
        <f>54337.44/10000</f>
        <v>5.433744</v>
      </c>
      <c r="D28" s="15"/>
      <c r="E28" s="17"/>
      <c r="F28" s="17"/>
      <c r="G28" s="17">
        <f t="shared" si="2"/>
        <v>5.433744</v>
      </c>
      <c r="H28" s="20" t="s">
        <v>19</v>
      </c>
      <c r="I28" s="37">
        <v>572</v>
      </c>
      <c r="J28" s="35">
        <f t="shared" si="3"/>
        <v>94.9955244755245</v>
      </c>
      <c r="K28" s="36"/>
    </row>
    <row r="29" ht="25" customHeight="1" spans="1:11">
      <c r="A29" s="20">
        <v>4</v>
      </c>
      <c r="B29" s="16" t="s">
        <v>48</v>
      </c>
      <c r="C29" s="17">
        <f>5262.11/10000</f>
        <v>0.526211</v>
      </c>
      <c r="D29" s="15"/>
      <c r="E29" s="17"/>
      <c r="F29" s="17"/>
      <c r="G29" s="17">
        <f t="shared" si="2"/>
        <v>0.526211</v>
      </c>
      <c r="H29" s="20" t="s">
        <v>22</v>
      </c>
      <c r="I29" s="20">
        <v>140</v>
      </c>
      <c r="J29" s="35">
        <f t="shared" si="3"/>
        <v>37.5865</v>
      </c>
      <c r="K29" s="36"/>
    </row>
    <row r="30" ht="25" customHeight="1" spans="1:11">
      <c r="A30" s="20">
        <v>5</v>
      </c>
      <c r="B30" s="16" t="s">
        <v>25</v>
      </c>
      <c r="C30" s="17"/>
      <c r="D30" s="15"/>
      <c r="E30" s="17">
        <f>64789.85/10000</f>
        <v>6.478985</v>
      </c>
      <c r="F30" s="17"/>
      <c r="G30" s="17">
        <f t="shared" si="2"/>
        <v>0</v>
      </c>
      <c r="H30" s="20" t="s">
        <v>26</v>
      </c>
      <c r="I30" s="20">
        <v>8</v>
      </c>
      <c r="J30" s="35">
        <f t="shared" si="3"/>
        <v>0</v>
      </c>
      <c r="K30" s="36"/>
    </row>
    <row r="31" ht="25" customHeight="1" spans="1:11">
      <c r="A31" s="20">
        <v>6</v>
      </c>
      <c r="B31" s="16" t="s">
        <v>49</v>
      </c>
      <c r="C31" s="17">
        <f>8720/10000</f>
        <v>0.872</v>
      </c>
      <c r="D31" s="15"/>
      <c r="E31" s="17"/>
      <c r="F31" s="17"/>
      <c r="G31" s="17">
        <f t="shared" si="2"/>
        <v>0.872</v>
      </c>
      <c r="H31" s="20" t="s">
        <v>28</v>
      </c>
      <c r="I31" s="20">
        <v>2</v>
      </c>
      <c r="J31" s="35">
        <f t="shared" si="3"/>
        <v>4360</v>
      </c>
      <c r="K31" s="36"/>
    </row>
    <row r="32" ht="25" customHeight="1" spans="1:11">
      <c r="A32" s="20">
        <v>7</v>
      </c>
      <c r="B32" s="16" t="s">
        <v>50</v>
      </c>
      <c r="C32" s="17">
        <f>1152.66/10000</f>
        <v>0.115266</v>
      </c>
      <c r="D32" s="15"/>
      <c r="E32" s="17"/>
      <c r="F32" s="17"/>
      <c r="G32" s="17"/>
      <c r="H32" s="20" t="s">
        <v>40</v>
      </c>
      <c r="I32" s="20">
        <v>61.5</v>
      </c>
      <c r="J32" s="35">
        <f t="shared" si="3"/>
        <v>18.7424390243902</v>
      </c>
      <c r="K32" s="36"/>
    </row>
    <row r="33" ht="25" customHeight="1" spans="1:11">
      <c r="A33" s="20">
        <v>8</v>
      </c>
      <c r="B33" s="16" t="s">
        <v>51</v>
      </c>
      <c r="C33" s="17">
        <f>9822/10000</f>
        <v>0.9822</v>
      </c>
      <c r="D33" s="15"/>
      <c r="E33" s="17"/>
      <c r="F33" s="17"/>
      <c r="G33" s="17"/>
      <c r="H33" s="20" t="s">
        <v>40</v>
      </c>
      <c r="I33" s="20">
        <v>61.5</v>
      </c>
      <c r="J33" s="35">
        <f t="shared" si="3"/>
        <v>159.707317073171</v>
      </c>
      <c r="K33" s="36"/>
    </row>
    <row r="34" ht="25" customHeight="1" spans="1:11">
      <c r="A34" s="20">
        <v>9</v>
      </c>
      <c r="B34" s="16" t="s">
        <v>52</v>
      </c>
      <c r="C34" s="17">
        <f>371/10000</f>
        <v>0.0371</v>
      </c>
      <c r="D34" s="15"/>
      <c r="E34" s="17"/>
      <c r="F34" s="17"/>
      <c r="G34" s="17"/>
      <c r="H34" s="20" t="s">
        <v>19</v>
      </c>
      <c r="I34" s="20">
        <v>3</v>
      </c>
      <c r="J34" s="35">
        <f t="shared" si="3"/>
        <v>123.666666666667</v>
      </c>
      <c r="K34" s="36"/>
    </row>
    <row r="35" ht="25" customHeight="1" spans="1:11">
      <c r="A35" s="20">
        <v>10</v>
      </c>
      <c r="B35" s="16" t="s">
        <v>53</v>
      </c>
      <c r="C35" s="17">
        <f>36780/10000</f>
        <v>3.678</v>
      </c>
      <c r="D35" s="15"/>
      <c r="E35" s="17"/>
      <c r="F35" s="17"/>
      <c r="G35" s="17">
        <f t="shared" si="2"/>
        <v>3.678</v>
      </c>
      <c r="H35" s="20" t="s">
        <v>19</v>
      </c>
      <c r="I35" s="20">
        <v>1166</v>
      </c>
      <c r="J35" s="35">
        <f t="shared" si="3"/>
        <v>31.5437392795883</v>
      </c>
      <c r="K35" s="36"/>
    </row>
    <row r="36" ht="25" customHeight="1" spans="1:11">
      <c r="A36" s="20">
        <v>11</v>
      </c>
      <c r="B36" s="16" t="s">
        <v>36</v>
      </c>
      <c r="C36" s="17">
        <f>8093/10000</f>
        <v>0.8093</v>
      </c>
      <c r="D36" s="15"/>
      <c r="E36" s="17"/>
      <c r="F36" s="17"/>
      <c r="G36" s="17">
        <f t="shared" si="2"/>
        <v>0.8093</v>
      </c>
      <c r="H36" s="20" t="s">
        <v>19</v>
      </c>
      <c r="I36" s="20">
        <v>175</v>
      </c>
      <c r="J36" s="35">
        <f t="shared" si="3"/>
        <v>46.2457142857143</v>
      </c>
      <c r="K36" s="36"/>
    </row>
    <row r="37" ht="25" customHeight="1" spans="1:11">
      <c r="A37" s="20">
        <v>12</v>
      </c>
      <c r="B37" s="16" t="s">
        <v>37</v>
      </c>
      <c r="C37" s="17"/>
      <c r="D37" s="15"/>
      <c r="E37" s="19">
        <f>547/10000</f>
        <v>0.0547</v>
      </c>
      <c r="F37" s="17"/>
      <c r="G37" s="17">
        <f t="shared" si="2"/>
        <v>0</v>
      </c>
      <c r="H37" s="20" t="s">
        <v>26</v>
      </c>
      <c r="I37" s="20">
        <v>4</v>
      </c>
      <c r="J37" s="35">
        <f>E37/I37*10000</f>
        <v>136.75</v>
      </c>
      <c r="K37" s="36"/>
    </row>
    <row r="38" ht="25" customHeight="1" spans="1:11">
      <c r="A38" s="7" t="s">
        <v>54</v>
      </c>
      <c r="B38" s="22" t="s">
        <v>55</v>
      </c>
      <c r="C38" s="6"/>
      <c r="D38" s="7"/>
      <c r="E38" s="6"/>
      <c r="F38" s="6">
        <f>SUM(F39:F45)</f>
        <v>11.8620027042</v>
      </c>
      <c r="G38" s="6">
        <f>F38</f>
        <v>11.8620027042</v>
      </c>
      <c r="H38" s="7"/>
      <c r="I38" s="7"/>
      <c r="J38" s="6"/>
      <c r="K38" s="6">
        <f>G38/G47*100</f>
        <v>5.78437830387636</v>
      </c>
    </row>
    <row r="39" ht="25" customHeight="1" spans="1:11">
      <c r="A39" s="23">
        <v>1</v>
      </c>
      <c r="B39" s="24" t="s">
        <v>56</v>
      </c>
      <c r="C39" s="25"/>
      <c r="D39" s="25"/>
      <c r="E39" s="25"/>
      <c r="F39" s="25">
        <f>I39*J39</f>
        <v>1.3432251866</v>
      </c>
      <c r="G39" s="25">
        <f>F39</f>
        <v>1.3432251866</v>
      </c>
      <c r="H39" s="23" t="s">
        <v>57</v>
      </c>
      <c r="I39" s="25">
        <f>G5</f>
        <v>189.186646</v>
      </c>
      <c r="J39" s="39">
        <v>0.0071</v>
      </c>
      <c r="K39" s="40"/>
    </row>
    <row r="40" ht="25" customHeight="1" spans="1:11">
      <c r="A40" s="23">
        <v>2</v>
      </c>
      <c r="B40" s="26" t="s">
        <v>58</v>
      </c>
      <c r="C40" s="25"/>
      <c r="D40" s="25"/>
      <c r="E40" s="25"/>
      <c r="F40" s="25">
        <f t="shared" ref="F40:F46" si="4">I40*J40</f>
        <v>4.72966615</v>
      </c>
      <c r="G40" s="25">
        <f t="shared" ref="G40:G46" si="5">SUM(C40:F40)</f>
        <v>4.72966615</v>
      </c>
      <c r="H40" s="23" t="s">
        <v>57</v>
      </c>
      <c r="I40" s="40">
        <f>G5</f>
        <v>189.186646</v>
      </c>
      <c r="J40" s="39">
        <v>0.025</v>
      </c>
      <c r="K40" s="41"/>
    </row>
    <row r="41" ht="25" customHeight="1" spans="1:11">
      <c r="A41" s="23">
        <v>3</v>
      </c>
      <c r="B41" s="26" t="s">
        <v>59</v>
      </c>
      <c r="C41" s="25"/>
      <c r="D41" s="25"/>
      <c r="E41" s="25"/>
      <c r="F41" s="25">
        <f t="shared" si="4"/>
        <v>2.270239752</v>
      </c>
      <c r="G41" s="25">
        <f t="shared" si="5"/>
        <v>2.270239752</v>
      </c>
      <c r="H41" s="23" t="s">
        <v>57</v>
      </c>
      <c r="I41" s="40">
        <f>G5</f>
        <v>189.186646</v>
      </c>
      <c r="J41" s="39">
        <v>0.012</v>
      </c>
      <c r="K41" s="41"/>
    </row>
    <row r="42" ht="25" customHeight="1" spans="1:11">
      <c r="A42" s="23">
        <v>4</v>
      </c>
      <c r="B42" s="24" t="s">
        <v>60</v>
      </c>
      <c r="C42" s="25"/>
      <c r="D42" s="25"/>
      <c r="E42" s="25"/>
      <c r="F42" s="25">
        <f t="shared" si="4"/>
        <v>0.7756652486</v>
      </c>
      <c r="G42" s="25">
        <f t="shared" si="5"/>
        <v>0.7756652486</v>
      </c>
      <c r="H42" s="23" t="s">
        <v>57</v>
      </c>
      <c r="I42" s="40">
        <f>G5</f>
        <v>189.186646</v>
      </c>
      <c r="J42" s="39">
        <v>0.0041</v>
      </c>
      <c r="K42" s="41"/>
    </row>
    <row r="43" ht="25" customHeight="1" spans="1:11">
      <c r="A43" s="23">
        <v>5</v>
      </c>
      <c r="B43" s="24" t="s">
        <v>61</v>
      </c>
      <c r="C43" s="25"/>
      <c r="D43" s="25"/>
      <c r="E43" s="25"/>
      <c r="F43" s="25">
        <f t="shared" si="4"/>
        <v>0.3972919566</v>
      </c>
      <c r="G43" s="25">
        <f t="shared" si="5"/>
        <v>0.3972919566</v>
      </c>
      <c r="H43" s="23" t="s">
        <v>57</v>
      </c>
      <c r="I43" s="40">
        <f>I40</f>
        <v>189.186646</v>
      </c>
      <c r="J43" s="39">
        <v>0.0021</v>
      </c>
      <c r="K43" s="41"/>
    </row>
    <row r="44" ht="25" customHeight="1" spans="1:11">
      <c r="A44" s="23">
        <v>6</v>
      </c>
      <c r="B44" s="24" t="s">
        <v>62</v>
      </c>
      <c r="C44" s="25"/>
      <c r="D44" s="25"/>
      <c r="E44" s="25"/>
      <c r="F44" s="25">
        <f t="shared" si="4"/>
        <v>0.567559938</v>
      </c>
      <c r="G44" s="25">
        <f t="shared" si="5"/>
        <v>0.567559938</v>
      </c>
      <c r="H44" s="23" t="s">
        <v>57</v>
      </c>
      <c r="I44" s="40">
        <f>G5</f>
        <v>189.186646</v>
      </c>
      <c r="J44" s="39">
        <v>0.003</v>
      </c>
      <c r="K44" s="41"/>
    </row>
    <row r="45" ht="25" customHeight="1" spans="1:11">
      <c r="A45" s="23">
        <v>7</v>
      </c>
      <c r="B45" s="26" t="s">
        <v>63</v>
      </c>
      <c r="C45" s="25"/>
      <c r="D45" s="25"/>
      <c r="E45" s="25"/>
      <c r="F45" s="25">
        <f t="shared" si="4"/>
        <v>1.7783544724</v>
      </c>
      <c r="G45" s="25">
        <f t="shared" si="5"/>
        <v>1.7783544724</v>
      </c>
      <c r="H45" s="23" t="s">
        <v>57</v>
      </c>
      <c r="I45" s="40">
        <f>G5</f>
        <v>189.186646</v>
      </c>
      <c r="J45" s="39">
        <v>0.0094</v>
      </c>
      <c r="K45" s="41"/>
    </row>
    <row r="46" s="1" customFormat="1" ht="25" customHeight="1" spans="1:11">
      <c r="A46" s="27" t="s">
        <v>64</v>
      </c>
      <c r="B46" s="28" t="s">
        <v>65</v>
      </c>
      <c r="C46" s="29"/>
      <c r="D46" s="29"/>
      <c r="E46" s="29"/>
      <c r="F46" s="30">
        <f t="shared" si="4"/>
        <v>4.020972974084</v>
      </c>
      <c r="G46" s="29">
        <f t="shared" si="5"/>
        <v>4.020972974084</v>
      </c>
      <c r="H46" s="27" t="s">
        <v>57</v>
      </c>
      <c r="I46" s="30">
        <f>G5+G38</f>
        <v>201.0486487042</v>
      </c>
      <c r="J46" s="42">
        <v>0.02</v>
      </c>
      <c r="K46" s="43">
        <f>G46/G47*100</f>
        <v>1.96078431372549</v>
      </c>
    </row>
    <row r="47" ht="25" customHeight="1" spans="1:11">
      <c r="A47" s="7" t="s">
        <v>66</v>
      </c>
      <c r="B47" s="7"/>
      <c r="C47" s="6">
        <f>C5</f>
        <v>176.091976</v>
      </c>
      <c r="D47" s="7"/>
      <c r="E47" s="6">
        <f>E5</f>
        <v>13.09467</v>
      </c>
      <c r="F47" s="6">
        <f>F38</f>
        <v>11.8620027042</v>
      </c>
      <c r="G47" s="6">
        <f>G46+G38+G5</f>
        <v>205.069621678284</v>
      </c>
      <c r="H47" s="7" t="s">
        <v>67</v>
      </c>
      <c r="I47" s="7"/>
      <c r="J47" s="6"/>
      <c r="K47" s="6">
        <f>K5+K38+K46</f>
        <v>100</v>
      </c>
    </row>
  </sheetData>
  <mergeCells count="7">
    <mergeCell ref="A1:K1"/>
    <mergeCell ref="A47:B47"/>
    <mergeCell ref="A2:A4"/>
    <mergeCell ref="B2:B4"/>
    <mergeCell ref="K2:K4"/>
    <mergeCell ref="C2:G3"/>
    <mergeCell ref="H2:J3"/>
  </mergeCells>
  <pageMargins left="0.700694444444445" right="0.700694444444445" top="0.314583333333333" bottom="0.354166666666667" header="0.298611111111111" footer="0.298611111111111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2024-03-21T03:41:49Z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C45E953DD0F949E0A6B0C90EAFC46C6E_13</vt:lpwstr>
  </property>
  <property fmtid="{D5CDD505-2E9C-101B-9397-08002B2CF9AE}" pid="3" name="KSOProductBuildVer">
    <vt:lpwstr>2052-12.1.0.16388</vt:lpwstr>
  </property>
</Properties>
</file>